
<file path=[Content_Types].xml><?xml version="1.0" encoding="utf-8"?>
<Types xmlns="http://schemas.openxmlformats.org/package/2006/content-types">
  <Override PartName="/xl/worksheets/sheet24.xml" ContentType="application/vnd.openxmlformats-officedocument.spreadsheetml.worksheet+xml"/>
  <Override PartName="/xl/externalLinks/externalLink78.xml" ContentType="application/vnd.openxmlformats-officedocument.spreadsheetml.externalLink+xml"/>
  <Override PartName="/xl/externalLinks/externalLink109.xml" ContentType="application/vnd.openxmlformats-officedocument.spreadsheetml.externalLink+xml"/>
  <Override PartName="/xl/externalLinks/externalLink127.xml" ContentType="application/vnd.openxmlformats-officedocument.spreadsheetml.externalLink+xml"/>
  <Override PartName="/xl/worksheets/sheet13.xml" ContentType="application/vnd.openxmlformats-officedocument.spreadsheetml.worksheet+xml"/>
  <Override PartName="/xl/externalLinks/externalLink9.xml" ContentType="application/vnd.openxmlformats-officedocument.spreadsheetml.externalLink+xml"/>
  <Override PartName="/xl/externalLinks/externalLink38.xml" ContentType="application/vnd.openxmlformats-officedocument.spreadsheetml.externalLink+xml"/>
  <Override PartName="/xl/externalLinks/externalLink49.xml" ContentType="application/vnd.openxmlformats-officedocument.spreadsheetml.externalLink+xml"/>
  <Override PartName="/xl/externalLinks/externalLink67.xml" ContentType="application/vnd.openxmlformats-officedocument.spreadsheetml.externalLink+xml"/>
  <Override PartName="/xl/externalLinks/externalLink85.xml" ContentType="application/vnd.openxmlformats-officedocument.spreadsheetml.externalLink+xml"/>
  <Override PartName="/xl/externalLinks/externalLink96.xml" ContentType="application/vnd.openxmlformats-officedocument.spreadsheetml.externalLink+xml"/>
  <Override PartName="/xl/externalLinks/externalLink116.xml" ContentType="application/vnd.openxmlformats-officedocument.spreadsheetml.externalLink+xml"/>
  <Override PartName="/xl/styles.xml" ContentType="application/vnd.openxmlformats-officedocument.spreadsheetml.styles+xml"/>
  <Override PartName="/xl/worksheets/sheet7.xml" ContentType="application/vnd.openxmlformats-officedocument.spreadsheetml.worksheet+xml"/>
  <Override PartName="/xl/worksheets/sheet20.xml" ContentType="application/vnd.openxmlformats-officedocument.spreadsheetml.worksheet+xml"/>
  <Override PartName="/xl/externalLinks/externalLink27.xml" ContentType="application/vnd.openxmlformats-officedocument.spreadsheetml.externalLink+xml"/>
  <Override PartName="/xl/externalLinks/externalLink45.xml" ContentType="application/vnd.openxmlformats-officedocument.spreadsheetml.externalLink+xml"/>
  <Override PartName="/xl/externalLinks/externalLink56.xml" ContentType="application/vnd.openxmlformats-officedocument.spreadsheetml.externalLink+xml"/>
  <Override PartName="/xl/externalLinks/externalLink74.xml" ContentType="application/vnd.openxmlformats-officedocument.spreadsheetml.externalLink+xml"/>
  <Override PartName="/xl/externalLinks/externalLink92.xml" ContentType="application/vnd.openxmlformats-officedocument.spreadsheetml.externalLink+xml"/>
  <Override PartName="/xl/externalLinks/externalLink105.xml" ContentType="application/vnd.openxmlformats-officedocument.spreadsheetml.externalLink+xml"/>
  <Override PartName="/xl/externalLinks/externalLink123.xml" ContentType="application/vnd.openxmlformats-officedocument.spreadsheetml.externalLink+xml"/>
  <Default Extension="xml" ContentType="application/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34.xml" ContentType="application/vnd.openxmlformats-officedocument.spreadsheetml.externalLink+xml"/>
  <Override PartName="/xl/externalLinks/externalLink63.xml" ContentType="application/vnd.openxmlformats-officedocument.spreadsheetml.externalLink+xml"/>
  <Override PartName="/xl/externalLinks/externalLink81.xml" ContentType="application/vnd.openxmlformats-officedocument.spreadsheetml.externalLink+xml"/>
  <Override PartName="/xl/externalLinks/externalLink101.xml" ContentType="application/vnd.openxmlformats-officedocument.spreadsheetml.externalLink+xml"/>
  <Override PartName="/xl/externalLinks/externalLink112.xml" ContentType="application/vnd.openxmlformats-officedocument.spreadsheetml.externalLink+xml"/>
  <Override PartName="/xl/externalLinks/externalLink130.xml" ContentType="application/vnd.openxmlformats-officedocument.spreadsheetml.externalLink+xml"/>
  <Override PartName="/xl/drawings/drawing2.xml" ContentType="application/vnd.openxmlformats-officedocument.drawing+xml"/>
  <Override PartName="/xl/worksheets/sheet3.xml" ContentType="application/vnd.openxmlformats-officedocument.spreadsheetml.worksheet+xml"/>
  <Override PartName="/xl/externalLinks/externalLink23.xml" ContentType="application/vnd.openxmlformats-officedocument.spreadsheetml.externalLink+xml"/>
  <Override PartName="/xl/externalLinks/externalLink41.xml" ContentType="application/vnd.openxmlformats-officedocument.spreadsheetml.externalLink+xml"/>
  <Override PartName="/xl/externalLinks/externalLink52.xml" ContentType="application/vnd.openxmlformats-officedocument.spreadsheetml.externalLink+xml"/>
  <Override PartName="/xl/externalLinks/externalLink70.xml" ContentType="application/vnd.openxmlformats-officedocument.spreadsheetml.externalLink+xml"/>
  <Override PartName="/xl/externalLinks/externalLink1.xml" ContentType="application/vnd.openxmlformats-officedocument.spreadsheetml.externalLink+xml"/>
  <Override PartName="/xl/externalLinks/externalLink12.xml" ContentType="application/vnd.openxmlformats-officedocument.spreadsheetml.externalLink+xml"/>
  <Override PartName="/xl/externalLinks/externalLink30.xml" ContentType="application/vnd.openxmlformats-officedocument.spreadsheetml.externalLink+xml"/>
  <Override PartName="/xl/sharedStrings.xml" ContentType="application/vnd.openxmlformats-officedocument.spreadsheetml.sharedStrings+xml"/>
  <Override PartName="/xl/worksheets/sheet18.xml" ContentType="application/vnd.openxmlformats-officedocument.spreadsheetml.worksheet+xml"/>
  <Override PartName="/xl/worksheets/sheet25.xml" ContentType="application/vnd.openxmlformats-officedocument.spreadsheetml.worksheet+xml"/>
  <Override PartName="/xl/externalLinks/externalLink68.xml" ContentType="application/vnd.openxmlformats-officedocument.spreadsheetml.externalLink+xml"/>
  <Override PartName="/xl/externalLinks/externalLink79.xml" ContentType="application/vnd.openxmlformats-officedocument.spreadsheetml.externalLink+xml"/>
  <Override PartName="/xl/externalLinks/externalLink97.xml" ContentType="application/vnd.openxmlformats-officedocument.spreadsheetml.externalLink+xml"/>
  <Override PartName="/xl/externalLinks/externalLink117.xml" ContentType="application/vnd.openxmlformats-officedocument.spreadsheetml.externalLink+xml"/>
  <Override PartName="/xl/externalLinks/externalLink128.xml" ContentType="application/vnd.openxmlformats-officedocument.spreadsheetml.externalLink+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externalLinks/externalLink39.xml" ContentType="application/vnd.openxmlformats-officedocument.spreadsheetml.externalLink+xml"/>
  <Override PartName="/xl/externalLinks/externalLink57.xml" ContentType="application/vnd.openxmlformats-officedocument.spreadsheetml.externalLink+xml"/>
  <Override PartName="/xl/externalLinks/externalLink86.xml" ContentType="application/vnd.openxmlformats-officedocument.spreadsheetml.externalLink+xml"/>
  <Override PartName="/xl/externalLinks/externalLink106.xml" ContentType="application/vnd.openxmlformats-officedocument.spreadsheetml.externalLink+xml"/>
  <Override PartName="/xl/externalLinks/externalLink124.xml" ContentType="application/vnd.openxmlformats-officedocument.spreadsheetml.externalLink+xml"/>
  <Override PartName="/xl/worksheets/sheet8.xml" ContentType="application/vnd.openxmlformats-officedocument.spreadsheetml.worksheet+xml"/>
  <Override PartName="/xl/worksheets/sheet21.xml" ContentType="application/vnd.openxmlformats-officedocument.spreadsheetml.worksheet+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46.xml" ContentType="application/vnd.openxmlformats-officedocument.spreadsheetml.externalLink+xml"/>
  <Override PartName="/xl/externalLinks/externalLink64.xml" ContentType="application/vnd.openxmlformats-officedocument.spreadsheetml.externalLink+xml"/>
  <Override PartName="/xl/externalLinks/externalLink75.xml" ContentType="application/vnd.openxmlformats-officedocument.spreadsheetml.externalLink+xml"/>
  <Override PartName="/xl/externalLinks/externalLink93.xml" ContentType="application/vnd.openxmlformats-officedocument.spreadsheetml.externalLink+xml"/>
  <Override PartName="/xl/externalLinks/externalLink113.xml" ContentType="application/vnd.openxmlformats-officedocument.spreadsheetml.externalLink+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xternalLinks/externalLink24.xml" ContentType="application/vnd.openxmlformats-officedocument.spreadsheetml.externalLink+xml"/>
  <Override PartName="/xl/externalLinks/externalLink35.xml" ContentType="application/vnd.openxmlformats-officedocument.spreadsheetml.externalLink+xml"/>
  <Override PartName="/xl/externalLinks/externalLink53.xml" ContentType="application/vnd.openxmlformats-officedocument.spreadsheetml.externalLink+xml"/>
  <Override PartName="/xl/externalLinks/externalLink71.xml" ContentType="application/vnd.openxmlformats-officedocument.spreadsheetml.externalLink+xml"/>
  <Override PartName="/xl/externalLinks/externalLink82.xml" ContentType="application/vnd.openxmlformats-officedocument.spreadsheetml.externalLink+xml"/>
  <Override PartName="/xl/externalLinks/externalLink102.xml" ContentType="application/vnd.openxmlformats-officedocument.spreadsheetml.externalLink+xml"/>
  <Override PartName="/xl/externalLinks/externalLink120.xml" ContentType="application/vnd.openxmlformats-officedocument.spreadsheetml.externalLink+xml"/>
  <Override PartName="/xl/drawings/drawing3.xml" ContentType="application/vnd.openxmlformats-officedocument.drawing+xml"/>
  <Override PartName="/docProps/app.xml" ContentType="application/vnd.openxmlformats-officedocument.extended-properties+xml"/>
  <Override PartName="/xl/externalLinks/externalLink2.xml" ContentType="application/vnd.openxmlformats-officedocument.spreadsheetml.externalLink+xml"/>
  <Override PartName="/xl/externalLinks/externalLink13.xml" ContentType="application/vnd.openxmlformats-officedocument.spreadsheetml.externalLink+xml"/>
  <Override PartName="/xl/externalLinks/externalLink42.xml" ContentType="application/vnd.openxmlformats-officedocument.spreadsheetml.externalLink+xml"/>
  <Override PartName="/xl/externalLinks/externalLink60.xml" ContentType="application/vnd.openxmlformats-officedocument.spreadsheetml.externalLink+xml"/>
  <Override PartName="/xl/externalLinks/externalLink11.xml" ContentType="application/vnd.openxmlformats-officedocument.spreadsheetml.externalLink+xml"/>
  <Override PartName="/xl/externalLinks/externalLink2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17.xml" ContentType="application/vnd.openxmlformats-officedocument.spreadsheetml.worksheet+xml"/>
  <Override PartName="/xl/worksheets/sheet26.xml" ContentType="application/vnd.openxmlformats-officedocument.spreadsheetml.worksheet+xml"/>
  <Override PartName="/xl/externalLinks/externalLink89.xml" ContentType="application/vnd.openxmlformats-officedocument.spreadsheetml.externalLink+xml"/>
  <Override PartName="/xl/externalLinks/externalLink129.xml" ContentType="application/vnd.openxmlformats-officedocument.spreadsheetml.externalLink+xml"/>
  <Override PartName="/docProps/core.xml" ContentType="application/vnd.openxmlformats-package.core-properties+xml"/>
  <Override PartName="/xl/worksheets/sheet15.xml" ContentType="application/vnd.openxmlformats-officedocument.spreadsheetml.worksheet+xml"/>
  <Override PartName="/xl/externalLinks/externalLink69.xml" ContentType="application/vnd.openxmlformats-officedocument.spreadsheetml.externalLink+xml"/>
  <Override PartName="/xl/externalLinks/externalLink87.xml" ContentType="application/vnd.openxmlformats-officedocument.spreadsheetml.externalLink+xml"/>
  <Override PartName="/xl/externalLinks/externalLink98.xml" ContentType="application/vnd.openxmlformats-officedocument.spreadsheetml.externalLink+xml"/>
  <Override PartName="/xl/externalLinks/externalLink118.xml" ContentType="application/vnd.openxmlformats-officedocument.spreadsheetml.externalLink+xml"/>
  <Override PartName="/xl/worksheets/sheet9.xml" ContentType="application/vnd.openxmlformats-officedocument.spreadsheetml.worksheet+xml"/>
  <Override PartName="/xl/worksheets/sheet22.xml" ContentType="application/vnd.openxmlformats-officedocument.spreadsheetml.worksheet+xml"/>
  <Override PartName="/xl/externalLinks/externalLink29.xml" ContentType="application/vnd.openxmlformats-officedocument.spreadsheetml.externalLink+xml"/>
  <Override PartName="/xl/externalLinks/externalLink47.xml" ContentType="application/vnd.openxmlformats-officedocument.spreadsheetml.externalLink+xml"/>
  <Override PartName="/xl/externalLinks/externalLink58.xml" ContentType="application/vnd.openxmlformats-officedocument.spreadsheetml.externalLink+xml"/>
  <Override PartName="/xl/externalLinks/externalLink76.xml" ContentType="application/vnd.openxmlformats-officedocument.spreadsheetml.externalLink+xml"/>
  <Override PartName="/xl/externalLinks/externalLink94.xml" ContentType="application/vnd.openxmlformats-officedocument.spreadsheetml.externalLink+xml"/>
  <Override PartName="/xl/externalLinks/externalLink107.xml" ContentType="application/vnd.openxmlformats-officedocument.spreadsheetml.externalLink+xml"/>
  <Override PartName="/xl/externalLinks/externalLink125.xml" ContentType="application/vnd.openxmlformats-officedocument.spreadsheetml.externalLink+xml"/>
  <Override PartName="/xl/theme/theme1.xml" ContentType="application/vnd.openxmlformats-officedocument.theme+xml"/>
  <Override PartName="/xl/worksheets/sheet11.xml" ContentType="application/vnd.openxmlformats-officedocument.spreadsheetml.worksheet+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36.xml" ContentType="application/vnd.openxmlformats-officedocument.spreadsheetml.externalLink+xml"/>
  <Override PartName="/xl/externalLinks/externalLink65.xml" ContentType="application/vnd.openxmlformats-officedocument.spreadsheetml.externalLink+xml"/>
  <Override PartName="/xl/externalLinks/externalLink83.xml" ContentType="application/vnd.openxmlformats-officedocument.spreadsheetml.externalLink+xml"/>
  <Override PartName="/xl/externalLinks/externalLink103.xml" ContentType="application/vnd.openxmlformats-officedocument.spreadsheetml.externalLink+xml"/>
  <Override PartName="/xl/externalLinks/externalLink114.xml" ContentType="application/vnd.openxmlformats-officedocument.spreadsheetml.externalLink+xml"/>
  <Default Extension="rels" ContentType="application/vnd.openxmlformats-package.relationships+xml"/>
  <Override PartName="/xl/worksheets/sheet5.xml" ContentType="application/vnd.openxmlformats-officedocument.spreadsheetml.worksheet+xml"/>
  <Override PartName="/xl/externalLinks/externalLink25.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externalLinks/externalLink72.xml" ContentType="application/vnd.openxmlformats-officedocument.spreadsheetml.externalLink+xml"/>
  <Override PartName="/xl/externalLinks/externalLink90.xml" ContentType="application/vnd.openxmlformats-officedocument.spreadsheetml.externalLink+xml"/>
  <Override PartName="/xl/externalLinks/externalLink121.xml" ContentType="application/vnd.openxmlformats-officedocument.spreadsheetml.externalLink+xml"/>
  <Override PartName="/xl/externalLinks/externalLink3.xml" ContentType="application/vnd.openxmlformats-officedocument.spreadsheetml.externalLink+xml"/>
  <Override PartName="/xl/externalLinks/externalLink14.xml" ContentType="application/vnd.openxmlformats-officedocument.spreadsheetml.externalLink+xml"/>
  <Override PartName="/xl/externalLinks/externalLink32.xml" ContentType="application/vnd.openxmlformats-officedocument.spreadsheetml.externalLink+xml"/>
  <Override PartName="/xl/externalLinks/externalLink61.xml" ContentType="application/vnd.openxmlformats-officedocument.spreadsheetml.externalLink+xml"/>
  <Override PartName="/xl/externalLinks/externalLink110.xml" ContentType="application/vnd.openxmlformats-officedocument.spreadsheetml.externalLink+xml"/>
  <Override PartName="/xl/worksheets/sheet1.xml" ContentType="application/vnd.openxmlformats-officedocument.spreadsheetml.worksheet+xml"/>
  <Override PartName="/xl/externalLinks/externalLink21.xml" ContentType="application/vnd.openxmlformats-officedocument.spreadsheetml.externalLink+xml"/>
  <Override PartName="/xl/externalLinks/externalLink50.xml" ContentType="application/vnd.openxmlformats-officedocument.spreadsheetml.externalLink+xml"/>
  <Override PartName="/xl/externalLinks/externalLink10.xml" ContentType="application/vnd.openxmlformats-officedocument.spreadsheetml.externalLink+xml"/>
  <Override PartName="/xl/worksheets/sheet27.xml" ContentType="application/vnd.openxmlformats-officedocument.spreadsheetml.worksheet+xml"/>
  <Override PartName="/xl/externalLinks/externalLink99.xml" ContentType="application/vnd.openxmlformats-officedocument.spreadsheetml.externalLink+xml"/>
  <Override PartName="/xl/externalLinks/externalLink119.xml" ContentType="application/vnd.openxmlformats-officedocument.spreadsheetml.externalLink+xml"/>
  <Override PartName="/xl/worksheets/sheet16.xml" ContentType="application/vnd.openxmlformats-officedocument.spreadsheetml.worksheet+xml"/>
  <Override PartName="/xl/externalLinks/externalLink59.xml" ContentType="application/vnd.openxmlformats-officedocument.spreadsheetml.externalLink+xml"/>
  <Override PartName="/xl/externalLinks/externalLink88.xml" ContentType="application/vnd.openxmlformats-officedocument.spreadsheetml.externalLink+xml"/>
  <Override PartName="/xl/externalLinks/externalLink108.xml" ContentType="application/vnd.openxmlformats-officedocument.spreadsheetml.externalLink+xml"/>
  <Override PartName="/xl/externalLinks/externalLink126.xml" ContentType="application/vnd.openxmlformats-officedocument.spreadsheetml.externalLink+xml"/>
  <Override PartName="/xl/worksheets/sheet23.xml" ContentType="application/vnd.openxmlformats-officedocument.spreadsheetml.worksheet+xml"/>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48.xml" ContentType="application/vnd.openxmlformats-officedocument.spreadsheetml.externalLink+xml"/>
  <Override PartName="/xl/externalLinks/externalLink66.xml" ContentType="application/vnd.openxmlformats-officedocument.spreadsheetml.externalLink+xml"/>
  <Override PartName="/xl/externalLinks/externalLink77.xml" ContentType="application/vnd.openxmlformats-officedocument.spreadsheetml.externalLink+xml"/>
  <Override PartName="/xl/externalLinks/externalLink95.xml" ContentType="application/vnd.openxmlformats-officedocument.spreadsheetml.externalLink+xml"/>
  <Override PartName="/xl/externalLinks/externalLink115.xml" ContentType="application/vnd.openxmlformats-officedocument.spreadsheetml.externalLink+xml"/>
  <Override PartName="/xl/worksheets/sheet6.xml" ContentType="application/vnd.openxmlformats-officedocument.spreadsheetml.worksheet+xml"/>
  <Override PartName="/xl/worksheets/sheet12.xml" ContentType="application/vnd.openxmlformats-officedocument.spreadsheetml.worksheet+xml"/>
  <Override PartName="/xl/externalLinks/externalLink37.xml" ContentType="application/vnd.openxmlformats-officedocument.spreadsheetml.externalLink+xml"/>
  <Override PartName="/xl/externalLinks/externalLink55.xml" ContentType="application/vnd.openxmlformats-officedocument.spreadsheetml.externalLink+xml"/>
  <Override PartName="/xl/externalLinks/externalLink84.xml" ContentType="application/vnd.openxmlformats-officedocument.spreadsheetml.externalLink+xml"/>
  <Override PartName="/xl/externalLinks/externalLink104.xml" ContentType="application/vnd.openxmlformats-officedocument.spreadsheetml.externalLink+xml"/>
  <Override PartName="/xl/externalLinks/externalLink122.xml" ContentType="application/vnd.openxmlformats-officedocument.spreadsheetml.externalLink+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6.xml" ContentType="application/vnd.openxmlformats-officedocument.spreadsheetml.externalLink+xml"/>
  <Override PartName="/xl/externalLinks/externalLink44.xml" ContentType="application/vnd.openxmlformats-officedocument.spreadsheetml.externalLink+xml"/>
  <Override PartName="/xl/externalLinks/externalLink62.xml" ContentType="application/vnd.openxmlformats-officedocument.spreadsheetml.externalLink+xml"/>
  <Override PartName="/xl/externalLinks/externalLink73.xml" ContentType="application/vnd.openxmlformats-officedocument.spreadsheetml.externalLink+xml"/>
  <Override PartName="/xl/externalLinks/externalLink91.xml" ContentType="application/vnd.openxmlformats-officedocument.spreadsheetml.externalLink+xml"/>
  <Override PartName="/xl/externalLinks/externalLink111.xml" ContentType="application/vnd.openxmlformats-officedocument.spreadsheetml.externalLink+xml"/>
  <Override PartName="/xl/worksheets/sheet2.xml" ContentType="application/vnd.openxmlformats-officedocument.spreadsheetml.worksheet+xml"/>
  <Override PartName="/xl/externalLinks/externalLink22.xml" ContentType="application/vnd.openxmlformats-officedocument.spreadsheetml.externalLink+xml"/>
  <Override PartName="/xl/externalLinks/externalLink33.xml" ContentType="application/vnd.openxmlformats-officedocument.spreadsheetml.externalLink+xml"/>
  <Override PartName="/xl/externalLinks/externalLink51.xml" ContentType="application/vnd.openxmlformats-officedocument.spreadsheetml.externalLink+xml"/>
  <Override PartName="/xl/externalLinks/externalLink80.xml" ContentType="application/vnd.openxmlformats-officedocument.spreadsheetml.externalLink+xml"/>
  <Override PartName="/xl/externalLinks/externalLink100.xml" ContentType="application/vnd.openxmlformats-officedocument.spreadsheetml.externalLink+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updateLinks="never" defaultThemeVersion="124226"/>
  <bookViews>
    <workbookView xWindow="-120" yWindow="-120" windowWidth="19420" windowHeight="11020" tabRatio="770" activeTab="4"/>
  </bookViews>
  <sheets>
    <sheet name="Cover" sheetId="74" r:id="rId1"/>
    <sheet name="Abstract (2)" sheetId="65" r:id="rId2"/>
    <sheet name="CS- Abstract" sheetId="75" r:id="rId3"/>
    <sheet name="Cover  (3)" sheetId="66" r:id="rId4"/>
    <sheet name="Specification (3)" sheetId="67" r:id="rId5"/>
    <sheet name="Detailed" sheetId="68" r:id="rId6"/>
    <sheet name="Toilets" sheetId="78" r:id="rId7"/>
    <sheet name="Sump" sheetId="77" r:id="rId8"/>
    <sheet name="Septic Tank" sheetId="76" r:id="rId9"/>
    <sheet name="Lead statement (2)" sheetId="70" r:id="rId10"/>
    <sheet name="Data  (2)" sheetId="71" r:id="rId11"/>
    <sheet name="Ele Data (2)" sheetId="72" r:id="rId12"/>
    <sheet name="Data-San&amp;wat (2)" sheetId="73" r:id="rId13"/>
    <sheet name="Sp.Report" sheetId="38" state="hidden" r:id="rId14"/>
    <sheet name="SPECIFIC" sheetId="30" state="hidden" r:id="rId15"/>
    <sheet name="Abstract" sheetId="34" state="hidden" r:id="rId16"/>
    <sheet name="GEn Abst" sheetId="28" state="hidden" r:id="rId17"/>
    <sheet name="AW 7.00 pile (2)" sheetId="24" state="hidden" r:id="rId18"/>
    <sheet name="Seigniorage (2)" sheetId="31" state="hidden" r:id="rId19"/>
    <sheet name="Seigniorage" sheetId="29" state="hidden" r:id="rId20"/>
    <sheet name="Data without water  (2)" sheetId="35" state="hidden" r:id="rId21"/>
    <sheet name="Water Supply" sheetId="45" state="hidden" r:id="rId22"/>
    <sheet name="Elec.rates" sheetId="43" r:id="rId23"/>
    <sheet name="Bldg.rates" sheetId="7" r:id="rId24"/>
    <sheet name="Centring charges" sheetId="9" r:id="rId25"/>
    <sheet name="Sheet1" sheetId="15" r:id="rId26"/>
    <sheet name="conveyance 2" sheetId="14" state="hidden" r:id="rId27"/>
    <sheet name="Sheet2" sheetId="54" r:id="rId28"/>
  </sheets>
  <externalReferences>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s>
  <definedNames>
    <definedName name="\" localSheetId="13">#REF!</definedName>
    <definedName name="\" localSheetId="21">#REF!</definedName>
    <definedName name="________l12" localSheetId="21">#REF!</definedName>
    <definedName name="________l3" localSheetId="21">#REF!</definedName>
    <definedName name="________l5" localSheetId="21">#REF!</definedName>
    <definedName name="________var1" localSheetId="21">#REF!</definedName>
    <definedName name="________var4" localSheetId="21">#REF!</definedName>
    <definedName name="_______bla1" localSheetId="15">[1]leads!$H$7</definedName>
    <definedName name="_______bla1" localSheetId="20">[1]leads!$H$7</definedName>
    <definedName name="_______bla1" localSheetId="13">[1]leads!$H$7</definedName>
    <definedName name="_______bla1" localSheetId="21">[2]leads!$H$7</definedName>
    <definedName name="_______l1" localSheetId="15">[3]leads!$A$3:$E$108</definedName>
    <definedName name="_______l1" localSheetId="20">[3]leads!$A$3:$E$108</definedName>
    <definedName name="_______l1" localSheetId="13">[3]leads!$A$3:$E$108</definedName>
    <definedName name="_______l1" localSheetId="21">[4]leads!$A$3:$E$108</definedName>
    <definedName name="_______l12" localSheetId="15">#REF!</definedName>
    <definedName name="_______l12" localSheetId="20">#REF!</definedName>
    <definedName name="_______l12" localSheetId="18">#REF!</definedName>
    <definedName name="_______l12" localSheetId="13">#REF!</definedName>
    <definedName name="_______l12" localSheetId="21">#REF!</definedName>
    <definedName name="_______l3" localSheetId="15">#REF!</definedName>
    <definedName name="_______l3" localSheetId="20">#REF!</definedName>
    <definedName name="_______l3" localSheetId="18">#REF!</definedName>
    <definedName name="_______l3" localSheetId="13">#REF!</definedName>
    <definedName name="_______l3" localSheetId="21">#REF!</definedName>
    <definedName name="_______l4" localSheetId="15">[5]Sheet1!$W$2:$Y$103</definedName>
    <definedName name="_______l4" localSheetId="20">[5]Sheet1!$W$2:$Y$103</definedName>
    <definedName name="_______l4" localSheetId="13">[5]Sheet1!$W$2:$Y$103</definedName>
    <definedName name="_______l4" localSheetId="21">[6]Sheet1!$W$2:$Y$103</definedName>
    <definedName name="_______l5" localSheetId="15">#REF!</definedName>
    <definedName name="_______l5" localSheetId="20">#REF!</definedName>
    <definedName name="_______l5" localSheetId="18">#REF!</definedName>
    <definedName name="_______l5" localSheetId="13">#REF!</definedName>
    <definedName name="_______l5" localSheetId="21">#REF!</definedName>
    <definedName name="_______mm1" localSheetId="15">[7]r!$F$4</definedName>
    <definedName name="_______mm1" localSheetId="20">[7]r!$F$4</definedName>
    <definedName name="_______mm1" localSheetId="13">[7]r!$F$4</definedName>
    <definedName name="_______mm1" localSheetId="21">[8]r!$F$4</definedName>
    <definedName name="_______rr3" localSheetId="15">[9]v!$A$2:$E$51</definedName>
    <definedName name="_______rr3" localSheetId="20">[9]v!$A$2:$E$51</definedName>
    <definedName name="_______rr3" localSheetId="13">[9]v!$A$2:$E$51</definedName>
    <definedName name="_______rr3" localSheetId="21">[10]v!$A$2:$E$51</definedName>
    <definedName name="_______rrr1" localSheetId="15">[9]r!$B$1:$I$145</definedName>
    <definedName name="_______rrr1" localSheetId="20">[9]r!$B$1:$I$145</definedName>
    <definedName name="_______rrr1" localSheetId="13">[9]r!$B$1:$I$145</definedName>
    <definedName name="_______rrr1" localSheetId="21">[10]r!$B$1:$I$145</definedName>
    <definedName name="_______ss12" localSheetId="15">[11]rdamdata!$J$8</definedName>
    <definedName name="_______ss12" localSheetId="20">[11]rdamdata!$J$8</definedName>
    <definedName name="_______ss12" localSheetId="13">[11]rdamdata!$J$8</definedName>
    <definedName name="_______ss12" localSheetId="21">[12]rdamdata!$J$8</definedName>
    <definedName name="_______ss20" localSheetId="15">[11]rdamdata!$J$7</definedName>
    <definedName name="_______ss20" localSheetId="20">[11]rdamdata!$J$7</definedName>
    <definedName name="_______ss20" localSheetId="13">[11]rdamdata!$J$7</definedName>
    <definedName name="_______ss20" localSheetId="21">[12]rdamdata!$J$7</definedName>
    <definedName name="_______ss40" localSheetId="15">[11]rdamdata!$J$6</definedName>
    <definedName name="_______ss40" localSheetId="20">[11]rdamdata!$J$6</definedName>
    <definedName name="_______ss40" localSheetId="13">[11]rdamdata!$J$6</definedName>
    <definedName name="_______ss40" localSheetId="21">[12]rdamdata!$J$6</definedName>
    <definedName name="_______var1" localSheetId="15">#REF!</definedName>
    <definedName name="_______var1" localSheetId="20">#REF!</definedName>
    <definedName name="_______var1" localSheetId="18">#REF!</definedName>
    <definedName name="_______var1" localSheetId="13">#REF!</definedName>
    <definedName name="_______var1" localSheetId="21">#REF!</definedName>
    <definedName name="_______var4" localSheetId="15">#REF!</definedName>
    <definedName name="_______var4" localSheetId="20">#REF!</definedName>
    <definedName name="_______var4" localSheetId="18">#REF!</definedName>
    <definedName name="_______var4" localSheetId="13">#REF!</definedName>
    <definedName name="_______var4" localSheetId="21">#REF!</definedName>
    <definedName name="______bla1" localSheetId="15">[1]leads!$H$7</definedName>
    <definedName name="______bla1" localSheetId="20">[1]leads!$H$7</definedName>
    <definedName name="______bla1" localSheetId="13">[1]leads!$H$7</definedName>
    <definedName name="______bla1" localSheetId="21">[2]leads!$H$7</definedName>
    <definedName name="______l1" localSheetId="15">[3]leads!$A$3:$E$108</definedName>
    <definedName name="______l1" localSheetId="20">[3]leads!$A$3:$E$108</definedName>
    <definedName name="______l1" localSheetId="13">[3]leads!$A$3:$E$108</definedName>
    <definedName name="______l1" localSheetId="21">[4]leads!$A$3:$E$108</definedName>
    <definedName name="______l12" localSheetId="15">#REF!</definedName>
    <definedName name="______l12" localSheetId="20">#REF!</definedName>
    <definedName name="______l12" localSheetId="18">#REF!</definedName>
    <definedName name="______l12" localSheetId="13">#REF!</definedName>
    <definedName name="______l12" localSheetId="21">#REF!</definedName>
    <definedName name="______l3" localSheetId="15">#REF!</definedName>
    <definedName name="______l3" localSheetId="20">#REF!</definedName>
    <definedName name="______l3" localSheetId="18">#REF!</definedName>
    <definedName name="______l3" localSheetId="13">#REF!</definedName>
    <definedName name="______l3" localSheetId="21">#REF!</definedName>
    <definedName name="______l4" localSheetId="15">[5]Sheet1!$W$2:$Y$103</definedName>
    <definedName name="______l4" localSheetId="20">[5]Sheet1!$W$2:$Y$103</definedName>
    <definedName name="______l4" localSheetId="13">[5]Sheet1!$W$2:$Y$103</definedName>
    <definedName name="______l4" localSheetId="21">[6]Sheet1!$W$2:$Y$103</definedName>
    <definedName name="______l5" localSheetId="15">#REF!</definedName>
    <definedName name="______l5" localSheetId="20">#REF!</definedName>
    <definedName name="______l5" localSheetId="18">#REF!</definedName>
    <definedName name="______l5" localSheetId="13">#REF!</definedName>
    <definedName name="______l5" localSheetId="21">#REF!</definedName>
    <definedName name="______mm1" localSheetId="15">[7]r!$F$4</definedName>
    <definedName name="______mm1" localSheetId="20">[7]r!$F$4</definedName>
    <definedName name="______mm1" localSheetId="13">[7]r!$F$4</definedName>
    <definedName name="______mm1" localSheetId="21">[8]r!$F$4</definedName>
    <definedName name="______pc2" localSheetId="15">#REF!</definedName>
    <definedName name="______pc2" localSheetId="20">#REF!</definedName>
    <definedName name="______pc2" localSheetId="18">#REF!</definedName>
    <definedName name="______pc2" localSheetId="13">#REF!</definedName>
    <definedName name="______pc2" localSheetId="21">#REF!</definedName>
    <definedName name="______pv2" localSheetId="15">#REF!</definedName>
    <definedName name="______pv2" localSheetId="20">#REF!</definedName>
    <definedName name="______pv2" localSheetId="18">#REF!</definedName>
    <definedName name="______pv2" localSheetId="13">#REF!</definedName>
    <definedName name="______pv2" localSheetId="21">#REF!</definedName>
    <definedName name="______rr3" localSheetId="15">[9]v!$A$2:$E$51</definedName>
    <definedName name="______rr3" localSheetId="20">[9]v!$A$2:$E$51</definedName>
    <definedName name="______rr3" localSheetId="13">[9]v!$A$2:$E$51</definedName>
    <definedName name="______rr3" localSheetId="21">[10]v!$A$2:$E$51</definedName>
    <definedName name="______rrr1" localSheetId="15">[9]r!$B$1:$I$145</definedName>
    <definedName name="______rrr1" localSheetId="20">[9]r!$B$1:$I$145</definedName>
    <definedName name="______rrr1" localSheetId="13">[9]r!$B$1:$I$145</definedName>
    <definedName name="______rrr1" localSheetId="21">[10]r!$B$1:$I$145</definedName>
    <definedName name="______ss12" localSheetId="15">[11]rdamdata!$J$8</definedName>
    <definedName name="______ss12" localSheetId="20">[11]rdamdata!$J$8</definedName>
    <definedName name="______ss12" localSheetId="13">[11]rdamdata!$J$8</definedName>
    <definedName name="______ss12" localSheetId="21">[12]rdamdata!$J$8</definedName>
    <definedName name="______ss20" localSheetId="15">[11]rdamdata!$J$7</definedName>
    <definedName name="______ss20" localSheetId="20">[11]rdamdata!$J$7</definedName>
    <definedName name="______ss20" localSheetId="13">[11]rdamdata!$J$7</definedName>
    <definedName name="______ss20" localSheetId="21">[12]rdamdata!$J$7</definedName>
    <definedName name="______ss40" localSheetId="15">[11]rdamdata!$J$6</definedName>
    <definedName name="______ss40" localSheetId="20">[11]rdamdata!$J$6</definedName>
    <definedName name="______ss40" localSheetId="13">[11]rdamdata!$J$6</definedName>
    <definedName name="______ss40" localSheetId="21">[12]rdamdata!$J$6</definedName>
    <definedName name="______var1" localSheetId="15">#REF!</definedName>
    <definedName name="______var1" localSheetId="20">#REF!</definedName>
    <definedName name="______var1" localSheetId="18">#REF!</definedName>
    <definedName name="______var1" localSheetId="13">#REF!</definedName>
    <definedName name="______var1" localSheetId="21">#REF!</definedName>
    <definedName name="______var4" localSheetId="15">#REF!</definedName>
    <definedName name="______var4" localSheetId="20">#REF!</definedName>
    <definedName name="______var4" localSheetId="18">#REF!</definedName>
    <definedName name="______var4" localSheetId="13">#REF!</definedName>
    <definedName name="______var4" localSheetId="21">#REF!</definedName>
    <definedName name="_____bla1" localSheetId="15">[1]leads!$H$7</definedName>
    <definedName name="_____bla1" localSheetId="20">[1]leads!$H$7</definedName>
    <definedName name="_____bla1" localSheetId="13">[1]leads!$H$7</definedName>
    <definedName name="_____bla1" localSheetId="21">[2]leads!$H$7</definedName>
    <definedName name="_____l1" localSheetId="15">[3]leads!$A$3:$E$108</definedName>
    <definedName name="_____l1" localSheetId="20">[3]leads!$A$3:$E$108</definedName>
    <definedName name="_____l1" localSheetId="13">[3]leads!$A$3:$E$108</definedName>
    <definedName name="_____l1" localSheetId="21">[4]leads!$A$3:$E$108</definedName>
    <definedName name="_____l12" localSheetId="15">#REF!</definedName>
    <definedName name="_____l12" localSheetId="20">#REF!</definedName>
    <definedName name="_____l12" localSheetId="18">#REF!</definedName>
    <definedName name="_____l12" localSheetId="13">#REF!</definedName>
    <definedName name="_____l12" localSheetId="21">#REF!</definedName>
    <definedName name="_____l3" localSheetId="15">#REF!</definedName>
    <definedName name="_____l3" localSheetId="20">#REF!</definedName>
    <definedName name="_____l3" localSheetId="18">#REF!</definedName>
    <definedName name="_____l3" localSheetId="13">#REF!</definedName>
    <definedName name="_____l3" localSheetId="21">#REF!</definedName>
    <definedName name="_____l4" localSheetId="15">[5]Sheet1!$W$2:$Y$103</definedName>
    <definedName name="_____l4" localSheetId="20">[5]Sheet1!$W$2:$Y$103</definedName>
    <definedName name="_____l4" localSheetId="13">[5]Sheet1!$W$2:$Y$103</definedName>
    <definedName name="_____l4" localSheetId="21">[6]Sheet1!$W$2:$Y$103</definedName>
    <definedName name="_____l5" localSheetId="15">#REF!</definedName>
    <definedName name="_____l5" localSheetId="20">#REF!</definedName>
    <definedName name="_____l5" localSheetId="18">#REF!</definedName>
    <definedName name="_____l5" localSheetId="13">#REF!</definedName>
    <definedName name="_____l5" localSheetId="21">#REF!</definedName>
    <definedName name="_____mm1" localSheetId="15">[7]r!$F$4</definedName>
    <definedName name="_____mm1" localSheetId="20">[7]r!$F$4</definedName>
    <definedName name="_____mm1" localSheetId="13">[7]r!$F$4</definedName>
    <definedName name="_____mm1" localSheetId="21">[8]r!$F$4</definedName>
    <definedName name="_____pc2" localSheetId="15">#REF!</definedName>
    <definedName name="_____pc2" localSheetId="20">#REF!</definedName>
    <definedName name="_____pc2" localSheetId="18">#REF!</definedName>
    <definedName name="_____pc2" localSheetId="13">#REF!</definedName>
    <definedName name="_____pc2" localSheetId="21">#REF!</definedName>
    <definedName name="_____pv2" localSheetId="15">#REF!</definedName>
    <definedName name="_____pv2" localSheetId="20">#REF!</definedName>
    <definedName name="_____pv2" localSheetId="18">#REF!</definedName>
    <definedName name="_____pv2" localSheetId="13">#REF!</definedName>
    <definedName name="_____pv2" localSheetId="21">#REF!</definedName>
    <definedName name="_____rr3" localSheetId="15">[9]v!$A$2:$E$51</definedName>
    <definedName name="_____rr3" localSheetId="20">[9]v!$A$2:$E$51</definedName>
    <definedName name="_____rr3" localSheetId="13">[9]v!$A$2:$E$51</definedName>
    <definedName name="_____rr3" localSheetId="21">[10]v!$A$2:$E$51</definedName>
    <definedName name="_____rrr1" localSheetId="15">[9]r!$B$1:$I$145</definedName>
    <definedName name="_____rrr1" localSheetId="20">[9]r!$B$1:$I$145</definedName>
    <definedName name="_____rrr1" localSheetId="13">[9]r!$B$1:$I$145</definedName>
    <definedName name="_____rrr1" localSheetId="21">[10]r!$B$1:$I$145</definedName>
    <definedName name="_____ss12" localSheetId="15">[11]rdamdata!$J$8</definedName>
    <definedName name="_____ss12" localSheetId="20">[11]rdamdata!$J$8</definedName>
    <definedName name="_____ss12" localSheetId="13">[11]rdamdata!$J$8</definedName>
    <definedName name="_____ss12" localSheetId="21">[12]rdamdata!$J$8</definedName>
    <definedName name="_____ss20" localSheetId="15">[11]rdamdata!$J$7</definedName>
    <definedName name="_____ss20" localSheetId="20">[11]rdamdata!$J$7</definedName>
    <definedName name="_____ss20" localSheetId="13">[11]rdamdata!$J$7</definedName>
    <definedName name="_____ss20" localSheetId="21">[12]rdamdata!$J$7</definedName>
    <definedName name="_____ss40" localSheetId="15">[11]rdamdata!$J$6</definedName>
    <definedName name="_____ss40" localSheetId="20">[11]rdamdata!$J$6</definedName>
    <definedName name="_____ss40" localSheetId="13">[11]rdamdata!$J$6</definedName>
    <definedName name="_____ss40" localSheetId="21">[12]rdamdata!$J$6</definedName>
    <definedName name="_____var1" localSheetId="15">#REF!</definedName>
    <definedName name="_____var1" localSheetId="20">#REF!</definedName>
    <definedName name="_____var1" localSheetId="18">#REF!</definedName>
    <definedName name="_____var1" localSheetId="13">#REF!</definedName>
    <definedName name="_____var1" localSheetId="21">#REF!</definedName>
    <definedName name="_____var4" localSheetId="15">#REF!</definedName>
    <definedName name="_____var4" localSheetId="20">#REF!</definedName>
    <definedName name="_____var4" localSheetId="18">#REF!</definedName>
    <definedName name="_____var4" localSheetId="13">#REF!</definedName>
    <definedName name="_____var4" localSheetId="21">#REF!</definedName>
    <definedName name="____bla1" localSheetId="15">[1]leads!$H$7</definedName>
    <definedName name="____bla1" localSheetId="20">[1]leads!$H$7</definedName>
    <definedName name="____bla1" localSheetId="13">[1]leads!$H$7</definedName>
    <definedName name="____bla1" localSheetId="21">[2]leads!$H$7</definedName>
    <definedName name="____l1" localSheetId="15">[3]leads!$A$3:$E$108</definedName>
    <definedName name="____l1" localSheetId="20">[3]leads!$A$3:$E$108</definedName>
    <definedName name="____l1" localSheetId="13">[3]leads!$A$3:$E$108</definedName>
    <definedName name="____l1" localSheetId="21">[4]leads!$A$3:$E$108</definedName>
    <definedName name="____l12" localSheetId="15">#REF!</definedName>
    <definedName name="____l12" localSheetId="20">#REF!</definedName>
    <definedName name="____l12" localSheetId="18">#REF!</definedName>
    <definedName name="____l12" localSheetId="13">#REF!</definedName>
    <definedName name="____l12" localSheetId="21">#REF!</definedName>
    <definedName name="____l3" localSheetId="15">#REF!</definedName>
    <definedName name="____l3" localSheetId="20">#REF!</definedName>
    <definedName name="____l3" localSheetId="18">#REF!</definedName>
    <definedName name="____l3" localSheetId="13">#REF!</definedName>
    <definedName name="____l3" localSheetId="21">#REF!</definedName>
    <definedName name="____l4" localSheetId="15">[5]Sheet1!$W$2:$Y$103</definedName>
    <definedName name="____l4" localSheetId="20">[5]Sheet1!$W$2:$Y$103</definedName>
    <definedName name="____l4" localSheetId="13">[5]Sheet1!$W$2:$Y$103</definedName>
    <definedName name="____l4" localSheetId="21">[6]Sheet1!$W$2:$Y$103</definedName>
    <definedName name="____l5" localSheetId="15">#REF!</definedName>
    <definedName name="____l5" localSheetId="20">#REF!</definedName>
    <definedName name="____l5" localSheetId="18">#REF!</definedName>
    <definedName name="____l5" localSheetId="13">#REF!</definedName>
    <definedName name="____l5" localSheetId="21">#REF!</definedName>
    <definedName name="____mm1" localSheetId="15">[7]r!$F$4</definedName>
    <definedName name="____mm1" localSheetId="20">[7]r!$F$4</definedName>
    <definedName name="____mm1" localSheetId="13">[7]r!$F$4</definedName>
    <definedName name="____mm1" localSheetId="21">[8]r!$F$4</definedName>
    <definedName name="____pc2" localSheetId="15">#REF!</definedName>
    <definedName name="____pc2" localSheetId="20">#REF!</definedName>
    <definedName name="____pc2" localSheetId="18">#REF!</definedName>
    <definedName name="____pc2" localSheetId="13">#REF!</definedName>
    <definedName name="____pc2" localSheetId="21">#REF!</definedName>
    <definedName name="____pv2" localSheetId="15">#REF!</definedName>
    <definedName name="____pv2" localSheetId="20">#REF!</definedName>
    <definedName name="____pv2" localSheetId="18">#REF!</definedName>
    <definedName name="____pv2" localSheetId="13">#REF!</definedName>
    <definedName name="____pv2" localSheetId="21">#REF!</definedName>
    <definedName name="____rr3" localSheetId="15">[9]v!$A$2:$E$51</definedName>
    <definedName name="____rr3" localSheetId="20">[9]v!$A$2:$E$51</definedName>
    <definedName name="____rr3" localSheetId="13">[9]v!$A$2:$E$51</definedName>
    <definedName name="____rr3" localSheetId="21">[10]v!$A$2:$E$51</definedName>
    <definedName name="____rrr1" localSheetId="15">[9]r!$B$1:$I$145</definedName>
    <definedName name="____rrr1" localSheetId="20">[9]r!$B$1:$I$145</definedName>
    <definedName name="____rrr1" localSheetId="13">[9]r!$B$1:$I$145</definedName>
    <definedName name="____rrr1" localSheetId="21">[10]r!$B$1:$I$145</definedName>
    <definedName name="____ss12" localSheetId="15">[11]rdamdata!$J$8</definedName>
    <definedName name="____ss12" localSheetId="20">[11]rdamdata!$J$8</definedName>
    <definedName name="____ss12" localSheetId="13">[11]rdamdata!$J$8</definedName>
    <definedName name="____ss12" localSheetId="21">[12]rdamdata!$J$8</definedName>
    <definedName name="____ss20" localSheetId="15">[11]rdamdata!$J$7</definedName>
    <definedName name="____ss20" localSheetId="20">[11]rdamdata!$J$7</definedName>
    <definedName name="____ss20" localSheetId="13">[11]rdamdata!$J$7</definedName>
    <definedName name="____ss20" localSheetId="21">[12]rdamdata!$J$7</definedName>
    <definedName name="____ss40" localSheetId="15">[11]rdamdata!$J$6</definedName>
    <definedName name="____ss40" localSheetId="20">[11]rdamdata!$J$6</definedName>
    <definedName name="____ss40" localSheetId="13">[11]rdamdata!$J$6</definedName>
    <definedName name="____ss40" localSheetId="21">[12]rdamdata!$J$6</definedName>
    <definedName name="____var1" localSheetId="15">#REF!</definedName>
    <definedName name="____var1" localSheetId="20">#REF!</definedName>
    <definedName name="____var1" localSheetId="18">#REF!</definedName>
    <definedName name="____var1" localSheetId="13">#REF!</definedName>
    <definedName name="____var1" localSheetId="21">#REF!</definedName>
    <definedName name="____var4" localSheetId="15">#REF!</definedName>
    <definedName name="____var4" localSheetId="20">#REF!</definedName>
    <definedName name="____var4" localSheetId="18">#REF!</definedName>
    <definedName name="____var4" localSheetId="13">#REF!</definedName>
    <definedName name="____var4" localSheetId="21">#REF!</definedName>
    <definedName name="___bla1" localSheetId="21">[13]leads!$H$7</definedName>
    <definedName name="___l1" localSheetId="21">[14]leads!$A$3:$E$108</definedName>
    <definedName name="___l12" localSheetId="21">#REF!</definedName>
    <definedName name="___l3" localSheetId="21">#REF!</definedName>
    <definedName name="___l4" localSheetId="21">[15]Sheet1!$W$2:$Y$103</definedName>
    <definedName name="___l5" localSheetId="21">#REF!</definedName>
    <definedName name="___mm1" localSheetId="21">[16]r!$F$4</definedName>
    <definedName name="___pc2" localSheetId="15">#REF!</definedName>
    <definedName name="___pc2" localSheetId="20">#REF!</definedName>
    <definedName name="___pc2" localSheetId="18">#REF!</definedName>
    <definedName name="___pc2" localSheetId="13">#REF!</definedName>
    <definedName name="___pc2" localSheetId="21">#REF!</definedName>
    <definedName name="___pv2" localSheetId="15">#REF!</definedName>
    <definedName name="___pv2" localSheetId="20">#REF!</definedName>
    <definedName name="___pv2" localSheetId="18">#REF!</definedName>
    <definedName name="___pv2" localSheetId="13">#REF!</definedName>
    <definedName name="___pv2" localSheetId="21">#REF!</definedName>
    <definedName name="___rr3" localSheetId="21">[17]v!$A$2:$E$51</definedName>
    <definedName name="___rrr1" localSheetId="21">[17]r!$B$1:$I$145</definedName>
    <definedName name="___ss12" localSheetId="21">[18]rdamdata!$J$8</definedName>
    <definedName name="___ss20" localSheetId="21">[18]rdamdata!$J$7</definedName>
    <definedName name="___ss40" localSheetId="21">[18]rdamdata!$J$6</definedName>
    <definedName name="___var1" localSheetId="21">#REF!</definedName>
    <definedName name="___var4" localSheetId="21">#REF!</definedName>
    <definedName name="__bla1" localSheetId="15">[19]leads!$H$7</definedName>
    <definedName name="__bla1" localSheetId="20">[19]leads!$H$7</definedName>
    <definedName name="__bla1" localSheetId="13">[19]leads!$H$7</definedName>
    <definedName name="__bla1" localSheetId="21">[2]leads!$H$7</definedName>
    <definedName name="__l1" localSheetId="15">[20]leads!$A$3:$E$108</definedName>
    <definedName name="__l1" localSheetId="20">[20]leads!$A$3:$E$108</definedName>
    <definedName name="__l1" localSheetId="13">[20]leads!$A$3:$E$108</definedName>
    <definedName name="__l1" localSheetId="21">[4]leads!$A$3:$E$108</definedName>
    <definedName name="__l12" localSheetId="15">#REF!</definedName>
    <definedName name="__l12" localSheetId="20">#REF!</definedName>
    <definedName name="__l12" localSheetId="18">#REF!</definedName>
    <definedName name="__l12" localSheetId="13">#REF!</definedName>
    <definedName name="__l12" localSheetId="21">#REF!</definedName>
    <definedName name="__l3" localSheetId="15">#REF!</definedName>
    <definedName name="__l3" localSheetId="20">#REF!</definedName>
    <definedName name="__l3" localSheetId="18">#REF!</definedName>
    <definedName name="__l3" localSheetId="13">#REF!</definedName>
    <definedName name="__l3" localSheetId="21">#REF!</definedName>
    <definedName name="__l4" localSheetId="15">[21]Sheet1!$W$2:$Y$103</definedName>
    <definedName name="__l4" localSheetId="20">[21]Sheet1!$W$2:$Y$103</definedName>
    <definedName name="__l4" localSheetId="13">[21]Sheet1!$W$2:$Y$103</definedName>
    <definedName name="__l4" localSheetId="21">[6]Sheet1!$W$2:$Y$103</definedName>
    <definedName name="__l5" localSheetId="15">#REF!</definedName>
    <definedName name="__l5" localSheetId="20">#REF!</definedName>
    <definedName name="__l5" localSheetId="18">#REF!</definedName>
    <definedName name="__l5" localSheetId="13">#REF!</definedName>
    <definedName name="__l5" localSheetId="21">#REF!</definedName>
    <definedName name="__ma2" localSheetId="21">#REF!</definedName>
    <definedName name="__mm1" localSheetId="15">[22]r!$F$4</definedName>
    <definedName name="__mm1" localSheetId="20">[22]r!$F$4</definedName>
    <definedName name="__mm1" localSheetId="13">[22]r!$F$4</definedName>
    <definedName name="__mm1" localSheetId="21">[8]r!$F$4</definedName>
    <definedName name="__pc2" localSheetId="15">#REF!</definedName>
    <definedName name="__pc2" localSheetId="20">#REF!</definedName>
    <definedName name="__pc2" localSheetId="18">#REF!</definedName>
    <definedName name="__pc2" localSheetId="13">#REF!</definedName>
    <definedName name="__pc2" localSheetId="21">#REF!</definedName>
    <definedName name="__pv2" localSheetId="15">#REF!</definedName>
    <definedName name="__pv2" localSheetId="20">#REF!</definedName>
    <definedName name="__pv2" localSheetId="18">#REF!</definedName>
    <definedName name="__pv2" localSheetId="13">#REF!</definedName>
    <definedName name="__pv2" localSheetId="21">#REF!</definedName>
    <definedName name="__rr3" localSheetId="15">[23]v!$A$2:$E$51</definedName>
    <definedName name="__rr3" localSheetId="20">[23]v!$A$2:$E$51</definedName>
    <definedName name="__rr3" localSheetId="13">[23]v!$A$2:$E$51</definedName>
    <definedName name="__rr3" localSheetId="21">[10]v!$A$2:$E$51</definedName>
    <definedName name="__rrr1" localSheetId="15">[23]r!$B$1:$I$145</definedName>
    <definedName name="__rrr1" localSheetId="20">[23]r!$B$1:$I$145</definedName>
    <definedName name="__rrr1" localSheetId="13">[23]r!$B$1:$I$145</definedName>
    <definedName name="__rrr1" localSheetId="21">[10]r!$B$1:$I$145</definedName>
    <definedName name="__ss12" localSheetId="15">[24]rdamdata!$J$8</definedName>
    <definedName name="__ss12" localSheetId="20">[24]rdamdata!$J$8</definedName>
    <definedName name="__ss12" localSheetId="13">[24]rdamdata!$J$8</definedName>
    <definedName name="__ss12" localSheetId="21">[12]rdamdata!$J$8</definedName>
    <definedName name="__ss20" localSheetId="15">[24]rdamdata!$J$7</definedName>
    <definedName name="__ss20" localSheetId="20">[24]rdamdata!$J$7</definedName>
    <definedName name="__ss20" localSheetId="13">[24]rdamdata!$J$7</definedName>
    <definedName name="__ss20" localSheetId="21">[12]rdamdata!$J$7</definedName>
    <definedName name="__ss40" localSheetId="15">[24]rdamdata!$J$6</definedName>
    <definedName name="__ss40" localSheetId="20">[24]rdamdata!$J$6</definedName>
    <definedName name="__ss40" localSheetId="13">[24]rdamdata!$J$6</definedName>
    <definedName name="__ss40" localSheetId="21">[12]rdamdata!$J$6</definedName>
    <definedName name="__var1" localSheetId="15">#REF!</definedName>
    <definedName name="__var1" localSheetId="20">#REF!</definedName>
    <definedName name="__var1" localSheetId="18">#REF!</definedName>
    <definedName name="__var1" localSheetId="13">#REF!</definedName>
    <definedName name="__var1" localSheetId="21">#REF!</definedName>
    <definedName name="__var4" localSheetId="15">#REF!</definedName>
    <definedName name="__var4" localSheetId="20">#REF!</definedName>
    <definedName name="__var4" localSheetId="18">#REF!</definedName>
    <definedName name="__var4" localSheetId="13">#REF!</definedName>
    <definedName name="__var4" localSheetId="21">#REF!</definedName>
    <definedName name="_3" localSheetId="1" hidden="1">'[25]final abstract'!#REF!</definedName>
    <definedName name="_3" localSheetId="0" hidden="1">'[25]final abstract'!#REF!</definedName>
    <definedName name="_3" localSheetId="2" hidden="1">'[26]final abstract'!#REF!</definedName>
    <definedName name="_3" localSheetId="7" hidden="1">'[25]final abstract'!#REF!</definedName>
    <definedName name="_3" localSheetId="21" hidden="1">'[25]final abstract'!#REF!</definedName>
    <definedName name="_3" hidden="1">'[25]final abstract'!#REF!</definedName>
    <definedName name="_40MM_HBG" localSheetId="21">#REF!</definedName>
    <definedName name="_65MM_HBT" localSheetId="21">#REF!</definedName>
    <definedName name="_65MM_OG" localSheetId="21">#REF!</definedName>
    <definedName name="_atw2" localSheetId="21">#REF!</definedName>
    <definedName name="_bla1" localSheetId="15">[27]leads!$H$7</definedName>
    <definedName name="_bla1" localSheetId="20">[27]leads!$H$7</definedName>
    <definedName name="_bla1" localSheetId="13">[28]leads!$H$7</definedName>
    <definedName name="_bla1" localSheetId="21">[29]leads!$H$7</definedName>
    <definedName name="_brush" localSheetId="21">#REF!</definedName>
    <definedName name="_ceramic" localSheetId="21">#REF!</definedName>
    <definedName name="_cp" localSheetId="21">#REF!</definedName>
    <definedName name="_dadoing" localSheetId="21">#REF!</definedName>
    <definedName name="_emulsion" localSheetId="21">#REF!</definedName>
    <definedName name="_Fill" localSheetId="1" hidden="1">'[25]final abstract'!#REF!</definedName>
    <definedName name="_Fill" localSheetId="0" hidden="1">'[25]final abstract'!#REF!</definedName>
    <definedName name="_Fill" localSheetId="2" hidden="1">'[26]final abstract'!#REF!</definedName>
    <definedName name="_Fill" localSheetId="7" hidden="1">'[25]final abstract'!#REF!</definedName>
    <definedName name="_Fill" localSheetId="21" hidden="1">'[25]final abstract'!#REF!</definedName>
    <definedName name="_Fill" hidden="1">'[25]final abstract'!#REF!</definedName>
    <definedName name="_xlnm._FilterDatabase" localSheetId="15" hidden="1">Abstract!$A$1:$L$18</definedName>
    <definedName name="_xlnm._FilterDatabase" localSheetId="1" hidden="1">'Abstract (2)'!$A$1:$J$13</definedName>
    <definedName name="_grstn" localSheetId="21">#REF!</definedName>
    <definedName name="_IR1" localSheetId="21">[30]Labour!$D$16</definedName>
    <definedName name="_knr2" localSheetId="15">#REF!</definedName>
    <definedName name="_knr2" localSheetId="20">#REF!</definedName>
    <definedName name="_knr2" localSheetId="13">#REF!</definedName>
    <definedName name="_knr2" localSheetId="21">#REF!</definedName>
    <definedName name="_l1" localSheetId="15">[31]leads!$A$3:$E$108</definedName>
    <definedName name="_l1" localSheetId="20">[31]leads!$A$3:$E$108</definedName>
    <definedName name="_l1" localSheetId="13">[32]leads!$A$3:$E$108</definedName>
    <definedName name="_l1" localSheetId="21">[33]leads!$A$3:$E$108</definedName>
    <definedName name="_l12" localSheetId="15">#REF!</definedName>
    <definedName name="_l12" localSheetId="20">#REF!</definedName>
    <definedName name="_l12" localSheetId="18">#REF!</definedName>
    <definedName name="_l12" localSheetId="13">#REF!</definedName>
    <definedName name="_l12" localSheetId="21">#REF!</definedName>
    <definedName name="_l3" localSheetId="15">#REF!</definedName>
    <definedName name="_l3" localSheetId="20">#REF!</definedName>
    <definedName name="_l3" localSheetId="18">#REF!</definedName>
    <definedName name="_l3" localSheetId="13">#REF!</definedName>
    <definedName name="_l3" localSheetId="21">#REF!</definedName>
    <definedName name="_l4" localSheetId="15">[34]Sheet1!$W$2:$Y$103</definedName>
    <definedName name="_l4" localSheetId="20">[34]Sheet1!$W$2:$Y$103</definedName>
    <definedName name="_l4" localSheetId="13">[35]Sheet1!$W$2:$Y$103</definedName>
    <definedName name="_l4" localSheetId="21">[36]Sheet1!$W$2:$Y$103</definedName>
    <definedName name="_l5" localSheetId="15">#REF!</definedName>
    <definedName name="_l5" localSheetId="20">#REF!</definedName>
    <definedName name="_l5" localSheetId="18">#REF!</definedName>
    <definedName name="_l5" localSheetId="13">#REF!</definedName>
    <definedName name="_l5" localSheetId="21">#REF!</definedName>
    <definedName name="_ma" localSheetId="21">#REF!</definedName>
    <definedName name="_ma1" localSheetId="21">#REF!</definedName>
    <definedName name="_ma2" localSheetId="21">#REF!</definedName>
    <definedName name="_melamine" localSheetId="21">#REF!</definedName>
    <definedName name="_mm" localSheetId="21">#REF!</definedName>
    <definedName name="_mm1" localSheetId="15">[37]r!$F$4</definedName>
    <definedName name="_mm1" localSheetId="20">[37]r!$F$4</definedName>
    <definedName name="_mm1" localSheetId="13">[38]r!$F$4</definedName>
    <definedName name="_mm1" localSheetId="21">[39]r!$F$4</definedName>
    <definedName name="_pc2" localSheetId="15">#REF!</definedName>
    <definedName name="_pc2" localSheetId="20">#REF!</definedName>
    <definedName name="_pc2" localSheetId="18">#REF!</definedName>
    <definedName name="_pc2" localSheetId="13">#REF!</definedName>
    <definedName name="_pc2" localSheetId="21">#REF!</definedName>
    <definedName name="_pv2" localSheetId="15">#REF!</definedName>
    <definedName name="_pv2" localSheetId="20">#REF!</definedName>
    <definedName name="_pv2" localSheetId="18">#REF!</definedName>
    <definedName name="_pv2" localSheetId="13">#REF!</definedName>
    <definedName name="_pv2" localSheetId="21">#REF!</definedName>
    <definedName name="_rabbit" localSheetId="21">#REF!</definedName>
    <definedName name="_rr3" localSheetId="15">[40]v!$A$2:$E$51</definedName>
    <definedName name="_rr3" localSheetId="20">[40]v!$A$2:$E$51</definedName>
    <definedName name="_rr3" localSheetId="13">[41]v!$A$2:$E$51</definedName>
    <definedName name="_rr3" localSheetId="21">[42]v!$A$2:$E$51</definedName>
    <definedName name="_rrr1" localSheetId="15">[40]r!$B$1:$I$145</definedName>
    <definedName name="_rrr1" localSheetId="20">[40]r!$B$1:$I$145</definedName>
    <definedName name="_rrr1" localSheetId="13">[41]r!$B$1:$I$145</definedName>
    <definedName name="_rrr1" localSheetId="21">[42]r!$B$1:$I$145</definedName>
    <definedName name="_shahbad" localSheetId="21">#REF!</definedName>
    <definedName name="_skirting_grn" localSheetId="21">#REF!</definedName>
    <definedName name="_skirting_vit" localSheetId="21">#REF!</definedName>
    <definedName name="_SO016" localSheetId="21">'[43]MRoad data'!#REF!</definedName>
    <definedName name="_SP001" localSheetId="21">'[43]MRoad data'!#REF!</definedName>
    <definedName name="_SP002" localSheetId="21">'[43]MRoad data'!#REF!</definedName>
    <definedName name="_SP003" localSheetId="21">'[43]MRoad data'!#REF!</definedName>
    <definedName name="_SP004" localSheetId="21">'[43]MRoad data'!#REF!</definedName>
    <definedName name="_SP006" localSheetId="21">'[43]MRoad data'!#REF!</definedName>
    <definedName name="_SP007" localSheetId="21">'[43]MRoad data'!#REF!</definedName>
    <definedName name="_SP008" localSheetId="21">'[43]MRoad data'!#REF!</definedName>
    <definedName name="_SP009" localSheetId="21">'[43]MRoad data'!#REF!</definedName>
    <definedName name="_SP010" localSheetId="21">'[43]MRoad data'!#REF!</definedName>
    <definedName name="_SP011" localSheetId="21">'[43]MRoad data'!#REF!</definedName>
    <definedName name="_SP012" localSheetId="21">'[43]MRoad data'!#REF!</definedName>
    <definedName name="_SP013" localSheetId="21">'[43]MRoad data'!#REF!</definedName>
    <definedName name="_SP014" localSheetId="21">'[43]MRoad data'!#REF!</definedName>
    <definedName name="_SP015" localSheetId="21">'[43]MRoad data'!#REF!</definedName>
    <definedName name="_SP016" localSheetId="21">'[43]MRoad data'!#REF!</definedName>
    <definedName name="_SP017" localSheetId="21">'[43]MRoad data'!#REF!</definedName>
    <definedName name="_SP018" localSheetId="21">'[43]MRoad data'!#REF!</definedName>
    <definedName name="_SP019" localSheetId="21">'[43]MRoad data'!#REF!</definedName>
    <definedName name="_SP020" localSheetId="21">'[43]MRoad data'!#REF!</definedName>
    <definedName name="_SP021" localSheetId="21">'[43]MRoad data'!#REF!</definedName>
    <definedName name="_SP022" localSheetId="21">'[43]MRoad data'!#REF!</definedName>
    <definedName name="_SP023" localSheetId="21">'[43]MRoad data'!#REF!</definedName>
    <definedName name="_SP024" localSheetId="21">'[43]MRoad data'!#REF!</definedName>
    <definedName name="_SP025" localSheetId="21">'[43]MRoad data'!#REF!</definedName>
    <definedName name="_SP026" localSheetId="21">'[43]MRoad data'!#REF!</definedName>
    <definedName name="_SP027" localSheetId="21">'[43]MRoad data'!#REF!</definedName>
    <definedName name="_SP028" localSheetId="21">'[43]MRoad data'!#REF!</definedName>
    <definedName name="_SP029" localSheetId="21">'[43]MRoad data'!#REF!</definedName>
    <definedName name="_SP030" localSheetId="21">'[43]MRoad data'!#REF!</definedName>
    <definedName name="_SP031" localSheetId="21">'[43]MRoad data'!#REF!</definedName>
    <definedName name="_SP032" localSheetId="21">'[43]MRoad data'!#REF!</definedName>
    <definedName name="_SP033" localSheetId="21">'[43]MRoad data'!#REF!</definedName>
    <definedName name="_SP034" localSheetId="21">'[43]MRoad data'!#REF!</definedName>
    <definedName name="_SP035" localSheetId="21">'[43]MRoad data'!#REF!</definedName>
    <definedName name="_SP036" localSheetId="21">'[43]MRoad data'!#REF!</definedName>
    <definedName name="_SP037" localSheetId="21">'[43]MRoad data'!#REF!</definedName>
    <definedName name="_SP038" localSheetId="21">'[43]MRoad data'!#REF!</definedName>
    <definedName name="_SP039" localSheetId="21">'[43]MRoad data'!#REF!</definedName>
    <definedName name="_SP040" localSheetId="21">'[43]MRoad data'!#REF!</definedName>
    <definedName name="_SP041" localSheetId="21">'[43]MRoad data'!#REF!</definedName>
    <definedName name="_SP042" localSheetId="21">'[43]MRoad data'!#REF!</definedName>
    <definedName name="_SP043" localSheetId="21">'[43]MRoad data'!#REF!</definedName>
    <definedName name="_SP044" localSheetId="21">'[43]MRoad data'!#REF!</definedName>
    <definedName name="_SP045" localSheetId="21">'[43]MRoad data'!#REF!</definedName>
    <definedName name="_SP046" localSheetId="21">'[43]MRoad data'!#REF!</definedName>
    <definedName name="_SP047" localSheetId="21">'[43]MRoad data'!#REF!</definedName>
    <definedName name="_SP048" localSheetId="21">'[43]MRoad data'!#REF!</definedName>
    <definedName name="_SP049" localSheetId="21">'[43]MRoad data'!#REF!</definedName>
    <definedName name="_SP050" localSheetId="21">'[43]MRoad data'!#REF!</definedName>
    <definedName name="_SP051" localSheetId="21">'[43]MRoad data'!#REF!</definedName>
    <definedName name="_SP052" localSheetId="21">'[43]MRoad data'!#REF!</definedName>
    <definedName name="_SP053" localSheetId="21">'[43]MRoad data'!#REF!</definedName>
    <definedName name="_SP054" localSheetId="21">'[43]MRoad data'!#REF!</definedName>
    <definedName name="_SP055" localSheetId="21">'[43]MRoad data'!#REF!</definedName>
    <definedName name="_SP056" localSheetId="21">'[43]MRoad data'!#REF!</definedName>
    <definedName name="_SP057" localSheetId="21">'[43]MRoad data'!#REF!</definedName>
    <definedName name="_SP058" localSheetId="21">'[43]MRoad data'!#REF!</definedName>
    <definedName name="_SP059" localSheetId="21">'[43]MRoad data'!#REF!</definedName>
    <definedName name="_SP060" localSheetId="21">'[43]MRoad data'!#REF!</definedName>
    <definedName name="_SP061" localSheetId="21">'[43]MRoad data'!#REF!</definedName>
    <definedName name="_SP062" localSheetId="21">'[43]MRoad data'!#REF!</definedName>
    <definedName name="_SP063" localSheetId="21">'[43]MRoad data'!#REF!</definedName>
    <definedName name="_SP064" localSheetId="21">'[43]MRoad data'!#REF!</definedName>
    <definedName name="_SP065" localSheetId="21">'[43]MRoad data'!#REF!</definedName>
    <definedName name="_SP066" localSheetId="21">'[43]MRoad data'!#REF!</definedName>
    <definedName name="_SP067" localSheetId="21">'[43]MRoad data'!#REF!</definedName>
    <definedName name="_SP068" localSheetId="21">'[43]MRoad data'!#REF!</definedName>
    <definedName name="_SP069" localSheetId="21">'[43]MRoad data'!#REF!</definedName>
    <definedName name="_SP070" localSheetId="21">'[43]MRoad data'!#REF!</definedName>
    <definedName name="_sp071" localSheetId="21">'[43]MRoad data'!#REF!</definedName>
    <definedName name="_SP072" localSheetId="21">'[43]MRoad data'!#REF!</definedName>
    <definedName name="_SP073" localSheetId="21">'[43]MRoad data'!#REF!</definedName>
    <definedName name="_SP074" localSheetId="21">'[43]MRoad data'!#REF!</definedName>
    <definedName name="_SP075" localSheetId="21">'[43]MRoad data'!#REF!</definedName>
    <definedName name="_SP076" localSheetId="21">'[43]MRoad data'!#REF!</definedName>
    <definedName name="_SP077" localSheetId="21">'[43]MRoad data'!#REF!</definedName>
    <definedName name="_sp078" localSheetId="21">'[43]MRoad data'!#REF!</definedName>
    <definedName name="_SPO79" localSheetId="21">'[43]MRoad data'!#REF!</definedName>
    <definedName name="_ss12" localSheetId="15">[44]rdamdata!$J$8</definedName>
    <definedName name="_ss12" localSheetId="20">[44]rdamdata!$J$8</definedName>
    <definedName name="_ss12" localSheetId="13">[45]rdamdata!$J$8</definedName>
    <definedName name="_ss12" localSheetId="21">[46]rdamdata!$J$8</definedName>
    <definedName name="_ss20" localSheetId="15">[44]rdamdata!$J$7</definedName>
    <definedName name="_ss20" localSheetId="20">[44]rdamdata!$J$7</definedName>
    <definedName name="_ss20" localSheetId="13">[45]rdamdata!$J$7</definedName>
    <definedName name="_ss20" localSheetId="21">[46]rdamdata!$J$7</definedName>
    <definedName name="_ss40" localSheetId="15">[44]rdamdata!$J$6</definedName>
    <definedName name="_ss40" localSheetId="20">[44]rdamdata!$J$6</definedName>
    <definedName name="_ss40" localSheetId="13">[45]rdamdata!$J$6</definedName>
    <definedName name="_ss40" localSheetId="21">[46]rdamdata!$J$6</definedName>
    <definedName name="_tw2" localSheetId="21">#REF!</definedName>
    <definedName name="_var1" localSheetId="15">#REF!</definedName>
    <definedName name="_var1" localSheetId="20">#REF!</definedName>
    <definedName name="_var1" localSheetId="18">#REF!</definedName>
    <definedName name="_var1" localSheetId="13">#REF!</definedName>
    <definedName name="_var1" localSheetId="21">#REF!</definedName>
    <definedName name="_var4" localSheetId="15">#REF!</definedName>
    <definedName name="_var4" localSheetId="20">#REF!</definedName>
    <definedName name="_var4" localSheetId="18">#REF!</definedName>
    <definedName name="_var4" localSheetId="13">#REF!</definedName>
    <definedName name="_var4" localSheetId="21">#REF!</definedName>
    <definedName name="_vat" localSheetId="21">#REF!</definedName>
    <definedName name="_woodprimer" localSheetId="21">#REF!</definedName>
    <definedName name="_wp" localSheetId="21">#REF!</definedName>
    <definedName name="a" localSheetId="15">#REF!</definedName>
    <definedName name="a" localSheetId="20">#REF!</definedName>
    <definedName name="a" localSheetId="13">#REF!</definedName>
    <definedName name="a" localSheetId="21">#REF!</definedName>
    <definedName name="aads" localSheetId="21">#REF!</definedName>
    <definedName name="aastrb" localSheetId="15">#REF!</definedName>
    <definedName name="aastrb" localSheetId="20">#REF!</definedName>
    <definedName name="aastrb" localSheetId="13">#REF!</definedName>
    <definedName name="aastrb" localSheetId="21">#REF!</definedName>
    <definedName name="ac_sheet" localSheetId="21">#REF!</definedName>
    <definedName name="ADDRESS" localSheetId="21">'[43]MRoad data'!#REF!</definedName>
    <definedName name="Admin__Building" localSheetId="21">#REF!</definedName>
    <definedName name="ads" localSheetId="21">[47]Material!$D$16</definedName>
    <definedName name="ae" localSheetId="15">[48]Lead!#REF!</definedName>
    <definedName name="ae" localSheetId="20">[48]Lead!#REF!</definedName>
    <definedName name="ae" localSheetId="13">[48]Lead!#REF!</definedName>
    <definedName name="AEE" localSheetId="21">[49]Lead!#REF!</definedName>
    <definedName name="ai" localSheetId="15">#REF!</definedName>
    <definedName name="ai" localSheetId="20">#REF!</definedName>
    <definedName name="ai" localSheetId="13">#REF!</definedName>
    <definedName name="ai" localSheetId="21">#REF!</definedName>
    <definedName name="aii" localSheetId="15">#REF!</definedName>
    <definedName name="aii" localSheetId="20">#REF!</definedName>
    <definedName name="aii" localSheetId="13">#REF!</definedName>
    <definedName name="aii" localSheetId="21">#REF!</definedName>
    <definedName name="ald" localSheetId="21">#REF!</definedName>
    <definedName name="antitermite" localSheetId="21">#REF!</definedName>
    <definedName name="ap" localSheetId="21">#REF!</definedName>
    <definedName name="apip" localSheetId="21">#REF!</definedName>
    <definedName name="Arb" localSheetId="15">#REF!</definedName>
    <definedName name="Arb" localSheetId="20">#REF!</definedName>
    <definedName name="Arb" localSheetId="13">#REF!</definedName>
    <definedName name="Arb" localSheetId="21">#REF!</definedName>
    <definedName name="as" localSheetId="21">#REF!</definedName>
    <definedName name="asc" localSheetId="15">#REF!</definedName>
    <definedName name="asc" localSheetId="20">#REF!</definedName>
    <definedName name="asc" localSheetId="13">#REF!</definedName>
    <definedName name="asc" localSheetId="21">#REF!</definedName>
    <definedName name="asds" localSheetId="15">#REF!</definedName>
    <definedName name="asds" localSheetId="20">#REF!</definedName>
    <definedName name="asds" localSheetId="13">#REF!</definedName>
    <definedName name="asds" localSheetId="21">#REF!</definedName>
    <definedName name="ash" localSheetId="15">#REF!</definedName>
    <definedName name="ash" localSheetId="20">#REF!</definedName>
    <definedName name="ash" localSheetId="13">#REF!</definedName>
    <definedName name="ash" localSheetId="21">#REF!</definedName>
    <definedName name="asmin" localSheetId="15">#REF!</definedName>
    <definedName name="asmin" localSheetId="20">#REF!</definedName>
    <definedName name="asmin" localSheetId="13">#REF!</definedName>
    <definedName name="asmin" localSheetId="21">#REF!</definedName>
    <definedName name="astas" localSheetId="15">#REF!</definedName>
    <definedName name="astas" localSheetId="20">#REF!</definedName>
    <definedName name="astas" localSheetId="13">#REF!</definedName>
    <definedName name="astas" localSheetId="21">#REF!</definedName>
    <definedName name="astb" localSheetId="15">#REF!</definedName>
    <definedName name="astb" localSheetId="20">#REF!</definedName>
    <definedName name="astb" localSheetId="13">#REF!</definedName>
    <definedName name="astb" localSheetId="21">#REF!</definedName>
    <definedName name="astdm" localSheetId="15">#REF!</definedName>
    <definedName name="astdm" localSheetId="20">#REF!</definedName>
    <definedName name="astdm" localSheetId="13">#REF!</definedName>
    <definedName name="astdm" localSheetId="21">#REF!</definedName>
    <definedName name="Asth" localSheetId="15">'[50]SUMP1420KL@HW'!#REF!</definedName>
    <definedName name="Asth" localSheetId="20">'[50]SUMP1420KL@HW'!#REF!</definedName>
    <definedName name="Asth" localSheetId="18">'[51]SUMP1420KL@HW'!#REF!</definedName>
    <definedName name="Asth" localSheetId="13">'[50]SUMP1420KL@HW'!#REF!</definedName>
    <definedName name="Asth" localSheetId="21">'[52]SUMP1420KL@HW'!#REF!</definedName>
    <definedName name="asti" localSheetId="15">#REF!</definedName>
    <definedName name="asti" localSheetId="20">#REF!</definedName>
    <definedName name="asti" localSheetId="13">#REF!</definedName>
    <definedName name="asti" localSheetId="21">#REF!</definedName>
    <definedName name="astm" localSheetId="15">#REF!</definedName>
    <definedName name="astm" localSheetId="20">#REF!</definedName>
    <definedName name="astm" localSheetId="13">#REF!</definedName>
    <definedName name="astm" localSheetId="21">#REF!</definedName>
    <definedName name="astmid" localSheetId="15">#REF!</definedName>
    <definedName name="astmid" localSheetId="20">#REF!</definedName>
    <definedName name="astmid" localSheetId="13">#REF!</definedName>
    <definedName name="astmid" localSheetId="21">#REF!</definedName>
    <definedName name="astmin" localSheetId="15">#REF!</definedName>
    <definedName name="astmin" localSheetId="20">#REF!</definedName>
    <definedName name="astmin" localSheetId="13">#REF!</definedName>
    <definedName name="astmin" localSheetId="21">#REF!</definedName>
    <definedName name="asto" localSheetId="15">#REF!</definedName>
    <definedName name="asto" localSheetId="20">#REF!</definedName>
    <definedName name="asto" localSheetId="13">#REF!</definedName>
    <definedName name="asto" localSheetId="21">#REF!</definedName>
    <definedName name="astr" localSheetId="15">#REF!</definedName>
    <definedName name="astr" localSheetId="20">#REF!</definedName>
    <definedName name="astr" localSheetId="13">#REF!</definedName>
    <definedName name="astr" localSheetId="21">#REF!</definedName>
    <definedName name="astsup" localSheetId="15">#REF!</definedName>
    <definedName name="astsup" localSheetId="20">#REF!</definedName>
    <definedName name="astsup" localSheetId="13">#REF!</definedName>
    <definedName name="astsup" localSheetId="21">#REF!</definedName>
    <definedName name="asttp" localSheetId="15">#REF!</definedName>
    <definedName name="asttp" localSheetId="20">#REF!</definedName>
    <definedName name="asttp" localSheetId="13">#REF!</definedName>
    <definedName name="asttp" localSheetId="21">#REF!</definedName>
    <definedName name="asttrb" localSheetId="15">#REF!</definedName>
    <definedName name="asttrb" localSheetId="20">#REF!</definedName>
    <definedName name="asttrb" localSheetId="13">#REF!</definedName>
    <definedName name="asttrb" localSheetId="21">#REF!</definedName>
    <definedName name="att" localSheetId="21">#REF!</definedName>
    <definedName name="b" localSheetId="15">#REF!</definedName>
    <definedName name="b" localSheetId="20">#REF!</definedName>
    <definedName name="b" localSheetId="13">#REF!</definedName>
    <definedName name="b" localSheetId="21">#REF!</definedName>
    <definedName name="bar_bender" localSheetId="21">#REF!</definedName>
    <definedName name="Beg_Bal" localSheetId="15">#REF!</definedName>
    <definedName name="Beg_Bal" localSheetId="20">#REF!</definedName>
    <definedName name="Beg_Bal" localSheetId="13">#REF!</definedName>
    <definedName name="Beg_Bal" localSheetId="21">#REF!</definedName>
    <definedName name="bfh" localSheetId="21">#REF!</definedName>
    <definedName name="bh" localSheetId="15">#REF!</definedName>
    <definedName name="bh" localSheetId="20">#REF!</definedName>
    <definedName name="bh" localSheetId="13">#REF!</definedName>
    <definedName name="bh" localSheetId="21">#REF!</definedName>
    <definedName name="Bi" localSheetId="13">#REF!</definedName>
    <definedName name="Bi" localSheetId="21">#REF!</definedName>
    <definedName name="bindingwire" localSheetId="21">#REF!</definedName>
    <definedName name="bird" localSheetId="21">[53]Material!$D$137</definedName>
    <definedName name="bl" localSheetId="21">#REF!</definedName>
    <definedName name="blast" localSheetId="15">[54]r!$F$29</definedName>
    <definedName name="blast" localSheetId="20">[54]r!$F$29</definedName>
    <definedName name="blast" localSheetId="13">[54]r!$F$29</definedName>
    <definedName name="blast" localSheetId="21">[55]r!$F$29</definedName>
    <definedName name="blast1" localSheetId="21">[56]r!$F$29</definedName>
    <definedName name="blast2" localSheetId="21">[56]r!$F$29</definedName>
    <definedName name="bm" localSheetId="15">[50]Sheet2!$D$3:$F$16</definedName>
    <definedName name="bm" localSheetId="20">[50]Sheet2!$D$3:$F$16</definedName>
    <definedName name="bm" localSheetId="13">[50]Sheet2!$D$3:$F$16</definedName>
    <definedName name="bm" localSheetId="21">[52]Sheet2!$D$3:$F$16</definedName>
    <definedName name="bmas" localSheetId="15">#REF!</definedName>
    <definedName name="bmas" localSheetId="20">#REF!</definedName>
    <definedName name="bmas" localSheetId="13">#REF!</definedName>
    <definedName name="bmas" localSheetId="21">#REF!</definedName>
    <definedName name="bmcf" localSheetId="15">#REF!</definedName>
    <definedName name="bmcf" localSheetId="20">#REF!</definedName>
    <definedName name="bmcf" localSheetId="13">#REF!</definedName>
    <definedName name="bmcf" localSheetId="21">#REF!</definedName>
    <definedName name="bmcfo" localSheetId="15">#REF!</definedName>
    <definedName name="bmcfo" localSheetId="20">#REF!</definedName>
    <definedName name="bmcfo" localSheetId="13">#REF!</definedName>
    <definedName name="bmcfo" localSheetId="21">#REF!</definedName>
    <definedName name="bmm" localSheetId="15">#REF!</definedName>
    <definedName name="bmm" localSheetId="20">#REF!</definedName>
    <definedName name="bmm" localSheetId="13">#REF!</definedName>
    <definedName name="bmm" localSheetId="21">#REF!</definedName>
    <definedName name="bmo" localSheetId="15">#REF!</definedName>
    <definedName name="bmo" localSheetId="20">#REF!</definedName>
    <definedName name="bmo" localSheetId="13">#REF!</definedName>
    <definedName name="bmo" localSheetId="21">#REF!</definedName>
    <definedName name="bmpcf" localSheetId="15">#REF!</definedName>
    <definedName name="bmpcf" localSheetId="20">#REF!</definedName>
    <definedName name="bmpcf" localSheetId="13">#REF!</definedName>
    <definedName name="bmpcf" localSheetId="21">#REF!</definedName>
    <definedName name="bmpcfo" localSheetId="15">#REF!</definedName>
    <definedName name="bmpcfo" localSheetId="20">#REF!</definedName>
    <definedName name="bmpcfo" localSheetId="13">#REF!</definedName>
    <definedName name="bmpcfo" localSheetId="21">#REF!</definedName>
    <definedName name="bo" localSheetId="21">#REF!</definedName>
    <definedName name="boo" localSheetId="21">#REF!</definedName>
    <definedName name="BOTTOMDOMEONETOSIX" localSheetId="21">#REF!</definedName>
    <definedName name="BOTTOMDOMESIXTOTHIRTEEN" localSheetId="21">#REF!</definedName>
    <definedName name="BOTTOMRINGGIRDERONETOSIX" localSheetId="21">#REF!</definedName>
    <definedName name="BOTTOMRINGGIRDERSEVENTOTHIRTEEN" localSheetId="21">#REF!</definedName>
    <definedName name="bp" localSheetId="15">#REF!</definedName>
    <definedName name="bp" localSheetId="20">#REF!</definedName>
    <definedName name="bp" localSheetId="13">#REF!</definedName>
    <definedName name="bp" localSheetId="21">#REF!</definedName>
    <definedName name="br_230" localSheetId="21">#REF!</definedName>
    <definedName name="brick" localSheetId="15">#REF!</definedName>
    <definedName name="brick" localSheetId="20">#REF!</definedName>
    <definedName name="brick" localSheetId="18">#REF!</definedName>
    <definedName name="brick" localSheetId="13">#REF!</definedName>
    <definedName name="brick" localSheetId="21">#REF!</definedName>
    <definedName name="brick_four" localSheetId="21">#REF!</definedName>
    <definedName name="brick_II" localSheetId="21">'[57]C-data'!#REF!</definedName>
    <definedName name="brick_nine" localSheetId="21">#REF!</definedName>
    <definedName name="brickjelly_basic" localSheetId="21">'[57]C-data'!#REF!</definedName>
    <definedName name="Bricks" localSheetId="15">#REF!</definedName>
    <definedName name="Bricks" localSheetId="20">#REF!</definedName>
    <definedName name="Bricks" localSheetId="18">#REF!</definedName>
    <definedName name="Bricks" localSheetId="13">#REF!</definedName>
    <definedName name="Bricks" localSheetId="21">#REF!</definedName>
    <definedName name="Bridge" localSheetId="15">#REF!</definedName>
    <definedName name="Bridge" localSheetId="20">#REF!</definedName>
    <definedName name="Bridge" localSheetId="18">#REF!</definedName>
    <definedName name="Bridge" localSheetId="13">#REF!</definedName>
    <definedName name="Bridge" localSheetId="21">#REF!</definedName>
    <definedName name="BSG" localSheetId="21">#REF!</definedName>
    <definedName name="bsth" localSheetId="15">#REF!</definedName>
    <definedName name="bsth" localSheetId="20">#REF!</definedName>
    <definedName name="bsth" localSheetId="13">#REF!</definedName>
    <definedName name="bsth" localSheetId="21">#REF!</definedName>
    <definedName name="bsthi" localSheetId="15">#REF!</definedName>
    <definedName name="bsthi" localSheetId="20">#REF!</definedName>
    <definedName name="bsthi" localSheetId="13">#REF!</definedName>
    <definedName name="bsthi" localSheetId="21">#REF!</definedName>
    <definedName name="BT_MIX_SEAL" localSheetId="21">#REF!</definedName>
    <definedName name="BT_SEAL_COAT" localSheetId="21">#REF!</definedName>
    <definedName name="BT_SEAL_ON_BTSD" localSheetId="21">#REF!</definedName>
    <definedName name="BT_SINGLE_30.45" localSheetId="21">#REF!</definedName>
    <definedName name="BT_WEARING_COAT" localSheetId="21">#REF!</definedName>
    <definedName name="BTSD_23" localSheetId="21">#REF!</definedName>
    <definedName name="BTSD_DRY" localSheetId="21">#REF!</definedName>
    <definedName name="BTSD_SEAL" localSheetId="21">#REF!</definedName>
    <definedName name="buildings" localSheetId="21">#REF!</definedName>
    <definedName name="butit" localSheetId="21">[58]Labour!$D$5</definedName>
    <definedName name="CANTILEVERONETOSIX" localSheetId="21">#REF!</definedName>
    <definedName name="CANTILEVERSEVENTOTHIRTEEN" localSheetId="21">#REF!</definedName>
    <definedName name="cb" localSheetId="15">#REF!</definedName>
    <definedName name="cb" localSheetId="20">#REF!</definedName>
    <definedName name="cb" localSheetId="13">#REF!</definedName>
    <definedName name="cb" localSheetId="21">#REF!</definedName>
    <definedName name="cc" localSheetId="15">#REF!</definedName>
    <definedName name="cc" localSheetId="20">#REF!</definedName>
    <definedName name="cc" localSheetId="13">#REF!</definedName>
    <definedName name="cc" localSheetId="21">#REF!</definedName>
    <definedName name="cci" localSheetId="15">#REF!</definedName>
    <definedName name="cci" localSheetId="20">#REF!</definedName>
    <definedName name="cci" localSheetId="13">#REF!</definedName>
    <definedName name="cci" localSheetId="21">#REF!</definedName>
    <definedName name="CDABSTRACT" localSheetId="18">#REF!</definedName>
    <definedName name="CDABSTRACT" localSheetId="21">#REF!</definedName>
    <definedName name="cddata" localSheetId="21">#REF!</definedName>
    <definedName name="CDdata2" localSheetId="21">[59]Labour!$D$11</definedName>
    <definedName name="cem_w" localSheetId="21">'[57]C-data'!#REF!</definedName>
    <definedName name="cenchrcol" localSheetId="21">#REF!</definedName>
    <definedName name="cenchrfoot" localSheetId="21">#REF!</definedName>
    <definedName name="cenchrpb" localSheetId="21">#REF!</definedName>
    <definedName name="cenchrped" localSheetId="21">#REF!</definedName>
    <definedName name="ceramic" localSheetId="21">#REF!</definedName>
    <definedName name="cg" localSheetId="21">#REF!</definedName>
    <definedName name="chdyrrr" localSheetId="15">[60]Lead!#REF!</definedName>
    <definedName name="chdyrrr" localSheetId="20">[60]Lead!#REF!</definedName>
    <definedName name="chdyrrr" localSheetId="18">[60]Lead!#REF!</definedName>
    <definedName name="chdyrrr" localSheetId="13">[60]Lead!#REF!</definedName>
    <definedName name="chdyrrr" localSheetId="21">[60]Lead!#REF!</definedName>
    <definedName name="ci" localSheetId="15">#REF!</definedName>
    <definedName name="ci" localSheetId="20">#REF!</definedName>
    <definedName name="ci" localSheetId="13">#REF!</definedName>
    <definedName name="ci" localSheetId="21">#REF!</definedName>
    <definedName name="cidjoint" localSheetId="21">#REF!</definedName>
    <definedName name="cii" localSheetId="15">#REF!</definedName>
    <definedName name="cii" localSheetId="20">#REF!</definedName>
    <definedName name="cii" localSheetId="13">#REF!</definedName>
    <definedName name="cii" localSheetId="21">#REF!</definedName>
    <definedName name="ciii" localSheetId="15">#REF!</definedName>
    <definedName name="ciii" localSheetId="20">#REF!</definedName>
    <definedName name="ciii" localSheetId="13">#REF!</definedName>
    <definedName name="ciii" localSheetId="21">#REF!</definedName>
    <definedName name="cjv" localSheetId="21">#REF!</definedName>
    <definedName name="cnvey" localSheetId="21">[61]Lead!#REF!</definedName>
    <definedName name="Code" localSheetId="0" hidden="1">#REF!</definedName>
    <definedName name="Code" localSheetId="2" hidden="1">#REF!</definedName>
    <definedName name="Code" localSheetId="7" hidden="1">#REF!</definedName>
    <definedName name="Code" hidden="1">#REF!</definedName>
    <definedName name="compmain" localSheetId="15">'[62]SUMP1420KL@HW'!#REF!</definedName>
    <definedName name="compmain" localSheetId="20">'[62]SUMP1420KL@HW'!#REF!</definedName>
    <definedName name="compmain" localSheetId="18">'[63]SUMP1420KL@HW'!#REF!</definedName>
    <definedName name="compmain" localSheetId="13">'[62]SUMP1420KL@HW'!#REF!</definedName>
    <definedName name="compmain" localSheetId="21">'[64]SUMP1420KL@HW'!#REF!</definedName>
    <definedName name="con_mixer" localSheetId="21">#REF!</definedName>
    <definedName name="con_pro" localSheetId="21">#REF!</definedName>
    <definedName name="covera" localSheetId="21">[53]Material!$D$129</definedName>
    <definedName name="CP" localSheetId="15">#REF!</definedName>
    <definedName name="CP" localSheetId="20">#REF!</definedName>
    <definedName name="CP" localSheetId="13">#REF!</definedName>
    <definedName name="crsrate" localSheetId="21">'[18]lead-st'!$L$12</definedName>
    <definedName name="crss" localSheetId="21">[18]rdamdata!$J$10</definedName>
    <definedName name="crush" localSheetId="21">[56]r!$F$30</definedName>
    <definedName name="crust" localSheetId="15">[65]Data.F8.BTR!#REF!</definedName>
    <definedName name="crust" localSheetId="20">[65]Data.F8.BTR!#REF!</definedName>
    <definedName name="crust" localSheetId="18">[65]Data.F8.BTR!#REF!</definedName>
    <definedName name="crust" localSheetId="13">[65]Data.F8.BTR!#REF!</definedName>
    <definedName name="crust" localSheetId="21">[65]Data.F8.BTR!#REF!</definedName>
    <definedName name="cshewcen" localSheetId="21">#REF!</definedName>
    <definedName name="cshewcenchrfoot" localSheetId="21">#REF!</definedName>
    <definedName name="cshewcenchrpb" localSheetId="21">#REF!</definedName>
    <definedName name="cshewcenchrped" localSheetId="21">#REF!</definedName>
    <definedName name="ct_basic" localSheetId="21">'[57]C-data'!#REF!</definedName>
    <definedName name="cut_holes_bw" localSheetId="21">#REF!</definedName>
    <definedName name="cut_holes_rcc" localSheetId="21">#REF!</definedName>
    <definedName name="d" localSheetId="15">[66]Lead!#REF!</definedName>
    <definedName name="d" localSheetId="20">[66]Lead!#REF!</definedName>
    <definedName name="d" localSheetId="18">[67]Lead!#REF!</definedName>
    <definedName name="d" localSheetId="13">[66]Lead!#REF!</definedName>
    <definedName name="d" localSheetId="21">[68]Lead!#REF!</definedName>
    <definedName name="D.t" localSheetId="15">[69]data!#REF!</definedName>
    <definedName name="D.t" localSheetId="20">[69]data!#REF!</definedName>
    <definedName name="D.t" localSheetId="18">[69]data!#REF!</definedName>
    <definedName name="D.t" localSheetId="13">[69]data!#REF!</definedName>
    <definedName name="D.t" localSheetId="21">[69]data!#REF!</definedName>
    <definedName name="da" localSheetId="15">#REF!</definedName>
    <definedName name="da" localSheetId="20">#REF!</definedName>
    <definedName name="da" localSheetId="18">#REF!</definedName>
    <definedName name="da" localSheetId="13">#REF!</definedName>
    <definedName name="da" localSheetId="21">#REF!</definedName>
    <definedName name="dadoing" localSheetId="21">#REF!</definedName>
    <definedName name="dat" localSheetId="18">[70]Data!#REF!</definedName>
    <definedName name="dat" localSheetId="21">[70]Data!#REF!</definedName>
    <definedName name="data" localSheetId="15">[71]Data!#REF!</definedName>
    <definedName name="data" localSheetId="20">[71]Data!#REF!</definedName>
    <definedName name="data" localSheetId="18">[71]Data!#REF!</definedName>
    <definedName name="data" localSheetId="13">[71]Data!#REF!</definedName>
    <definedName name="data" localSheetId="21">[71]Data!#REF!</definedName>
    <definedName name="data3" localSheetId="15">#REF!</definedName>
    <definedName name="data3" localSheetId="17">#REF!</definedName>
    <definedName name="data3" localSheetId="20">#REF!</definedName>
    <definedName name="data3" localSheetId="16">#REF!</definedName>
    <definedName name="data3" localSheetId="19">#REF!</definedName>
    <definedName name="data3" localSheetId="18">#REF!</definedName>
    <definedName name="data3" localSheetId="13">#REF!</definedName>
    <definedName name="data3" localSheetId="14">#REF!</definedName>
    <definedName name="data3" localSheetId="21">#REF!</definedName>
    <definedName name="DATA6" localSheetId="15">#REF!</definedName>
    <definedName name="DATA6" localSheetId="20">#REF!</definedName>
    <definedName name="DATA6" localSheetId="13">#REF!</definedName>
    <definedName name="DATA6" localSheetId="21">#REF!</definedName>
    <definedName name="_xlnm.Database" localSheetId="15" hidden="1">#REF!</definedName>
    <definedName name="_xlnm.Database" localSheetId="1" hidden="1">#REF!</definedName>
    <definedName name="_xlnm.Database" localSheetId="20" hidden="1">#REF!</definedName>
    <definedName name="_xlnm.Database" localSheetId="18">#REF!</definedName>
    <definedName name="_xlnm.Database" localSheetId="13" hidden="1">#REF!</definedName>
    <definedName name="_xlnm.Database" localSheetId="21">#REF!</definedName>
    <definedName name="datas" localSheetId="18">#REF!</definedName>
    <definedName name="datas" localSheetId="21">#REF!</definedName>
    <definedName name="db" localSheetId="15">#REF!</definedName>
    <definedName name="db" localSheetId="20">#REF!</definedName>
    <definedName name="db" localSheetId="13">#REF!</definedName>
    <definedName name="db" localSheetId="21">#REF!</definedName>
    <definedName name="dbas" localSheetId="15">#REF!</definedName>
    <definedName name="dbas" localSheetId="20">#REF!</definedName>
    <definedName name="dbas" localSheetId="13">#REF!</definedName>
    <definedName name="dbas" localSheetId="21">#REF!</definedName>
    <definedName name="dbbs" localSheetId="15">#REF!</definedName>
    <definedName name="dbbs" localSheetId="20">#REF!</definedName>
    <definedName name="dbbs" localSheetId="13">#REF!</definedName>
    <definedName name="dbbs" localSheetId="21">#REF!</definedName>
    <definedName name="dbbsb" localSheetId="15">#REF!</definedName>
    <definedName name="dbbsb" localSheetId="20">#REF!</definedName>
    <definedName name="dbbsb" localSheetId="13">#REF!</definedName>
    <definedName name="dbbsb" localSheetId="21">#REF!</definedName>
    <definedName name="dbc" localSheetId="15">#REF!</definedName>
    <definedName name="dbc" localSheetId="20">#REF!</definedName>
    <definedName name="dbc" localSheetId="13">#REF!</definedName>
    <definedName name="dbc" localSheetId="21">#REF!</definedName>
    <definedName name="dbd" localSheetId="15">#REF!</definedName>
    <definedName name="dbd" localSheetId="20">#REF!</definedName>
    <definedName name="dbd" localSheetId="13">#REF!</definedName>
    <definedName name="dbd" localSheetId="21">#REF!</definedName>
    <definedName name="dbh" localSheetId="15">#REF!</definedName>
    <definedName name="dbh" localSheetId="20">#REF!</definedName>
    <definedName name="dbh" localSheetId="13">#REF!</definedName>
    <definedName name="dbh" localSheetId="21">#REF!</definedName>
    <definedName name="dbi" localSheetId="15">#REF!</definedName>
    <definedName name="dbi" localSheetId="20">#REF!</definedName>
    <definedName name="dbi" localSheetId="13">#REF!</definedName>
    <definedName name="dbi" localSheetId="21">#REF!</definedName>
    <definedName name="DBM" localSheetId="21">#REF!</definedName>
    <definedName name="dbo" localSheetId="15">#REF!</definedName>
    <definedName name="dbo" localSheetId="20">#REF!</definedName>
    <definedName name="dbo" localSheetId="13">#REF!</definedName>
    <definedName name="dbo" localSheetId="21">#REF!</definedName>
    <definedName name="dbrb" localSheetId="15">#REF!</definedName>
    <definedName name="dbrb" localSheetId="20">#REF!</definedName>
    <definedName name="dbrb" localSheetId="13">#REF!</definedName>
    <definedName name="dbrb" localSheetId="21">#REF!</definedName>
    <definedName name="dbs" localSheetId="15">#REF!</definedName>
    <definedName name="dbs" localSheetId="20">#REF!</definedName>
    <definedName name="dbs" localSheetId="13">#REF!</definedName>
    <definedName name="dbs" localSheetId="21">#REF!</definedName>
    <definedName name="dbsi" localSheetId="15">#REF!</definedName>
    <definedName name="dbsi" localSheetId="20">#REF!</definedName>
    <definedName name="dbsi" localSheetId="13">#REF!</definedName>
    <definedName name="dbsi" localSheetId="21">#REF!</definedName>
    <definedName name="dbst" localSheetId="15">#REF!</definedName>
    <definedName name="dbst" localSheetId="20">#REF!</definedName>
    <definedName name="dbst" localSheetId="13">#REF!</definedName>
    <definedName name="dbst" localSheetId="21">#REF!</definedName>
    <definedName name="dbt" localSheetId="15">#REF!</definedName>
    <definedName name="dbt" localSheetId="20">#REF!</definedName>
    <definedName name="dbt" localSheetId="13">#REF!</definedName>
    <definedName name="dbt" localSheetId="21">#REF!</definedName>
    <definedName name="dc" localSheetId="21">#REF!</definedName>
    <definedName name="dcd" localSheetId="15">#REF!</definedName>
    <definedName name="dcd" localSheetId="20">#REF!</definedName>
    <definedName name="dcd" localSheetId="13">#REF!</definedName>
    <definedName name="dcd" localSheetId="21">#REF!</definedName>
    <definedName name="ddd" localSheetId="21">#REF!</definedName>
    <definedName name="dddd" localSheetId="21">[72]leads!$H$7</definedName>
    <definedName name="de" localSheetId="15">#REF!</definedName>
    <definedName name="de" localSheetId="20">#REF!</definedName>
    <definedName name="de" localSheetId="13">#REF!</definedName>
    <definedName name="de" localSheetId="21">#REF!</definedName>
    <definedName name="deff" localSheetId="15">#REF!</definedName>
    <definedName name="deff" localSheetId="20">#REF!</definedName>
    <definedName name="deff" localSheetId="13">#REF!</definedName>
    <definedName name="deff" localSheetId="21">#REF!</definedName>
    <definedName name="derse" localSheetId="15">[73]Lead!#REF!</definedName>
    <definedName name="derse" localSheetId="20">[73]Lead!#REF!</definedName>
    <definedName name="derse" localSheetId="18">[73]Lead!#REF!</definedName>
    <definedName name="derse" localSheetId="13">[73]Lead!#REF!</definedName>
    <definedName name="derse" localSheetId="21">[73]Lead!#REF!</definedName>
    <definedName name="dert" localSheetId="21">[10]r!$B$1:$I$145</definedName>
    <definedName name="df" localSheetId="15">[74]Lead!#REF!</definedName>
    <definedName name="df" localSheetId="20">[74]Lead!#REF!</definedName>
    <definedName name="df" localSheetId="18">[75]Lead!#REF!</definedName>
    <definedName name="df" localSheetId="13">[74]Lead!#REF!</definedName>
    <definedName name="df" localSheetId="21">[76]Lead!#REF!</definedName>
    <definedName name="dfdsfd" localSheetId="15">'[77]Plant &amp;  Machinery'!$G$13</definedName>
    <definedName name="dfdsfd" localSheetId="20">'[77]Plant &amp;  Machinery'!$G$13</definedName>
    <definedName name="dfdsfd" localSheetId="13">'[77]Plant &amp;  Machinery'!$G$13</definedName>
    <definedName name="dfgdg" localSheetId="21">[59]Material!$D$49</definedName>
    <definedName name="dgl" localSheetId="15">#REF!</definedName>
    <definedName name="dgl" localSheetId="20">#REF!</definedName>
    <definedName name="dgl" localSheetId="13">#REF!</definedName>
    <definedName name="dgl" localSheetId="21">#REF!</definedName>
    <definedName name="dial" localSheetId="15">[62]Sheet2!$A$3:$B$16</definedName>
    <definedName name="dial" localSheetId="20">[62]Sheet2!$A$3:$B$16</definedName>
    <definedName name="dial" localSheetId="13">[62]Sheet2!$A$3:$B$16</definedName>
    <definedName name="dial" localSheetId="21">[64]Sheet2!$A$3:$B$16</definedName>
    <definedName name="dipu" localSheetId="15">#REF!</definedName>
    <definedName name="dipu" localSheetId="20">#REF!</definedName>
    <definedName name="dipu" localSheetId="18">#REF!</definedName>
    <definedName name="dipu" localSheetId="13">#REF!</definedName>
    <definedName name="dipu" localSheetId="21">#REF!</definedName>
    <definedName name="Discount" localSheetId="0" hidden="1">#REF!</definedName>
    <definedName name="Discount" localSheetId="7" hidden="1">#REF!</definedName>
    <definedName name="Discount" hidden="1">#REF!</definedName>
    <definedName name="display_area_2" localSheetId="0" hidden="1">#REF!</definedName>
    <definedName name="display_area_2" localSheetId="7" hidden="1">#REF!</definedName>
    <definedName name="display_area_2" hidden="1">#REF!</definedName>
    <definedName name="div" localSheetId="21">#REF!</definedName>
    <definedName name="DJD" localSheetId="15">#REF!</definedName>
    <definedName name="DJD" localSheetId="20">#REF!</definedName>
    <definedName name="DJD" localSheetId="18">#REF!</definedName>
    <definedName name="DJD" localSheetId="13">#REF!</definedName>
    <definedName name="DJD" localSheetId="21">#REF!</definedName>
    <definedName name="DKDK" localSheetId="15">[78]Labour!$D$5</definedName>
    <definedName name="DKDK" localSheetId="20">[78]Labour!$D$5</definedName>
    <definedName name="DKDK" localSheetId="13">[78]Labour!$D$5</definedName>
    <definedName name="door_one_m" localSheetId="21">#REF!</definedName>
    <definedName name="door_toilet" localSheetId="21">#REF!</definedName>
    <definedName name="DPP" localSheetId="13">#REF!</definedName>
    <definedName name="DPP" localSheetId="21">#REF!</definedName>
    <definedName name="dreq" localSheetId="15">#REF!</definedName>
    <definedName name="dreq" localSheetId="20">#REF!</definedName>
    <definedName name="dreq" localSheetId="13">#REF!</definedName>
    <definedName name="dreq" localSheetId="21">#REF!</definedName>
    <definedName name="DRY_ROLLING" localSheetId="21">#REF!</definedName>
    <definedName name="ds" localSheetId="15">#REF!</definedName>
    <definedName name="ds" localSheetId="20">#REF!</definedName>
    <definedName name="ds" localSheetId="13">#REF!</definedName>
    <definedName name="ds" localSheetId="21">#REF!</definedName>
    <definedName name="dsdf" localSheetId="21">[4]leads!$A$3:$E$108</definedName>
    <definedName name="dt" localSheetId="15">#REF!</definedName>
    <definedName name="dt" localSheetId="20">#REF!</definedName>
    <definedName name="dt" localSheetId="18">#REF!</definedName>
    <definedName name="dt" localSheetId="13">#REF!</definedName>
    <definedName name="dt" localSheetId="21">[79]Data.F8.BTR!#REF!</definedName>
    <definedName name="dtrb" localSheetId="15">#REF!</definedName>
    <definedName name="dtrb" localSheetId="20">#REF!</definedName>
    <definedName name="dtrb" localSheetId="13">#REF!</definedName>
    <definedName name="dtrb" localSheetId="21">#REF!</definedName>
    <definedName name="dtt" localSheetId="21">#REF!</definedName>
    <definedName name="dw" localSheetId="15">#REF!</definedName>
    <definedName name="dw" localSheetId="20">#REF!</definedName>
    <definedName name="dw" localSheetId="13">#REF!</definedName>
    <definedName name="dw" localSheetId="21">#REF!</definedName>
    <definedName name="E" localSheetId="21">[80]Material!$D$130</definedName>
    <definedName name="E_W_CARTED_FMC" localSheetId="21">#REF!</definedName>
    <definedName name="E_W_SIDE_FMC_NO" localSheetId="21">#REF!</definedName>
    <definedName name="E_W_SIDE_FMC_PR" localSheetId="21">#REF!</definedName>
    <definedName name="edswi" localSheetId="15">#REF!</definedName>
    <definedName name="edswi" localSheetId="20">#REF!</definedName>
    <definedName name="edswi" localSheetId="13">#REF!</definedName>
    <definedName name="edswi" localSheetId="21">#REF!</definedName>
    <definedName name="ee" localSheetId="15">[81]m!$D$149</definedName>
    <definedName name="ee" localSheetId="20">[81]m!$D$149</definedName>
    <definedName name="ee" localSheetId="13">[81]m!$D$149</definedName>
    <definedName name="ee" localSheetId="21">[82]cert!$D$111</definedName>
    <definedName name="eee" localSheetId="21">#REF!</definedName>
    <definedName name="ei" localSheetId="13">#REF!</definedName>
    <definedName name="ei" localSheetId="21">#REF!</definedName>
    <definedName name="enamel_door_paint" localSheetId="21">#REF!</definedName>
    <definedName name="enamel_grill_paint" localSheetId="21">#REF!</definedName>
    <definedName name="End_Bal" localSheetId="15">#REF!</definedName>
    <definedName name="End_Bal" localSheetId="20">#REF!</definedName>
    <definedName name="End_Bal" localSheetId="13">#REF!</definedName>
    <definedName name="End_Bal" localSheetId="21">#REF!</definedName>
    <definedName name="esti" localSheetId="21">[53]Material!$D$88</definedName>
    <definedName name="excavation" localSheetId="21">#REF!</definedName>
    <definedName name="Extra_Pay" localSheetId="15">#REF!</definedName>
    <definedName name="Extra_Pay" localSheetId="20">#REF!</definedName>
    <definedName name="Extra_Pay" localSheetId="13">#REF!</definedName>
    <definedName name="Extra_Pay" localSheetId="21">#REF!</definedName>
    <definedName name="f" localSheetId="15">#REF!</definedName>
    <definedName name="f" localSheetId="20">#REF!</definedName>
    <definedName name="f" localSheetId="13">#REF!</definedName>
    <definedName name="f" localSheetId="21">#REF!</definedName>
    <definedName name="fabchr" localSheetId="21">#REF!</definedName>
    <definedName name="fb" localSheetId="15">#REF!</definedName>
    <definedName name="fb" localSheetId="20">#REF!</definedName>
    <definedName name="fb" localSheetId="13">#REF!</definedName>
    <definedName name="fb" localSheetId="21">#REF!</definedName>
    <definedName name="FCode" localSheetId="0" hidden="1">#REF!</definedName>
    <definedName name="FCode" localSheetId="7" hidden="1">#REF!</definedName>
    <definedName name="FCode" hidden="1">#REF!</definedName>
    <definedName name="FDJDSJFDJFLDJF" localSheetId="15">[78]Labour!$D$19</definedName>
    <definedName name="FDJDSJFDJFLDJF" localSheetId="20">[78]Labour!$D$19</definedName>
    <definedName name="FDJDSJFDJFLDJF" localSheetId="13">[78]Labour!$D$19</definedName>
    <definedName name="ffghf" localSheetId="21">#REF!</definedName>
    <definedName name="fgfgfgfg" localSheetId="21">'[58]Plant &amp;  Machinery'!$G$30</definedName>
    <definedName name="FGHG" localSheetId="21">[80]Material!$D$70</definedName>
    <definedName name="fglhkohpiyohpy" localSheetId="21">#REF!</definedName>
    <definedName name="fgrt" localSheetId="21">[83]Levels!$P$5</definedName>
    <definedName name="filling_earth" localSheetId="21">#REF!</definedName>
    <definedName name="filling_gravel" localSheetId="21">#REF!</definedName>
    <definedName name="fineaggregate" localSheetId="21">#REF!</definedName>
    <definedName name="finished" localSheetId="21">#REF!</definedName>
    <definedName name="floor_ceramic" localSheetId="21">#REF!</definedName>
    <definedName name="floor_chequered" localSheetId="21">#REF!</definedName>
    <definedName name="floor_kadapa" localSheetId="21">#REF!</definedName>
    <definedName name="floor_shahbad" localSheetId="21">#REF!</definedName>
    <definedName name="Full_Print" localSheetId="15">#REF!</definedName>
    <definedName name="Full_Print" localSheetId="20">#REF!</definedName>
    <definedName name="Full_Print" localSheetId="13">#REF!</definedName>
    <definedName name="Full_Print" localSheetId="21">#REF!</definedName>
    <definedName name="g" localSheetId="15">#REF!</definedName>
    <definedName name="g" localSheetId="20">#REF!</definedName>
    <definedName name="g" localSheetId="13">#REF!</definedName>
    <definedName name="g" localSheetId="21">#REF!</definedName>
    <definedName name="gate" localSheetId="18">#REF!</definedName>
    <definedName name="gate" localSheetId="21">#REF!</definedName>
    <definedName name="gbd" localSheetId="21">[84]Material!$D$41</definedName>
    <definedName name="GFHGF" localSheetId="21">'[80]Plant &amp;  Machinery'!$G$4</definedName>
    <definedName name="GHHH" localSheetId="15">[85]Material!$D$129</definedName>
    <definedName name="GHHH" localSheetId="20">[85]Material!$D$129</definedName>
    <definedName name="GHHH" localSheetId="13">[85]Material!$D$129</definedName>
    <definedName name="gib" localSheetId="21">#REF!</definedName>
    <definedName name="Glazed_coloured_tiles_for_Dadooing" localSheetId="21">#REF!</definedName>
    <definedName name="goo" localSheetId="21">#REF!</definedName>
    <definedName name="granolithic_floor" localSheetId="21">#REF!</definedName>
    <definedName name="Grstone" localSheetId="21">#REF!</definedName>
    <definedName name="gs" localSheetId="15">#REF!</definedName>
    <definedName name="gs" localSheetId="20">#REF!</definedName>
    <definedName name="gs" localSheetId="13">#REF!</definedName>
    <definedName name="gs" localSheetId="21">#REF!</definedName>
    <definedName name="gsb" localSheetId="15">#REF!</definedName>
    <definedName name="gsb" localSheetId="20">#REF!</definedName>
    <definedName name="gsb" localSheetId="13">#REF!</definedName>
    <definedName name="gsb" localSheetId="21">#REF!</definedName>
    <definedName name="Gunduvarigudem" localSheetId="15">#REF!</definedName>
    <definedName name="Gunduvarigudem" localSheetId="20">#REF!</definedName>
    <definedName name="Gunduvarigudem" localSheetId="18">#REF!</definedName>
    <definedName name="Gunduvarigudem" localSheetId="13">#REF!</definedName>
    <definedName name="Gunduvarigudem" localSheetId="21">#REF!</definedName>
    <definedName name="gyfc" localSheetId="21">#REF!</definedName>
    <definedName name="h" localSheetId="15">#REF!</definedName>
    <definedName name="h" localSheetId="20">#REF!</definedName>
    <definedName name="h" localSheetId="13">#REF!</definedName>
    <definedName name="h" localSheetId="21">#REF!</definedName>
    <definedName name="hbgl" localSheetId="15">#REF!</definedName>
    <definedName name="hbgl" localSheetId="20">#REF!</definedName>
    <definedName name="hbgl" localSheetId="13">#REF!</definedName>
    <definedName name="hbgl" localSheetId="21">#REF!</definedName>
    <definedName name="hc" localSheetId="15">#REF!</definedName>
    <definedName name="hc" localSheetId="20">#REF!</definedName>
    <definedName name="hc" localSheetId="13">#REF!</definedName>
    <definedName name="hc" localSheetId="21">#REF!</definedName>
    <definedName name="hd" localSheetId="15">#REF!</definedName>
    <definedName name="hd" localSheetId="20">#REF!</definedName>
    <definedName name="hd" localSheetId="13">#REF!</definedName>
    <definedName name="hd" localSheetId="21">#REF!</definedName>
    <definedName name="Header_Row" localSheetId="15">ROW(#REF!)</definedName>
    <definedName name="Header_Row" localSheetId="20">ROW(#REF!)</definedName>
    <definedName name="Header_Row" localSheetId="13">ROW(#REF!)</definedName>
    <definedName name="Header_Row" localSheetId="21">ROW(#REF!)</definedName>
    <definedName name="hf" localSheetId="21">#REF!</definedName>
    <definedName name="hgle" localSheetId="21">#REF!</definedName>
    <definedName name="hgyt" localSheetId="21">'[86]SUMP1420KL@HW'!#REF!</definedName>
    <definedName name="hhg" localSheetId="21">[87]Material!$D$138</definedName>
    <definedName name="HiddenRows" localSheetId="0" hidden="1">#REF!</definedName>
    <definedName name="HiddenRows" localSheetId="2" hidden="1">#REF!</definedName>
    <definedName name="HiddenRows" localSheetId="7" hidden="1">#REF!</definedName>
    <definedName name="HiddenRows" hidden="1">#REF!</definedName>
    <definedName name="his" localSheetId="15">#REF!</definedName>
    <definedName name="his" localSheetId="20">#REF!</definedName>
    <definedName name="his" localSheetId="13">#REF!</definedName>
    <definedName name="his" localSheetId="21">#REF!</definedName>
    <definedName name="hoop" localSheetId="15">[50]Sheet2!$A$3:$B$16</definedName>
    <definedName name="hoop" localSheetId="20">[50]Sheet2!$A$3:$B$16</definedName>
    <definedName name="hoop" localSheetId="13">[50]Sheet2!$A$3:$B$16</definedName>
    <definedName name="hoop" localSheetId="21">[52]Sheet2!$A$3:$B$16</definedName>
    <definedName name="Hs" localSheetId="15">#REF!</definedName>
    <definedName name="Hs" localSheetId="20">#REF!</definedName>
    <definedName name="Hs" localSheetId="13">#REF!</definedName>
    <definedName name="Hs" localSheetId="21">#REF!</definedName>
    <definedName name="hso" localSheetId="15">#REF!</definedName>
    <definedName name="hso" localSheetId="20">#REF!</definedName>
    <definedName name="hso" localSheetId="13">#REF!</definedName>
    <definedName name="hso" localSheetId="21">#REF!</definedName>
    <definedName name="hsp" localSheetId="15">'[50]SUMP1420KL@HW'!#REF!</definedName>
    <definedName name="hsp" localSheetId="20">'[50]SUMP1420KL@HW'!#REF!</definedName>
    <definedName name="hsp" localSheetId="18">'[51]SUMP1420KL@HW'!#REF!</definedName>
    <definedName name="hsp" localSheetId="13">'[50]SUMP1420KL@HW'!#REF!</definedName>
    <definedName name="hsp" localSheetId="21">'[52]SUMP1420KL@HW'!#REF!</definedName>
    <definedName name="Ht" localSheetId="15">#REF!</definedName>
    <definedName name="Ht" localSheetId="20">#REF!</definedName>
    <definedName name="Ht" localSheetId="13">#REF!</definedName>
    <definedName name="Ht" localSheetId="21">#REF!</definedName>
    <definedName name="HTML_CodePage" hidden="1">1252</definedName>
    <definedName name="HTML_Control" localSheetId="2" hidden="1">{"'ridftotal'!$A$4:$S$27"}</definedName>
    <definedName name="HTML_Control" hidden="1">{"'ridftotal'!$A$4:$S$27"}</definedName>
    <definedName name="HTML_Description" hidden="1">""</definedName>
    <definedName name="HTML_Email" hidden="1">""</definedName>
    <definedName name="HTML_Header" hidden="1">"ridftotal"</definedName>
    <definedName name="HTML_LastUpdate" hidden="1">"3/31/00"</definedName>
    <definedName name="HTML_LineAfter" hidden="1">FALSE</definedName>
    <definedName name="HTML_LineBefore" hidden="1">FALSE</definedName>
    <definedName name="HTML_Name" hidden="1">"PVKUTUMBA RAO"</definedName>
    <definedName name="HTML_OBDlg2" hidden="1">TRUE</definedName>
    <definedName name="HTML_OBDlg4" hidden="1">TRUE</definedName>
    <definedName name="HTML_OS" hidden="1">0</definedName>
    <definedName name="HTML_PathFile" hidden="1">"C:\MNMGEN\ridf5\MyHTML.htm"</definedName>
    <definedName name="HTML_Title" hidden="1">"absjanfeb2k"</definedName>
    <definedName name="HYD_EXCAVATOR" localSheetId="21">#REF!</definedName>
    <definedName name="HYSD" localSheetId="21">#REF!</definedName>
    <definedName name="i" localSheetId="15">[88]Lead!#REF!</definedName>
    <definedName name="i" localSheetId="20">[88]Lead!#REF!</definedName>
    <definedName name="i" localSheetId="18">[88]Lead!#REF!</definedName>
    <definedName name="i" localSheetId="13">[88]Lead!#REF!</definedName>
    <definedName name="i" localSheetId="21">[88]Lead!#REF!</definedName>
    <definedName name="id" localSheetId="21">#REF!</definedName>
    <definedName name="id10.0" localSheetId="21">#REF!</definedName>
    <definedName name="id2.5" localSheetId="21">#REF!</definedName>
    <definedName name="id4.0" localSheetId="21">#REF!</definedName>
    <definedName name="id6.0" localSheetId="21">#REF!</definedName>
    <definedName name="iiii" localSheetId="15">[77]Labour!$D$5</definedName>
    <definedName name="iiii" localSheetId="20">[77]Labour!$D$5</definedName>
    <definedName name="iiii" localSheetId="13">[77]Labour!$D$5</definedName>
    <definedName name="impervious_coat" localSheetId="21">#REF!</definedName>
    <definedName name="Index" localSheetId="2" hidden="1">{"'ridftotal'!$A$4:$S$27"}</definedName>
    <definedName name="Index" hidden="1">{"'ridftotal'!$A$4:$S$27"}</definedName>
    <definedName name="Int" localSheetId="15">#REF!</definedName>
    <definedName name="Int" localSheetId="20">#REF!</definedName>
    <definedName name="Int" localSheetId="13">#REF!</definedName>
    <definedName name="Int" localSheetId="21">#REF!</definedName>
    <definedName name="Interest_Rate" localSheetId="15">#REF!</definedName>
    <definedName name="Interest_Rate" localSheetId="20">#REF!</definedName>
    <definedName name="Interest_Rate" localSheetId="13">#REF!</definedName>
    <definedName name="Interest_Rate" localSheetId="21">#REF!</definedName>
    <definedName name="interlocking" localSheetId="21">#REF!</definedName>
    <definedName name="io" localSheetId="16">DATE(YEAR(Loan_Start),MONTH(Loan_Start)+Payment_Number,DAY(Loan_Start))</definedName>
    <definedName name="io" localSheetId="19">DATE(YEAR(Loan_Start),MONTH(Loan_Start)+Payment_Number,DAY(Loan_Start))</definedName>
    <definedName name="io" localSheetId="18">DATE(YEAR([0]!Loan_Start),MONTH([0]!Loan_Start)+Payment_Number,DAY([0]!Loan_Start))</definedName>
    <definedName name="io" localSheetId="14">DATE(YEAR(Loan_Start),MONTH(Loan_Start)+Payment_Number,DAY(Loan_Start))</definedName>
    <definedName name="io" localSheetId="21">DATE(YEAR('Water Supply'!Loan_Start),MONTH('Water Supply'!Loan_Start)+Payment_Number,DAY('Water Supply'!Loan_Start))</definedName>
    <definedName name="IOPIY" localSheetId="21">[80]Material!$D$47</definedName>
    <definedName name="jkj" localSheetId="18">[89]Lead!#REF!</definedName>
    <definedName name="jkj" localSheetId="21">[90]Lead!#REF!</definedName>
    <definedName name="jl" localSheetId="21">'[87]Plant &amp;  Machinery'!$G$27</definedName>
    <definedName name="jlkjlklklk" localSheetId="18">#REF!</definedName>
    <definedName name="jlkjlklklk" localSheetId="21">#REF!</definedName>
    <definedName name="JUIO" localSheetId="21">[80]Material!$D$51</definedName>
    <definedName name="JUNGLE" localSheetId="21">#REF!</definedName>
    <definedName name="k" localSheetId="15">#REF!</definedName>
    <definedName name="k" localSheetId="20">#REF!</definedName>
    <definedName name="k" localSheetId="13">#REF!</definedName>
    <definedName name="k" localSheetId="21">[4]leads!$A$3:$E$108</definedName>
    <definedName name="ka" localSheetId="15">#REF!</definedName>
    <definedName name="ka" localSheetId="20">#REF!</definedName>
    <definedName name="ka" localSheetId="13">#REF!</definedName>
    <definedName name="ka" localSheetId="21">#REF!</definedName>
    <definedName name="KADA" localSheetId="2" hidden="1">{"'ridftotal'!$A$4:$S$27"}</definedName>
    <definedName name="KADA" hidden="1">{"'ridftotal'!$A$4:$S$27"}</definedName>
    <definedName name="kADAPA" localSheetId="2" hidden="1">{"'ridftotal'!$A$4:$S$27"}</definedName>
    <definedName name="kADAPA" hidden="1">{"'ridftotal'!$A$4:$S$27"}</definedName>
    <definedName name="kasre" localSheetId="21">[58]Material!$D$18</definedName>
    <definedName name="kdersa" localSheetId="21">[53]Material!$D$49</definedName>
    <definedName name="key" localSheetId="21">#REF!</definedName>
    <definedName name="kj" localSheetId="15">'[91]Plant &amp;  Machinery'!$G$48</definedName>
    <definedName name="kj" localSheetId="20">'[91]Plant &amp;  Machinery'!$G$48</definedName>
    <definedName name="kj" localSheetId="13">'[91]Plant &amp;  Machinery'!$G$48</definedName>
    <definedName name="kj" localSheetId="21">'[92]Plant &amp;  Machinery'!$G$48</definedName>
    <definedName name="kjghd" localSheetId="16">OFFSET(Abstract!Full_Print,0,0,'GEn Abst'!Last_Row)</definedName>
    <definedName name="kjghd" localSheetId="19">OFFSET(Abstract!Full_Print,0,0,Seigniorage!Last_Row)</definedName>
    <definedName name="kjghd" localSheetId="18">OFFSET(Abstract!Full_Print,0,0,'Seigniorage (2)'!Last_Row)</definedName>
    <definedName name="kjghd" localSheetId="14">OFFSET(Abstract!Full_Print,0,0,SPECIFIC!Last_Row)</definedName>
    <definedName name="kjghd" localSheetId="21">OFFSET('Water Supply'!Full_Print,0,0,'Water Supply'!Last_Row)</definedName>
    <definedName name="kk" localSheetId="21">#REF!</definedName>
    <definedName name="km10th" localSheetId="15">#REF!</definedName>
    <definedName name="km10th" localSheetId="20">#REF!</definedName>
    <definedName name="km10th" localSheetId="18">#REF!</definedName>
    <definedName name="km10th" localSheetId="13">#REF!</definedName>
    <definedName name="km10th" localSheetId="21">#REF!</definedName>
    <definedName name="km11th" localSheetId="15">#REF!</definedName>
    <definedName name="km11th" localSheetId="20">#REF!</definedName>
    <definedName name="km11th" localSheetId="18">#REF!</definedName>
    <definedName name="km11th" localSheetId="13">#REF!</definedName>
    <definedName name="km11th" localSheetId="21">#REF!</definedName>
    <definedName name="km12th" localSheetId="15">#REF!</definedName>
    <definedName name="km12th" localSheetId="20">#REF!</definedName>
    <definedName name="km12th" localSheetId="18">#REF!</definedName>
    <definedName name="km12th" localSheetId="13">#REF!</definedName>
    <definedName name="km12th" localSheetId="21">#REF!</definedName>
    <definedName name="km13th" localSheetId="15">#REF!</definedName>
    <definedName name="km13th" localSheetId="20">#REF!</definedName>
    <definedName name="km13th" localSheetId="18">#REF!</definedName>
    <definedName name="km13th" localSheetId="13">#REF!</definedName>
    <definedName name="km13th" localSheetId="21">#REF!</definedName>
    <definedName name="km14th" localSheetId="15">#REF!</definedName>
    <definedName name="km14th" localSheetId="20">#REF!</definedName>
    <definedName name="km14th" localSheetId="18">#REF!</definedName>
    <definedName name="km14th" localSheetId="13">#REF!</definedName>
    <definedName name="km14th" localSheetId="21">#REF!</definedName>
    <definedName name="km16th" localSheetId="15">#REF!</definedName>
    <definedName name="km16th" localSheetId="20">#REF!</definedName>
    <definedName name="km16th" localSheetId="18">#REF!</definedName>
    <definedName name="km16th" localSheetId="13">#REF!</definedName>
    <definedName name="km16th" localSheetId="21">#REF!</definedName>
    <definedName name="km17th" localSheetId="15">#REF!</definedName>
    <definedName name="km17th" localSheetId="20">#REF!</definedName>
    <definedName name="km17th" localSheetId="18">#REF!</definedName>
    <definedName name="km17th" localSheetId="13">#REF!</definedName>
    <definedName name="km17th" localSheetId="21">#REF!</definedName>
    <definedName name="km18th" localSheetId="15">#REF!</definedName>
    <definedName name="km18th" localSheetId="20">#REF!</definedName>
    <definedName name="km18th" localSheetId="18">#REF!</definedName>
    <definedName name="km18th" localSheetId="13">#REF!</definedName>
    <definedName name="km18th" localSheetId="21">#REF!</definedName>
    <definedName name="km19th" localSheetId="15">#REF!</definedName>
    <definedName name="km19th" localSheetId="20">#REF!</definedName>
    <definedName name="km19th" localSheetId="18">#REF!</definedName>
    <definedName name="km19th" localSheetId="13">#REF!</definedName>
    <definedName name="km19th" localSheetId="21">#REF!</definedName>
    <definedName name="km20th" localSheetId="15">#REF!</definedName>
    <definedName name="km20th" localSheetId="20">#REF!</definedName>
    <definedName name="km20th" localSheetId="18">#REF!</definedName>
    <definedName name="km20th" localSheetId="13">#REF!</definedName>
    <definedName name="km20th" localSheetId="21">#REF!</definedName>
    <definedName name="km2nd" localSheetId="15">#REF!</definedName>
    <definedName name="km2nd" localSheetId="20">#REF!</definedName>
    <definedName name="km2nd" localSheetId="18">#REF!</definedName>
    <definedName name="km2nd" localSheetId="13">#REF!</definedName>
    <definedName name="km2nd" localSheetId="21">#REF!</definedName>
    <definedName name="km3rd" localSheetId="15">#REF!</definedName>
    <definedName name="km3rd" localSheetId="20">#REF!</definedName>
    <definedName name="km3rd" localSheetId="18">#REF!</definedName>
    <definedName name="km3rd" localSheetId="13">#REF!</definedName>
    <definedName name="km3rd" localSheetId="21">#REF!</definedName>
    <definedName name="km4th" localSheetId="15">#REF!</definedName>
    <definedName name="km4th" localSheetId="20">#REF!</definedName>
    <definedName name="km4th" localSheetId="18">#REF!</definedName>
    <definedName name="km4th" localSheetId="13">#REF!</definedName>
    <definedName name="km4th" localSheetId="21">#REF!</definedName>
    <definedName name="km5th" localSheetId="15">#REF!</definedName>
    <definedName name="km5th" localSheetId="20">#REF!</definedName>
    <definedName name="km5th" localSheetId="18">#REF!</definedName>
    <definedName name="km5th" localSheetId="13">#REF!</definedName>
    <definedName name="km5th" localSheetId="21">#REF!</definedName>
    <definedName name="km6th" localSheetId="15">#REF!</definedName>
    <definedName name="km6th" localSheetId="20">#REF!</definedName>
    <definedName name="km6th" localSheetId="18">#REF!</definedName>
    <definedName name="km6th" localSheetId="13">#REF!</definedName>
    <definedName name="km6th" localSheetId="21">#REF!</definedName>
    <definedName name="km7th" localSheetId="15">#REF!</definedName>
    <definedName name="km7th" localSheetId="20">#REF!</definedName>
    <definedName name="km7th" localSheetId="18">#REF!</definedName>
    <definedName name="km7th" localSheetId="13">#REF!</definedName>
    <definedName name="km7th" localSheetId="21">#REF!</definedName>
    <definedName name="km8th" localSheetId="15">#REF!</definedName>
    <definedName name="km8th" localSheetId="20">#REF!</definedName>
    <definedName name="km8th" localSheetId="18">#REF!</definedName>
    <definedName name="km8th" localSheetId="13">#REF!</definedName>
    <definedName name="km8th" localSheetId="21">#REF!</definedName>
    <definedName name="km9th" localSheetId="15">#REF!</definedName>
    <definedName name="km9th" localSheetId="20">#REF!</definedName>
    <definedName name="km9th" localSheetId="18">#REF!</definedName>
    <definedName name="km9th" localSheetId="13">#REF!</definedName>
    <definedName name="km9th" localSheetId="21">#REF!</definedName>
    <definedName name="Knr" localSheetId="15">#REF!</definedName>
    <definedName name="Knr" localSheetId="20">#REF!</definedName>
    <definedName name="Knr" localSheetId="13">#REF!</definedName>
    <definedName name="Knr" localSheetId="21">#REF!</definedName>
    <definedName name="L_Bhisti" localSheetId="15">[93]Labour!$D$3</definedName>
    <definedName name="L_Bhisti" localSheetId="20">[93]Labour!$D$3</definedName>
    <definedName name="L_Bhisti" localSheetId="13">[93]Labour!$D$3</definedName>
    <definedName name="L_Bhisti" localSheetId="21">[94]Labour!$D$3</definedName>
    <definedName name="L_Blacksmith" localSheetId="15">[93]Labour!$D$5</definedName>
    <definedName name="L_Blacksmith" localSheetId="20">[93]Labour!$D$5</definedName>
    <definedName name="L_Blacksmith" localSheetId="13">[93]Labour!$D$5</definedName>
    <definedName name="L_Blacksmith" localSheetId="21">[94]Labour!$D$5</definedName>
    <definedName name="L_Blaster" localSheetId="15">[95]Labour!$D$6</definedName>
    <definedName name="L_Blaster" localSheetId="20">[95]Labour!$D$6</definedName>
    <definedName name="L_Blaster" localSheetId="13">[95]Labour!$D$6</definedName>
    <definedName name="L_Blaster" localSheetId="21">[96]Labour!$D$6</definedName>
    <definedName name="L_Carpenter_1stClass" localSheetId="15">[97]Labour!$D$7</definedName>
    <definedName name="L_Carpenter_1stClass" localSheetId="20">[97]Labour!$D$7</definedName>
    <definedName name="L_Carpenter_1stClass" localSheetId="13">[97]Labour!$D$7</definedName>
    <definedName name="L_Carpenter_1stClass" localSheetId="21">[98]Labour!$D$7</definedName>
    <definedName name="L_Chiseller" localSheetId="15">[97]Labour!$D$9</definedName>
    <definedName name="L_Chiseller" localSheetId="20">[97]Labour!$D$9</definedName>
    <definedName name="L_Chiseller" localSheetId="13">[97]Labour!$D$9</definedName>
    <definedName name="L_Chiseller" localSheetId="21">[98]Labour!$D$9</definedName>
    <definedName name="L_Dresser_Skilled" localSheetId="15">[97]Labour!$D$10</definedName>
    <definedName name="L_Dresser_Skilled" localSheetId="20">[97]Labour!$D$10</definedName>
    <definedName name="L_Dresser_Skilled" localSheetId="13">[97]Labour!$D$10</definedName>
    <definedName name="L_Dresser_Skilled" localSheetId="21">[98]Labour!$D$10</definedName>
    <definedName name="L_Driller" localSheetId="15">[95]Labour!$D$11</definedName>
    <definedName name="L_Driller" localSheetId="20">[95]Labour!$D$11</definedName>
    <definedName name="L_Driller" localSheetId="13">[95]Labour!$D$11</definedName>
    <definedName name="L_Driller" localSheetId="21">[96]Labour!$D$11</definedName>
    <definedName name="L_Fitter" localSheetId="15">[99]Labour!$D$13</definedName>
    <definedName name="L_Fitter" localSheetId="20">[99]Labour!$D$13</definedName>
    <definedName name="L_Fitter" localSheetId="13">[99]Labour!$D$13</definedName>
    <definedName name="L_Fitter" localSheetId="21">[100]Labour!$D$13</definedName>
    <definedName name="L_Mason_1stClass" localSheetId="15">[93]Labour!$D$14</definedName>
    <definedName name="L_Mason_1stClass" localSheetId="20">[93]Labour!$D$14</definedName>
    <definedName name="L_Mason_1stClass" localSheetId="13">[93]Labour!$D$14</definedName>
    <definedName name="L_Mason_1stClass" localSheetId="21">[94]Labour!$D$14</definedName>
    <definedName name="L_Mason_2ndClass" localSheetId="15">[93]Labour!$D$15</definedName>
    <definedName name="L_Mason_2ndClass" localSheetId="20">[93]Labour!$D$15</definedName>
    <definedName name="L_Mason_2ndClass" localSheetId="13">[93]Labour!$D$15</definedName>
    <definedName name="L_Mason_2ndClass" localSheetId="21">[94]Labour!$D$15</definedName>
    <definedName name="L_Mate" localSheetId="15">[93]Labour!$D$16</definedName>
    <definedName name="L_Mate" localSheetId="20">[93]Labour!$D$16</definedName>
    <definedName name="L_Mate" localSheetId="13">[93]Labour!$D$16</definedName>
    <definedName name="L_Mate" localSheetId="21">[94]Labour!$D$16</definedName>
    <definedName name="L_Mazdoor" localSheetId="15">[93]Labour!$D$17</definedName>
    <definedName name="L_Mazdoor" localSheetId="20">[93]Labour!$D$17</definedName>
    <definedName name="L_Mazdoor" localSheetId="13">[93]Labour!$D$17</definedName>
    <definedName name="L_Mazdoor" localSheetId="21">[94]Labour!$D$17</definedName>
    <definedName name="L_Mazdoor_Semi" localSheetId="15">[93]Labour!$D$18</definedName>
    <definedName name="L_Mazdoor_Semi" localSheetId="20">[93]Labour!$D$18</definedName>
    <definedName name="L_Mazdoor_Semi" localSheetId="13">[93]Labour!$D$18</definedName>
    <definedName name="L_Mazdoor_Semi" localSheetId="21">[94]Labour!$D$18</definedName>
    <definedName name="L_Mazdoor_Skilled" localSheetId="15">[93]Labour!$D$19</definedName>
    <definedName name="L_Mazdoor_Skilled" localSheetId="20">[93]Labour!$D$19</definedName>
    <definedName name="L_Mazdoor_Skilled" localSheetId="13">[93]Labour!$D$19</definedName>
    <definedName name="L_Mazdoor_Skilled" localSheetId="21">[94]Labour!$D$19</definedName>
    <definedName name="L_Painter_1stClass" localSheetId="15">[97]Labour!$D$20</definedName>
    <definedName name="L_Painter_1stClass" localSheetId="20">[97]Labour!$D$20</definedName>
    <definedName name="L_Painter_1stClass" localSheetId="13">[97]Labour!$D$20</definedName>
    <definedName name="L_Painter_1stClass" localSheetId="21">[98]Labour!$D$20</definedName>
    <definedName name="L_PLUMBER" localSheetId="15">#REF!</definedName>
    <definedName name="L_PLUMBER" localSheetId="20">#REF!</definedName>
    <definedName name="L_PLUMBER" localSheetId="13">#REF!</definedName>
    <definedName name="L_Plumber" localSheetId="21">[98]Labour!$D$21</definedName>
    <definedName name="L_Surveyor" localSheetId="15">[93]Labour!$D$22</definedName>
    <definedName name="L_Surveyor" localSheetId="20">[93]Labour!$D$22</definedName>
    <definedName name="L_Surveyor" localSheetId="13">[93]Labour!$D$22</definedName>
    <definedName name="L_Surveyor" localSheetId="21">[94]Labour!$D$22</definedName>
    <definedName name="L_WhiteWasher" localSheetId="15">[97]Labour!$D$23</definedName>
    <definedName name="L_WhiteWasher" localSheetId="20">[97]Labour!$D$23</definedName>
    <definedName name="L_WhiteWasher" localSheetId="13">[97]Labour!$D$23</definedName>
    <definedName name="L_WhiteWasher" localSheetId="21">[98]Labour!$D$23</definedName>
    <definedName name="lali" localSheetId="21">#REF!</definedName>
    <definedName name="Last_Row" localSheetId="15">IF(Abstract!Values_Entered,Abstract!Header_Row+Abstract!Number_of_Payments,Abstract!Header_Row)</definedName>
    <definedName name="Last_Row" localSheetId="20">IF('Data without water  (2)'!Values_Entered,'Data without water  (2)'!Header_Row+'Data without water  (2)'!Number_of_Payments,'Data without water  (2)'!Header_Row)</definedName>
    <definedName name="Last_Row" localSheetId="16">IF('GEn Abst'!Values_Entered,Abstract!Header_Row+'GEn Abst'!Number_of_Payments,Abstract!Header_Row)</definedName>
    <definedName name="Last_Row" localSheetId="19">IF(Seigniorage!Values_Entered,Abstract!Header_Row+Seigniorage!Number_of_Payments,Abstract!Header_Row)</definedName>
    <definedName name="Last_Row" localSheetId="18">IF('Seigniorage (2)'!Values_Entered,Abstract!Header_Row+'Seigniorage (2)'!Number_of_Payments,Abstract!Header_Row)</definedName>
    <definedName name="Last_Row" localSheetId="13">IF(Sp.Report!Values_Entered,Sp.Report!Header_Row+Sp.Report!Number_of_Payments,Sp.Report!Header_Row)</definedName>
    <definedName name="Last_Row" localSheetId="14">IF(SPECIFIC!Values_Entered,Abstract!Header_Row+SPECIFIC!Number_of_Payments,Abstract!Header_Row)</definedName>
    <definedName name="Last_Row" localSheetId="21">IF('Water Supply'!Values_Entered,'Water Supply'!Header_Row+'Water Supply'!Number_of_Payments,'Water Supply'!Header_Row)</definedName>
    <definedName name="laxdr" localSheetId="21">[101]Material!$D$40</definedName>
    <definedName name="LBM" localSheetId="21">#REF!</definedName>
    <definedName name="le" localSheetId="15">#REF!</definedName>
    <definedName name="le" localSheetId="20">#REF!</definedName>
    <definedName name="le" localSheetId="13">#REF!</definedName>
    <definedName name="le" localSheetId="21">#REF!</definedName>
    <definedName name="lead_prin" localSheetId="21">#REF!</definedName>
    <definedName name="lead3" localSheetId="21">#REF!</definedName>
    <definedName name="leadprin" localSheetId="21">#REF!</definedName>
    <definedName name="leads" localSheetId="15">#REF!</definedName>
    <definedName name="leads" localSheetId="20">#REF!</definedName>
    <definedName name="leads" localSheetId="18">#REF!</definedName>
    <definedName name="leads" localSheetId="13">#REF!</definedName>
    <definedName name="leads" localSheetId="21">#REF!</definedName>
    <definedName name="leads1" localSheetId="21">[102]leads!$A$3:$F$53</definedName>
    <definedName name="leads11" localSheetId="21">[13]leads!$A$3:$E$107</definedName>
    <definedName name="legend" localSheetId="21">#REF!</definedName>
    <definedName name="Li" localSheetId="13">#REF!</definedName>
    <definedName name="Li" localSheetId="21">#REF!</definedName>
    <definedName name="Loan_Amount" localSheetId="15">#REF!</definedName>
    <definedName name="Loan_Amount" localSheetId="20">#REF!</definedName>
    <definedName name="Loan_Amount" localSheetId="13">#REF!</definedName>
    <definedName name="Loan_Amount" localSheetId="21">#REF!</definedName>
    <definedName name="Loan_Start" localSheetId="15">#REF!</definedName>
    <definedName name="Loan_Start" localSheetId="20">#REF!</definedName>
    <definedName name="Loan_Start" localSheetId="13">#REF!</definedName>
    <definedName name="Loan_Start" localSheetId="21">#REF!</definedName>
    <definedName name="Loan_Years" localSheetId="15">#REF!</definedName>
    <definedName name="Loan_Years" localSheetId="20">#REF!</definedName>
    <definedName name="Loan_Years" localSheetId="13">#REF!</definedName>
    <definedName name="Loan_Years" localSheetId="21">#REF!</definedName>
    <definedName name="lwb" localSheetId="13">#REF!</definedName>
    <definedName name="lwb" localSheetId="21">#REF!</definedName>
    <definedName name="M_ACPipe_100" localSheetId="15">[95]Material!$D$3</definedName>
    <definedName name="M_ACPipe_100" localSheetId="20">[95]Material!$D$3</definedName>
    <definedName name="M_ACPipe_100" localSheetId="13">[95]Material!$D$3</definedName>
    <definedName name="M_ACPipe_100" localSheetId="21">[96]Material!$D$3</definedName>
    <definedName name="M_Aggregate_10" localSheetId="15">[93]Material!$D$17</definedName>
    <definedName name="M_Aggregate_10" localSheetId="20">[93]Material!$D$17</definedName>
    <definedName name="M_Aggregate_10" localSheetId="13">[93]Material!$D$17</definedName>
    <definedName name="M_Aggregate_10" localSheetId="21">[94]Material!$D$17</definedName>
    <definedName name="M_Aggregate_20" localSheetId="15">[93]Material!$D$18</definedName>
    <definedName name="M_Aggregate_20" localSheetId="20">[93]Material!$D$18</definedName>
    <definedName name="M_Aggregate_20" localSheetId="13">[93]Material!$D$18</definedName>
    <definedName name="M_Aggregate_20" localSheetId="21">[94]Material!$D$18</definedName>
    <definedName name="M_Aggregate_224_236m_WMM" localSheetId="15">[97]Material!$D$26</definedName>
    <definedName name="M_Aggregate_224_236m_WMM" localSheetId="20">[97]Material!$D$26</definedName>
    <definedName name="M_Aggregate_224_236m_WMM" localSheetId="13">[97]Material!$D$26</definedName>
    <definedName name="M_Aggregate_224_236m_WMM" localSheetId="21">[98]Material!$D$26</definedName>
    <definedName name="M_Aggregate_375mmMaximum_224_56mm" localSheetId="15">[93]Material!$D$4</definedName>
    <definedName name="M_Aggregate_375mmMaximum_224_56mm" localSheetId="20">[93]Material!$D$4</definedName>
    <definedName name="M_Aggregate_375mmMaximum_224_56mm" localSheetId="13">[93]Material!$D$4</definedName>
    <definedName name="M_Aggregate_375mmMaximum_224_56mm" localSheetId="21">[94]Material!$D$4</definedName>
    <definedName name="M_Aggregate_375mmMaximum_45_225mm" localSheetId="15">[97]Material!$D$5</definedName>
    <definedName name="M_Aggregate_375mmMaximum_45_225mm" localSheetId="20">[97]Material!$D$5</definedName>
    <definedName name="M_Aggregate_375mmMaximum_45_225mm" localSheetId="13">[97]Material!$D$5</definedName>
    <definedName name="M_Aggregate_375mmMaximum_45_225mm" localSheetId="21">[98]Material!$D$5</definedName>
    <definedName name="M_Aggregate_375mmMaximum_Below_56mm" localSheetId="15">[97]Material!$D$6</definedName>
    <definedName name="M_Aggregate_375mmMaximum_Below_56mm" localSheetId="20">[97]Material!$D$6</definedName>
    <definedName name="M_Aggregate_375mmMaximum_Below_56mm" localSheetId="13">[97]Material!$D$6</definedName>
    <definedName name="M_Aggregate_375mmMaximum_Below_56mm" localSheetId="21">[98]Material!$D$6</definedName>
    <definedName name="M_Aggregate_40" localSheetId="15">[93]Material!$D$19</definedName>
    <definedName name="M_Aggregate_40" localSheetId="20">[93]Material!$D$19</definedName>
    <definedName name="M_Aggregate_40" localSheetId="13">[93]Material!$D$19</definedName>
    <definedName name="M_Aggregate_40" localSheetId="21">[94]Material!$D$19</definedName>
    <definedName name="M_Aggregate_45_224m_WMM" localSheetId="15">[97]Material!$D$27</definedName>
    <definedName name="M_Aggregate_45_224m_WMM" localSheetId="20">[97]Material!$D$27</definedName>
    <definedName name="M_Aggregate_45_224m_WMM" localSheetId="13">[97]Material!$D$27</definedName>
    <definedName name="M_Aggregate_45_224m_WMM" localSheetId="21">[98]Material!$D$27</definedName>
    <definedName name="M_Aggregate_53mmMaximum_225_56mm" localSheetId="15">[97]Material!$D$7</definedName>
    <definedName name="M_Aggregate_53mmMaximum_225_56mm" localSheetId="20">[97]Material!$D$7</definedName>
    <definedName name="M_Aggregate_53mmMaximum_225_56mm" localSheetId="13">[97]Material!$D$7</definedName>
    <definedName name="M_Aggregate_53mmMaximum_225_56mm" localSheetId="21">[98]Material!$D$7</definedName>
    <definedName name="M_Aggregate_53mmMaximum_63_45mm" localSheetId="15">[97]Material!$D$8</definedName>
    <definedName name="M_Aggregate_53mmMaximum_63_45mm" localSheetId="20">[97]Material!$D$8</definedName>
    <definedName name="M_Aggregate_53mmMaximum_63_45mm" localSheetId="13">[97]Material!$D$8</definedName>
    <definedName name="M_Aggregate_53mmMaximum_63_45mm" localSheetId="21">[98]Material!$D$8</definedName>
    <definedName name="M_Aggregate_53mmMaximum_below_56mm" localSheetId="15">[97]Material!$D$9</definedName>
    <definedName name="M_Aggregate_53mmMaximum_below_56mm" localSheetId="20">[97]Material!$D$9</definedName>
    <definedName name="M_Aggregate_53mmMaximum_below_56mm" localSheetId="13">[97]Material!$D$9</definedName>
    <definedName name="M_Aggregate_53mmMaximum_below_56mm" localSheetId="21">[98]Material!$D$9</definedName>
    <definedName name="M_Aggregate_Crushable_GradeI" localSheetId="15">[97]Material!$D$20</definedName>
    <definedName name="M_Aggregate_Crushable_GradeI" localSheetId="20">[97]Material!$D$20</definedName>
    <definedName name="M_Aggregate_Crushable_GradeI" localSheetId="13">[97]Material!$D$20</definedName>
    <definedName name="M_Aggregate_Crushable_GradeI" localSheetId="21">[98]Material!$D$20</definedName>
    <definedName name="M_Aggregate_Crushable_GradeII" localSheetId="15">[97]Material!$D$21</definedName>
    <definedName name="M_Aggregate_Crushable_GradeII" localSheetId="20">[97]Material!$D$21</definedName>
    <definedName name="M_Aggregate_Crushable_GradeII" localSheetId="13">[97]Material!$D$21</definedName>
    <definedName name="M_Aggregate_Crushable_GradeII" localSheetId="21">[98]Material!$D$21</definedName>
    <definedName name="M_Aggregate_Crushable_GradeIII" localSheetId="15">[97]Material!$D$22</definedName>
    <definedName name="M_Aggregate_Crushable_GradeIII" localSheetId="20">[97]Material!$D$22</definedName>
    <definedName name="M_Aggregate_Crushable_GradeIII" localSheetId="13">[97]Material!$D$22</definedName>
    <definedName name="M_Aggregate_Crushable_GradeIII" localSheetId="21">[98]Material!$D$22</definedName>
    <definedName name="M_Aggregate_GradeI_40mmNominal_10_5mm" localSheetId="15">[97]Material!$D$10</definedName>
    <definedName name="M_Aggregate_GradeI_40mmNominal_10_5mm" localSheetId="20">[97]Material!$D$10</definedName>
    <definedName name="M_Aggregate_GradeI_40mmNominal_10_5mm" localSheetId="13">[97]Material!$D$10</definedName>
    <definedName name="M_Aggregate_GradeI_40mmNominal_10_5mm" localSheetId="21">[98]Material!$D$10</definedName>
    <definedName name="M_Aggregate_GradeI_40mmNominal_25_10mm" localSheetId="15">[97]Material!$D$11</definedName>
    <definedName name="M_Aggregate_GradeI_40mmNominal_25_10mm" localSheetId="20">[97]Material!$D$11</definedName>
    <definedName name="M_Aggregate_GradeI_40mmNominal_25_10mm" localSheetId="13">[97]Material!$D$11</definedName>
    <definedName name="M_Aggregate_GradeI_40mmNominal_25_10mm" localSheetId="21">[98]Material!$D$11</definedName>
    <definedName name="M_Aggregate_GradeI_40mmNominal_3725_25mm" localSheetId="15">[97]Material!$D$12</definedName>
    <definedName name="M_Aggregate_GradeI_40mmNominal_3725_25mm" localSheetId="20">[97]Material!$D$12</definedName>
    <definedName name="M_Aggregate_GradeI_40mmNominal_3725_25mm" localSheetId="13">[97]Material!$D$12</definedName>
    <definedName name="M_Aggregate_GradeI_40mmNominal_3725_25mm" localSheetId="21">[98]Material!$D$12</definedName>
    <definedName name="M_Aggregate_GradeI_40mmNominal_5mm" localSheetId="15">[97]Material!$D$13</definedName>
    <definedName name="M_Aggregate_GradeI_40mmNominal_5mm" localSheetId="20">[97]Material!$D$13</definedName>
    <definedName name="M_Aggregate_GradeI_40mmNominal_5mm" localSheetId="13">[97]Material!$D$13</definedName>
    <definedName name="M_Aggregate_GradeI_40mmNominal_5mm" localSheetId="21">[98]Material!$D$13</definedName>
    <definedName name="M_Aggregate_GradeI_90_45mm" localSheetId="15">[97]Material!$D$23</definedName>
    <definedName name="M_Aggregate_GradeI_90_45mm" localSheetId="20">[97]Material!$D$23</definedName>
    <definedName name="M_Aggregate_GradeI_90_45mm" localSheetId="13">[97]Material!$D$23</definedName>
    <definedName name="M_Aggregate_GradeI_90_45mm" localSheetId="21">[98]Material!$D$23</definedName>
    <definedName name="M_Aggregate_GradeII_19mmNominal_10_5mm" localSheetId="15">[103]Material!$D$14</definedName>
    <definedName name="M_Aggregate_GradeII_19mmNominal_10_5mm" localSheetId="20">[103]Material!$D$14</definedName>
    <definedName name="M_Aggregate_GradeII_19mmNominal_10_5mm" localSheetId="13">[103]Material!$D$14</definedName>
    <definedName name="M_Aggregate_GradeII_19mmNominal_10_5mm" localSheetId="21">[104]Material!$D$14</definedName>
    <definedName name="M_Aggregate_GradeII_19mmNominal_25_10mm" localSheetId="15">[103]Material!$D$15</definedName>
    <definedName name="M_Aggregate_GradeII_19mmNominal_25_10mm" localSheetId="20">[103]Material!$D$15</definedName>
    <definedName name="M_Aggregate_GradeII_19mmNominal_25_10mm" localSheetId="13">[103]Material!$D$15</definedName>
    <definedName name="M_Aggregate_GradeII_19mmNominal_25_10mm" localSheetId="21">[104]Material!$D$15</definedName>
    <definedName name="M_Aggregate_GradeII_19mmNominal_5mm_below" localSheetId="15">[103]Material!$D$16</definedName>
    <definedName name="M_Aggregate_GradeII_19mmNominal_5mm_below" localSheetId="20">[103]Material!$D$16</definedName>
    <definedName name="M_Aggregate_GradeII_19mmNominal_5mm_below" localSheetId="13">[103]Material!$D$16</definedName>
    <definedName name="M_Aggregate_GradeII_19mmNominal_5mm_below" localSheetId="21">[104]Material!$D$16</definedName>
    <definedName name="M_Aggregate_GradeII_63_45mm" localSheetId="15">[97]Material!$D$24</definedName>
    <definedName name="M_Aggregate_GradeII_63_45mm" localSheetId="20">[97]Material!$D$24</definedName>
    <definedName name="M_Aggregate_GradeII_63_45mm" localSheetId="13">[97]Material!$D$24</definedName>
    <definedName name="M_Aggregate_GradeII_63_45mm" localSheetId="21">[98]Material!$D$24</definedName>
    <definedName name="M_Aggregate_GradeIII_53_224mm" localSheetId="15">[97]Material!$D$25</definedName>
    <definedName name="M_Aggregate_GradeIII_53_224mm" localSheetId="20">[97]Material!$D$25</definedName>
    <definedName name="M_Aggregate_GradeIII_53_224mm" localSheetId="13">[97]Material!$D$25</definedName>
    <definedName name="M_Aggregate_GradeIII_53_224mm" localSheetId="21">[98]Material!$D$25</definedName>
    <definedName name="M_AluminiumSheeting_15mm" localSheetId="15">[97]Material!$D$28</definedName>
    <definedName name="M_AluminiumSheeting_15mm" localSheetId="20">[97]Material!$D$28</definedName>
    <definedName name="M_AluminiumSheeting_15mm" localSheetId="13">[97]Material!$D$28</definedName>
    <definedName name="M_AluminiumSheeting_15mm" localSheetId="21">[98]Material!$D$28</definedName>
    <definedName name="M_AluminiumStuds_100_100_Lense" localSheetId="15">[97]Material!$D$29</definedName>
    <definedName name="M_AluminiumStuds_100_100_Lense" localSheetId="20">[97]Material!$D$29</definedName>
    <definedName name="M_AluminiumStuds_100_100_Lense" localSheetId="13">[97]Material!$D$29</definedName>
    <definedName name="M_AluminiumStuds_100_100_Lense" localSheetId="21">[98]Material!$D$29</definedName>
    <definedName name="M_Bamboo_1stClass_85_100mm_25m_long" localSheetId="15">[97]Material!$D$31</definedName>
    <definedName name="M_Bamboo_1stClass_85_100mm_25m_long" localSheetId="20">[97]Material!$D$31</definedName>
    <definedName name="M_Bamboo_1stClass_85_100mm_25m_long" localSheetId="13">[97]Material!$D$31</definedName>
    <definedName name="M_Bamboo_1stClass_85_100mm_25m_long" localSheetId="21">[98]Material!$D$31</definedName>
    <definedName name="M_Bamboo_1stClass_85_100mm_2m_long" localSheetId="15">[97]Material!$D$30</definedName>
    <definedName name="M_Bamboo_1stClass_85_100mm_2m_long" localSheetId="20">[97]Material!$D$30</definedName>
    <definedName name="M_Bamboo_1stClass_85_100mm_2m_long" localSheetId="13">[97]Material!$D$30</definedName>
    <definedName name="M_Bamboo_1stClass_85_100mm_2m_long" localSheetId="21">[98]Material!$D$30</definedName>
    <definedName name="M_Bamboo_1stClass_85_100mm_3m_long" localSheetId="15">[97]Material!$D$32</definedName>
    <definedName name="M_Bamboo_1stClass_85_100mm_3m_long" localSheetId="20">[97]Material!$D$32</definedName>
    <definedName name="M_Bamboo_1stClass_85_100mm_3m_long" localSheetId="13">[97]Material!$D$32</definedName>
    <definedName name="M_Bamboo_1stClass_85_100mm_3m_long" localSheetId="21">[98]Material!$D$32</definedName>
    <definedName name="M_Bamboo_1stClass_85_100mm_45_55m_long" localSheetId="15">[97]Material!$D$33</definedName>
    <definedName name="M_Bamboo_1stClass_85_100mm_45_55m_long" localSheetId="20">[97]Material!$D$33</definedName>
    <definedName name="M_Bamboo_1stClass_85_100mm_45_55m_long" localSheetId="13">[97]Material!$D$33</definedName>
    <definedName name="M_Bamboo_1stClass_85_100mm_45_55m_long" localSheetId="21">[98]Material!$D$33</definedName>
    <definedName name="M_Bamboo_2ndClass_75mm_18_25m_long" localSheetId="15">[97]Material!$D$34</definedName>
    <definedName name="M_Bamboo_2ndClass_75mm_18_25m_long" localSheetId="20">[97]Material!$D$34</definedName>
    <definedName name="M_Bamboo_2ndClass_75mm_18_25m_long" localSheetId="13">[97]Material!$D$34</definedName>
    <definedName name="M_Bamboo_2ndClass_75mm_18_25m_long" localSheetId="21">[98]Material!$D$34</definedName>
    <definedName name="M_Bamboo_2ndClass_75mm_21_30m_long" localSheetId="15">[97]Material!$D$35</definedName>
    <definedName name="M_Bamboo_2ndClass_75mm_21_30m_long" localSheetId="20">[97]Material!$D$35</definedName>
    <definedName name="M_Bamboo_2ndClass_75mm_21_30m_long" localSheetId="13">[97]Material!$D$35</definedName>
    <definedName name="M_Bamboo_2ndClass_75mm_21_30m_long" localSheetId="21">[98]Material!$D$35</definedName>
    <definedName name="M_BarbedWire" localSheetId="15">[97]Material!$D$36</definedName>
    <definedName name="M_BarbedWire" localSheetId="20">[97]Material!$D$36</definedName>
    <definedName name="M_BarbedWire" localSheetId="13">[97]Material!$D$36</definedName>
    <definedName name="M_BarbedWire" localSheetId="21">[98]Material!$D$36</definedName>
    <definedName name="M_BindingMaterial" localSheetId="15">[97]Material!$D$37</definedName>
    <definedName name="M_BindingMaterial" localSheetId="20">[97]Material!$D$37</definedName>
    <definedName name="M_BindingMaterial" localSheetId="13">[97]Material!$D$37</definedName>
    <definedName name="M_BindingMaterial" localSheetId="21">[98]Material!$D$37</definedName>
    <definedName name="M_BindingWire" localSheetId="15">[95]Material!$D$38</definedName>
    <definedName name="M_BindingWire" localSheetId="20">[95]Material!$D$38</definedName>
    <definedName name="M_BindingWire" localSheetId="13">[95]Material!$D$38</definedName>
    <definedName name="M_BindingWire" localSheetId="21">[96]Material!$D$38</definedName>
    <definedName name="M_Bitumen_CRM" localSheetId="15">[103]Material!$D$39</definedName>
    <definedName name="M_Bitumen_CRM" localSheetId="20">[103]Material!$D$39</definedName>
    <definedName name="M_Bitumen_CRM" localSheetId="13">[103]Material!$D$39</definedName>
    <definedName name="M_Bitumen_CRM" localSheetId="21">[104]Material!$D$39</definedName>
    <definedName name="M_Bitumen_NRM" localSheetId="15">[103]Material!$D$40</definedName>
    <definedName name="M_Bitumen_NRM" localSheetId="20">[103]Material!$D$40</definedName>
    <definedName name="M_Bitumen_NRM" localSheetId="13">[103]Material!$D$40</definedName>
    <definedName name="M_Bitumen_NRM" localSheetId="21">[104]Material!$D$40</definedName>
    <definedName name="M_Bitumen_PM" localSheetId="15">[103]Material!$D$41</definedName>
    <definedName name="M_Bitumen_PM" localSheetId="20">[103]Material!$D$41</definedName>
    <definedName name="M_Bitumen_PM" localSheetId="13">[103]Material!$D$41</definedName>
    <definedName name="M_Bitumen_PM" localSheetId="21">[104]Material!$D$41</definedName>
    <definedName name="M_BitumenEmulsion_RS1" localSheetId="15">[103]Material!$D$44</definedName>
    <definedName name="M_BitumenEmulsion_RS1" localSheetId="20">[103]Material!$D$44</definedName>
    <definedName name="M_BitumenEmulsion_RS1" localSheetId="13">[103]Material!$D$44</definedName>
    <definedName name="M_BitumenEmulsion_RS1" localSheetId="21">[104]Material!$D$44</definedName>
    <definedName name="M_BitumenEmulsion_SS1" localSheetId="15">[93]Material!$D$45</definedName>
    <definedName name="M_BitumenEmulsion_SS1" localSheetId="20">[93]Material!$D$45</definedName>
    <definedName name="M_BitumenEmulsion_SS1" localSheetId="13">[93]Material!$D$45</definedName>
    <definedName name="M_BitumenEmulsion_SS1" localSheetId="21">[94]Material!$D$45</definedName>
    <definedName name="M_BitumenSealant" localSheetId="15">[93]Material!$D$46</definedName>
    <definedName name="M_BitumenSealant" localSheetId="20">[93]Material!$D$46</definedName>
    <definedName name="M_BitumenSealant" localSheetId="13">[93]Material!$D$46</definedName>
    <definedName name="M_BitumenSealant" localSheetId="21">[94]Material!$D$46</definedName>
    <definedName name="M_Blasted_Rubble" localSheetId="15">[95]Material!$D$47</definedName>
    <definedName name="M_Blasted_Rubble" localSheetId="20">[95]Material!$D$47</definedName>
    <definedName name="M_Blasted_Rubble" localSheetId="13">[95]Material!$D$47</definedName>
    <definedName name="M_Blasted_Rubble" localSheetId="21">[96]Material!$D$47</definedName>
    <definedName name="M_BlastingMaterial" localSheetId="15">[95]Material!$D$48</definedName>
    <definedName name="M_BlastingMaterial" localSheetId="20">[95]Material!$D$48</definedName>
    <definedName name="M_BlastingMaterial" localSheetId="13">[95]Material!$D$48</definedName>
    <definedName name="M_BlastingMaterial" localSheetId="21">[96]Material!$D$48</definedName>
    <definedName name="M_BondStone_400_150_150mm" localSheetId="15">[95]Material!$D$49</definedName>
    <definedName name="M_BondStone_400_150_150mm" localSheetId="20">[95]Material!$D$49</definedName>
    <definedName name="M_BondStone_400_150_150mm" localSheetId="13">[95]Material!$D$49</definedName>
    <definedName name="M_BondStone_400_150_150mm" localSheetId="21">[96]Material!$D$49</definedName>
    <definedName name="M_Brick_1stClass" localSheetId="15">[95]Material!$D$50</definedName>
    <definedName name="M_Brick_1stClass" localSheetId="20">[95]Material!$D$50</definedName>
    <definedName name="M_Brick_1stClass" localSheetId="13">[95]Material!$D$50</definedName>
    <definedName name="M_Brick_1stClass" localSheetId="21">[96]Material!$D$50</definedName>
    <definedName name="M_Cement" localSheetId="15">[93]Material!$D$51</definedName>
    <definedName name="M_Cement" localSheetId="20">[93]Material!$D$51</definedName>
    <definedName name="M_Cement" localSheetId="13">[93]Material!$D$51</definedName>
    <definedName name="M_Cement" localSheetId="21">[94]Material!$D$51</definedName>
    <definedName name="M_CementPrimer" localSheetId="15">[97]Material!$D$52</definedName>
    <definedName name="M_CementPrimer" localSheetId="20">[97]Material!$D$52</definedName>
    <definedName name="M_CementPrimer" localSheetId="13">[97]Material!$D$52</definedName>
    <definedName name="M_CementPrimer" localSheetId="21">[98]Material!$D$52</definedName>
    <definedName name="M_ChlorpreneElastomer_OR_ClosedCellFoamSealingElement" localSheetId="15">[99]Material!$D$53</definedName>
    <definedName name="M_ChlorpreneElastomer_OR_ClosedCellFoamSealingElement" localSheetId="20">[99]Material!$D$53</definedName>
    <definedName name="M_ChlorpreneElastomer_OR_ClosedCellFoamSealingElement" localSheetId="13">[99]Material!$D$53</definedName>
    <definedName name="M_ChlorpreneElastomer_OR_ClosedCellFoamSealingElement" localSheetId="21">[100]Material!$D$53</definedName>
    <definedName name="M_CompressibleFibreBoard" localSheetId="15">[99]Material!$D$55</definedName>
    <definedName name="M_CompressibleFibreBoard" localSheetId="20">[99]Material!$D$55</definedName>
    <definedName name="M_CompressibleFibreBoard" localSheetId="13">[99]Material!$D$55</definedName>
    <definedName name="M_CompressibleFibreBoard" localSheetId="21">[100]Material!$D$55</definedName>
    <definedName name="M_CopperPlate" localSheetId="15">[99]Material!$D$56</definedName>
    <definedName name="M_CopperPlate" localSheetId="20">[99]Material!$D$56</definedName>
    <definedName name="M_CopperPlate" localSheetId="13">[99]Material!$D$56</definedName>
    <definedName name="M_CopperPlate" localSheetId="21">[100]Material!$D$56</definedName>
    <definedName name="M_CorrosionResistantStructuralSteelGrating" localSheetId="15">[99]Material!$D$58</definedName>
    <definedName name="M_CorrosionResistantStructuralSteelGrating" localSheetId="20">[99]Material!$D$58</definedName>
    <definedName name="M_CorrosionResistantStructuralSteelGrating" localSheetId="13">[99]Material!$D$58</definedName>
    <definedName name="M_CorrosionResistantStructuralSteelGrating" localSheetId="21">[100]Material!$D$58</definedName>
    <definedName name="M_CreditForExcavatedRock" localSheetId="15">[97]Material!$D$59</definedName>
    <definedName name="M_CreditForExcavatedRock" localSheetId="20">[97]Material!$D$59</definedName>
    <definedName name="M_CreditForExcavatedRock" localSheetId="13">[97]Material!$D$59</definedName>
    <definedName name="M_CreditForExcavatedRock" localSheetId="21">[98]Material!$D$59</definedName>
    <definedName name="M_CrushedSand_OR_Grit" localSheetId="15">[103]Material!$D$61</definedName>
    <definedName name="M_CrushedSand_OR_Grit" localSheetId="20">[103]Material!$D$61</definedName>
    <definedName name="M_CrushedSand_OR_Grit" localSheetId="13">[103]Material!$D$61</definedName>
    <definedName name="M_CrushedSand_OR_Grit" localSheetId="21">[104]Material!$D$61</definedName>
    <definedName name="M_CrushedSlag" localSheetId="15">[97]Material!$D$62</definedName>
    <definedName name="M_CrushedSlag" localSheetId="20">[97]Material!$D$62</definedName>
    <definedName name="M_CrushedSlag" localSheetId="13">[97]Material!$D$62</definedName>
    <definedName name="M_CrushedSlag" localSheetId="21">[98]Material!$D$62</definedName>
    <definedName name="M_CrushedStoneAggregate_265_75" localSheetId="15">[97]Material!$D$63</definedName>
    <definedName name="M_CrushedStoneAggregate_265_75" localSheetId="20">[97]Material!$D$63</definedName>
    <definedName name="M_CrushedStoneAggregate_265_75" localSheetId="13">[97]Material!$D$63</definedName>
    <definedName name="M_CrushedStoneAggregate_265_75" localSheetId="21">[98]Material!$D$63</definedName>
    <definedName name="M_CrushedStoneChipping_132" localSheetId="15">[103]Material!$D$64</definedName>
    <definedName name="M_CrushedStoneChipping_132" localSheetId="20">[103]Material!$D$64</definedName>
    <definedName name="M_CrushedStoneChipping_132" localSheetId="13">[103]Material!$D$64</definedName>
    <definedName name="M_CrushedStoneChipping_132" localSheetId="21">[104]Material!$D$64</definedName>
    <definedName name="M_CrushedStoneChipping_67mm_100Passing_112mm" localSheetId="15">[103]Material!$D$65</definedName>
    <definedName name="M_CrushedStoneChipping_67mm_100Passing_112mm" localSheetId="20">[103]Material!$D$65</definedName>
    <definedName name="M_CrushedStoneChipping_67mm_100Passing_112mm" localSheetId="13">[103]Material!$D$65</definedName>
    <definedName name="M_CrushedStoneChipping_67mm_100Passing_112mm" localSheetId="21">[104]Material!$D$65</definedName>
    <definedName name="M_CrushedStoneChipping_67mm_100Passing_95mm" localSheetId="15">[103]Material!$D$66</definedName>
    <definedName name="M_CrushedStoneChipping_67mm_100Passing_95mm" localSheetId="20">[103]Material!$D$66</definedName>
    <definedName name="M_CrushedStoneChipping_67mm_100Passing_95mm" localSheetId="13">[103]Material!$D$66</definedName>
    <definedName name="M_CrushedStoneChipping_67mm_100Passing_95mm" localSheetId="21">[104]Material!$D$66</definedName>
    <definedName name="M_CrushedStoneChipping_95" localSheetId="15">[103]Material!$D$67</definedName>
    <definedName name="M_CrushedStoneChipping_95" localSheetId="20">[103]Material!$D$67</definedName>
    <definedName name="M_CrushedStoneChipping_95" localSheetId="13">[103]Material!$D$67</definedName>
    <definedName name="M_CrushedStoneChipping_95" localSheetId="21">[104]Material!$D$67</definedName>
    <definedName name="M_CuringCompound" localSheetId="15">[93]Material!$D$69</definedName>
    <definedName name="M_CuringCompound" localSheetId="20">[93]Material!$D$69</definedName>
    <definedName name="M_CuringCompound" localSheetId="13">[93]Material!$D$69</definedName>
    <definedName name="M_CuringCompound" localSheetId="21">[94]Material!$D$69</definedName>
    <definedName name="M_DebondingStrips" localSheetId="15">[93]Material!$D$70</definedName>
    <definedName name="M_DebondingStrips" localSheetId="20">[93]Material!$D$70</definedName>
    <definedName name="M_DebondingStrips" localSheetId="13">[93]Material!$D$70</definedName>
    <definedName name="M_DebondingStrips" localSheetId="21">[94]Material!$D$70</definedName>
    <definedName name="M_EdgeStone_450_350_200mm" localSheetId="15">[97]Material!$D$72</definedName>
    <definedName name="M_EdgeStone_450_350_200mm" localSheetId="20">[97]Material!$D$72</definedName>
    <definedName name="M_EdgeStone_450_350_200mm" localSheetId="13">[97]Material!$D$72</definedName>
    <definedName name="M_EdgeStone_450_350_200mm" localSheetId="21">[98]Material!$D$72</definedName>
    <definedName name="M_ElastomericBearingAssembly" localSheetId="15">[95]Material!$D$73</definedName>
    <definedName name="M_ElastomericBearingAssembly" localSheetId="20">[95]Material!$D$73</definedName>
    <definedName name="M_ElastomericBearingAssembly" localSheetId="13">[95]Material!$D$73</definedName>
    <definedName name="M_ElastomericBearingAssembly" localSheetId="21">[96]Material!$D$73</definedName>
    <definedName name="M_ElectricDetonator" localSheetId="15">[95]Material!$D$74</definedName>
    <definedName name="M_ElectricDetonator" localSheetId="20">[95]Material!$D$74</definedName>
    <definedName name="M_ElectricDetonator" localSheetId="13">[95]Material!$D$74</definedName>
    <definedName name="M_ElectricDetonator" localSheetId="21">[96]Material!$D$74</definedName>
    <definedName name="M_EpoxyPaint" localSheetId="15">[97]Material!$D$75</definedName>
    <definedName name="M_EpoxyPaint" localSheetId="20">[97]Material!$D$75</definedName>
    <definedName name="M_EpoxyPaint" localSheetId="13">[97]Material!$D$75</definedName>
    <definedName name="M_EpoxyPaint" localSheetId="21">[98]Material!$D$75</definedName>
    <definedName name="M_FarmyardManure" localSheetId="15">[97]Material!$D$77</definedName>
    <definedName name="M_FarmyardManure" localSheetId="20">[97]Material!$D$77</definedName>
    <definedName name="M_FarmyardManure" localSheetId="13">[97]Material!$D$77</definedName>
    <definedName name="M_FarmyardManure" localSheetId="21">[98]Material!$D$77</definedName>
    <definedName name="M_FevicolAdhesive" localSheetId="15">[97]Material!$D$78</definedName>
    <definedName name="M_FevicolAdhesive" localSheetId="20">[97]Material!$D$78</definedName>
    <definedName name="M_FevicolAdhesive" localSheetId="13">[97]Material!$D$78</definedName>
    <definedName name="M_FevicolAdhesive" localSheetId="21">[98]Material!$D$78</definedName>
    <definedName name="M_FilterMedia" localSheetId="15">[95]Material!$D$79</definedName>
    <definedName name="M_FilterMedia" localSheetId="20">[95]Material!$D$79</definedName>
    <definedName name="M_FilterMedia" localSheetId="13">[95]Material!$D$79</definedName>
    <definedName name="M_FilterMedia" localSheetId="21">[96]Material!$D$79</definedName>
    <definedName name="M_filterMediam" localSheetId="15">[78]Material!$D$79</definedName>
    <definedName name="M_filterMediam" localSheetId="20">[78]Material!$D$79</definedName>
    <definedName name="M_filterMediam" localSheetId="13">[78]Material!$D$79</definedName>
    <definedName name="M_FineAggregate_CrushedSand" localSheetId="15">[97]Material!$D$80</definedName>
    <definedName name="M_FineAggregate_CrushedSand" localSheetId="20">[97]Material!$D$80</definedName>
    <definedName name="M_FineAggregate_CrushedSand" localSheetId="13">[97]Material!$D$80</definedName>
    <definedName name="M_FineAggregate_CrushedSand" localSheetId="21">[98]Material!$D$80</definedName>
    <definedName name="M_GalvanisedAngle" localSheetId="15">[99]Material!$D$81</definedName>
    <definedName name="M_GalvanisedAngle" localSheetId="20">[99]Material!$D$81</definedName>
    <definedName name="M_GalvanisedAngle" localSheetId="13">[99]Material!$D$81</definedName>
    <definedName name="M_GalvanisedAngle" localSheetId="21">[100]Material!$D$81</definedName>
    <definedName name="M_Gelatine_80" localSheetId="15">[97]Material!$D$83</definedName>
    <definedName name="M_Gelatine_80" localSheetId="20">[97]Material!$D$83</definedName>
    <definedName name="M_Gelatine_80" localSheetId="13">[97]Material!$D$83</definedName>
    <definedName name="M_Gelatine_80" localSheetId="21">[98]Material!$D$83</definedName>
    <definedName name="M_GIPipe_100mm" localSheetId="15">[99]Material!$D$84</definedName>
    <definedName name="M_GIPipe_100mm" localSheetId="20">[99]Material!$D$84</definedName>
    <definedName name="M_GIPipe_100mm" localSheetId="13">[99]Material!$D$84</definedName>
    <definedName name="M_GIPipe_100mm" localSheetId="21">[100]Material!$D$84</definedName>
    <definedName name="M_GIPipe_50mm" localSheetId="15">[97]Material!$D$85</definedName>
    <definedName name="M_GIPipe_50mm" localSheetId="20">[97]Material!$D$85</definedName>
    <definedName name="M_GIPipe_50mm" localSheetId="13">[97]Material!$D$85</definedName>
    <definedName name="M_GIPipe_50mm" localSheetId="21">[98]Material!$D$85</definedName>
    <definedName name="M_GIWires" localSheetId="15">[97]Material!$D$86</definedName>
    <definedName name="M_GIWires" localSheetId="20">[97]Material!$D$86</definedName>
    <definedName name="M_GIWires" localSheetId="13">[97]Material!$D$86</definedName>
    <definedName name="M_GIWires" localSheetId="21">[98]Material!$D$86</definedName>
    <definedName name="M_GradedStoneAggregate" localSheetId="15">[97]Material!$D$87</definedName>
    <definedName name="M_GradedStoneAggregate" localSheetId="20">[97]Material!$D$87</definedName>
    <definedName name="M_GradedStoneAggregate" localSheetId="13">[97]Material!$D$87</definedName>
    <definedName name="M_GradedStoneAggregate" localSheetId="21">[98]Material!$D$87</definedName>
    <definedName name="M_GranularMaterial" localSheetId="15">[95]Material!$D$88</definedName>
    <definedName name="M_GranularMaterial" localSheetId="20">[95]Material!$D$88</definedName>
    <definedName name="M_GranularMaterial" localSheetId="13">[95]Material!$D$88</definedName>
    <definedName name="M_GranularMaterial" localSheetId="21">[96]Material!$D$88</definedName>
    <definedName name="M_HandBrokenMetal_40mm" localSheetId="15">[103]Material!$D$89</definedName>
    <definedName name="M_HandBrokenMetal_40mm" localSheetId="20">[103]Material!$D$89</definedName>
    <definedName name="M_HandBrokenMetal_40mm" localSheetId="13">[103]Material!$D$89</definedName>
    <definedName name="M_HandBrokenMetal_40mm" localSheetId="21">[104]Material!$D$89</definedName>
    <definedName name="M_Indigo" localSheetId="15">[97]Material!$D$90</definedName>
    <definedName name="M_Indigo" localSheetId="20">[97]Material!$D$90</definedName>
    <definedName name="M_Indigo" localSheetId="13">[97]Material!$D$90</definedName>
    <definedName name="M_Indigo" localSheetId="21">[98]Material!$D$90</definedName>
    <definedName name="M_InterlockingBlocks_60mm" localSheetId="15">[103]Material!$D$91</definedName>
    <definedName name="M_InterlockingBlocks_60mm" localSheetId="20">[103]Material!$D$91</definedName>
    <definedName name="M_InterlockingBlocks_60mm" localSheetId="13">[103]Material!$D$91</definedName>
    <definedName name="M_InterlockingBlocks_60mm" localSheetId="21">[104]Material!$D$91</definedName>
    <definedName name="M_InterlockingBlocks_80mm" localSheetId="15">[103]Material!$D$92</definedName>
    <definedName name="M_InterlockingBlocks_80mm" localSheetId="20">[103]Material!$D$92</definedName>
    <definedName name="M_InterlockingBlocks_80mm" localSheetId="13">[103]Material!$D$92</definedName>
    <definedName name="M_InterlockingBlocks_80mm" localSheetId="21">[104]Material!$D$92</definedName>
    <definedName name="M_JointFillerBoard" localSheetId="15">[93]Material!$D$93</definedName>
    <definedName name="M_JointFillerBoard" localSheetId="20">[93]Material!$D$93</definedName>
    <definedName name="M_JointFillerBoard" localSheetId="13">[93]Material!$D$93</definedName>
    <definedName name="M_JointFillerBoard" localSheetId="21">[94]Material!$D$93</definedName>
    <definedName name="M_JuteNetting_OpenWeave_25mm" localSheetId="15">[97]Material!$D$94</definedName>
    <definedName name="M_JuteNetting_OpenWeave_25mm" localSheetId="20">[97]Material!$D$94</definedName>
    <definedName name="M_JuteNetting_OpenWeave_25mm" localSheetId="13">[97]Material!$D$94</definedName>
    <definedName name="M_JuteNetting_OpenWeave_25mm" localSheetId="21">[98]Material!$D$94</definedName>
    <definedName name="M_JuteRope_12mm" localSheetId="15">[93]Material!$D$95</definedName>
    <definedName name="M_JuteRope_12mm" localSheetId="20">[93]Material!$D$95</definedName>
    <definedName name="M_JuteRope_12mm" localSheetId="13">[93]Material!$D$95</definedName>
    <definedName name="M_JuteRope_12mm" localSheetId="21">[94]Material!$D$95</definedName>
    <definedName name="M_Lime" localSheetId="15">[95]Material!$D$97</definedName>
    <definedName name="M_Lime" localSheetId="20">[95]Material!$D$97</definedName>
    <definedName name="M_Lime" localSheetId="13">[95]Material!$D$97</definedName>
    <definedName name="M_Lime" localSheetId="21">[96]Material!$D$97</definedName>
    <definedName name="M_LocalWoodPiles_1stClass" localSheetId="15">[97]Material!$D$99</definedName>
    <definedName name="M_LocalWoodPiles_1stClass" localSheetId="20">[97]Material!$D$99</definedName>
    <definedName name="M_LocalWoodPiles_1stClass" localSheetId="13">[97]Material!$D$99</definedName>
    <definedName name="M_LocalWoodPiles_1stClass" localSheetId="21">[98]Material!$D$99</definedName>
    <definedName name="M_LocalWoodPiles_1stClass_100_75mm" localSheetId="15">[97]Material!$D$100</definedName>
    <definedName name="M_LocalWoodPiles_1stClass_100_75mm" localSheetId="20">[97]Material!$D$100</definedName>
    <definedName name="M_LocalWoodPiles_1stClass_100_75mm" localSheetId="13">[97]Material!$D$100</definedName>
    <definedName name="M_LocalWoodPiles_1stClass_100_75mm" localSheetId="21">[98]Material!$D$100</definedName>
    <definedName name="M_MS_Sheet_15mm" localSheetId="15">[97]Material!$D$105</definedName>
    <definedName name="M_MS_Sheet_15mm" localSheetId="20">[97]Material!$D$105</definedName>
    <definedName name="M_MS_Sheet_15mm" localSheetId="13">[97]Material!$D$105</definedName>
    <definedName name="M_MS_Sheet_15mm" localSheetId="21">[98]Material!$D$105</definedName>
    <definedName name="M_MS_Sheet_2mm" localSheetId="15">[97]Material!$D$106</definedName>
    <definedName name="M_MS_Sheet_2mm" localSheetId="20">[97]Material!$D$106</definedName>
    <definedName name="M_MS_Sheet_2mm" localSheetId="13">[97]Material!$D$106</definedName>
    <definedName name="M_MS_Sheet_2mm" localSheetId="21">[98]Material!$D$106</definedName>
    <definedName name="M_MSClamps" localSheetId="15">[95]Material!$D$102</definedName>
    <definedName name="M_MSClamps" localSheetId="20">[95]Material!$D$102</definedName>
    <definedName name="M_MSClamps" localSheetId="13">[95]Material!$D$102</definedName>
    <definedName name="M_MSClamps" localSheetId="21">[96]Material!$D$102</definedName>
    <definedName name="M_MSFlat_StructuralSteel" localSheetId="15">[97]Material!$D$103</definedName>
    <definedName name="M_MSFlat_StructuralSteel" localSheetId="20">[97]Material!$D$103</definedName>
    <definedName name="M_MSFlat_StructuralSteel" localSheetId="13">[97]Material!$D$103</definedName>
    <definedName name="M_MSFlat_StructuralSteel" localSheetId="21">[98]Material!$D$103</definedName>
    <definedName name="M_MSSheetTube_47_47mm_12_SWG" localSheetId="15">[97]Material!$D$104</definedName>
    <definedName name="M_MSSheetTube_47_47mm_12_SWG" localSheetId="20">[97]Material!$D$104</definedName>
    <definedName name="M_MSSheetTube_47_47mm_12_SWG" localSheetId="13">[97]Material!$D$104</definedName>
    <definedName name="M_MSSheetTube_47_47mm_12_SWG" localSheetId="21">[98]Material!$D$104</definedName>
    <definedName name="M_Nuts_Bolts_Rivets" localSheetId="15">[97]Material!$D$107</definedName>
    <definedName name="M_Nuts_Bolts_Rivets" localSheetId="20">[97]Material!$D$107</definedName>
    <definedName name="M_Nuts_Bolts_Rivets" localSheetId="13">[97]Material!$D$107</definedName>
    <definedName name="M_Nuts_Bolts_Rivets" localSheetId="21">[98]Material!$D$107</definedName>
    <definedName name="M_Paint_SyntheticEnamel" localSheetId="15">[97]Material!$D$108</definedName>
    <definedName name="M_Paint_SyntheticEnamel" localSheetId="20">[97]Material!$D$108</definedName>
    <definedName name="M_Paint_SyntheticEnamel" localSheetId="13">[97]Material!$D$108</definedName>
    <definedName name="M_Paint_SyntheticEnamel" localSheetId="21">[98]Material!$D$108</definedName>
    <definedName name="M_Plasticizer" localSheetId="15">[93]Material!$D$109</definedName>
    <definedName name="M_Plasticizer" localSheetId="20">[93]Material!$D$109</definedName>
    <definedName name="M_Plasticizer" localSheetId="13">[93]Material!$D$109</definedName>
    <definedName name="M_Plasticizer" localSheetId="21">[94]Material!$D$109</definedName>
    <definedName name="M_PolytheneSheet_125" localSheetId="15">[93]Material!$D$110</definedName>
    <definedName name="M_PolytheneSheet_125" localSheetId="20">[93]Material!$D$110</definedName>
    <definedName name="M_PolytheneSheet_125" localSheetId="13">[93]Material!$D$110</definedName>
    <definedName name="M_PolytheneSheet_125" localSheetId="21">[94]Material!$D$110</definedName>
    <definedName name="M_PolytheneSheething" localSheetId="15">[93]Material!$D$111</definedName>
    <definedName name="M_PolytheneSheething" localSheetId="20">[93]Material!$D$111</definedName>
    <definedName name="M_PolytheneSheething" localSheetId="13">[93]Material!$D$111</definedName>
    <definedName name="M_PolytheneSheething" localSheetId="21">[94]Material!$D$111</definedName>
    <definedName name="M_RCCPipeNP3_1000mm" localSheetId="15">[93]Material!$D$114</definedName>
    <definedName name="M_RCCPipeNP3_1000mm" localSheetId="20">[93]Material!$D$114</definedName>
    <definedName name="M_RCCPipeNP3_1000mm" localSheetId="13">[93]Material!$D$114</definedName>
    <definedName name="M_RCCPipeNP3_1000mm" localSheetId="21">[94]Material!$D$114</definedName>
    <definedName name="M_RCCPipeNP3_1200mm" localSheetId="15">[93]Material!$D$113</definedName>
    <definedName name="M_RCCPipeNP3_1200mm" localSheetId="20">[93]Material!$D$113</definedName>
    <definedName name="M_RCCPipeNP3_1200mm" localSheetId="13">[93]Material!$D$113</definedName>
    <definedName name="M_RCCPipeNP3_1200mm" localSheetId="21">[94]Material!$D$113</definedName>
    <definedName name="M_RCCPipeNP3_500mm" localSheetId="15">[93]Material!$D$117</definedName>
    <definedName name="M_RCCPipeNP3_500mm" localSheetId="20">[93]Material!$D$117</definedName>
    <definedName name="M_RCCPipeNP3_500mm" localSheetId="13">[93]Material!$D$117</definedName>
    <definedName name="M_RCCPipeNP3_500mm" localSheetId="21">[94]Material!$D$117</definedName>
    <definedName name="M_RCCPipeNP3_750mm" localSheetId="15">[93]Material!$D$115</definedName>
    <definedName name="M_RCCPipeNP3_750mm" localSheetId="20">[93]Material!$D$115</definedName>
    <definedName name="M_RCCPipeNP3_750mm" localSheetId="13">[93]Material!$D$115</definedName>
    <definedName name="M_RCCPipeNP3_750mm" localSheetId="21">[94]Material!$D$115</definedName>
    <definedName name="M_RCCPipeNP4_1000mm" localSheetId="15">[93]Material!$D$119</definedName>
    <definedName name="M_RCCPipeNP4_1000mm" localSheetId="20">[93]Material!$D$119</definedName>
    <definedName name="M_RCCPipeNP4_1000mm" localSheetId="13">[93]Material!$D$119</definedName>
    <definedName name="M_RCCPipeNP4_1000mm" localSheetId="21">[94]Material!$D$119</definedName>
    <definedName name="M_RCCPipeNP4_1200mm" localSheetId="15">[93]Material!$D$118</definedName>
    <definedName name="M_RCCPipeNP4_1200mm" localSheetId="20">[93]Material!$D$118</definedName>
    <definedName name="M_RCCPipeNP4_1200mm" localSheetId="13">[93]Material!$D$118</definedName>
    <definedName name="M_RCCPipeNP4_1200mm" localSheetId="21">[94]Material!$D$118</definedName>
    <definedName name="M_RCCPipeNP4_500mm" localSheetId="15">[93]Material!$D$122</definedName>
    <definedName name="M_RCCPipeNP4_500mm" localSheetId="20">[93]Material!$D$122</definedName>
    <definedName name="M_RCCPipeNP4_500mm" localSheetId="13">[93]Material!$D$122</definedName>
    <definedName name="M_RCCPipeNP4_500mm" localSheetId="21">[94]Material!$D$122</definedName>
    <definedName name="M_RCCPipeNP4_750mm" localSheetId="15">[93]Material!$D$120</definedName>
    <definedName name="M_RCCPipeNP4_750mm" localSheetId="20">[93]Material!$D$120</definedName>
    <definedName name="M_RCCPipeNP4_750mm" localSheetId="13">[93]Material!$D$120</definedName>
    <definedName name="M_RCCPipeNP4_750mm" localSheetId="21">[94]Material!$D$120</definedName>
    <definedName name="M_RedOxidePrimer" localSheetId="15">[97]Material!$D$123</definedName>
    <definedName name="M_RedOxidePrimer" localSheetId="20">[97]Material!$D$123</definedName>
    <definedName name="M_RedOxidePrimer" localSheetId="13">[97]Material!$D$123</definedName>
    <definedName name="M_RedOxidePrimer" localSheetId="21">[98]Material!$D$123</definedName>
    <definedName name="M_RoadMarkingPaint" localSheetId="15">[97]Material!$D$124</definedName>
    <definedName name="M_RoadMarkingPaint" localSheetId="20">[97]Material!$D$124</definedName>
    <definedName name="M_RoadMarkingPaint" localSheetId="13">[97]Material!$D$124</definedName>
    <definedName name="M_RoadMarkingPaint" localSheetId="21">[98]Material!$D$124</definedName>
    <definedName name="M_Sand_Coarse" localSheetId="15">[93]Material!$D$125</definedName>
    <definedName name="M_Sand_Coarse" localSheetId="20">[93]Material!$D$125</definedName>
    <definedName name="M_Sand_Coarse" localSheetId="13">[93]Material!$D$125</definedName>
    <definedName name="M_Sand_Coarse" localSheetId="21">[94]Material!$D$125</definedName>
    <definedName name="M_Sand_Fine" localSheetId="15">[93]Material!$D$126</definedName>
    <definedName name="M_Sand_Fine" localSheetId="20">[93]Material!$D$126</definedName>
    <definedName name="M_Sand_Fine" localSheetId="13">[93]Material!$D$126</definedName>
    <definedName name="M_Sand_Fine" localSheetId="21">[94]Material!$D$126</definedName>
    <definedName name="M_Seeds" localSheetId="15">[97]Material!$D$127</definedName>
    <definedName name="M_Seeds" localSheetId="20">[97]Material!$D$127</definedName>
    <definedName name="M_Seeds" localSheetId="13">[97]Material!$D$127</definedName>
    <definedName name="M_Seeds" localSheetId="21">[98]Material!$D$127</definedName>
    <definedName name="M_SteelPipe_500mm" localSheetId="15">[99]Material!$D$128</definedName>
    <definedName name="M_SteelPipe_500mm" localSheetId="20">[99]Material!$D$128</definedName>
    <definedName name="M_SteelPipe_500mm" localSheetId="13">[99]Material!$D$128</definedName>
    <definedName name="M_SteelPipe_500mm" localSheetId="21">[100]Material!$D$128</definedName>
    <definedName name="M_SteelReinforcement_HYSDBars" localSheetId="15">[95]Material!$D$129</definedName>
    <definedName name="M_SteelReinforcement_HYSDBars" localSheetId="20">[95]Material!$D$129</definedName>
    <definedName name="M_SteelReinforcement_HYSDBars" localSheetId="13">[95]Material!$D$129</definedName>
    <definedName name="M_SteelReinforcement_HYSDBars" localSheetId="21">[96]Material!$D$129</definedName>
    <definedName name="M_SteelReinforcement_MSRoundBars" localSheetId="15">[93]Material!$D$130</definedName>
    <definedName name="M_SteelReinforcement_MSRoundBars" localSheetId="20">[93]Material!$D$130</definedName>
    <definedName name="M_SteelReinforcement_MSRoundBars" localSheetId="13">[93]Material!$D$130</definedName>
    <definedName name="M_SteelReinforcement_MSRoundBars" localSheetId="21">[94]Material!$D$130</definedName>
    <definedName name="M_SteelReinforcement_TMTBars" localSheetId="15">[95]Material!$D$131</definedName>
    <definedName name="M_SteelReinforcement_TMTBars" localSheetId="20">[95]Material!$D$131</definedName>
    <definedName name="M_SteelReinforcement_TMTBars" localSheetId="13">[95]Material!$D$131</definedName>
    <definedName name="M_SteelReinforcement_TMTBars" localSheetId="21">[96]Material!$D$131</definedName>
    <definedName name="M_StoneChips_12mm" localSheetId="15">[103]Material!$D$133</definedName>
    <definedName name="M_StoneChips_12mm" localSheetId="20">[103]Material!$D$133</definedName>
    <definedName name="M_StoneChips_12mm" localSheetId="13">[103]Material!$D$133</definedName>
    <definedName name="M_StoneChips_12mm" localSheetId="21">[104]Material!$D$133</definedName>
    <definedName name="M_StoneCrushedAggregate_112_009mm" localSheetId="15">[103]Material!$D$135</definedName>
    <definedName name="M_StoneCrushedAggregate_112_009mm" localSheetId="20">[103]Material!$D$135</definedName>
    <definedName name="M_StoneCrushedAggregate_112_009mm" localSheetId="13">[103]Material!$D$135</definedName>
    <definedName name="M_StoneCrushedAggregate_112_009mm" localSheetId="21">[104]Material!$D$135</definedName>
    <definedName name="M_StoneForCoarseRubbleMasonry_1stSort" localSheetId="15">[95]Material!$D$136</definedName>
    <definedName name="M_StoneForCoarseRubbleMasonry_1stSort" localSheetId="20">[95]Material!$D$136</definedName>
    <definedName name="M_StoneForCoarseRubbleMasonry_1stSort" localSheetId="13">[95]Material!$D$136</definedName>
    <definedName name="M_StoneForCoarseRubbleMasonry_1stSort" localSheetId="21">[96]Material!$D$136</definedName>
    <definedName name="M_StoneForCoarseRubbleMasonry_2ndSort" localSheetId="15">[95]Material!$D$137</definedName>
    <definedName name="M_StoneForCoarseRubbleMasonry_2ndSort" localSheetId="20">[95]Material!$D$137</definedName>
    <definedName name="M_StoneForCoarseRubbleMasonry_2ndSort" localSheetId="13">[95]Material!$D$137</definedName>
    <definedName name="M_StoneForCoarseRubbleMasonry_2ndSort" localSheetId="21">[96]Material!$D$137</definedName>
    <definedName name="M_StoneForRandomRubbleMasonry" localSheetId="15">[95]Material!$D$138</definedName>
    <definedName name="M_StoneForRandomRubbleMasonry" localSheetId="20">[95]Material!$D$138</definedName>
    <definedName name="M_StoneForRandomRubbleMasonry" localSheetId="13">[95]Material!$D$138</definedName>
    <definedName name="M_StoneForRandomRubbleMasonry" localSheetId="21">[96]Material!$D$138</definedName>
    <definedName name="M_StoneForStoneSetPavement" localSheetId="15">[97]Material!$D$139</definedName>
    <definedName name="M_StoneForStoneSetPavement" localSheetId="20">[97]Material!$D$139</definedName>
    <definedName name="M_StoneForStoneSetPavement" localSheetId="13">[97]Material!$D$139</definedName>
    <definedName name="M_StoneForStoneSetPavement" localSheetId="21">[98]Material!$D$139</definedName>
    <definedName name="M_StoneScreening_TypeA_132mm_Grade1" localSheetId="15">[97]Material!$D$140</definedName>
    <definedName name="M_StoneScreening_TypeA_132mm_Grade1" localSheetId="20">[97]Material!$D$140</definedName>
    <definedName name="M_StoneScreening_TypeA_132mm_Grade1" localSheetId="13">[97]Material!$D$140</definedName>
    <definedName name="M_StoneScreening_TypeA_132mm_Grade1" localSheetId="21">[98]Material!$D$140</definedName>
    <definedName name="M_StoneScreening_TypeB_112mm_Grade2" localSheetId="15">[97]Material!$D$142</definedName>
    <definedName name="M_StoneScreening_TypeB_112mm_Grade2" localSheetId="20">[97]Material!$D$142</definedName>
    <definedName name="M_StoneScreening_TypeB_112mm_Grade2" localSheetId="13">[97]Material!$D$142</definedName>
    <definedName name="M_StoneScreening_TypeB_112mm_Grade2" localSheetId="21">[98]Material!$D$142</definedName>
    <definedName name="M_StoneScreening_TypeB_112mm_Grade3" localSheetId="15">[97]Material!$D$143</definedName>
    <definedName name="M_StoneScreening_TypeB_112mm_Grade3" localSheetId="20">[97]Material!$D$143</definedName>
    <definedName name="M_StoneScreening_TypeB_112mm_Grade3" localSheetId="13">[97]Material!$D$143</definedName>
    <definedName name="M_StoneScreening_TypeB_112mm_Grade3" localSheetId="21">[98]Material!$D$143</definedName>
    <definedName name="M_TrafficCones" localSheetId="15">[97]Material!$D$145</definedName>
    <definedName name="M_TrafficCones" localSheetId="20">[97]Material!$D$145</definedName>
    <definedName name="M_TrafficCones" localSheetId="13">[97]Material!$D$145</definedName>
    <definedName name="M_TrafficCones" localSheetId="21">[98]Material!$D$145</definedName>
    <definedName name="M_Water" localSheetId="15">[93]Material!$D$146</definedName>
    <definedName name="M_Water" localSheetId="20">[93]Material!$D$146</definedName>
    <definedName name="M_Water" localSheetId="13">[93]Material!$D$146</definedName>
    <definedName name="M_Water" localSheetId="21">[94]Material!$D$146</definedName>
    <definedName name="M_WellGradedGranularBaseMaterial_GradeA_236mm" localSheetId="15">[97]Material!$D$147</definedName>
    <definedName name="M_WellGradedGranularBaseMaterial_GradeA_236mm" localSheetId="20">[97]Material!$D$147</definedName>
    <definedName name="M_WellGradedGranularBaseMaterial_GradeA_236mm" localSheetId="13">[97]Material!$D$147</definedName>
    <definedName name="M_WellGradedGranularBaseMaterial_GradeA_236mm" localSheetId="21">[98]Material!$D$147</definedName>
    <definedName name="M_WellGradedGranularBaseMaterial_GradeA_265_475mm" localSheetId="15">[97]Material!$D$148</definedName>
    <definedName name="M_WellGradedGranularBaseMaterial_GradeA_265_475mm" localSheetId="20">[97]Material!$D$148</definedName>
    <definedName name="M_WellGradedGranularBaseMaterial_GradeA_265_475mm" localSheetId="13">[97]Material!$D$148</definedName>
    <definedName name="M_WellGradedGranularBaseMaterial_GradeA_265_475mm" localSheetId="21">[98]Material!$D$148</definedName>
    <definedName name="M_WellGradedGranularBaseMaterial_GradeA_53_265mm" localSheetId="15">[97]Material!$D$149</definedName>
    <definedName name="M_WellGradedGranularBaseMaterial_GradeA_53_265mm" localSheetId="20">[97]Material!$D$149</definedName>
    <definedName name="M_WellGradedGranularBaseMaterial_GradeA_53_265mm" localSheetId="13">[97]Material!$D$149</definedName>
    <definedName name="M_WellGradedGranularBaseMaterial_GradeA_53_265mm" localSheetId="21">[98]Material!$D$149</definedName>
    <definedName name="M_WellGradedGranularBaseMaterial_GradeB_236mm_below" localSheetId="15">[97]Material!$D$150</definedName>
    <definedName name="M_WellGradedGranularBaseMaterial_GradeB_236mm_below" localSheetId="20">[97]Material!$D$150</definedName>
    <definedName name="M_WellGradedGranularBaseMaterial_GradeB_236mm_below" localSheetId="13">[97]Material!$D$150</definedName>
    <definedName name="M_WellGradedGranularBaseMaterial_GradeB_236mm_below" localSheetId="21">[98]Material!$D$150</definedName>
    <definedName name="M_WellGradedGranularBaseMaterial_GradeB_265_475mm" localSheetId="15">[97]Material!$D$151</definedName>
    <definedName name="M_WellGradedGranularBaseMaterial_GradeB_265_475mm" localSheetId="20">[97]Material!$D$151</definedName>
    <definedName name="M_WellGradedGranularBaseMaterial_GradeB_265_475mm" localSheetId="13">[97]Material!$D$151</definedName>
    <definedName name="M_WellGradedGranularBaseMaterial_GradeB_265_475mm" localSheetId="21">[98]Material!$D$151</definedName>
    <definedName name="M_WellGradedGranularBaseMaterial_GradeC_236mm_below" localSheetId="15">[97]Material!$D$152</definedName>
    <definedName name="M_WellGradedGranularBaseMaterial_GradeC_236mm_below" localSheetId="20">[97]Material!$D$152</definedName>
    <definedName name="M_WellGradedGranularBaseMaterial_GradeC_236mm_below" localSheetId="13">[97]Material!$D$152</definedName>
    <definedName name="M_WellGradedGranularBaseMaterial_GradeC_236mm_below" localSheetId="21">[98]Material!$D$152</definedName>
    <definedName name="M_WellGradedGranularBaseMaterial_GradeC_95_475mm" localSheetId="15">[97]Material!$D$153</definedName>
    <definedName name="M_WellGradedGranularBaseMaterial_GradeC_95_475mm" localSheetId="20">[97]Material!$D$153</definedName>
    <definedName name="M_WellGradedGranularBaseMaterial_GradeC_95_475mm" localSheetId="13">[97]Material!$D$153</definedName>
    <definedName name="M_WellGradedGranularBaseMaterial_GradeC_95_475mm" localSheetId="21">[98]Material!$D$153</definedName>
    <definedName name="M_WellGradedMateralForSubbase_GradeI_236mm_below" localSheetId="15">[97]Material!$D$154</definedName>
    <definedName name="M_WellGradedMateralForSubbase_GradeI_236mm_below" localSheetId="20">[97]Material!$D$154</definedName>
    <definedName name="M_WellGradedMateralForSubbase_GradeI_236mm_below" localSheetId="13">[97]Material!$D$154</definedName>
    <definedName name="M_WellGradedMateralForSubbase_GradeI_236mm_below" localSheetId="21">[98]Material!$D$154</definedName>
    <definedName name="M_WellGradedMateralForSubbase_GradeI_53_95mm" localSheetId="15">[97]Material!$D$155</definedName>
    <definedName name="M_WellGradedMateralForSubbase_GradeI_53_95mm" localSheetId="20">[97]Material!$D$155</definedName>
    <definedName name="M_WellGradedMateralForSubbase_GradeI_53_95mm" localSheetId="13">[97]Material!$D$155</definedName>
    <definedName name="M_WellGradedMateralForSubbase_GradeI_53_95mm" localSheetId="21">[98]Material!$D$155</definedName>
    <definedName name="M_WellGradedMateralForSubbase_GradeI_95_236mm" localSheetId="15">[97]Material!$D$156</definedName>
    <definedName name="M_WellGradedMateralForSubbase_GradeI_95_236mm" localSheetId="20">[97]Material!$D$156</definedName>
    <definedName name="M_WellGradedMateralForSubbase_GradeI_95_236mm" localSheetId="13">[97]Material!$D$156</definedName>
    <definedName name="M_WellGradedMateralForSubbase_GradeI_95_236mm" localSheetId="21">[98]Material!$D$156</definedName>
    <definedName name="M_WellGradedMateralForSubbase_GradeII_236mm_below" localSheetId="15">[97]Material!$D$157</definedName>
    <definedName name="M_WellGradedMateralForSubbase_GradeII_236mm_below" localSheetId="20">[97]Material!$D$157</definedName>
    <definedName name="M_WellGradedMateralForSubbase_GradeII_236mm_below" localSheetId="13">[97]Material!$D$157</definedName>
    <definedName name="M_WellGradedMateralForSubbase_GradeII_236mm_below" localSheetId="21">[98]Material!$D$157</definedName>
    <definedName name="M_WellGradedMateralForSubbase_GradeII_265_95mm" localSheetId="15">[97]Material!$D$158</definedName>
    <definedName name="M_WellGradedMateralForSubbase_GradeII_265_95mm" localSheetId="20">[97]Material!$D$158</definedName>
    <definedName name="M_WellGradedMateralForSubbase_GradeII_265_95mm" localSheetId="13">[97]Material!$D$158</definedName>
    <definedName name="M_WellGradedMateralForSubbase_GradeII_265_95mm" localSheetId="21">[98]Material!$D$158</definedName>
    <definedName name="M_WellGradedMateralForSubbase_GradeII_95_236mm" localSheetId="15">[97]Material!$D$159</definedName>
    <definedName name="M_WellGradedMateralForSubbase_GradeII_95_236mm" localSheetId="20">[97]Material!$D$159</definedName>
    <definedName name="M_WellGradedMateralForSubbase_GradeII_95_236mm" localSheetId="13">[97]Material!$D$159</definedName>
    <definedName name="M_WellGradedMateralForSubbase_GradeII_95_236mm" localSheetId="21">[98]Material!$D$159</definedName>
    <definedName name="M_WellGradedMateralForSubbase_GradeIII_236mm_below" localSheetId="15">[97]Material!$D$160</definedName>
    <definedName name="M_WellGradedMateralForSubbase_GradeIII_236mm_below" localSheetId="20">[97]Material!$D$160</definedName>
    <definedName name="M_WellGradedMateralForSubbase_GradeIII_236mm_below" localSheetId="13">[97]Material!$D$160</definedName>
    <definedName name="M_WellGradedMateralForSubbase_GradeIII_236mm_below" localSheetId="21">[98]Material!$D$160</definedName>
    <definedName name="M_WellGradedMateralForSubbase_GradeIII_475_236mm" localSheetId="15">[97]Material!$D$161</definedName>
    <definedName name="M_WellGradedMateralForSubbase_GradeIII_475_236mm" localSheetId="20">[97]Material!$D$161</definedName>
    <definedName name="M_WellGradedMateralForSubbase_GradeIII_475_236mm" localSheetId="13">[97]Material!$D$161</definedName>
    <definedName name="M_WellGradedMateralForSubbase_GradeIII_475_236mm" localSheetId="21">[98]Material!$D$161</definedName>
    <definedName name="M_WellGradedMateralForSubbase_GradeIII_95_475mm" localSheetId="15">[97]Material!$D$162</definedName>
    <definedName name="M_WellGradedMateralForSubbase_GradeIII_95_475mm" localSheetId="20">[97]Material!$D$162</definedName>
    <definedName name="M_WellGradedMateralForSubbase_GradeIII_95_475mm" localSheetId="13">[97]Material!$D$162</definedName>
    <definedName name="M_WellGradedMateralForSubbase_GradeIII_95_475mm" localSheetId="21">[98]Material!$D$162</definedName>
    <definedName name="ma" localSheetId="21">#REF!</definedName>
    <definedName name="Male" localSheetId="21">[69]data!#REF!</definedName>
    <definedName name="mangalore" localSheetId="21">#REF!</definedName>
    <definedName name="manmazdoor" localSheetId="21">#REF!</definedName>
    <definedName name="masre" localSheetId="21">#REF!</definedName>
    <definedName name="mbm" localSheetId="15">#REF!</definedName>
    <definedName name="mbm" localSheetId="20">#REF!</definedName>
    <definedName name="mbm" localSheetId="13">#REF!</definedName>
    <definedName name="mbm" localSheetId="21">#REF!</definedName>
    <definedName name="mbmi" localSheetId="15">#REF!</definedName>
    <definedName name="mbmi" localSheetId="20">#REF!</definedName>
    <definedName name="mbmi" localSheetId="13">#REF!</definedName>
    <definedName name="mbmi" localSheetId="21">#REF!</definedName>
    <definedName name="me" localSheetId="15">#REF!</definedName>
    <definedName name="me" localSheetId="20">#REF!</definedName>
    <definedName name="me" localSheetId="13">#REF!</definedName>
    <definedName name="me" localSheetId="21">#REF!</definedName>
    <definedName name="Medical" localSheetId="21">[69]data!#REF!</definedName>
    <definedName name="Melamine" localSheetId="21">#REF!</definedName>
    <definedName name="metal" localSheetId="21">#REF!</definedName>
    <definedName name="metal1" localSheetId="21">#REF!</definedName>
    <definedName name="metal10" localSheetId="21">#REF!</definedName>
    <definedName name="metal11" localSheetId="21">#REF!</definedName>
    <definedName name="metal12" localSheetId="21">#REF!</definedName>
    <definedName name="metal20" localSheetId="21">#REF!</definedName>
    <definedName name="metal3" localSheetId="21">#REF!</definedName>
    <definedName name="metal40" localSheetId="21">#REF!</definedName>
    <definedName name="metal6" localSheetId="21">#REF!</definedName>
    <definedName name="mhc" localSheetId="15">#REF!</definedName>
    <definedName name="mhc" localSheetId="20">#REF!</definedName>
    <definedName name="mhc" localSheetId="13">#REF!</definedName>
    <definedName name="mhc" localSheetId="21">#REF!</definedName>
    <definedName name="minpc" localSheetId="15">#REF!</definedName>
    <definedName name="minpc" localSheetId="20">#REF!</definedName>
    <definedName name="minpc" localSheetId="13">#REF!</definedName>
    <definedName name="minpc" localSheetId="21">#REF!</definedName>
    <definedName name="MIX_SEAL_WBM" localSheetId="21">#REF!</definedName>
    <definedName name="ml" localSheetId="21">#REF!</definedName>
    <definedName name="mm" localSheetId="21">[56]r!$F$4</definedName>
    <definedName name="mmm" localSheetId="21">[105]Lead!#REF!</definedName>
    <definedName name="mnf" localSheetId="16">Scheduled_Payment+Extra_Payment</definedName>
    <definedName name="mnf" localSheetId="19">Scheduled_Payment+Extra_Payment</definedName>
    <definedName name="mnf" localSheetId="18">Scheduled_Payment+Extra_Payment</definedName>
    <definedName name="mnf" localSheetId="14">Scheduled_Payment+Extra_Payment</definedName>
    <definedName name="mnf" localSheetId="21">Scheduled_Payment+Extra_Payment</definedName>
    <definedName name="mone" localSheetId="21">[56]r!$F$2</definedName>
    <definedName name="mpbm" localSheetId="15">#REF!</definedName>
    <definedName name="mpbm" localSheetId="20">#REF!</definedName>
    <definedName name="mpbm" localSheetId="13">#REF!</definedName>
    <definedName name="mpbm" localSheetId="21">#REF!</definedName>
    <definedName name="mpbmi" localSheetId="15">#REF!</definedName>
    <definedName name="mpbmi" localSheetId="20">#REF!</definedName>
    <definedName name="mpbmi" localSheetId="13">#REF!</definedName>
    <definedName name="mpbmi" localSheetId="21">#REF!</definedName>
    <definedName name="mr" localSheetId="15">#REF!</definedName>
    <definedName name="mr" localSheetId="20">#REF!</definedName>
    <definedName name="mr" localSheetId="13">#REF!</definedName>
    <definedName name="mr" localSheetId="21">#REF!</definedName>
    <definedName name="MR_55MM" localSheetId="21">#REF!</definedName>
    <definedName name="MR_GRADE2" localSheetId="21">#REF!</definedName>
    <definedName name="MR_GRADE3" localSheetId="21">#REF!</definedName>
    <definedName name="MR_SAND" localSheetId="21">#REF!</definedName>
    <definedName name="MR_SANDF" localSheetId="21">#REF!</definedName>
    <definedName name="mrt" localSheetId="15">#REF!</definedName>
    <definedName name="mrt" localSheetId="20">#REF!</definedName>
    <definedName name="mrt" localSheetId="13">#REF!</definedName>
    <definedName name="mrt" localSheetId="21">#REF!</definedName>
    <definedName name="mrti" localSheetId="15">#REF!</definedName>
    <definedName name="mrti" localSheetId="20">#REF!</definedName>
    <definedName name="mrti" localSheetId="13">#REF!</definedName>
    <definedName name="mrti" localSheetId="21">#REF!</definedName>
    <definedName name="ms_channels" localSheetId="21">#REF!</definedName>
    <definedName name="ms_flat_25mm" localSheetId="21">#REF!</definedName>
    <definedName name="ms_pipes" localSheetId="21">#REF!</definedName>
    <definedName name="ms_plates" localSheetId="21">#REF!</definedName>
    <definedName name="MS_square_bar_10mm" localSheetId="21">#REF!</definedName>
    <definedName name="ms_truss" localSheetId="21">#REF!</definedName>
    <definedName name="msgrill" localSheetId="21">#REF!</definedName>
    <definedName name="mt" localSheetId="15">#REF!</definedName>
    <definedName name="mt" localSheetId="20">#REF!</definedName>
    <definedName name="mt" localSheetId="13">#REF!</definedName>
    <definedName name="mt" localSheetId="21">#REF!</definedName>
    <definedName name="mtor" localSheetId="15">#REF!</definedName>
    <definedName name="mtor" localSheetId="20">#REF!</definedName>
    <definedName name="mtor" localSheetId="13">#REF!</definedName>
    <definedName name="mtor" localSheetId="21">#REF!</definedName>
    <definedName name="mtwo" localSheetId="21">[56]r!$F$3</definedName>
    <definedName name="mun" localSheetId="21">#REF!</definedName>
    <definedName name="murty" localSheetId="15">#REF!</definedName>
    <definedName name="murty" localSheetId="20">#REF!</definedName>
    <definedName name="murty" localSheetId="18">#REF!</definedName>
    <definedName name="murty" localSheetId="13">#REF!</definedName>
    <definedName name="murty" localSheetId="21">#REF!</definedName>
    <definedName name="mymax" localSheetId="21">[106]Levels!$P$5</definedName>
    <definedName name="mymin" localSheetId="21">[106]Levels!$O$5</definedName>
    <definedName name="nb" localSheetId="15">#REF!</definedName>
    <definedName name="nb" localSheetId="20">#REF!</definedName>
    <definedName name="nb" localSheetId="13">#REF!</definedName>
    <definedName name="nb" localSheetId="21">#REF!</definedName>
    <definedName name="nbc" localSheetId="15">#REF!</definedName>
    <definedName name="nbc" localSheetId="20">#REF!</definedName>
    <definedName name="nbc" localSheetId="13">#REF!</definedName>
    <definedName name="nbc" localSheetId="21">#REF!</definedName>
    <definedName name="nbm" localSheetId="15">#REF!</definedName>
    <definedName name="nbm" localSheetId="20">#REF!</definedName>
    <definedName name="nbm" localSheetId="13">#REF!</definedName>
    <definedName name="nbm" localSheetId="21">#REF!</definedName>
    <definedName name="newdata" localSheetId="15">#REF!</definedName>
    <definedName name="newdata" localSheetId="20">#REF!</definedName>
    <definedName name="newdata" localSheetId="18">#REF!</definedName>
    <definedName name="newdata" localSheetId="13">#REF!</definedName>
    <definedName name="newdata" localSheetId="21">#REF!</definedName>
    <definedName name="ni" localSheetId="13">#REF!</definedName>
    <definedName name="ni" localSheetId="21">#REF!</definedName>
    <definedName name="Num_Pmt_Per_Year" localSheetId="15">#REF!</definedName>
    <definedName name="Num_Pmt_Per_Year" localSheetId="20">#REF!</definedName>
    <definedName name="Num_Pmt_Per_Year" localSheetId="13">#REF!</definedName>
    <definedName name="Num_Pmt_Per_Year" localSheetId="21">#REF!</definedName>
    <definedName name="Number_of_Payments" localSheetId="15">MATCH(0.01,Abstract!End_Bal,-1)+1</definedName>
    <definedName name="Number_of_Payments" localSheetId="20">MATCH(0.01,'Data without water  (2)'!End_Bal,-1)+1</definedName>
    <definedName name="Number_of_Payments" localSheetId="16">MATCH(0.01,Abstract!End_Bal,-1)+1</definedName>
    <definedName name="Number_of_Payments" localSheetId="19">MATCH(0.01,Abstract!End_Bal,-1)+1</definedName>
    <definedName name="Number_of_Payments" localSheetId="18">MATCH(0.01,Abstract!End_Bal,-1)+1</definedName>
    <definedName name="Number_of_Payments" localSheetId="13">MATCH(0.01,Sp.Report!End_Bal,-1)+1</definedName>
    <definedName name="Number_of_Payments" localSheetId="14">MATCH(0.01,Abstract!End_Bal,-1)+1</definedName>
    <definedName name="Number_of_Payments" localSheetId="21">MATCH(0.01,'Water Supply'!End_Bal,-1)+1</definedName>
    <definedName name="Nurses" localSheetId="21">[65]Data.F8.BTR!#REF!</definedName>
    <definedName name="nw" localSheetId="15">#REF!</definedName>
    <definedName name="nw" localSheetId="20">#REF!</definedName>
    <definedName name="nw" localSheetId="13">#REF!</definedName>
    <definedName name="nw" localSheetId="21">[73]Lead!#REF!</definedName>
    <definedName name="obd_paint" localSheetId="21">#REF!</definedName>
    <definedName name="od" localSheetId="21">#REF!</definedName>
    <definedName name="OH" localSheetId="15">#REF!</definedName>
    <definedName name="OH" localSheetId="20">#REF!</definedName>
    <definedName name="OH" localSheetId="13">#REF!</definedName>
    <definedName name="OHBRBRACEONETOSIX" localSheetId="21">#REF!</definedName>
    <definedName name="OHBRBRACESEVENTOTHIRTEEN" localSheetId="21">#REF!</definedName>
    <definedName name="OHBRCOLUMNONETOSIX" localSheetId="21">#REF!</definedName>
    <definedName name="OHBRCOLUMNSEVENTOTHIRTEEN" localSheetId="21">#REF!</definedName>
    <definedName name="OHCP" localSheetId="21">[107]LEAD!$K$45</definedName>
    <definedName name="ojjlkj" localSheetId="15">[77]Material!$D$130</definedName>
    <definedName name="ojjlkj" localSheetId="20">[77]Material!$D$130</definedName>
    <definedName name="ojjlkj" localSheetId="13">[77]Material!$D$130</definedName>
    <definedName name="one" localSheetId="21">#REF!</definedName>
    <definedName name="ONETOSEVEN" localSheetId="21">#REF!</definedName>
    <definedName name="OrderTable" localSheetId="0" hidden="1">#REF!</definedName>
    <definedName name="OrderTable" localSheetId="7" hidden="1">#REF!</definedName>
    <definedName name="OrderTable" hidden="1">#REF!</definedName>
    <definedName name="p" localSheetId="15">#REF!</definedName>
    <definedName name="p" localSheetId="20">#REF!</definedName>
    <definedName name="p" localSheetId="13">#REF!</definedName>
    <definedName name="p" localSheetId="21">#REF!</definedName>
    <definedName name="Pa" localSheetId="15">#REF!</definedName>
    <definedName name="Pa" localSheetId="20">#REF!</definedName>
    <definedName name="Pa" localSheetId="13">#REF!</definedName>
    <definedName name="Pa" localSheetId="21">#REF!</definedName>
    <definedName name="parn" localSheetId="21">[108]Lead!#REF!</definedName>
    <definedName name="Pay_Date" localSheetId="15">#REF!</definedName>
    <definedName name="Pay_Date" localSheetId="20">#REF!</definedName>
    <definedName name="Pay_Date" localSheetId="13">#REF!</definedName>
    <definedName name="Pay_Date" localSheetId="21">#REF!</definedName>
    <definedName name="Pay_Num" localSheetId="15">#REF!</definedName>
    <definedName name="Pay_Num" localSheetId="20">#REF!</definedName>
    <definedName name="Pay_Num" localSheetId="13">#REF!</definedName>
    <definedName name="Pay_Num" localSheetId="21">#REF!</definedName>
    <definedName name="Payment_Date" localSheetId="15">DATE(YEAR(Abstract!Loan_Start),MONTH(Abstract!Loan_Start)+Payment_Number,DAY(Abstract!Loan_Start))</definedName>
    <definedName name="Payment_Date" localSheetId="20">DATE(YEAR('Data without water  (2)'!Loan_Start),MONTH('Data without water  (2)'!Loan_Start)+Payment_Number,DAY('Data without water  (2)'!Loan_Start))</definedName>
    <definedName name="Payment_Date" localSheetId="16">DATE(YEAR(Abstract!Loan_Start),MONTH(Abstract!Loan_Start)+Payment_Number,DAY(Abstract!Loan_Start))</definedName>
    <definedName name="Payment_Date" localSheetId="19">DATE(YEAR(Abstract!Loan_Start),MONTH(Abstract!Loan_Start)+Payment_Number,DAY(Abstract!Loan_Start))</definedName>
    <definedName name="Payment_Date" localSheetId="18">DATE(YEAR(Abstract!Loan_Start),MONTH(Abstract!Loan_Start)+Payment_Number,DAY(Abstract!Loan_Start))</definedName>
    <definedName name="Payment_Date" localSheetId="13">DATE(YEAR(Sp.Report!Loan_Start),MONTH(Sp.Report!Loan_Start)+Payment_Number,DAY(Sp.Report!Loan_Start))</definedName>
    <definedName name="Payment_Date" localSheetId="14">DATE(YEAR(Abstract!Loan_Start),MONTH(Abstract!Loan_Start)+Payment_Number,DAY(Abstract!Loan_Start))</definedName>
    <definedName name="Payment_Date" localSheetId="21">DATE(YEAR('Water Supply'!Loan_Start),MONTH('Water Supply'!Loan_Start)+Payment_Number,DAY('Water Supply'!Loan_Start))</definedName>
    <definedName name="pbm" localSheetId="15">#REF!</definedName>
    <definedName name="pbm" localSheetId="20">#REF!</definedName>
    <definedName name="pbm" localSheetId="13">#REF!</definedName>
    <definedName name="pbm" localSheetId="21">#REF!</definedName>
    <definedName name="pcc" localSheetId="21">#REF!</definedName>
    <definedName name="pcc_bedblock" localSheetId="21">#REF!</definedName>
    <definedName name="perfect" localSheetId="21">[53]Material!$D$138</definedName>
    <definedName name="phi" localSheetId="15">#REF!</definedName>
    <definedName name="phi" localSheetId="20">#REF!</definedName>
    <definedName name="phi" localSheetId="13">#REF!</definedName>
    <definedName name="phi" localSheetId="21">#REF!</definedName>
    <definedName name="pIIII" localSheetId="13">#REF!</definedName>
    <definedName name="pIIII" localSheetId="21">#REF!</definedName>
    <definedName name="pipe" localSheetId="21">[109]Material!$D$53</definedName>
    <definedName name="plasr" localSheetId="21">[58]Material!$D$109</definedName>
    <definedName name="plaster_ornamental" localSheetId="21">#REF!</definedName>
    <definedName name="plaster_twelve" localSheetId="21">#REF!</definedName>
    <definedName name="plaster_twenty" localSheetId="21">#REF!</definedName>
    <definedName name="plasticemulsion_paint" localSheetId="21">#REF!</definedName>
    <definedName name="PM_AirCompressor_210cfm" localSheetId="15">'[93]Plant &amp;  Machinery'!$G$4</definedName>
    <definedName name="PM_AirCompressor_210cfm" localSheetId="20">'[93]Plant &amp;  Machinery'!$G$4</definedName>
    <definedName name="PM_AirCompressor_210cfm" localSheetId="13">'[93]Plant &amp;  Machinery'!$G$4</definedName>
    <definedName name="PM_AirCompressor_210cfm" localSheetId="21">'[94]Plant &amp;  Machinery'!$G$4</definedName>
    <definedName name="PM_BatchMixHMP_46_60THP" localSheetId="15">'[103]Plant &amp;  Machinery'!$G$5</definedName>
    <definedName name="PM_BatchMixHMP_46_60THP" localSheetId="20">'[103]Plant &amp;  Machinery'!$G$5</definedName>
    <definedName name="PM_BatchMixHMP_46_60THP" localSheetId="13">'[103]Plant &amp;  Machinery'!$G$5</definedName>
    <definedName name="PM_BatchMixHMP_46_60THP" localSheetId="21">'[104]Plant &amp;  Machinery'!$G$5</definedName>
    <definedName name="PM_BitumenBoilerOilFired_200" localSheetId="15">'[103]Plant &amp;  Machinery'!$G$8</definedName>
    <definedName name="PM_BitumenBoilerOilFired_200" localSheetId="20">'[103]Plant &amp;  Machinery'!$G$8</definedName>
    <definedName name="PM_BitumenBoilerOilFired_200" localSheetId="13">'[103]Plant &amp;  Machinery'!$G$8</definedName>
    <definedName name="PM_BitumenBoilerOilFired_200" localSheetId="21">'[104]Plant &amp;  Machinery'!$G$8</definedName>
    <definedName name="PM_BitumenEmulsionPressureDistributor" localSheetId="15">'[103]Plant &amp;  Machinery'!$G$10</definedName>
    <definedName name="PM_BitumenEmulsionPressureDistributor" localSheetId="20">'[103]Plant &amp;  Machinery'!$G$10</definedName>
    <definedName name="PM_BitumenEmulsionPressureDistributor" localSheetId="13">'[103]Plant &amp;  Machinery'!$G$10</definedName>
    <definedName name="PM_BitumenEmulsionPressureDistributor" localSheetId="21">'[104]Plant &amp;  Machinery'!$G$10</definedName>
    <definedName name="PM_ConcreteMixer" localSheetId="15">'[93]Plant &amp;  Machinery'!$G$11</definedName>
    <definedName name="PM_ConcreteMixer" localSheetId="20">'[93]Plant &amp;  Machinery'!$G$11</definedName>
    <definedName name="PM_ConcreteMixer" localSheetId="13">'[93]Plant &amp;  Machinery'!$G$11</definedName>
    <definedName name="PM_ConcreteMixer" localSheetId="21">'[94]Plant &amp;  Machinery'!$G$11</definedName>
    <definedName name="PM_Dozer_D50" localSheetId="15">'[93]Plant &amp;  Machinery'!$G$13</definedName>
    <definedName name="PM_Dozer_D50" localSheetId="20">'[93]Plant &amp;  Machinery'!$G$13</definedName>
    <definedName name="PM_Dozer_D50" localSheetId="13">'[93]Plant &amp;  Machinery'!$G$13</definedName>
    <definedName name="PM_Dozer_D50" localSheetId="21">'[94]Plant &amp;  Machinery'!$G$13</definedName>
    <definedName name="PM_HydraulicBroom" localSheetId="15">'[103]Plant &amp;  Machinery'!$G$19</definedName>
    <definedName name="PM_HydraulicBroom" localSheetId="20">'[103]Plant &amp;  Machinery'!$G$19</definedName>
    <definedName name="PM_HydraulicBroom" localSheetId="13">'[103]Plant &amp;  Machinery'!$G$19</definedName>
    <definedName name="PM_HydraulicBroom" localSheetId="21">'[104]Plant &amp;  Machinery'!$G$19</definedName>
    <definedName name="PM_HydraulicSelfPropelledChipSpreader" localSheetId="15">'[103]Plant &amp;  Machinery'!$G$21</definedName>
    <definedName name="PM_HydraulicSelfPropelledChipSpreader" localSheetId="20">'[103]Plant &amp;  Machinery'!$G$21</definedName>
    <definedName name="PM_HydraulicSelfPropelledChipSpreader" localSheetId="13">'[103]Plant &amp;  Machinery'!$G$21</definedName>
    <definedName name="PM_HydraulicSelfPropelledChipSpreader" localSheetId="21">'[104]Plant &amp;  Machinery'!$G$21</definedName>
    <definedName name="PM_JackHammer" localSheetId="15">'[97]Plant &amp;  Machinery'!$G$22</definedName>
    <definedName name="PM_JackHammer" localSheetId="20">'[97]Plant &amp;  Machinery'!$G$22</definedName>
    <definedName name="PM_JackHammer" localSheetId="13">'[97]Plant &amp;  Machinery'!$G$22</definedName>
    <definedName name="PM_JackHammer" localSheetId="21">'[98]Plant &amp;  Machinery'!$G$22</definedName>
    <definedName name="PM_JointCuttingMachine" localSheetId="15">'[93]Plant &amp;  Machinery'!$G$23</definedName>
    <definedName name="PM_JointCuttingMachine" localSheetId="20">'[93]Plant &amp;  Machinery'!$G$23</definedName>
    <definedName name="PM_JointCuttingMachine" localSheetId="13">'[93]Plant &amp;  Machinery'!$G$23</definedName>
    <definedName name="PM_JointCuttingMachine" localSheetId="21">'[94]Plant &amp;  Machinery'!$G$23</definedName>
    <definedName name="PM_Mixall_6_10t" localSheetId="15">'[103]Plant &amp;  Machinery'!$G$24</definedName>
    <definedName name="PM_Mixall_6_10t" localSheetId="20">'[103]Plant &amp;  Machinery'!$G$24</definedName>
    <definedName name="PM_Mixall_6_10t" localSheetId="13">'[103]Plant &amp;  Machinery'!$G$24</definedName>
    <definedName name="PM_Mixall_6_10t" localSheetId="21">'[104]Plant &amp;  Machinery'!$G$24</definedName>
    <definedName name="PM_NeedleVibrator" localSheetId="15">'[93]Plant &amp;  Machinery'!$G$27</definedName>
    <definedName name="PM_NeedleVibrator" localSheetId="20">'[93]Plant &amp;  Machinery'!$G$27</definedName>
    <definedName name="PM_NeedleVibrator" localSheetId="13">'[93]Plant &amp;  Machinery'!$G$27</definedName>
    <definedName name="PM_NeedleVibrator" localSheetId="21">'[94]Plant &amp;  Machinery'!$G$27</definedName>
    <definedName name="PM_PlateCompactor" localSheetId="15">'[97]Plant &amp;  Machinery'!$G$29</definedName>
    <definedName name="PM_PlateCompactor" localSheetId="20">'[97]Plant &amp;  Machinery'!$G$29</definedName>
    <definedName name="PM_PlateCompactor" localSheetId="13">'[97]Plant &amp;  Machinery'!$G$29</definedName>
    <definedName name="PM_PlateCompactor" localSheetId="21">'[98]Plant &amp;  Machinery'!$G$29</definedName>
    <definedName name="PM_PlateVibrator" localSheetId="15">'[93]Plant &amp;  Machinery'!$G$30</definedName>
    <definedName name="PM_PlateVibrator" localSheetId="20">'[93]Plant &amp;  Machinery'!$G$30</definedName>
    <definedName name="PM_PlateVibrator" localSheetId="13">'[93]Plant &amp;  Machinery'!$G$30</definedName>
    <definedName name="PM_PlateVibrator" localSheetId="21">'[94]Plant &amp;  Machinery'!$G$30</definedName>
    <definedName name="PM_ScreedVibrator" localSheetId="15">'[93]Plant &amp;  Machinery'!$G$31</definedName>
    <definedName name="PM_ScreedVibrator" localSheetId="20">'[93]Plant &amp;  Machinery'!$G$31</definedName>
    <definedName name="PM_ScreedVibrator" localSheetId="13">'[93]Plant &amp;  Machinery'!$G$31</definedName>
    <definedName name="PM_ScreedVibrator" localSheetId="21">'[94]Plant &amp;  Machinery'!$G$31</definedName>
    <definedName name="PM_Tractor_DiscHarrows" localSheetId="15">'[97]Plant &amp;  Machinery'!$G$46</definedName>
    <definedName name="PM_Tractor_DiscHarrows" localSheetId="20">'[97]Plant &amp;  Machinery'!$G$46</definedName>
    <definedName name="PM_Tractor_DiscHarrows" localSheetId="13">'[97]Plant &amp;  Machinery'!$G$46</definedName>
    <definedName name="PM_Tractor_DiscHarrows" localSheetId="21">'[98]Plant &amp;  Machinery'!$G$46</definedName>
    <definedName name="PM_Tractor_Ripper" localSheetId="15">'[97]Plant &amp;  Machinery'!$G$47</definedName>
    <definedName name="PM_Tractor_Ripper" localSheetId="20">'[97]Plant &amp;  Machinery'!$G$47</definedName>
    <definedName name="PM_Tractor_Ripper" localSheetId="13">'[97]Plant &amp;  Machinery'!$G$47</definedName>
    <definedName name="PM_Tractor_Ripper" localSheetId="21">'[98]Plant &amp;  Machinery'!$G$47</definedName>
    <definedName name="PM_Tractor_Rotavator" localSheetId="15">'[97]Plant &amp;  Machinery'!$G$49</definedName>
    <definedName name="PM_Tractor_Rotavator" localSheetId="20">'[97]Plant &amp;  Machinery'!$G$49</definedName>
    <definedName name="PM_Tractor_Rotavator" localSheetId="13">'[97]Plant &amp;  Machinery'!$G$49</definedName>
    <definedName name="PM_Tractor_Rotavator" localSheetId="21">'[98]Plant &amp;  Machinery'!$G$49</definedName>
    <definedName name="PM_Tractor_Trolley" localSheetId="15">'[93]Plant &amp;  Machinery'!$G$48</definedName>
    <definedName name="PM_Tractor_Trolley" localSheetId="20">'[93]Plant &amp;  Machinery'!$G$48</definedName>
    <definedName name="PM_Tractor_Trolley" localSheetId="13">'[93]Plant &amp;  Machinery'!$G$48</definedName>
    <definedName name="PM_Tractor_Trolley" localSheetId="21">'[94]Plant &amp;  Machinery'!$G$48</definedName>
    <definedName name="PM_Truck" localSheetId="15">'[99]Plant &amp;  Machinery'!$G$50</definedName>
    <definedName name="PM_Truck" localSheetId="20">'[99]Plant &amp;  Machinery'!$G$50</definedName>
    <definedName name="PM_Truck" localSheetId="13">'[99]Plant &amp;  Machinery'!$G$50</definedName>
    <definedName name="PM_Truck" localSheetId="21">'[100]Plant &amp;  Machinery'!$G$50</definedName>
    <definedName name="PM_VibratoryRoller_80_100kN" localSheetId="15">'[103]Plant &amp;  Machinery'!$G$51</definedName>
    <definedName name="PM_VibratoryRoller_80_100kN" localSheetId="20">'[103]Plant &amp;  Machinery'!$G$51</definedName>
    <definedName name="PM_VibratoryRoller_80_100kN" localSheetId="13">'[103]Plant &amp;  Machinery'!$G$51</definedName>
    <definedName name="PM_VibratoryRoller_80_100kN" localSheetId="21">'[104]Plant &amp;  Machinery'!$G$51</definedName>
    <definedName name="PM_WaterTanker_6kl" localSheetId="15">'[93]Plant &amp;  Machinery'!$G$53</definedName>
    <definedName name="PM_WaterTanker_6kl" localSheetId="20">'[93]Plant &amp;  Machinery'!$G$53</definedName>
    <definedName name="PM_WaterTanker_6kl" localSheetId="13">'[93]Plant &amp;  Machinery'!$G$53</definedName>
    <definedName name="PM_WaterTanker_6kl" localSheetId="21">'[94]Plant &amp;  Machinery'!$G$53</definedName>
    <definedName name="PM_WetMixPlant_or_PugMill" localSheetId="15">'[97]Plant &amp;  Machinery'!$G$54</definedName>
    <definedName name="PM_WetMixPlant_or_PugMill" localSheetId="20">'[97]Plant &amp;  Machinery'!$G$54</definedName>
    <definedName name="PM_WetMixPlant_or_PugMill" localSheetId="13">'[97]Plant &amp;  Machinery'!$G$54</definedName>
    <definedName name="PM_WetMixPlant_or_PugMill" localSheetId="21">'[98]Plant &amp;  Machinery'!$G$54</definedName>
    <definedName name="PMtruck" localSheetId="21">'[109]Plant &amp;  Machinery'!$G$50</definedName>
    <definedName name="prb" localSheetId="15">#REF!</definedName>
    <definedName name="prb" localSheetId="20">#REF!</definedName>
    <definedName name="prb" localSheetId="13">#REF!</definedName>
    <definedName name="prb" localSheetId="21">#REF!</definedName>
    <definedName name="Princ" localSheetId="15">#REF!</definedName>
    <definedName name="Princ" localSheetId="20">#REF!</definedName>
    <definedName name="Princ" localSheetId="13">#REF!</definedName>
    <definedName name="Princ" localSheetId="21">#REF!</definedName>
    <definedName name="_xlnm.Print_Area" localSheetId="15">Abstract!$A$1:$L$26</definedName>
    <definedName name="_xlnm.Print_Area" localSheetId="1">'Abstract (2)'!$A$1:$J$17</definedName>
    <definedName name="_xlnm.Print_Area" localSheetId="17">'AW 7.00 pile (2)'!$A$1:$M$253</definedName>
    <definedName name="_xlnm.Print_Area" localSheetId="26">'conveyance 2'!$A$1:$F$108</definedName>
    <definedName name="_xlnm.Print_Area" localSheetId="20">'Data without water  (2)'!$A$2:$J$1236</definedName>
    <definedName name="_xlnm.Print_Area" localSheetId="13">#REF!</definedName>
    <definedName name="_xlnm.Print_Area" localSheetId="4">'Specification (3)'!$A$1:$I$36</definedName>
    <definedName name="_xlnm.Print_Area" localSheetId="21">'Water Supply'!$A$1:$L$42</definedName>
    <definedName name="Print_Area_MI" localSheetId="15">#REF!</definedName>
    <definedName name="Print_Area_MI" localSheetId="20">#REF!</definedName>
    <definedName name="Print_Area_MI" localSheetId="18">#REF!</definedName>
    <definedName name="Print_Area_MI" localSheetId="13">#REF!</definedName>
    <definedName name="Print_Area_MI" localSheetId="21">#REF!</definedName>
    <definedName name="Print_Area_MI_10" localSheetId="21">#REF!</definedName>
    <definedName name="Print_Area_MI_12" localSheetId="15">#REF!</definedName>
    <definedName name="Print_Area_MI_12" localSheetId="20">#REF!</definedName>
    <definedName name="Print_Area_MI_12" localSheetId="18">#REF!</definedName>
    <definedName name="Print_Area_MI_12" localSheetId="13">#REF!</definedName>
    <definedName name="Print_Area_MI_12" localSheetId="21">#REF!</definedName>
    <definedName name="Print_Area_MI_3" localSheetId="15">#REF!</definedName>
    <definedName name="Print_Area_MI_3" localSheetId="20">#REF!</definedName>
    <definedName name="Print_Area_MI_3" localSheetId="18">#REF!</definedName>
    <definedName name="Print_Area_MI_3" localSheetId="13">#REF!</definedName>
    <definedName name="Print_Area_MI_3" localSheetId="21">#REF!</definedName>
    <definedName name="Print_Area_MI_6" localSheetId="15">#REF!</definedName>
    <definedName name="Print_Area_MI_6" localSheetId="20">#REF!</definedName>
    <definedName name="Print_Area_MI_6" localSheetId="18">#REF!</definedName>
    <definedName name="Print_Area_MI_6" localSheetId="13">#REF!</definedName>
    <definedName name="Print_Area_MI_6" localSheetId="21">#REF!</definedName>
    <definedName name="Print_Area_MI_7" localSheetId="21">#REF!</definedName>
    <definedName name="Print_Area_MI_9" localSheetId="21">#REF!</definedName>
    <definedName name="Print_Area_Reset" localSheetId="15">OFFSET(Abstract!Full_Print,0,0,Abstract!Last_Row)</definedName>
    <definedName name="Print_Area_Reset" localSheetId="20">OFFSET('Data without water  (2)'!Full_Print,0,0,'Data without water  (2)'!Last_Row)</definedName>
    <definedName name="Print_Area_Reset" localSheetId="16">OFFSET(Abstract!Full_Print,0,0,'GEn Abst'!Last_Row)</definedName>
    <definedName name="Print_Area_Reset" localSheetId="19">OFFSET(Abstract!Full_Print,0,0,Seigniorage!Last_Row)</definedName>
    <definedName name="Print_Area_Reset" localSheetId="18">OFFSET(Abstract!Full_Print,0,0,'Seigniorage (2)'!Last_Row)</definedName>
    <definedName name="Print_Area_Reset" localSheetId="13">OFFSET(Sp.Report!Full_Print,0,0,Sp.Report!Last_Row)</definedName>
    <definedName name="Print_Area_Reset" localSheetId="14">OFFSET(Abstract!Full_Print,0,0,SPECIFIC!Last_Row)</definedName>
    <definedName name="Print_Area_Reset" localSheetId="21">OFFSET('Water Supply'!Full_Print,0,0,'Water Supply'!Last_Row)</definedName>
    <definedName name="_xlnm.Print_Titles" localSheetId="20">'Data without water  (2)'!$5:$6</definedName>
    <definedName name="_xlnm.Print_Titles" localSheetId="21">'Water Supply'!$4:$6</definedName>
    <definedName name="ProdForm" localSheetId="0" hidden="1">#REF!</definedName>
    <definedName name="ProdForm" localSheetId="2" hidden="1">#REF!</definedName>
    <definedName name="ProdForm" localSheetId="7" hidden="1">#REF!</definedName>
    <definedName name="ProdForm" hidden="1">#REF!</definedName>
    <definedName name="ps" localSheetId="15">'[50]SUMP1420KL@HW'!#REF!</definedName>
    <definedName name="ps" localSheetId="20">'[50]SUMP1420KL@HW'!#REF!</definedName>
    <definedName name="ps" localSheetId="18">'[51]SUMP1420KL@HW'!#REF!</definedName>
    <definedName name="ps" localSheetId="13">'[50]SUMP1420KL@HW'!#REF!</definedName>
    <definedName name="ps" localSheetId="21">'[52]SUMP1420KL@HW'!#REF!</definedName>
    <definedName name="psw" localSheetId="15">#REF!</definedName>
    <definedName name="psw" localSheetId="20">#REF!</definedName>
    <definedName name="psw" localSheetId="13">#REF!</definedName>
    <definedName name="psw" localSheetId="21">#REF!</definedName>
    <definedName name="pui" localSheetId="15">#REF!</definedName>
    <definedName name="pui" localSheetId="20">#REF!</definedName>
    <definedName name="pui" localSheetId="13">#REF!</definedName>
    <definedName name="pui" localSheetId="21">#REF!</definedName>
    <definedName name="pvc_bends" localSheetId="21">#REF!</definedName>
    <definedName name="pvc_clamps" localSheetId="21">#REF!</definedName>
    <definedName name="pvc_collar" localSheetId="21">#REF!</definedName>
    <definedName name="pvc_pipes_110" localSheetId="21">#REF!</definedName>
    <definedName name="q" localSheetId="15">#REF!</definedName>
    <definedName name="q" localSheetId="20">#REF!</definedName>
    <definedName name="q" localSheetId="13">#REF!</definedName>
    <definedName name="q" localSheetId="21">#REF!</definedName>
    <definedName name="qarrt" localSheetId="14">#N/A</definedName>
    <definedName name="Qu" localSheetId="15">#REF!</definedName>
    <definedName name="Qu" localSheetId="20">#REF!</definedName>
    <definedName name="Qu" localSheetId="18">#REF!</definedName>
    <definedName name="Qu" localSheetId="13">#REF!</definedName>
    <definedName name="Qu" localSheetId="21">#REF!</definedName>
    <definedName name="Query2" localSheetId="15">#REF!</definedName>
    <definedName name="Query2" localSheetId="20">#REF!</definedName>
    <definedName name="Query2" localSheetId="18">#REF!</definedName>
    <definedName name="Query2" localSheetId="13">#REF!</definedName>
    <definedName name="Query2" localSheetId="21">#REF!</definedName>
    <definedName name="R_SCSD_80100" localSheetId="21">'[110]Road data'!#REF!</definedName>
    <definedName name="Rabbit" localSheetId="21">#REF!</definedName>
    <definedName name="raf" localSheetId="15">[78]Material!$D$130</definedName>
    <definedName name="raf" localSheetId="20">[78]Material!$D$130</definedName>
    <definedName name="raf" localSheetId="13">[78]Material!$D$130</definedName>
    <definedName name="raffs" localSheetId="15">'[78]Plant &amp;  Machinery'!$G$13</definedName>
    <definedName name="raffs" localSheetId="20">'[78]Plant &amp;  Machinery'!$G$13</definedName>
    <definedName name="raffs" localSheetId="13">'[78]Plant &amp;  Machinery'!$G$13</definedName>
    <definedName name="rafi" localSheetId="15">'[78]Plant &amp;  Machinery'!$G$4</definedName>
    <definedName name="rafi" localSheetId="20">'[78]Plant &amp;  Machinery'!$G$4</definedName>
    <definedName name="rafi" localSheetId="13">'[78]Plant &amp;  Machinery'!$G$4</definedName>
    <definedName name="raised_pointing" localSheetId="21">#REF!</definedName>
    <definedName name="raju" localSheetId="15">[78]Material!$D$126</definedName>
    <definedName name="raju" localSheetId="20">[78]Material!$D$126</definedName>
    <definedName name="raju" localSheetId="13">[78]Material!$D$126</definedName>
    <definedName name="raju" localSheetId="21">#REF!</definedName>
    <definedName name="ram" localSheetId="15">[78]Material!$D$129</definedName>
    <definedName name="ram" localSheetId="20">[78]Material!$D$129</definedName>
    <definedName name="ram" localSheetId="13">[78]Material!$D$129</definedName>
    <definedName name="raMA" localSheetId="15">[111]Data!#REF!</definedName>
    <definedName name="raMA" localSheetId="20">[111]Data!#REF!</definedName>
    <definedName name="raMA" localSheetId="18">[111]Data!#REF!</definedName>
    <definedName name="raMA" localSheetId="13">[111]Data!#REF!</definedName>
    <definedName name="raMA" localSheetId="21">[111]Data!#REF!</definedName>
    <definedName name="ranaaa" localSheetId="21">#REF!</definedName>
    <definedName name="raod" localSheetId="21">[60]Lead!#REF!</definedName>
    <definedName name="ras" localSheetId="15">#REF!</definedName>
    <definedName name="ras" localSheetId="20">#REF!</definedName>
    <definedName name="ras" localSheetId="13">#REF!</definedName>
    <definedName name="ras" localSheetId="21">#REF!</definedName>
    <definedName name="rat" localSheetId="15">[78]Material!$D$51</definedName>
    <definedName name="rat" localSheetId="20">[78]Material!$D$51</definedName>
    <definedName name="rat" localSheetId="13">[78]Material!$D$51</definedName>
    <definedName name="rate12" localSheetId="21">'[18]lead-st'!$L$9</definedName>
    <definedName name="rate20" localSheetId="21">'[18]lead-st'!$L$8</definedName>
    <definedName name="rate40" localSheetId="21">'[18]lead-st'!$L$7</definedName>
    <definedName name="ratecrs" localSheetId="21">'[18]lead-st'!$L$12</definedName>
    <definedName name="raterough" localSheetId="21">'[18]lead-st'!$L$13</definedName>
    <definedName name="raterr" localSheetId="21">'[18]lead-st'!$L$11</definedName>
    <definedName name="rates" localSheetId="21">#REF!</definedName>
    <definedName name="rates1" localSheetId="21">#REF!</definedName>
    <definedName name="rates11" localSheetId="21">#REF!</definedName>
    <definedName name="rates4" localSheetId="21">#REF!</definedName>
    <definedName name="ratesand" localSheetId="21">'[18]lead-st'!$L$10</definedName>
    <definedName name="rauiy" localSheetId="21">[58]Material!$D$70</definedName>
    <definedName name="rax" localSheetId="15">[78]Material!$D$47</definedName>
    <definedName name="rax" localSheetId="20">[78]Material!$D$47</definedName>
    <definedName name="rax" localSheetId="13">[78]Material!$D$47</definedName>
    <definedName name="rb" localSheetId="15">#REF!</definedName>
    <definedName name="rb" localSheetId="20">#REF!</definedName>
    <definedName name="rb" localSheetId="13">#REF!</definedName>
    <definedName name="rb" localSheetId="21">#REF!</definedName>
    <definedName name="rbsw" localSheetId="15">#REF!</definedName>
    <definedName name="rbsw" localSheetId="20">#REF!</definedName>
    <definedName name="rbsw" localSheetId="13">#REF!</definedName>
    <definedName name="rbsw" localSheetId="21">#REF!</definedName>
    <definedName name="rbw" localSheetId="15">#REF!</definedName>
    <definedName name="rbw" localSheetId="20">#REF!</definedName>
    <definedName name="rbw" localSheetId="13">#REF!</definedName>
    <definedName name="rbw" localSheetId="21">#REF!</definedName>
    <definedName name="RCArea" localSheetId="0" hidden="1">#REF!</definedName>
    <definedName name="RCArea" localSheetId="7" hidden="1">#REF!</definedName>
    <definedName name="RCArea" hidden="1">#REF!</definedName>
    <definedName name="rcm_facia" localSheetId="21">#REF!</definedName>
    <definedName name="rd" localSheetId="15">#REF!</definedName>
    <definedName name="rd" localSheetId="20">#REF!</definedName>
    <definedName name="rd" localSheetId="13">#REF!</definedName>
    <definedName name="rd" localSheetId="21">#REF!</definedName>
    <definedName name="rdm" localSheetId="15">#REF!</definedName>
    <definedName name="rdm" localSheetId="20">#REF!</definedName>
    <definedName name="rdm" localSheetId="13">#REF!</definedName>
    <definedName name="rdm" localSheetId="21">#REF!</definedName>
    <definedName name="red" localSheetId="21">#REF!</definedName>
    <definedName name="REPORT" localSheetId="21">[112]Labour!$D$18</definedName>
    <definedName name="rerfdsfsdfd" localSheetId="15">'[78]Plant &amp;  Machinery'!$G$4</definedName>
    <definedName name="rerfdsfsdfd" localSheetId="20">'[78]Plant &amp;  Machinery'!$G$4</definedName>
    <definedName name="rerfdsfsdfd" localSheetId="13">'[78]Plant &amp;  Machinery'!$G$4</definedName>
    <definedName name="REVETMENT" localSheetId="15">'[113]Road Detail Est.'!#REF!</definedName>
    <definedName name="REVETMENT" localSheetId="20">'[113]Road Detail Est.'!#REF!</definedName>
    <definedName name="REVETMENT" localSheetId="18">'[114]Road Detail Est.'!#REF!</definedName>
    <definedName name="REVETMENT" localSheetId="13">'[113]Road Detail Est.'!#REF!</definedName>
    <definedName name="REVETMENT" localSheetId="21">'[114]Road Detail Est.'!#REF!</definedName>
    <definedName name="ri" localSheetId="15">#REF!</definedName>
    <definedName name="ri" localSheetId="20">#REF!</definedName>
    <definedName name="ri" localSheetId="13">#REF!</definedName>
    <definedName name="ri" localSheetId="21">#REF!</definedName>
    <definedName name="rii" localSheetId="15">#REF!</definedName>
    <definedName name="rii" localSheetId="20">#REF!</definedName>
    <definedName name="rii" localSheetId="13">#REF!</definedName>
    <definedName name="rii" localSheetId="21">#REF!</definedName>
    <definedName name="riii" localSheetId="15">#REF!</definedName>
    <definedName name="riii" localSheetId="20">#REF!</definedName>
    <definedName name="riii" localSheetId="13">#REF!</definedName>
    <definedName name="riii" localSheetId="21">#REF!</definedName>
    <definedName name="riser_shahbad" localSheetId="21">#REF!</definedName>
    <definedName name="road" localSheetId="15">[60]Lead!#REF!</definedName>
    <definedName name="road" localSheetId="20">[60]Lead!#REF!</definedName>
    <definedName name="road" localSheetId="18">[60]Lead!#REF!</definedName>
    <definedName name="road" localSheetId="13">[60]Lead!#REF!</definedName>
    <definedName name="road" localSheetId="21">[60]Lead!#REF!</definedName>
    <definedName name="roar1" localSheetId="21">[60]Lead!#REF!</definedName>
    <definedName name="rr_stone" localSheetId="21">#REF!</definedName>
    <definedName name="rrg" localSheetId="21">[115]r!$F$7</definedName>
    <definedName name="rrr" localSheetId="15">'[77]Plant &amp;  Machinery'!$G$4</definedName>
    <definedName name="rrr" localSheetId="20">'[77]Plant &amp;  Machinery'!$G$4</definedName>
    <definedName name="rrr" localSheetId="13">'[77]Plant &amp;  Machinery'!$G$4</definedName>
    <definedName name="rrrate" localSheetId="21">'[18]lead-st'!$L$11</definedName>
    <definedName name="rrs" localSheetId="21">[18]rdamdata!$J$9</definedName>
    <definedName name="rs" localSheetId="21">#REF!</definedName>
    <definedName name="rstone" localSheetId="21">[18]rdamdata!$J$11</definedName>
    <definedName name="Rt.data" localSheetId="13">#REF!</definedName>
    <definedName name="Rt.data" localSheetId="21">#REF!</definedName>
    <definedName name="rtcf" localSheetId="15">#REF!</definedName>
    <definedName name="rtcf" localSheetId="20">#REF!</definedName>
    <definedName name="rtcf" localSheetId="13">#REF!</definedName>
    <definedName name="rtcf" localSheetId="21">#REF!</definedName>
    <definedName name="rtcfo" localSheetId="15">#REF!</definedName>
    <definedName name="rtcfo" localSheetId="20">#REF!</definedName>
    <definedName name="rtcfo" localSheetId="13">#REF!</definedName>
    <definedName name="rtcfo" localSheetId="21">#REF!</definedName>
    <definedName name="rwm" localSheetId="21">#REF!</definedName>
    <definedName name="sa" localSheetId="15">[65]Data.F8.BTR!#REF!</definedName>
    <definedName name="sa" localSheetId="20">[65]Data.F8.BTR!#REF!</definedName>
    <definedName name="sa" localSheetId="18">[65]Data.F8.BTR!#REF!</definedName>
    <definedName name="sa" localSheetId="13">[65]Data.F8.BTR!#REF!</definedName>
    <definedName name="sa" localSheetId="21">[65]Data.F8.BTR!#REF!</definedName>
    <definedName name="sadfas" localSheetId="15">#REF!</definedName>
    <definedName name="sadfas" localSheetId="20">#REF!</definedName>
    <definedName name="sadfas" localSheetId="13">#REF!</definedName>
    <definedName name="sadfas" localSheetId="21">#REF!</definedName>
    <definedName name="sand" localSheetId="21">[18]rdamdata!$J$12</definedName>
    <definedName name="Sand_screened" localSheetId="21">#REF!</definedName>
    <definedName name="sandmortar" localSheetId="21">#REF!</definedName>
    <definedName name="sandscreen" localSheetId="21">#REF!</definedName>
    <definedName name="sbc" localSheetId="15">#REF!</definedName>
    <definedName name="sbc" localSheetId="20">#REF!</definedName>
    <definedName name="sbc" localSheetId="13">#REF!</definedName>
    <definedName name="sbc" localSheetId="21">#REF!</definedName>
    <definedName name="scafhire" localSheetId="21">#REF!</definedName>
    <definedName name="scafhirechr" localSheetId="21">#REF!</definedName>
    <definedName name="scafhirechr1.24" localSheetId="21">#REF!</definedName>
    <definedName name="scafhirechr115" localSheetId="21">#REF!</definedName>
    <definedName name="Sched_Pay" localSheetId="15">#REF!</definedName>
    <definedName name="Sched_Pay" localSheetId="20">#REF!</definedName>
    <definedName name="Sched_Pay" localSheetId="13">#REF!</definedName>
    <definedName name="Sched_Pay" localSheetId="21">#REF!</definedName>
    <definedName name="Scheduled_Extra_Payments" localSheetId="15">#REF!</definedName>
    <definedName name="Scheduled_Extra_Payments" localSheetId="20">#REF!</definedName>
    <definedName name="Scheduled_Extra_Payments" localSheetId="13">#REF!</definedName>
    <definedName name="Scheduled_Extra_Payments" localSheetId="21">#REF!</definedName>
    <definedName name="Scheduled_Interest_Rate" localSheetId="15">#REF!</definedName>
    <definedName name="Scheduled_Interest_Rate" localSheetId="20">#REF!</definedName>
    <definedName name="Scheduled_Interest_Rate" localSheetId="13">#REF!</definedName>
    <definedName name="Scheduled_Interest_Rate" localSheetId="21">#REF!</definedName>
    <definedName name="Scheduled_Monthly_Payment" localSheetId="15">#REF!</definedName>
    <definedName name="Scheduled_Monthly_Payment" localSheetId="20">#REF!</definedName>
    <definedName name="Scheduled_Monthly_Payment" localSheetId="13">#REF!</definedName>
    <definedName name="Scheduled_Monthly_Payment" localSheetId="21">#REF!</definedName>
    <definedName name="sdfe" localSheetId="18">[69]data!#REF!</definedName>
    <definedName name="sdfe" localSheetId="21">[69]data!#REF!</definedName>
    <definedName name="sdfg" localSheetId="21">#REF!</definedName>
    <definedName name="sdfsdsdfdf" localSheetId="15">[78]Material!$D$70</definedName>
    <definedName name="sdfsdsdfdf" localSheetId="20">[78]Material!$D$70</definedName>
    <definedName name="sdfsdsdfdf" localSheetId="13">[78]Material!$D$70</definedName>
    <definedName name="se" localSheetId="15">[48]Lead!#REF!</definedName>
    <definedName name="se" localSheetId="20">[48]Lead!#REF!</definedName>
    <definedName name="se" localSheetId="18">[69]data!#REF!</definedName>
    <definedName name="se" localSheetId="13">[48]Lead!#REF!</definedName>
    <definedName name="se" localSheetId="21">[69]data!#REF!</definedName>
    <definedName name="sein" localSheetId="21">#REF!</definedName>
    <definedName name="sein1" localSheetId="21">#REF!</definedName>
    <definedName name="sein4" localSheetId="21">#REF!</definedName>
    <definedName name="SEVENTOTHIRTEEN" localSheetId="21">#REF!</definedName>
    <definedName name="sheet" localSheetId="15">[116]m!$A$2</definedName>
    <definedName name="sheet" localSheetId="20">[116]m!$A$2</definedName>
    <definedName name="sheet" localSheetId="13">[116]m!$A$2</definedName>
    <definedName name="sheet" localSheetId="21">[53]Material!$D$131</definedName>
    <definedName name="Sheet2" localSheetId="15">[69]data!#REF!</definedName>
    <definedName name="Sheet2" localSheetId="20">[69]data!#REF!</definedName>
    <definedName name="Sheet2" localSheetId="18">[69]data!#REF!</definedName>
    <definedName name="Sheet2" localSheetId="13">[69]data!#REF!</definedName>
    <definedName name="Sheet2" localSheetId="21">[69]data!#REF!</definedName>
    <definedName name="SHOULDERS" localSheetId="21">#REF!</definedName>
    <definedName name="si" localSheetId="15">#REF!</definedName>
    <definedName name="si" localSheetId="20">#REF!</definedName>
    <definedName name="si" localSheetId="13">#REF!</definedName>
    <definedName name="si" localSheetId="21">#REF!</definedName>
    <definedName name="SIDEWALLSONETOSIX" localSheetId="21">#REF!</definedName>
    <definedName name="SIDEWALLSSEVENTOTHIRTEEN" localSheetId="21">#REF!</definedName>
    <definedName name="single" localSheetId="21">[59]Material!$D$139</definedName>
    <definedName name="SIXTOTHIRTEEN" localSheetId="21">#REF!</definedName>
    <definedName name="skirting_shahbad" localSheetId="21">#REF!</definedName>
    <definedName name="smn" localSheetId="21">[112]Material!$D$42</definedName>
    <definedName name="sp002a" localSheetId="21">'[43]MRoad data'!#REF!</definedName>
    <definedName name="sp004a" localSheetId="21">'[43]MRoad data'!#REF!</definedName>
    <definedName name="SP005A" localSheetId="21">'[43]MRoad data'!#REF!</definedName>
    <definedName name="SP007a" localSheetId="21">'[43]MRoad data'!#REF!</definedName>
    <definedName name="SP022a" localSheetId="21">'[43]MRoad data'!#REF!</definedName>
    <definedName name="sp023a" localSheetId="21">'[43]MRoad data'!#REF!</definedName>
    <definedName name="sp025a" localSheetId="21">'[43]MRoad data'!#REF!</definedName>
    <definedName name="SP034a" localSheetId="21">'[43]MRoad data'!#REF!</definedName>
    <definedName name="sp053A" localSheetId="21">'[43]MRoad data'!#REF!</definedName>
    <definedName name="sp054a" localSheetId="21">'[43]MRoad data'!#REF!</definedName>
    <definedName name="spas" localSheetId="15">#REF!</definedName>
    <definedName name="spas" localSheetId="20">#REF!</definedName>
    <definedName name="spas" localSheetId="13">#REF!</definedName>
    <definedName name="spas" localSheetId="21">#REF!</definedName>
    <definedName name="spds" localSheetId="15">#REF!</definedName>
    <definedName name="spds" localSheetId="20">#REF!</definedName>
    <definedName name="spds" localSheetId="13">#REF!</definedName>
    <definedName name="spds" localSheetId="21">#REF!</definedName>
    <definedName name="SpecialPrice" localSheetId="0" hidden="1">#REF!</definedName>
    <definedName name="SpecialPrice" localSheetId="7" hidden="1">#REF!</definedName>
    <definedName name="SpecialPrice" hidden="1">#REF!</definedName>
    <definedName name="SPREADING_40MM" localSheetId="21">#REF!</definedName>
    <definedName name="SPREADING_65MM" localSheetId="15">'[113]Road data'!#REF!</definedName>
    <definedName name="SPREADING_65MM" localSheetId="20">'[113]Road data'!#REF!</definedName>
    <definedName name="SPREADING_65MM" localSheetId="18">'[114]Road data'!#REF!</definedName>
    <definedName name="SPREADING_65MM" localSheetId="13">'[113]Road data'!#REF!</definedName>
    <definedName name="SPREADING_65MM" localSheetId="21">'[114]Road data'!#REF!</definedName>
    <definedName name="sreenu" localSheetId="21">#REF!</definedName>
    <definedName name="ss" localSheetId="15">[117]Lead!$N$15</definedName>
    <definedName name="ss" localSheetId="20">[117]Lead!$N$15</definedName>
    <definedName name="ss" localSheetId="18">#REF!</definedName>
    <definedName name="ss" localSheetId="13">[117]Lead!$N$15</definedName>
    <definedName name="ss" localSheetId="21">#REF!</definedName>
    <definedName name="ss_pipes" localSheetId="21">#REF!</definedName>
    <definedName name="ss_railing" localSheetId="21">#REF!</definedName>
    <definedName name="stack" localSheetId="21">#REF!</definedName>
    <definedName name="stack1" localSheetId="21">#REF!</definedName>
    <definedName name="stack4" localSheetId="21">#REF!</definedName>
    <definedName name="staf" localSheetId="15">[118]v!#REF!</definedName>
    <definedName name="staf" localSheetId="20">[118]v!#REF!</definedName>
    <definedName name="staf" localSheetId="18">[118]v!#REF!</definedName>
    <definedName name="staf" localSheetId="13">[118]v!#REF!</definedName>
    <definedName name="staf" localSheetId="21">[119]v!#REF!</definedName>
    <definedName name="staff" localSheetId="21">[118]v!#REF!</definedName>
    <definedName name="STEEL" localSheetId="15">#REF!</definedName>
    <definedName name="STEEL" localSheetId="20">#REF!</definedName>
    <definedName name="STEEL" localSheetId="13">#REF!</definedName>
    <definedName name="steel" localSheetId="21">[101]Material!$D$92</definedName>
    <definedName name="steel_hysd" localSheetId="21">#REF!</definedName>
    <definedName name="steel_mildbar" localSheetId="21">#REF!</definedName>
    <definedName name="steelcenA" localSheetId="21">#REF!</definedName>
    <definedName name="steelcenB" localSheetId="21">#REF!</definedName>
    <definedName name="steelcenpb" localSheetId="21">#REF!</definedName>
    <definedName name="sth" localSheetId="15">#REF!</definedName>
    <definedName name="sth" localSheetId="20">#REF!</definedName>
    <definedName name="sth" localSheetId="13">#REF!</definedName>
    <definedName name="sth" localSheetId="21">#REF!</definedName>
    <definedName name="str_steel" localSheetId="21">#REF!</definedName>
    <definedName name="str_steel_plates" localSheetId="21">#REF!</definedName>
    <definedName name="summar" localSheetId="21">[69]data!#REF!</definedName>
    <definedName name="summary" localSheetId="21">[69]data!#REF!</definedName>
    <definedName name="suryacem_paint" localSheetId="21">#REF!</definedName>
    <definedName name="sw" localSheetId="15">[73]Lead!#REF!</definedName>
    <definedName name="sw" localSheetId="20">[73]Lead!#REF!</definedName>
    <definedName name="sw" localSheetId="18">[73]Lead!#REF!</definedName>
    <definedName name="sw" localSheetId="13">[73]Lead!#REF!</definedName>
    <definedName name="sw" localSheetId="21">[73]Lead!#REF!</definedName>
    <definedName name="swc" localSheetId="15">#REF!</definedName>
    <definedName name="swc" localSheetId="20">#REF!</definedName>
    <definedName name="swc" localSheetId="13">#REF!</definedName>
    <definedName name="swc" localSheetId="21">#REF!</definedName>
    <definedName name="swci" localSheetId="15">#REF!</definedName>
    <definedName name="swci" localSheetId="20">#REF!</definedName>
    <definedName name="swci" localSheetId="13">#REF!</definedName>
    <definedName name="swci" localSheetId="21">#REF!</definedName>
    <definedName name="Table1" localSheetId="15">#REF!</definedName>
    <definedName name="Table1" localSheetId="20">#REF!</definedName>
    <definedName name="Table1" localSheetId="18">#REF!</definedName>
    <definedName name="Table1" localSheetId="13">#REF!</definedName>
    <definedName name="Table1" localSheetId="21">#REF!</definedName>
    <definedName name="Table2" localSheetId="15">#REF!</definedName>
    <definedName name="Table2" localSheetId="20">#REF!</definedName>
    <definedName name="Table2" localSheetId="18">#REF!</definedName>
    <definedName name="Table2" localSheetId="13">#REF!</definedName>
    <definedName name="Table2" localSheetId="21">#REF!</definedName>
    <definedName name="Table3" localSheetId="15">#REF!</definedName>
    <definedName name="Table3" localSheetId="20">#REF!</definedName>
    <definedName name="Table3" localSheetId="18">#REF!</definedName>
    <definedName name="Table3" localSheetId="13">#REF!</definedName>
    <definedName name="Table3" localSheetId="21">#REF!</definedName>
    <definedName name="Table4" localSheetId="15">#REF!</definedName>
    <definedName name="Table4" localSheetId="20">#REF!</definedName>
    <definedName name="Table4" localSheetId="18">#REF!</definedName>
    <definedName name="Table4" localSheetId="13">#REF!</definedName>
    <definedName name="Table4" localSheetId="21">#REF!</definedName>
    <definedName name="tas" localSheetId="15">#REF!</definedName>
    <definedName name="tas" localSheetId="20">#REF!</definedName>
    <definedName name="tas" localSheetId="13">#REF!</definedName>
    <definedName name="tas" localSheetId="21">#REF!</definedName>
    <definedName name="tbiiv0" localSheetId="21">#REF!</definedName>
    <definedName name="tbiv0" localSheetId="21">#REF!</definedName>
    <definedName name="tbl_ProdInfo" localSheetId="0" hidden="1">#REF!</definedName>
    <definedName name="tbl_ProdInfo" localSheetId="7" hidden="1">#REF!</definedName>
    <definedName name="tbl_ProdInfo" hidden="1">#REF!</definedName>
    <definedName name="td" localSheetId="15">#REF!</definedName>
    <definedName name="td" localSheetId="20">#REF!</definedName>
    <definedName name="td" localSheetId="13">#REF!</definedName>
    <definedName name="td" localSheetId="21">#REF!</definedName>
    <definedName name="TED" localSheetId="21">[80]Material!$D$126</definedName>
    <definedName name="teeta" localSheetId="13">#REF!</definedName>
    <definedName name="teeta" localSheetId="21">#REF!</definedName>
    <definedName name="TEi" localSheetId="13">#REF!</definedName>
    <definedName name="TEi" localSheetId="21">#REF!</definedName>
    <definedName name="temp" localSheetId="21">[16]r!$F$2</definedName>
    <definedName name="ten" localSheetId="21">#REF!</definedName>
    <definedName name="th" localSheetId="15">#REF!</definedName>
    <definedName name="th" localSheetId="20">#REF!</definedName>
    <definedName name="th" localSheetId="13">#REF!</definedName>
    <definedName name="th" localSheetId="21">#REF!</definedName>
    <definedName name="tm" localSheetId="15">#REF!</definedName>
    <definedName name="tm" localSheetId="20">#REF!</definedName>
    <definedName name="tm" localSheetId="13">#REF!</definedName>
    <definedName name="tm" localSheetId="21">#REF!</definedName>
    <definedName name="TOPDOMEONETOSIX" localSheetId="21">#REF!</definedName>
    <definedName name="TOPDOMESEVENTOTHIRTEEN" localSheetId="21">#REF!</definedName>
    <definedName name="TOPRINGGIRDERONETOSIX" localSheetId="21">#REF!</definedName>
    <definedName name="TOPRINGGIRDERSEVENTOTHIRTEEN" localSheetId="21">#REF!</definedName>
    <definedName name="Total_Interest" localSheetId="15">#REF!</definedName>
    <definedName name="Total_Interest" localSheetId="20">#REF!</definedName>
    <definedName name="Total_Interest" localSheetId="13">#REF!</definedName>
    <definedName name="Total_Interest" localSheetId="21">#REF!</definedName>
    <definedName name="Total_Pay" localSheetId="15">#REF!</definedName>
    <definedName name="Total_Pay" localSheetId="20">#REF!</definedName>
    <definedName name="Total_Pay" localSheetId="13">#REF!</definedName>
    <definedName name="Total_Pay" localSheetId="21">#REF!</definedName>
    <definedName name="Total_Payment" localSheetId="15">Scheduled_Payment+Extra_Payment</definedName>
    <definedName name="Total_Payment" localSheetId="20">Scheduled_Payment+Extra_Payment</definedName>
    <definedName name="Total_Payment" localSheetId="16">Scheduled_Payment+Extra_Payment</definedName>
    <definedName name="Total_Payment" localSheetId="19">Scheduled_Payment+Extra_Payment</definedName>
    <definedName name="Total_Payment" localSheetId="18">Scheduled_Payment+Extra_Payment</definedName>
    <definedName name="Total_Payment" localSheetId="13">Scheduled_Payment+Extra_Payment</definedName>
    <definedName name="Total_Payment" localSheetId="14">Scheduled_Payment+Extra_Payment</definedName>
    <definedName name="Total_Payment" localSheetId="21">Scheduled_Payment+Extra_Payment</definedName>
    <definedName name="tr" localSheetId="15">#REF!</definedName>
    <definedName name="tr" localSheetId="20">#REF!</definedName>
    <definedName name="tr" localSheetId="13">#REF!</definedName>
    <definedName name="tr" localSheetId="21">#REF!</definedName>
    <definedName name="treads_shahbad" localSheetId="21">#REF!</definedName>
    <definedName name="TREE" localSheetId="21">#REF!</definedName>
    <definedName name="trtrt" localSheetId="21">#REF!</definedName>
    <definedName name="Ts" localSheetId="15">#REF!</definedName>
    <definedName name="Ts" localSheetId="20">#REF!</definedName>
    <definedName name="Ts" localSheetId="13">#REF!</definedName>
    <definedName name="Ts" localSheetId="21">#REF!</definedName>
    <definedName name="tt" localSheetId="15">#REF!</definedName>
    <definedName name="tt" localSheetId="17">#REF!</definedName>
    <definedName name="tt" localSheetId="20">#REF!</definedName>
    <definedName name="tt" localSheetId="18">#REF!</definedName>
    <definedName name="tt" localSheetId="13">#REF!</definedName>
    <definedName name="tt" localSheetId="14">#REF!</definedName>
    <definedName name="tt" localSheetId="21">#REF!</definedName>
    <definedName name="TTR" localSheetId="21">[80]Material!$D$129</definedName>
    <definedName name="ttttt" localSheetId="21">#REF!</definedName>
    <definedName name="twbm" localSheetId="15">#REF!</definedName>
    <definedName name="twbm" localSheetId="20">#REF!</definedName>
    <definedName name="twbm" localSheetId="13">#REF!</definedName>
    <definedName name="twbm" localSheetId="21">#REF!</definedName>
    <definedName name="TYI" localSheetId="21">'[80]Plant &amp;  Machinery'!$G$4</definedName>
    <definedName name="u" localSheetId="15">[120]Lead!#REF!</definedName>
    <definedName name="u" localSheetId="20">[120]Lead!#REF!</definedName>
    <definedName name="u" localSheetId="18">[120]Lead!#REF!</definedName>
    <definedName name="u" localSheetId="13">[120]Lead!#REF!</definedName>
    <definedName name="u" localSheetId="21">[120]Lead!#REF!</definedName>
    <definedName name="uuu" localSheetId="15">[121]Labour!$D$18</definedName>
    <definedName name="uuu" localSheetId="20">[121]Labour!$D$18</definedName>
    <definedName name="uuu" localSheetId="13">[121]Labour!$D$18</definedName>
    <definedName name="uuu" localSheetId="21">[122]Labour!$D$18</definedName>
    <definedName name="v" localSheetId="15">#REF!</definedName>
    <definedName name="v" localSheetId="20">#REF!</definedName>
    <definedName name="v" localSheetId="13">#REF!</definedName>
    <definedName name="v" localSheetId="21">#REF!</definedName>
    <definedName name="Values_Entered" localSheetId="15">IF(Abstract!Loan_Amount*Abstract!Interest_Rate*Abstract!Loan_Years*Abstract!Loan_Start&gt;0,1,0)</definedName>
    <definedName name="Values_Entered" localSheetId="20">IF('Data without water  (2)'!Loan_Amount*'Data without water  (2)'!Interest_Rate*'Data without water  (2)'!Loan_Years*'Data without water  (2)'!Loan_Start&gt;0,1,0)</definedName>
    <definedName name="Values_Entered" localSheetId="16">IF(Abstract!Loan_Amount*Abstract!Interest_Rate*Abstract!Loan_Years*Abstract!Loan_Start&gt;0,1,0)</definedName>
    <definedName name="Values_Entered" localSheetId="19">IF(Abstract!Loan_Amount*Abstract!Interest_Rate*Abstract!Loan_Years*Abstract!Loan_Start&gt;0,1,0)</definedName>
    <definedName name="Values_Entered" localSheetId="18">IF(Abstract!Loan_Amount*Abstract!Interest_Rate*Abstract!Loan_Years*Abstract!Loan_Start&gt;0,1,0)</definedName>
    <definedName name="Values_Entered" localSheetId="13">IF(Sp.Report!Loan_Amount*Sp.Report!Interest_Rate*Sp.Report!Loan_Years*Sp.Report!Loan_Start&gt;0,1,0)</definedName>
    <definedName name="Values_Entered" localSheetId="14">IF(Abstract!Loan_Amount*Abstract!Interest_Rate*Abstract!Loan_Years*Abstract!Loan_Start&gt;0,1,0)</definedName>
    <definedName name="Values_Entered" localSheetId="21">IF('Water Supply'!Loan_Amount*'Water Supply'!Interest_Rate*'Water Supply'!Loan_Years*'Water Supply'!Loan_Start&gt;0,1,0)</definedName>
    <definedName name="var" localSheetId="21">#REF!</definedName>
    <definedName name="vat" localSheetId="21">#REF!</definedName>
    <definedName name="vatname" localSheetId="21">#REF!</definedName>
    <definedName name="Vibchr" localSheetId="21">#REF!</definedName>
    <definedName name="vitrified" localSheetId="21">#REF!</definedName>
    <definedName name="vrcc_col" localSheetId="21">#REF!</definedName>
    <definedName name="vrcc_footing" localSheetId="21">#REF!</definedName>
    <definedName name="vrcc_lintel" localSheetId="21">#REF!</definedName>
    <definedName name="vrcc_pb" localSheetId="21">#REF!</definedName>
    <definedName name="vrcc_platform" localSheetId="21">#REF!</definedName>
    <definedName name="vrcc_roof_IIv" localSheetId="21">#REF!</definedName>
    <definedName name="vrcc_roofbeam" localSheetId="21">#REF!</definedName>
    <definedName name="vrcc_sunshade" localSheetId="21">#REF!</definedName>
    <definedName name="vsi" localSheetId="15">#REF!</definedName>
    <definedName name="vsi" localSheetId="20">#REF!</definedName>
    <definedName name="vsi" localSheetId="13">#REF!</definedName>
    <definedName name="vsi" localSheetId="21">#REF!</definedName>
    <definedName name="vso" localSheetId="15">#REF!</definedName>
    <definedName name="vso" localSheetId="20">#REF!</definedName>
    <definedName name="vso" localSheetId="13">#REF!</definedName>
    <definedName name="vso" localSheetId="21">#REF!</definedName>
    <definedName name="vsp" localSheetId="15">'[50]SUMP1420KL@HW'!#REF!</definedName>
    <definedName name="vsp" localSheetId="20">'[50]SUMP1420KL@HW'!#REF!</definedName>
    <definedName name="vsp" localSheetId="18">'[51]SUMP1420KL@HW'!#REF!</definedName>
    <definedName name="vsp" localSheetId="13">'[50]SUMP1420KL@HW'!#REF!</definedName>
    <definedName name="vsp" localSheetId="21">'[52]SUMP1420KL@HW'!#REF!</definedName>
    <definedName name="vvn_BC_New" localSheetId="21">'[43]MRoad data'!#REF!</definedName>
    <definedName name="vvn_BC60x70" localSheetId="21">'[43]MRoad data'!#REF!</definedName>
    <definedName name="vvn_BM_new" localSheetId="21">'[43]MRoad data'!#REF!</definedName>
    <definedName name="vvn_BTpatch9to11mm" localSheetId="21">'[43]MRoad data'!#REF!</definedName>
    <definedName name="vvn_DBM_New" localSheetId="21">'[43]MRoad data'!#REF!</definedName>
    <definedName name="vvn_Dism_RR" localSheetId="21">'[43]MRoad data'!#REF!</definedName>
    <definedName name="vvn_GSB_GRII_400x1" localSheetId="21">'[43]MRoad data'!#REF!</definedName>
    <definedName name="vvn_GSB_GrII_401x2" localSheetId="21">'[43]MRoad data'!#REF!</definedName>
    <definedName name="vvn_GSB_GrIII_400x1" localSheetId="21">'[43]MRoad data'!#REF!</definedName>
    <definedName name="vvn_GSB_GrIII_400x2" localSheetId="21">'[43]MRoad data'!#REF!</definedName>
    <definedName name="vvn_MSS_25CRMB" localSheetId="21">'[43]MRoad data'!#REF!</definedName>
    <definedName name="VVN_MSS25_BT" localSheetId="21">'[43]MRoad data'!#REF!</definedName>
    <definedName name="vvn_sp90" localSheetId="21">'[43]MRoad data'!#REF!</definedName>
    <definedName name="vvn_TC_BT" localSheetId="21">'[43]MRoad data'!#REF!</definedName>
    <definedName name="w" localSheetId="15">#REF!</definedName>
    <definedName name="w" localSheetId="20">#REF!</definedName>
    <definedName name="w" localSheetId="13">#REF!</definedName>
    <definedName name="w" localSheetId="21">#REF!</definedName>
    <definedName name="Was" localSheetId="15">#REF!</definedName>
    <definedName name="Was" localSheetId="20">#REF!</definedName>
    <definedName name="Was" localSheetId="13">#REF!</definedName>
    <definedName name="Was" localSheetId="21">#REF!</definedName>
    <definedName name="wasi" localSheetId="15">#REF!</definedName>
    <definedName name="wasi" localSheetId="20">#REF!</definedName>
    <definedName name="wasi" localSheetId="13">#REF!</definedName>
    <definedName name="wasi" localSheetId="21">#REF!</definedName>
    <definedName name="waterproof_paint" localSheetId="21">#REF!</definedName>
    <definedName name="wbs" localSheetId="15">#REF!</definedName>
    <definedName name="wbs" localSheetId="20">#REF!</definedName>
    <definedName name="wbs" localSheetId="13">#REF!</definedName>
    <definedName name="wbs" localSheetId="21">#REF!</definedName>
    <definedName name="wbsi" localSheetId="15">#REF!</definedName>
    <definedName name="wbsi" localSheetId="20">#REF!</definedName>
    <definedName name="wbsi" localSheetId="13">#REF!</definedName>
    <definedName name="wbsi" localSheetId="21">#REF!</definedName>
    <definedName name="wc" localSheetId="21">[56]r!$F$48</definedName>
    <definedName name="wd" localSheetId="15">#REF!</definedName>
    <definedName name="wd" localSheetId="20">#REF!</definedName>
    <definedName name="wd" localSheetId="13">#REF!</definedName>
    <definedName name="wd" localSheetId="21">#REF!</definedName>
    <definedName name="wdtd" localSheetId="15">#REF!</definedName>
    <definedName name="wdtd" localSheetId="20">#REF!</definedName>
    <definedName name="wdtd" localSheetId="13">#REF!</definedName>
    <definedName name="wdtd" localSheetId="21">#REF!</definedName>
    <definedName name="we" localSheetId="15">#REF!</definedName>
    <definedName name="we" localSheetId="20">#REF!</definedName>
    <definedName name="we" localSheetId="13">#REF!</definedName>
    <definedName name="we" localSheetId="21">#REF!</definedName>
    <definedName name="wei" localSheetId="15">#REF!</definedName>
    <definedName name="wei" localSheetId="20">#REF!</definedName>
    <definedName name="wei" localSheetId="13">#REF!</definedName>
    <definedName name="wei" localSheetId="21">#REF!</definedName>
    <definedName name="wgl" localSheetId="2" hidden="1">{"'ridftotal'!$A$4:$S$27"}</definedName>
    <definedName name="wgl" hidden="1">{"'ridftotal'!$A$4:$S$27"}</definedName>
    <definedName name="wh" localSheetId="15">#REF!</definedName>
    <definedName name="wh" localSheetId="20">#REF!</definedName>
    <definedName name="wh" localSheetId="13">#REF!</definedName>
    <definedName name="wh" localSheetId="21">#REF!</definedName>
    <definedName name="Wi" localSheetId="13">#REF!</definedName>
    <definedName name="Wi" localSheetId="21">#REF!</definedName>
    <definedName name="window" localSheetId="21">#REF!</definedName>
    <definedName name="wl" localSheetId="15">#REF!</definedName>
    <definedName name="wl" localSheetId="20">#REF!</definedName>
    <definedName name="wl" localSheetId="13">#REF!</definedName>
    <definedName name="wl" localSheetId="21">#REF!</definedName>
    <definedName name="wltd" localSheetId="15">#REF!</definedName>
    <definedName name="wltd" localSheetId="20">#REF!</definedName>
    <definedName name="wltd" localSheetId="13">#REF!</definedName>
    <definedName name="wltd" localSheetId="21">#REF!</definedName>
    <definedName name="wm" localSheetId="21">#REF!</definedName>
    <definedName name="wn" localSheetId="21">#REF!</definedName>
    <definedName name="wp" localSheetId="21">#REF!</definedName>
    <definedName name="wrb" localSheetId="15">#REF!</definedName>
    <definedName name="wrb" localSheetId="20">#REF!</definedName>
    <definedName name="wrb" localSheetId="13">#REF!</definedName>
    <definedName name="wrb" localSheetId="21">#REF!</definedName>
    <definedName name="wrbi" localSheetId="15">#REF!</definedName>
    <definedName name="wrbi" localSheetId="20">#REF!</definedName>
    <definedName name="wrbi" localSheetId="13">#REF!</definedName>
    <definedName name="wrbi" localSheetId="21">#REF!</definedName>
    <definedName name="wsw" localSheetId="15">#REF!</definedName>
    <definedName name="wsw" localSheetId="20">#REF!</definedName>
    <definedName name="wsw" localSheetId="13">#REF!</definedName>
    <definedName name="wsw" localSheetId="21">#REF!</definedName>
    <definedName name="wtd" localSheetId="15">#REF!</definedName>
    <definedName name="wtd" localSheetId="20">#REF!</definedName>
    <definedName name="wtd" localSheetId="13">#REF!</definedName>
    <definedName name="wtd" localSheetId="21">#REF!</definedName>
    <definedName name="ww" localSheetId="15">#REF!</definedName>
    <definedName name="ww" localSheetId="20">#REF!</definedName>
    <definedName name="ww" localSheetId="13">#REF!</definedName>
    <definedName name="ww" localSheetId="21">#REF!</definedName>
    <definedName name="wwi" localSheetId="15">#REF!</definedName>
    <definedName name="wwi" localSheetId="20">#REF!</definedName>
    <definedName name="wwi" localSheetId="13">#REF!</definedName>
    <definedName name="wwi" localSheetId="21">#REF!</definedName>
    <definedName name="x" localSheetId="1" hidden="1">'[25]final abstract'!#REF!</definedName>
    <definedName name="x" localSheetId="0" hidden="1">'[25]final abstract'!#REF!</definedName>
    <definedName name="x" localSheetId="2" hidden="1">'[26]final abstract'!#REF!</definedName>
    <definedName name="x" localSheetId="7" hidden="1">'[25]final abstract'!#REF!</definedName>
    <definedName name="x" localSheetId="21" hidden="1">'[25]final abstract'!#REF!</definedName>
    <definedName name="x" hidden="1">'[25]final abstract'!#REF!</definedName>
    <definedName name="XOTOXSIX" localSheetId="21">#REF!</definedName>
    <definedName name="XSIXTOXTHIRTEEN" localSheetId="21">#REF!</definedName>
    <definedName name="ypr" localSheetId="21">[123]Data!#REF!</definedName>
    <definedName name="yyyyy" localSheetId="21">#REF!</definedName>
    <definedName name="z" localSheetId="15">#REF!</definedName>
    <definedName name="z" localSheetId="20">#REF!</definedName>
    <definedName name="z" localSheetId="13">#REF!</definedName>
    <definedName name="ZEROTOSIX" localSheetId="21">#REF!</definedName>
  </definedNames>
  <calcPr calcId="12451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27" i="78"/>
  <c r="M127" s="1"/>
  <c r="K142"/>
  <c r="K139"/>
  <c r="K136"/>
  <c r="K133"/>
  <c r="K130"/>
  <c r="K125"/>
  <c r="M125" s="1"/>
  <c r="K123"/>
  <c r="M123" s="1"/>
  <c r="I141"/>
  <c r="I142" s="1"/>
  <c r="I138"/>
  <c r="I139" s="1"/>
  <c r="I135"/>
  <c r="I136" s="1"/>
  <c r="I133"/>
  <c r="I130"/>
  <c r="K96"/>
  <c r="F94"/>
  <c r="I95"/>
  <c r="E94"/>
  <c r="F105"/>
  <c r="F100"/>
  <c r="I100" s="1"/>
  <c r="G99"/>
  <c r="F99"/>
  <c r="F80"/>
  <c r="I80" s="1"/>
  <c r="F75"/>
  <c r="I75" s="1"/>
  <c r="F67"/>
  <c r="I61"/>
  <c r="I62"/>
  <c r="F60"/>
  <c r="I60" s="1"/>
  <c r="F47"/>
  <c r="I47" s="1"/>
  <c r="I38"/>
  <c r="I39" s="1"/>
  <c r="I27"/>
  <c r="I26"/>
  <c r="I15"/>
  <c r="I14"/>
  <c r="K154"/>
  <c r="H154"/>
  <c r="K153"/>
  <c r="H153"/>
  <c r="K121"/>
  <c r="M121" s="1"/>
  <c r="K119"/>
  <c r="M119" s="1"/>
  <c r="K117"/>
  <c r="M117" s="1"/>
  <c r="K115"/>
  <c r="M115" s="1"/>
  <c r="K113"/>
  <c r="M113" s="1"/>
  <c r="K111"/>
  <c r="M111" s="1"/>
  <c r="K109"/>
  <c r="M109" s="1"/>
  <c r="K107"/>
  <c r="I106"/>
  <c r="H105"/>
  <c r="B103"/>
  <c r="K102"/>
  <c r="I101"/>
  <c r="B97"/>
  <c r="K92"/>
  <c r="K88"/>
  <c r="I86"/>
  <c r="K84"/>
  <c r="M84" s="1"/>
  <c r="K82"/>
  <c r="I81"/>
  <c r="K77"/>
  <c r="I76"/>
  <c r="K72"/>
  <c r="K68"/>
  <c r="K65"/>
  <c r="I64"/>
  <c r="K57"/>
  <c r="I56"/>
  <c r="I57" s="1"/>
  <c r="K52"/>
  <c r="K48"/>
  <c r="K43"/>
  <c r="I42"/>
  <c r="K39"/>
  <c r="K36"/>
  <c r="K33"/>
  <c r="I32"/>
  <c r="E31"/>
  <c r="D31"/>
  <c r="C31"/>
  <c r="B31"/>
  <c r="K28"/>
  <c r="K23"/>
  <c r="I22"/>
  <c r="I20"/>
  <c r="I19"/>
  <c r="K16"/>
  <c r="B12"/>
  <c r="K11"/>
  <c r="I10"/>
  <c r="I9"/>
  <c r="A2"/>
  <c r="F16" i="77"/>
  <c r="I16" s="1"/>
  <c r="I18" s="1"/>
  <c r="M18" s="1"/>
  <c r="F7"/>
  <c r="F10" s="1"/>
  <c r="I10" s="1"/>
  <c r="I11" s="1"/>
  <c r="M11" s="1"/>
  <c r="K38"/>
  <c r="G38"/>
  <c r="K37"/>
  <c r="G37"/>
  <c r="L33"/>
  <c r="I33"/>
  <c r="M33" s="1"/>
  <c r="L30"/>
  <c r="I29"/>
  <c r="I30" s="1"/>
  <c r="M30" s="1"/>
  <c r="L27"/>
  <c r="F22"/>
  <c r="F26" s="1"/>
  <c r="F21"/>
  <c r="I21" s="1"/>
  <c r="I20"/>
  <c r="L18"/>
  <c r="I17"/>
  <c r="L14"/>
  <c r="E13"/>
  <c r="D13"/>
  <c r="C13"/>
  <c r="L11"/>
  <c r="G10"/>
  <c r="G13" s="1"/>
  <c r="A9"/>
  <c r="L8"/>
  <c r="K38" i="76"/>
  <c r="G38"/>
  <c r="K37"/>
  <c r="G37"/>
  <c r="M33"/>
  <c r="L33"/>
  <c r="I33"/>
  <c r="L30"/>
  <c r="I29"/>
  <c r="I30" s="1"/>
  <c r="M30" s="1"/>
  <c r="L27"/>
  <c r="F22"/>
  <c r="F26" s="1"/>
  <c r="F21"/>
  <c r="I21" s="1"/>
  <c r="I20"/>
  <c r="L18"/>
  <c r="I17"/>
  <c r="I16"/>
  <c r="I18" s="1"/>
  <c r="M18" s="1"/>
  <c r="F16"/>
  <c r="L14"/>
  <c r="G13"/>
  <c r="E13"/>
  <c r="D13"/>
  <c r="C13"/>
  <c r="L11"/>
  <c r="G10"/>
  <c r="F10"/>
  <c r="F13" s="1"/>
  <c r="A9"/>
  <c r="L8"/>
  <c r="I8"/>
  <c r="M8" s="1"/>
  <c r="I7"/>
  <c r="M142" i="78" l="1"/>
  <c r="M139"/>
  <c r="M136"/>
  <c r="M133"/>
  <c r="M130"/>
  <c r="I94"/>
  <c r="I96" s="1"/>
  <c r="M96" s="1"/>
  <c r="I99"/>
  <c r="I102" s="1"/>
  <c r="M102" s="1"/>
  <c r="I28"/>
  <c r="M28" s="1"/>
  <c r="I16"/>
  <c r="M16" s="1"/>
  <c r="I105"/>
  <c r="I107" s="1"/>
  <c r="M107" s="1"/>
  <c r="I91"/>
  <c r="I92" s="1"/>
  <c r="M92" s="1"/>
  <c r="I31"/>
  <c r="I33" s="1"/>
  <c r="M33" s="1"/>
  <c r="I67"/>
  <c r="I68" s="1"/>
  <c r="M68" s="1"/>
  <c r="I51"/>
  <c r="I52" s="1"/>
  <c r="M52" s="1"/>
  <c r="I77"/>
  <c r="M77" s="1"/>
  <c r="I65"/>
  <c r="M65" s="1"/>
  <c r="I87"/>
  <c r="I88" s="1"/>
  <c r="M88" s="1"/>
  <c r="I43"/>
  <c r="M43" s="1"/>
  <c r="M57"/>
  <c r="I71"/>
  <c r="I72" s="1"/>
  <c r="M72" s="1"/>
  <c r="M39"/>
  <c r="I82"/>
  <c r="M82" s="1"/>
  <c r="I11"/>
  <c r="I46"/>
  <c r="I35"/>
  <c r="I36" s="1"/>
  <c r="M36" s="1"/>
  <c r="I7" i="77"/>
  <c r="I8" s="1"/>
  <c r="M8" s="1"/>
  <c r="F13"/>
  <c r="I13" s="1"/>
  <c r="I14" s="1"/>
  <c r="M14" s="1"/>
  <c r="I26"/>
  <c r="I27" s="1"/>
  <c r="M27" s="1"/>
  <c r="G26"/>
  <c r="I22"/>
  <c r="I23" s="1"/>
  <c r="M23" s="1"/>
  <c r="G26" i="76"/>
  <c r="I26" s="1"/>
  <c r="I27" s="1"/>
  <c r="M27" s="1"/>
  <c r="I13"/>
  <c r="I14" s="1"/>
  <c r="M14" s="1"/>
  <c r="I10"/>
  <c r="I11" s="1"/>
  <c r="M11" s="1"/>
  <c r="M34" s="1"/>
  <c r="I22"/>
  <c r="I23" s="1"/>
  <c r="M23" s="1"/>
  <c r="I23" i="78" l="1"/>
  <c r="M23" s="1"/>
  <c r="I48"/>
  <c r="M48" s="1"/>
  <c r="M11"/>
  <c r="M34" i="77"/>
  <c r="M144" i="78" l="1"/>
  <c r="F216" i="68" l="1"/>
  <c r="F209"/>
  <c r="F208"/>
  <c r="F195"/>
  <c r="F171"/>
  <c r="F164"/>
  <c r="F160"/>
  <c r="F156"/>
  <c r="F144"/>
  <c r="F135"/>
  <c r="F131"/>
  <c r="F110"/>
  <c r="F113" s="1"/>
  <c r="F72"/>
  <c r="F45"/>
  <c r="F26"/>
  <c r="F41"/>
  <c r="F39"/>
  <c r="F25"/>
  <c r="B22" i="66" l="1"/>
  <c r="I22" i="68"/>
  <c r="I23"/>
  <c r="I27"/>
  <c r="I28"/>
  <c r="I29"/>
  <c r="E32"/>
  <c r="F32"/>
  <c r="G32"/>
  <c r="I33"/>
  <c r="B36"/>
  <c r="C36"/>
  <c r="D36"/>
  <c r="E36"/>
  <c r="B37"/>
  <c r="C37"/>
  <c r="D37"/>
  <c r="E37"/>
  <c r="I39"/>
  <c r="I40"/>
  <c r="I41"/>
  <c r="F43"/>
  <c r="I43" s="1"/>
  <c r="G45"/>
  <c r="K48"/>
  <c r="I190"/>
  <c r="F129"/>
  <c r="F130" s="1"/>
  <c r="I219"/>
  <c r="I218"/>
  <c r="I217"/>
  <c r="H216"/>
  <c r="I212"/>
  <c r="I211"/>
  <c r="I210"/>
  <c r="I209"/>
  <c r="I208"/>
  <c r="G195"/>
  <c r="I175"/>
  <c r="I174"/>
  <c r="I173"/>
  <c r="G160"/>
  <c r="G156"/>
  <c r="I152"/>
  <c r="I149"/>
  <c r="I146"/>
  <c r="G135"/>
  <c r="F124"/>
  <c r="G110"/>
  <c r="I99"/>
  <c r="F97"/>
  <c r="F96"/>
  <c r="G92"/>
  <c r="F92"/>
  <c r="E92"/>
  <c r="I76"/>
  <c r="I32" l="1"/>
  <c r="I34" s="1"/>
  <c r="I37"/>
  <c r="I36"/>
  <c r="I45"/>
  <c r="I216"/>
  <c r="I220" s="1"/>
  <c r="I213"/>
  <c r="F32" i="66"/>
  <c r="F30"/>
  <c r="J3" i="65" l="1"/>
  <c r="F28" i="66" l="1"/>
  <c r="A2" i="65" l="1"/>
  <c r="I36" i="70" l="1"/>
  <c r="I35"/>
  <c r="C1757" i="71" l="1"/>
  <c r="D1755"/>
  <c r="C1755"/>
  <c r="E1754"/>
  <c r="E1755" s="1"/>
  <c r="C1748"/>
  <c r="I1747"/>
  <c r="I1746"/>
  <c r="I1745"/>
  <c r="I1742"/>
  <c r="I1741"/>
  <c r="I1740"/>
  <c r="I1739"/>
  <c r="F1748" l="1"/>
  <c r="I1748" s="1"/>
  <c r="F36" i="75" l="1"/>
  <c r="F35"/>
  <c r="I36"/>
  <c r="I35"/>
  <c r="G17" i="65"/>
  <c r="G16"/>
  <c r="C267" i="73"/>
  <c r="C266"/>
  <c r="F267"/>
  <c r="F266"/>
  <c r="C517" i="72"/>
  <c r="C516"/>
  <c r="E517"/>
  <c r="E516"/>
  <c r="E1764" i="71"/>
  <c r="E1763"/>
  <c r="H1764"/>
  <c r="H1763"/>
  <c r="E36" i="70"/>
  <c r="E35"/>
  <c r="H271" i="68"/>
  <c r="H270"/>
  <c r="K271"/>
  <c r="K270"/>
  <c r="J12" i="65"/>
  <c r="J11"/>
  <c r="C40" i="71" l="1"/>
  <c r="I39"/>
  <c r="I38"/>
  <c r="D36"/>
  <c r="C36"/>
  <c r="I35"/>
  <c r="F36" s="1"/>
  <c r="C28"/>
  <c r="I27"/>
  <c r="F28" s="1"/>
  <c r="I28" s="1"/>
  <c r="C20"/>
  <c r="I19"/>
  <c r="C12"/>
  <c r="I11"/>
  <c r="I16" i="68"/>
  <c r="I13"/>
  <c r="I12"/>
  <c r="I11"/>
  <c r="I10"/>
  <c r="I9"/>
  <c r="F40" i="71" l="1"/>
  <c r="I40" s="1"/>
  <c r="I36"/>
  <c r="F12"/>
  <c r="I12" s="1"/>
  <c r="I13" s="1"/>
  <c r="I14" s="1"/>
  <c r="I15" s="1"/>
  <c r="K14" i="68" s="1"/>
  <c r="F20" i="71"/>
  <c r="I20" s="1"/>
  <c r="I21" s="1"/>
  <c r="I22" s="1"/>
  <c r="I23" s="1"/>
  <c r="I29"/>
  <c r="I30" s="1"/>
  <c r="I31" s="1"/>
  <c r="I41" l="1"/>
  <c r="I42" s="1"/>
  <c r="I43" s="1"/>
  <c r="K17" i="68" s="1"/>
  <c r="M17" s="1"/>
  <c r="M14"/>
  <c r="B214"/>
  <c r="I263" i="73"/>
  <c r="I19" i="68" l="1"/>
  <c r="H17" i="75" l="1"/>
  <c r="A2"/>
  <c r="H24"/>
  <c r="E24"/>
  <c r="B24"/>
  <c r="J23"/>
  <c r="I23"/>
  <c r="F23"/>
  <c r="B23"/>
  <c r="H21"/>
  <c r="J19"/>
  <c r="I19"/>
  <c r="J17"/>
  <c r="E17"/>
  <c r="E25" s="1"/>
  <c r="C27" s="1"/>
  <c r="G15"/>
  <c r="D15" s="1"/>
  <c r="E15" s="1"/>
  <c r="G13"/>
  <c r="H13" s="1"/>
  <c r="G11"/>
  <c r="H11" s="1"/>
  <c r="E9"/>
  <c r="C8"/>
  <c r="I17" l="1"/>
  <c r="D11"/>
  <c r="E11" s="1"/>
  <c r="I11" s="1"/>
  <c r="H25"/>
  <c r="C28" s="1"/>
  <c r="C29" s="1"/>
  <c r="I21"/>
  <c r="I25" s="1"/>
  <c r="J21"/>
  <c r="J25" s="1"/>
  <c r="D13"/>
  <c r="E13" s="1"/>
  <c r="J13" s="1"/>
  <c r="J11"/>
  <c r="H15"/>
  <c r="I15" s="1"/>
  <c r="I13" l="1"/>
  <c r="J15"/>
  <c r="J24" s="1"/>
  <c r="I28" s="1"/>
  <c r="I24"/>
  <c r="I27" s="1"/>
  <c r="I29" l="1"/>
  <c r="H1596" i="71" l="1"/>
  <c r="H1594" l="1"/>
  <c r="G1377" l="1"/>
  <c r="G1376"/>
  <c r="I1373"/>
  <c r="I1372"/>
  <c r="I1371"/>
  <c r="I1370"/>
  <c r="I1369"/>
  <c r="I1368"/>
  <c r="I1367"/>
  <c r="I1366"/>
  <c r="I1365"/>
  <c r="H1364"/>
  <c r="I1362"/>
  <c r="I1361"/>
  <c r="G1345"/>
  <c r="F1340"/>
  <c r="F1355" s="1"/>
  <c r="G1355" s="1"/>
  <c r="F1334"/>
  <c r="F1349" s="1"/>
  <c r="G1349" s="1"/>
  <c r="G1332"/>
  <c r="E1326"/>
  <c r="E1320"/>
  <c r="G1318"/>
  <c r="H1378" s="1"/>
  <c r="F1312"/>
  <c r="F1326" s="1"/>
  <c r="E1312"/>
  <c r="F1311"/>
  <c r="F1325" s="1"/>
  <c r="F1339" s="1"/>
  <c r="F1310"/>
  <c r="F1324" s="1"/>
  <c r="G1324" s="1"/>
  <c r="F1309"/>
  <c r="F1323" s="1"/>
  <c r="F1337" s="1"/>
  <c r="F1308"/>
  <c r="F1322" s="1"/>
  <c r="G1322" s="1"/>
  <c r="F1306"/>
  <c r="F1320" s="1"/>
  <c r="G1304"/>
  <c r="F1298"/>
  <c r="E1291"/>
  <c r="E1298" s="1"/>
  <c r="G1289"/>
  <c r="F1283"/>
  <c r="G1283" s="1"/>
  <c r="F1282"/>
  <c r="G1282" s="1"/>
  <c r="F1281"/>
  <c r="G1281" s="1"/>
  <c r="F1280"/>
  <c r="G1280" s="1"/>
  <c r="F1279"/>
  <c r="G1279" s="1"/>
  <c r="F1278"/>
  <c r="G1278" s="1"/>
  <c r="F1277"/>
  <c r="E1277"/>
  <c r="E1284" s="1"/>
  <c r="G1284" s="1"/>
  <c r="F1276"/>
  <c r="G1276" s="1"/>
  <c r="G1275"/>
  <c r="F1269"/>
  <c r="F1297" s="1"/>
  <c r="G1297" s="1"/>
  <c r="F1268"/>
  <c r="F1296" s="1"/>
  <c r="G1296" s="1"/>
  <c r="F1267"/>
  <c r="F1295" s="1"/>
  <c r="G1295" s="1"/>
  <c r="F1266"/>
  <c r="F1294" s="1"/>
  <c r="G1294" s="1"/>
  <c r="F1265"/>
  <c r="F1293" s="1"/>
  <c r="G1293" s="1"/>
  <c r="G1264"/>
  <c r="F1264"/>
  <c r="F1292" s="1"/>
  <c r="G1292" s="1"/>
  <c r="F1263"/>
  <c r="F1291" s="1"/>
  <c r="E1263"/>
  <c r="E1270" s="1"/>
  <c r="G1270" s="1"/>
  <c r="F1262"/>
  <c r="G1262" s="1"/>
  <c r="G1261"/>
  <c r="G1255"/>
  <c r="G1254"/>
  <c r="I1251"/>
  <c r="I1250"/>
  <c r="I1249"/>
  <c r="I1248"/>
  <c r="I1247"/>
  <c r="I1246"/>
  <c r="I1245"/>
  <c r="I1244"/>
  <c r="I1243"/>
  <c r="H1242"/>
  <c r="I1240"/>
  <c r="I1239"/>
  <c r="I1232"/>
  <c r="I1231"/>
  <c r="I1230"/>
  <c r="I1229"/>
  <c r="I1228"/>
  <c r="I1227"/>
  <c r="I1226"/>
  <c r="I1225"/>
  <c r="I1224"/>
  <c r="G1219"/>
  <c r="G1218"/>
  <c r="G1216"/>
  <c r="I1216" s="1"/>
  <c r="G1213"/>
  <c r="G1215" s="1"/>
  <c r="I1215" s="1"/>
  <c r="G1210"/>
  <c r="G1208"/>
  <c r="G1211" s="1"/>
  <c r="G1214" s="1"/>
  <c r="I1214" s="1"/>
  <c r="I1241" l="1"/>
  <c r="I1242" s="1"/>
  <c r="I1252" s="1"/>
  <c r="G1256"/>
  <c r="G1268"/>
  <c r="G1269"/>
  <c r="G1306"/>
  <c r="G1308"/>
  <c r="G1309"/>
  <c r="G1310"/>
  <c r="G1311"/>
  <c r="G1326"/>
  <c r="G1266"/>
  <c r="G1265"/>
  <c r="G1267"/>
  <c r="G1298"/>
  <c r="G1320"/>
  <c r="G1220"/>
  <c r="I1220" s="1"/>
  <c r="G1291"/>
  <c r="F1336"/>
  <c r="F1351" s="1"/>
  <c r="G1351" s="1"/>
  <c r="I1363"/>
  <c r="I1364" s="1"/>
  <c r="I1374" s="1"/>
  <c r="G1378"/>
  <c r="I1378" s="1"/>
  <c r="G1263"/>
  <c r="F1338"/>
  <c r="F1353" s="1"/>
  <c r="G1353" s="1"/>
  <c r="I1233"/>
  <c r="F1352"/>
  <c r="G1352" s="1"/>
  <c r="G1337"/>
  <c r="F1354"/>
  <c r="G1354" s="1"/>
  <c r="G1339"/>
  <c r="F1290"/>
  <c r="G1312"/>
  <c r="G1323"/>
  <c r="G1325"/>
  <c r="G1334"/>
  <c r="G1340"/>
  <c r="G1277"/>
  <c r="G1286" s="1"/>
  <c r="G1287" s="1"/>
  <c r="G1338" l="1"/>
  <c r="G1272"/>
  <c r="G1273" s="1"/>
  <c r="G1336"/>
  <c r="G1221"/>
  <c r="F1307"/>
  <c r="G1290"/>
  <c r="G1300" s="1"/>
  <c r="G1301" s="1"/>
  <c r="F1321" l="1"/>
  <c r="G1307"/>
  <c r="G1313" s="1"/>
  <c r="G1314" s="1"/>
  <c r="F1335" l="1"/>
  <c r="G1321"/>
  <c r="G1327" s="1"/>
  <c r="G1328" s="1"/>
  <c r="F1350" l="1"/>
  <c r="G1350" s="1"/>
  <c r="G1356" s="1"/>
  <c r="G1357" s="1"/>
  <c r="G1335"/>
  <c r="G1341" s="1"/>
  <c r="G1342" s="1"/>
  <c r="D65" l="1"/>
  <c r="E64"/>
  <c r="G64" s="1"/>
  <c r="E65" s="1"/>
  <c r="E63"/>
  <c r="G63" s="1"/>
  <c r="D61"/>
  <c r="C61"/>
  <c r="G60"/>
  <c r="E61" s="1"/>
  <c r="H57"/>
  <c r="G61" l="1"/>
  <c r="G65"/>
  <c r="G66" l="1"/>
  <c r="G68" s="1"/>
  <c r="G69" s="1"/>
  <c r="G70" s="1"/>
  <c r="A2" i="68"/>
  <c r="I24" i="70"/>
  <c r="A2" i="76" l="1"/>
  <c r="A2" i="77"/>
  <c r="G125" i="71"/>
  <c r="G126" s="1"/>
  <c r="G123"/>
  <c r="G489" i="72"/>
  <c r="G488"/>
  <c r="G486"/>
  <c r="G485"/>
  <c r="G464"/>
  <c r="G430"/>
  <c r="G429"/>
  <c r="G428"/>
  <c r="G426"/>
  <c r="G421"/>
  <c r="G420"/>
  <c r="G419"/>
  <c r="G422" s="1"/>
  <c r="I46" i="68"/>
  <c r="G490" i="72" l="1"/>
  <c r="G491" s="1"/>
  <c r="G127" i="71"/>
  <c r="G128" s="1"/>
  <c r="G129" s="1"/>
  <c r="I166" i="68"/>
  <c r="G427" i="72" l="1"/>
  <c r="F260" i="73"/>
  <c r="G260" s="1"/>
  <c r="G261" s="1"/>
  <c r="E256"/>
  <c r="H256" s="1"/>
  <c r="H257" s="1"/>
  <c r="G511" i="72"/>
  <c r="G505"/>
  <c r="A469"/>
  <c r="F463"/>
  <c r="E460"/>
  <c r="C460"/>
  <c r="F458"/>
  <c r="G458" s="1"/>
  <c r="F457"/>
  <c r="G457" s="1"/>
  <c r="A435"/>
  <c r="G512" l="1"/>
  <c r="G463"/>
  <c r="G465" s="1"/>
  <c r="G431"/>
  <c r="G432" s="1"/>
  <c r="G423"/>
  <c r="G424" s="1"/>
  <c r="G459"/>
  <c r="G460" l="1"/>
  <c r="G461"/>
  <c r="G466" s="1"/>
  <c r="G467" s="1"/>
  <c r="G492"/>
  <c r="K245" i="68" s="1"/>
  <c r="G433" i="72"/>
  <c r="G434" s="1"/>
  <c r="K241" i="68" l="1"/>
  <c r="K243"/>
  <c r="G802" i="71" l="1"/>
  <c r="H802" s="1"/>
  <c r="I802" s="1"/>
  <c r="H1592" l="1"/>
  <c r="H1201" l="1"/>
  <c r="H1200"/>
  <c r="H1199"/>
  <c r="H1198"/>
  <c r="H1197"/>
  <c r="H1196"/>
  <c r="H1195"/>
  <c r="H1194"/>
  <c r="H1193"/>
  <c r="D1191"/>
  <c r="D1192" s="1"/>
  <c r="H1192" s="1"/>
  <c r="H1189"/>
  <c r="H1185"/>
  <c r="H1184"/>
  <c r="H1183"/>
  <c r="H1182"/>
  <c r="H1181"/>
  <c r="H1180"/>
  <c r="H1179"/>
  <c r="H1178"/>
  <c r="H1177"/>
  <c r="D1176"/>
  <c r="H1176" s="1"/>
  <c r="H1175"/>
  <c r="H1173"/>
  <c r="H1169"/>
  <c r="H1168"/>
  <c r="H1167"/>
  <c r="H1166"/>
  <c r="H1165"/>
  <c r="H1164"/>
  <c r="H1163"/>
  <c r="H1162"/>
  <c r="H1161"/>
  <c r="D1159"/>
  <c r="H1159" s="1"/>
  <c r="H1157"/>
  <c r="H1153"/>
  <c r="H1152"/>
  <c r="H1151"/>
  <c r="H1150"/>
  <c r="H1149"/>
  <c r="H1148"/>
  <c r="H1147"/>
  <c r="H1146"/>
  <c r="H1145"/>
  <c r="H1144"/>
  <c r="H1143"/>
  <c r="H1141"/>
  <c r="D1160" l="1"/>
  <c r="H1160" s="1"/>
  <c r="H1191"/>
  <c r="A3"/>
  <c r="A4"/>
  <c r="B267" i="73"/>
  <c r="B266"/>
  <c r="G252"/>
  <c r="G251"/>
  <c r="G250"/>
  <c r="G249"/>
  <c r="G246"/>
  <c r="G247" s="1"/>
  <c r="G248" s="1"/>
  <c r="G241"/>
  <c r="G242" s="1"/>
  <c r="G243" s="1"/>
  <c r="G236"/>
  <c r="G237" s="1"/>
  <c r="G238" s="1"/>
  <c r="G231"/>
  <c r="G232" s="1"/>
  <c r="G233" s="1"/>
  <c r="G225"/>
  <c r="G226" s="1"/>
  <c r="G227" s="1"/>
  <c r="G220"/>
  <c r="G221" s="1"/>
  <c r="G222" s="1"/>
  <c r="G215"/>
  <c r="G216" s="1"/>
  <c r="G217" s="1"/>
  <c r="G210"/>
  <c r="G211" s="1"/>
  <c r="G212" s="1"/>
  <c r="G205"/>
  <c r="G206" s="1"/>
  <c r="G207" s="1"/>
  <c r="G200"/>
  <c r="G201" s="1"/>
  <c r="G202" s="1"/>
  <c r="G195"/>
  <c r="G196" s="1"/>
  <c r="G197" s="1"/>
  <c r="G190"/>
  <c r="G191" s="1"/>
  <c r="G192" s="1"/>
  <c r="G185"/>
  <c r="G186" s="1"/>
  <c r="G187" s="1"/>
  <c r="A188"/>
  <c r="A193" s="1"/>
  <c r="A198" s="1"/>
  <c r="A203" s="1"/>
  <c r="A208" s="1"/>
  <c r="A213" s="1"/>
  <c r="A218" s="1"/>
  <c r="A223" s="1"/>
  <c r="A229" s="1"/>
  <c r="A234" s="1"/>
  <c r="A239" s="1"/>
  <c r="A244" s="1"/>
  <c r="G180"/>
  <c r="G181" s="1"/>
  <c r="G182" s="1"/>
  <c r="G175"/>
  <c r="G176" s="1"/>
  <c r="G177" s="1"/>
  <c r="G172"/>
  <c r="G173" s="1"/>
  <c r="G174" s="1"/>
  <c r="G169"/>
  <c r="G170" s="1"/>
  <c r="G171" s="1"/>
  <c r="G166"/>
  <c r="G167" s="1"/>
  <c r="G168" s="1"/>
  <c r="G163"/>
  <c r="G164" s="1"/>
  <c r="G165" s="1"/>
  <c r="A161"/>
  <c r="G158"/>
  <c r="G159" s="1"/>
  <c r="G160" s="1"/>
  <c r="G153"/>
  <c r="G154" s="1"/>
  <c r="G155" s="1"/>
  <c r="G148"/>
  <c r="G149" s="1"/>
  <c r="G150" s="1"/>
  <c r="G143"/>
  <c r="G144" s="1"/>
  <c r="G145" s="1"/>
  <c r="A141"/>
  <c r="A146" s="1"/>
  <c r="G138"/>
  <c r="G137"/>
  <c r="G136"/>
  <c r="G135"/>
  <c r="G134"/>
  <c r="G127"/>
  <c r="G128" s="1"/>
  <c r="G130" s="1"/>
  <c r="G121"/>
  <c r="G120"/>
  <c r="G116"/>
  <c r="G115"/>
  <c r="G110"/>
  <c r="G109"/>
  <c r="G108"/>
  <c r="A125"/>
  <c r="G103"/>
  <c r="G102"/>
  <c r="G99"/>
  <c r="G100" s="1"/>
  <c r="G96"/>
  <c r="G97" s="1"/>
  <c r="G93"/>
  <c r="G94" s="1"/>
  <c r="G90"/>
  <c r="G91" s="1"/>
  <c r="G86"/>
  <c r="G85"/>
  <c r="G82"/>
  <c r="G81"/>
  <c r="G76"/>
  <c r="G75"/>
  <c r="E77" s="1"/>
  <c r="G77" s="1"/>
  <c r="G70"/>
  <c r="G67"/>
  <c r="G66"/>
  <c r="E68" s="1"/>
  <c r="G68" s="1"/>
  <c r="G62"/>
  <c r="G61"/>
  <c r="G59"/>
  <c r="G60" s="1"/>
  <c r="G57"/>
  <c r="G58" s="1"/>
  <c r="G55"/>
  <c r="G56" s="1"/>
  <c r="G50"/>
  <c r="G47"/>
  <c r="G46"/>
  <c r="E48" s="1"/>
  <c r="G48" s="1"/>
  <c r="G49" s="1"/>
  <c r="A44"/>
  <c r="G41"/>
  <c r="D41"/>
  <c r="G40"/>
  <c r="G37"/>
  <c r="G36"/>
  <c r="G35"/>
  <c r="G34"/>
  <c r="G31"/>
  <c r="G30"/>
  <c r="G29"/>
  <c r="G28"/>
  <c r="G24"/>
  <c r="G23"/>
  <c r="G22"/>
  <c r="G21"/>
  <c r="G20"/>
  <c r="G19"/>
  <c r="G18"/>
  <c r="G17"/>
  <c r="G14"/>
  <c r="G11"/>
  <c r="F10"/>
  <c r="D10"/>
  <c r="G9"/>
  <c r="G8"/>
  <c r="D414" i="72"/>
  <c r="F413"/>
  <c r="G413" s="1"/>
  <c r="F412"/>
  <c r="G412" s="1"/>
  <c r="F411"/>
  <c r="G411" s="1"/>
  <c r="F408"/>
  <c r="G408" s="1"/>
  <c r="G403"/>
  <c r="G402"/>
  <c r="G401"/>
  <c r="G396"/>
  <c r="G395"/>
  <c r="F387"/>
  <c r="G387" s="1"/>
  <c r="G383"/>
  <c r="G382"/>
  <c r="G381"/>
  <c r="G377"/>
  <c r="G376"/>
  <c r="G375"/>
  <c r="G374"/>
  <c r="D368"/>
  <c r="G364"/>
  <c r="G361"/>
  <c r="G363" s="1"/>
  <c r="G356"/>
  <c r="G355"/>
  <c r="G352"/>
  <c r="G351"/>
  <c r="G350"/>
  <c r="G349"/>
  <c r="D342"/>
  <c r="F337"/>
  <c r="G337" s="1"/>
  <c r="F336"/>
  <c r="G336" s="1"/>
  <c r="F335"/>
  <c r="G335" s="1"/>
  <c r="F334"/>
  <c r="F333"/>
  <c r="G333" s="1"/>
  <c r="F332"/>
  <c r="G332" s="1"/>
  <c r="G328"/>
  <c r="G327"/>
  <c r="G324"/>
  <c r="G323"/>
  <c r="G322"/>
  <c r="G321"/>
  <c r="D314"/>
  <c r="F306"/>
  <c r="G306" s="1"/>
  <c r="F305"/>
  <c r="G305" s="1"/>
  <c r="F304"/>
  <c r="G304" s="1"/>
  <c r="F303"/>
  <c r="G303" s="1"/>
  <c r="D295"/>
  <c r="F290"/>
  <c r="G290" s="1"/>
  <c r="F289"/>
  <c r="G289" s="1"/>
  <c r="F288"/>
  <c r="G288" s="1"/>
  <c r="D281"/>
  <c r="F277"/>
  <c r="G277" s="1"/>
  <c r="F276"/>
  <c r="G276" s="1"/>
  <c r="F275"/>
  <c r="G275" s="1"/>
  <c r="F274"/>
  <c r="G274" s="1"/>
  <c r="F273"/>
  <c r="G273" s="1"/>
  <c r="F272"/>
  <c r="G272" s="1"/>
  <c r="F271"/>
  <c r="G271" s="1"/>
  <c r="F270"/>
  <c r="G270" s="1"/>
  <c r="G268"/>
  <c r="E267"/>
  <c r="G267" s="1"/>
  <c r="F269" s="1"/>
  <c r="G269" s="1"/>
  <c r="D259"/>
  <c r="F254"/>
  <c r="G254" s="1"/>
  <c r="G253"/>
  <c r="G252"/>
  <c r="D243"/>
  <c r="F238"/>
  <c r="G238" s="1"/>
  <c r="D228"/>
  <c r="D215"/>
  <c r="F210"/>
  <c r="G210" s="1"/>
  <c r="D202"/>
  <c r="F197"/>
  <c r="F223" s="1"/>
  <c r="G223" s="1"/>
  <c r="D189"/>
  <c r="F184"/>
  <c r="G184" s="1"/>
  <c r="G176"/>
  <c r="G175"/>
  <c r="G174"/>
  <c r="G171"/>
  <c r="G172" s="1"/>
  <c r="G163"/>
  <c r="G162"/>
  <c r="G161"/>
  <c r="G158"/>
  <c r="G159" s="1"/>
  <c r="D150"/>
  <c r="F145"/>
  <c r="G145" s="1"/>
  <c r="D139"/>
  <c r="D127"/>
  <c r="F123"/>
  <c r="G123" s="1"/>
  <c r="F122"/>
  <c r="F134" s="1"/>
  <c r="G134" s="1"/>
  <c r="G116"/>
  <c r="G115"/>
  <c r="G114"/>
  <c r="G111"/>
  <c r="G110"/>
  <c r="G109"/>
  <c r="D103"/>
  <c r="F99"/>
  <c r="G99" s="1"/>
  <c r="F98"/>
  <c r="G98" s="1"/>
  <c r="D92"/>
  <c r="F88"/>
  <c r="G88" s="1"/>
  <c r="F87"/>
  <c r="G87" s="1"/>
  <c r="D81"/>
  <c r="F76"/>
  <c r="G76" s="1"/>
  <c r="D70"/>
  <c r="F65"/>
  <c r="G65" s="1"/>
  <c r="F64"/>
  <c r="G64" s="1"/>
  <c r="F63"/>
  <c r="G63" s="1"/>
  <c r="F62"/>
  <c r="G62" s="1"/>
  <c r="D52"/>
  <c r="D38"/>
  <c r="F37"/>
  <c r="G37" s="1"/>
  <c r="F36"/>
  <c r="F51" s="1"/>
  <c r="F35"/>
  <c r="F34"/>
  <c r="F49" s="1"/>
  <c r="F31"/>
  <c r="G31" s="1"/>
  <c r="F30"/>
  <c r="G30" s="1"/>
  <c r="G29"/>
  <c r="F28"/>
  <c r="F45" s="1"/>
  <c r="G45" s="1"/>
  <c r="G20"/>
  <c r="G19"/>
  <c r="G18"/>
  <c r="G16"/>
  <c r="G14"/>
  <c r="G13"/>
  <c r="G12"/>
  <c r="G11"/>
  <c r="G10"/>
  <c r="G9"/>
  <c r="A1719" i="71"/>
  <c r="I1715"/>
  <c r="I1714"/>
  <c r="I1713"/>
  <c r="I1712"/>
  <c r="I1711"/>
  <c r="I1710"/>
  <c r="I1698"/>
  <c r="I1697"/>
  <c r="I1696"/>
  <c r="I1695"/>
  <c r="D1691"/>
  <c r="D1693" s="1"/>
  <c r="D1689"/>
  <c r="G1683"/>
  <c r="G1677"/>
  <c r="G1678" s="1"/>
  <c r="G1680" s="1"/>
  <c r="G1671"/>
  <c r="G1672" s="1"/>
  <c r="G1674" s="1"/>
  <c r="C1664"/>
  <c r="F1663"/>
  <c r="I1663" s="1"/>
  <c r="F1662"/>
  <c r="I1662" s="1"/>
  <c r="F1661"/>
  <c r="I1661" s="1"/>
  <c r="F1659"/>
  <c r="I1659" s="1"/>
  <c r="F1657"/>
  <c r="F1658" s="1"/>
  <c r="I1658" s="1"/>
  <c r="F1655"/>
  <c r="I1655" s="1"/>
  <c r="C1650"/>
  <c r="C1646"/>
  <c r="G1645"/>
  <c r="G1644"/>
  <c r="G1643"/>
  <c r="G1640"/>
  <c r="G1639"/>
  <c r="G1638"/>
  <c r="G1637"/>
  <c r="C1631"/>
  <c r="I1628"/>
  <c r="G1628"/>
  <c r="E1628"/>
  <c r="C1628"/>
  <c r="G1626"/>
  <c r="I1626" s="1"/>
  <c r="G1619"/>
  <c r="G1618"/>
  <c r="G1617"/>
  <c r="F1614"/>
  <c r="G1614" s="1"/>
  <c r="F1611"/>
  <c r="G1611" s="1"/>
  <c r="G1604"/>
  <c r="G1605" s="1"/>
  <c r="G1606" s="1"/>
  <c r="G1600"/>
  <c r="G1601" s="1"/>
  <c r="G1602" s="1"/>
  <c r="E1587"/>
  <c r="E1580"/>
  <c r="I1573"/>
  <c r="E1573"/>
  <c r="I1572"/>
  <c r="F1572"/>
  <c r="F1579" s="1"/>
  <c r="G1579" s="1"/>
  <c r="H1557"/>
  <c r="I1555"/>
  <c r="I1554"/>
  <c r="H1541"/>
  <c r="I1539"/>
  <c r="I1538"/>
  <c r="G1522"/>
  <c r="F1517"/>
  <c r="F1511"/>
  <c r="G1509"/>
  <c r="E1503"/>
  <c r="E1497"/>
  <c r="G1495"/>
  <c r="F1489"/>
  <c r="E1489"/>
  <c r="F1488"/>
  <c r="G1488" s="1"/>
  <c r="F1487"/>
  <c r="F1501" s="1"/>
  <c r="F1486"/>
  <c r="G1486" s="1"/>
  <c r="F1485"/>
  <c r="F1499" s="1"/>
  <c r="F1483"/>
  <c r="G1483" s="1"/>
  <c r="G1481"/>
  <c r="F1475"/>
  <c r="E1468"/>
  <c r="E1475" s="1"/>
  <c r="G1466"/>
  <c r="F1460"/>
  <c r="G1460" s="1"/>
  <c r="F1459"/>
  <c r="G1459" s="1"/>
  <c r="F1458"/>
  <c r="G1458" s="1"/>
  <c r="F1457"/>
  <c r="G1457" s="1"/>
  <c r="F1456"/>
  <c r="G1456" s="1"/>
  <c r="F1455"/>
  <c r="G1455" s="1"/>
  <c r="F1454"/>
  <c r="E1454"/>
  <c r="F1453"/>
  <c r="G1453" s="1"/>
  <c r="G1452"/>
  <c r="F1446"/>
  <c r="F1474" s="1"/>
  <c r="G1474" s="1"/>
  <c r="F1445"/>
  <c r="F1473" s="1"/>
  <c r="G1473" s="1"/>
  <c r="F1444"/>
  <c r="F1472" s="1"/>
  <c r="G1472" s="1"/>
  <c r="F1443"/>
  <c r="F1471" s="1"/>
  <c r="G1471" s="1"/>
  <c r="F1442"/>
  <c r="F1470" s="1"/>
  <c r="G1470" s="1"/>
  <c r="F1441"/>
  <c r="F1469" s="1"/>
  <c r="G1469" s="1"/>
  <c r="F1440"/>
  <c r="F1468" s="1"/>
  <c r="E1440"/>
  <c r="E1447" s="1"/>
  <c r="G1447" s="1"/>
  <c r="F1439"/>
  <c r="G1438"/>
  <c r="H1431"/>
  <c r="H1427"/>
  <c r="I1425"/>
  <c r="I1424"/>
  <c r="G1419"/>
  <c r="G1418"/>
  <c r="F1573" s="1"/>
  <c r="F1580" s="1"/>
  <c r="G1417"/>
  <c r="G1416"/>
  <c r="F1414"/>
  <c r="G1414" s="1"/>
  <c r="F1407"/>
  <c r="G1407" s="1"/>
  <c r="F1404"/>
  <c r="F1411" s="1"/>
  <c r="G1411" s="1"/>
  <c r="F1403"/>
  <c r="G1403" s="1"/>
  <c r="F1389"/>
  <c r="F1399" s="1"/>
  <c r="F1388"/>
  <c r="G1388" s="1"/>
  <c r="F1387"/>
  <c r="F1397" s="1"/>
  <c r="G1397" s="1"/>
  <c r="F1386"/>
  <c r="F1396" s="1"/>
  <c r="G1396" s="1"/>
  <c r="F1385"/>
  <c r="F1395" s="1"/>
  <c r="G1395" s="1"/>
  <c r="F1383"/>
  <c r="F1393" s="1"/>
  <c r="G1393" s="1"/>
  <c r="D1137"/>
  <c r="G1136"/>
  <c r="E1135"/>
  <c r="E1134"/>
  <c r="G1126"/>
  <c r="D1120"/>
  <c r="G1119"/>
  <c r="G1118"/>
  <c r="F1116"/>
  <c r="G1116" s="1"/>
  <c r="F1079"/>
  <c r="G1079" s="1"/>
  <c r="F1063"/>
  <c r="G1063" s="1"/>
  <c r="D1054"/>
  <c r="D1073" s="1"/>
  <c r="F1044"/>
  <c r="F1098" s="1"/>
  <c r="G1098" s="1"/>
  <c r="H1098" s="1"/>
  <c r="D1037"/>
  <c r="G1028"/>
  <c r="H1022"/>
  <c r="H1023" s="1"/>
  <c r="H1024" s="1"/>
  <c r="F1017"/>
  <c r="G1017" s="1"/>
  <c r="F1013"/>
  <c r="G1013" s="1"/>
  <c r="D1006"/>
  <c r="F999"/>
  <c r="F1080" s="1"/>
  <c r="G1080" s="1"/>
  <c r="H1080" s="1"/>
  <c r="G996"/>
  <c r="H996" s="1"/>
  <c r="D989"/>
  <c r="F983"/>
  <c r="G983" s="1"/>
  <c r="H983" s="1"/>
  <c r="F979"/>
  <c r="G979" s="1"/>
  <c r="C979"/>
  <c r="D972"/>
  <c r="G961"/>
  <c r="H961" s="1"/>
  <c r="F944"/>
  <c r="G944" s="1"/>
  <c r="F939"/>
  <c r="G939" s="1"/>
  <c r="F933"/>
  <c r="G933" s="1"/>
  <c r="H933" s="1"/>
  <c r="F926"/>
  <c r="G926" s="1"/>
  <c r="D722"/>
  <c r="H721"/>
  <c r="I721" s="1"/>
  <c r="F1004"/>
  <c r="F969"/>
  <c r="G718"/>
  <c r="H918"/>
  <c r="D905"/>
  <c r="E904"/>
  <c r="E903"/>
  <c r="E892"/>
  <c r="E891"/>
  <c r="E884"/>
  <c r="E883"/>
  <c r="D877"/>
  <c r="E876"/>
  <c r="E875"/>
  <c r="E871"/>
  <c r="E870"/>
  <c r="E865"/>
  <c r="F864"/>
  <c r="F870" s="1"/>
  <c r="E864"/>
  <c r="D858"/>
  <c r="E857"/>
  <c r="F856"/>
  <c r="E856"/>
  <c r="F851"/>
  <c r="F850"/>
  <c r="G850" s="1"/>
  <c r="F848"/>
  <c r="G848" s="1"/>
  <c r="F847"/>
  <c r="G847" s="1"/>
  <c r="F846"/>
  <c r="G846" s="1"/>
  <c r="D833"/>
  <c r="F917"/>
  <c r="G917" s="1"/>
  <c r="H917" s="1"/>
  <c r="F916"/>
  <c r="G916" s="1"/>
  <c r="H916" s="1"/>
  <c r="F915"/>
  <c r="G915" s="1"/>
  <c r="G827"/>
  <c r="H827" s="1"/>
  <c r="D819"/>
  <c r="G815"/>
  <c r="H815" s="1"/>
  <c r="I815" s="1"/>
  <c r="D812"/>
  <c r="G809"/>
  <c r="G799"/>
  <c r="H799" s="1"/>
  <c r="I799" s="1"/>
  <c r="F793"/>
  <c r="G793" s="1"/>
  <c r="D787"/>
  <c r="F783"/>
  <c r="G783" s="1"/>
  <c r="H783" s="1"/>
  <c r="I783" s="1"/>
  <c r="D781"/>
  <c r="F778"/>
  <c r="G778" s="1"/>
  <c r="H778" s="1"/>
  <c r="E769"/>
  <c r="E768"/>
  <c r="D758"/>
  <c r="E756"/>
  <c r="E755"/>
  <c r="G752"/>
  <c r="D744"/>
  <c r="E743"/>
  <c r="E742"/>
  <c r="G739"/>
  <c r="H739" s="1"/>
  <c r="I739" s="1"/>
  <c r="D737"/>
  <c r="E736"/>
  <c r="E735"/>
  <c r="G732"/>
  <c r="E700"/>
  <c r="E699"/>
  <c r="F696"/>
  <c r="G696" s="1"/>
  <c r="F690"/>
  <c r="E690"/>
  <c r="F689"/>
  <c r="F735" s="1"/>
  <c r="F742" s="1"/>
  <c r="F755" s="1"/>
  <c r="F768" s="1"/>
  <c r="E689"/>
  <c r="F686"/>
  <c r="G686" s="1"/>
  <c r="H680"/>
  <c r="F680"/>
  <c r="D677"/>
  <c r="H665"/>
  <c r="I665" s="1"/>
  <c r="D662"/>
  <c r="I650"/>
  <c r="H650"/>
  <c r="D646"/>
  <c r="I633"/>
  <c r="H633"/>
  <c r="F615"/>
  <c r="G615" s="1"/>
  <c r="F599"/>
  <c r="F611" s="1"/>
  <c r="G611" s="1"/>
  <c r="F598"/>
  <c r="F610" s="1"/>
  <c r="G610" s="1"/>
  <c r="F597"/>
  <c r="F609" s="1"/>
  <c r="G609" s="1"/>
  <c r="I573"/>
  <c r="H573"/>
  <c r="F573"/>
  <c r="F633" s="1"/>
  <c r="D570"/>
  <c r="D546"/>
  <c r="J533"/>
  <c r="E533"/>
  <c r="E527"/>
  <c r="H521"/>
  <c r="F521"/>
  <c r="D521"/>
  <c r="E520"/>
  <c r="J516"/>
  <c r="J527" s="1"/>
  <c r="E516"/>
  <c r="F512"/>
  <c r="G512" s="1"/>
  <c r="H506"/>
  <c r="F506"/>
  <c r="E505"/>
  <c r="H499"/>
  <c r="F499"/>
  <c r="D499"/>
  <c r="H498"/>
  <c r="H505" s="1"/>
  <c r="F498"/>
  <c r="F505" s="1"/>
  <c r="E498"/>
  <c r="E480"/>
  <c r="J472"/>
  <c r="K472" s="1"/>
  <c r="J468"/>
  <c r="K468" s="1"/>
  <c r="K464"/>
  <c r="I464"/>
  <c r="E450"/>
  <c r="F428"/>
  <c r="F459" s="1"/>
  <c r="F489" s="1"/>
  <c r="H411"/>
  <c r="I411" s="1"/>
  <c r="F411"/>
  <c r="G411" s="1"/>
  <c r="H392"/>
  <c r="F392"/>
  <c r="D392"/>
  <c r="E391"/>
  <c r="H387"/>
  <c r="I387" s="1"/>
  <c r="H391" s="1"/>
  <c r="F516"/>
  <c r="F520" s="1"/>
  <c r="F383"/>
  <c r="G383" s="1"/>
  <c r="H377"/>
  <c r="F377"/>
  <c r="E376"/>
  <c r="H370"/>
  <c r="F370"/>
  <c r="D370"/>
  <c r="D377" s="1"/>
  <c r="H369"/>
  <c r="H376" s="1"/>
  <c r="F369"/>
  <c r="E369"/>
  <c r="I365"/>
  <c r="I494" s="1"/>
  <c r="H365"/>
  <c r="H494" s="1"/>
  <c r="F494"/>
  <c r="G494" s="1"/>
  <c r="F360"/>
  <c r="D356"/>
  <c r="H472"/>
  <c r="I472" s="1"/>
  <c r="F472"/>
  <c r="G472" s="1"/>
  <c r="H339"/>
  <c r="H468" s="1"/>
  <c r="I468" s="1"/>
  <c r="G339"/>
  <c r="F468"/>
  <c r="G468" s="1"/>
  <c r="H335"/>
  <c r="G335"/>
  <c r="F464"/>
  <c r="G464" s="1"/>
  <c r="F307"/>
  <c r="H307" s="1"/>
  <c r="G306"/>
  <c r="D324" s="1"/>
  <c r="F324" s="1"/>
  <c r="D302"/>
  <c r="F289"/>
  <c r="F285"/>
  <c r="F439" s="1"/>
  <c r="G439" s="1"/>
  <c r="F281"/>
  <c r="F435" s="1"/>
  <c r="G435" s="1"/>
  <c r="G275"/>
  <c r="F274"/>
  <c r="F427" s="1"/>
  <c r="F273"/>
  <c r="D271"/>
  <c r="F270"/>
  <c r="F269"/>
  <c r="F423" s="1"/>
  <c r="F453" s="1"/>
  <c r="F483" s="1"/>
  <c r="F268"/>
  <c r="G256"/>
  <c r="D253"/>
  <c r="F252"/>
  <c r="G252" s="1"/>
  <c r="F251"/>
  <c r="G251" s="1"/>
  <c r="D240"/>
  <c r="G234"/>
  <c r="D226"/>
  <c r="G225"/>
  <c r="G224"/>
  <c r="F213"/>
  <c r="F239" s="1"/>
  <c r="G239" s="1"/>
  <c r="F212"/>
  <c r="F210"/>
  <c r="F236" s="1"/>
  <c r="F208"/>
  <c r="D199"/>
  <c r="F198"/>
  <c r="G198" s="1"/>
  <c r="F197"/>
  <c r="G197" s="1"/>
  <c r="F195"/>
  <c r="G195" s="1"/>
  <c r="F193"/>
  <c r="D183"/>
  <c r="D172"/>
  <c r="D161"/>
  <c r="F160"/>
  <c r="F171" s="1"/>
  <c r="G171" s="1"/>
  <c r="F138"/>
  <c r="F149" s="1"/>
  <c r="G149" s="1"/>
  <c r="G150" s="1"/>
  <c r="G101"/>
  <c r="G102" s="1"/>
  <c r="G89"/>
  <c r="G90" s="1"/>
  <c r="G78"/>
  <c r="D51"/>
  <c r="G49"/>
  <c r="G52" s="1"/>
  <c r="G28" i="70"/>
  <c r="E28"/>
  <c r="I27"/>
  <c r="J27" s="1"/>
  <c r="F1125" i="71" s="1"/>
  <c r="G1125" s="1"/>
  <c r="I26" i="70"/>
  <c r="J26" s="1"/>
  <c r="I25"/>
  <c r="J25" s="1"/>
  <c r="F1115" i="71" s="1"/>
  <c r="G1115" s="1"/>
  <c r="J24" i="70"/>
  <c r="G23"/>
  <c r="E23"/>
  <c r="J23" s="1"/>
  <c r="G21"/>
  <c r="G20"/>
  <c r="G18"/>
  <c r="G17"/>
  <c r="G16"/>
  <c r="G14"/>
  <c r="G13"/>
  <c r="G12"/>
  <c r="D12"/>
  <c r="C12"/>
  <c r="C13" s="1"/>
  <c r="C14" s="1"/>
  <c r="G11"/>
  <c r="D9"/>
  <c r="C9"/>
  <c r="D8"/>
  <c r="C8"/>
  <c r="K260" i="68"/>
  <c r="K258"/>
  <c r="I258"/>
  <c r="I255"/>
  <c r="M255" s="1"/>
  <c r="M245"/>
  <c r="M243"/>
  <c r="M241"/>
  <c r="M239"/>
  <c r="I223"/>
  <c r="I222"/>
  <c r="B206"/>
  <c r="M204"/>
  <c r="I203"/>
  <c r="I202"/>
  <c r="F199"/>
  <c r="E199"/>
  <c r="B199"/>
  <c r="I195"/>
  <c r="I189"/>
  <c r="I188"/>
  <c r="I176"/>
  <c r="F172"/>
  <c r="I172" s="1"/>
  <c r="I164"/>
  <c r="I171"/>
  <c r="I167"/>
  <c r="I165"/>
  <c r="I160"/>
  <c r="I156"/>
  <c r="I153"/>
  <c r="I151"/>
  <c r="I148"/>
  <c r="I147"/>
  <c r="I145"/>
  <c r="I144"/>
  <c r="I140"/>
  <c r="I135"/>
  <c r="E125"/>
  <c r="I125" s="1"/>
  <c r="E124"/>
  <c r="I124" s="1"/>
  <c r="I126" s="1"/>
  <c r="I120"/>
  <c r="I119"/>
  <c r="I118"/>
  <c r="G114"/>
  <c r="F114"/>
  <c r="D114"/>
  <c r="C114"/>
  <c r="B114"/>
  <c r="I113"/>
  <c r="I110"/>
  <c r="I111" s="1"/>
  <c r="D98"/>
  <c r="C98"/>
  <c r="I98" s="1"/>
  <c r="B98"/>
  <c r="B99" s="1"/>
  <c r="I97"/>
  <c r="E96"/>
  <c r="D96"/>
  <c r="C96"/>
  <c r="B96"/>
  <c r="G91"/>
  <c r="F91"/>
  <c r="E91"/>
  <c r="D73"/>
  <c r="C73"/>
  <c r="I72"/>
  <c r="E71"/>
  <c r="D71"/>
  <c r="C71"/>
  <c r="B71"/>
  <c r="M68"/>
  <c r="I67"/>
  <c r="I66"/>
  <c r="I65"/>
  <c r="I64"/>
  <c r="I63"/>
  <c r="I62"/>
  <c r="G60"/>
  <c r="F60"/>
  <c r="B60"/>
  <c r="G59"/>
  <c r="B59"/>
  <c r="G58"/>
  <c r="B58"/>
  <c r="G57"/>
  <c r="F57"/>
  <c r="G56"/>
  <c r="F56"/>
  <c r="G54"/>
  <c r="F54"/>
  <c r="D54"/>
  <c r="C54"/>
  <c r="C131" s="1"/>
  <c r="I131" s="1"/>
  <c r="B54"/>
  <c r="F53"/>
  <c r="E53"/>
  <c r="D53"/>
  <c r="C53"/>
  <c r="B53"/>
  <c r="E52"/>
  <c r="D52"/>
  <c r="D129" s="1"/>
  <c r="C52"/>
  <c r="B52"/>
  <c r="B51"/>
  <c r="F47"/>
  <c r="F74" s="1"/>
  <c r="E81"/>
  <c r="D81"/>
  <c r="D90" s="1"/>
  <c r="D92" s="1"/>
  <c r="C81"/>
  <c r="C90" s="1"/>
  <c r="B81"/>
  <c r="E80"/>
  <c r="D80"/>
  <c r="C80"/>
  <c r="B80"/>
  <c r="B31"/>
  <c r="I26"/>
  <c r="I25"/>
  <c r="F59"/>
  <c r="I191" l="1"/>
  <c r="I192" s="1"/>
  <c r="I178"/>
  <c r="I154"/>
  <c r="C92"/>
  <c r="I92" s="1"/>
  <c r="I90"/>
  <c r="G1468" i="71"/>
  <c r="K30" i="68"/>
  <c r="K20"/>
  <c r="M20" s="1"/>
  <c r="D13" i="70"/>
  <c r="G83" i="73"/>
  <c r="G84" s="1"/>
  <c r="G104"/>
  <c r="G106" s="1"/>
  <c r="J28" i="70"/>
  <c r="F594" i="71" s="1"/>
  <c r="G594" s="1"/>
  <c r="I1574"/>
  <c r="G1684"/>
  <c r="G1686" s="1"/>
  <c r="G505"/>
  <c r="G122" i="73"/>
  <c r="G124" s="1"/>
  <c r="G117"/>
  <c r="G118" s="1"/>
  <c r="G42"/>
  <c r="G43" s="1"/>
  <c r="G52"/>
  <c r="G53" s="1"/>
  <c r="G87"/>
  <c r="G88" s="1"/>
  <c r="G397" i="72"/>
  <c r="G398" s="1"/>
  <c r="I59" i="68"/>
  <c r="I73"/>
  <c r="I77" s="1"/>
  <c r="G112" i="72"/>
  <c r="G117" s="1"/>
  <c r="G38" i="73"/>
  <c r="G414" i="72"/>
  <c r="E10" i="73"/>
  <c r="G10" s="1"/>
  <c r="G13" s="1"/>
  <c r="G15" s="1"/>
  <c r="G139"/>
  <c r="G140" s="1"/>
  <c r="G165" i="72"/>
  <c r="G166" s="1"/>
  <c r="F47"/>
  <c r="G47" s="1"/>
  <c r="G36"/>
  <c r="I168" i="68"/>
  <c r="G1445" i="71"/>
  <c r="I1664"/>
  <c r="G172"/>
  <c r="I1657"/>
  <c r="K527"/>
  <c r="G1134"/>
  <c r="G1389"/>
  <c r="G15" i="72"/>
  <c r="G22" s="1"/>
  <c r="G23" s="1"/>
  <c r="G34"/>
  <c r="G122"/>
  <c r="G178"/>
  <c r="G179" s="1"/>
  <c r="G197"/>
  <c r="G409"/>
  <c r="G160" i="71"/>
  <c r="G161" s="1"/>
  <c r="G307"/>
  <c r="D325" s="1"/>
  <c r="E325" s="1"/>
  <c r="F325" s="1"/>
  <c r="G325" s="1"/>
  <c r="G369"/>
  <c r="G1385"/>
  <c r="F1497"/>
  <c r="G1497" s="1"/>
  <c r="G32" i="73"/>
  <c r="G253"/>
  <c r="G254" s="1"/>
  <c r="F1502" i="71"/>
  <c r="G1502" s="1"/>
  <c r="F46" i="72"/>
  <c r="G46" s="1"/>
  <c r="G378"/>
  <c r="G379" s="1"/>
  <c r="G384" s="1"/>
  <c r="G399"/>
  <c r="G405" s="1"/>
  <c r="G63" i="73"/>
  <c r="G64" s="1"/>
  <c r="G111"/>
  <c r="G113" s="1"/>
  <c r="G377" i="71"/>
  <c r="G1383"/>
  <c r="G25" i="73"/>
  <c r="G26" s="1"/>
  <c r="I199" i="68"/>
  <c r="I200" s="1"/>
  <c r="G269" i="71"/>
  <c r="I114" i="68"/>
  <c r="I157"/>
  <c r="I57"/>
  <c r="I96"/>
  <c r="I161"/>
  <c r="I30"/>
  <c r="I52"/>
  <c r="I141"/>
  <c r="I136"/>
  <c r="I60"/>
  <c r="I47"/>
  <c r="I48" s="1"/>
  <c r="M48" s="1"/>
  <c r="G281" i="71"/>
  <c r="F934"/>
  <c r="G934" s="1"/>
  <c r="H934" s="1"/>
  <c r="G1501"/>
  <c r="F1515"/>
  <c r="F1530" s="1"/>
  <c r="G1530" s="1"/>
  <c r="G274"/>
  <c r="F361"/>
  <c r="G361" s="1"/>
  <c r="H361" s="1"/>
  <c r="I361" s="1"/>
  <c r="G370"/>
  <c r="G598"/>
  <c r="G1044"/>
  <c r="H1044" s="1"/>
  <c r="G1387"/>
  <c r="G1404"/>
  <c r="G1440"/>
  <c r="G1442"/>
  <c r="G1444"/>
  <c r="G1446"/>
  <c r="G1485"/>
  <c r="G1487"/>
  <c r="F1647"/>
  <c r="G1647" s="1"/>
  <c r="I1716"/>
  <c r="I1717" s="1"/>
  <c r="I1718" s="1"/>
  <c r="F182"/>
  <c r="G182" s="1"/>
  <c r="G183" s="1"/>
  <c r="G199"/>
  <c r="G870"/>
  <c r="F1032"/>
  <c r="G1032" s="1"/>
  <c r="H1032" s="1"/>
  <c r="F1398"/>
  <c r="G1398" s="1"/>
  <c r="F1500"/>
  <c r="F115"/>
  <c r="G115" s="1"/>
  <c r="G116" s="1"/>
  <c r="G521"/>
  <c r="F699"/>
  <c r="G699" s="1"/>
  <c r="G1386"/>
  <c r="F1174"/>
  <c r="H1174" s="1"/>
  <c r="H1186" s="1"/>
  <c r="F1410"/>
  <c r="G1410" s="1"/>
  <c r="G1441"/>
  <c r="G1443"/>
  <c r="G829"/>
  <c r="H829" s="1"/>
  <c r="G138"/>
  <c r="G139" s="1"/>
  <c r="G365"/>
  <c r="G516"/>
  <c r="G689"/>
  <c r="F865"/>
  <c r="F857" s="1"/>
  <c r="G857" s="1"/>
  <c r="G210"/>
  <c r="G856"/>
  <c r="G1475"/>
  <c r="I1118"/>
  <c r="J1118" s="1"/>
  <c r="H1118"/>
  <c r="F376"/>
  <c r="G376" s="1"/>
  <c r="G226"/>
  <c r="G719"/>
  <c r="H719" s="1"/>
  <c r="I719" s="1"/>
  <c r="F1586"/>
  <c r="G1586" s="1"/>
  <c r="G213"/>
  <c r="G387"/>
  <c r="F600"/>
  <c r="F765"/>
  <c r="G765" s="1"/>
  <c r="G830"/>
  <c r="H830" s="1"/>
  <c r="F1003"/>
  <c r="F1051" s="1"/>
  <c r="G1572"/>
  <c r="G285"/>
  <c r="G343"/>
  <c r="G735"/>
  <c r="I735" s="1"/>
  <c r="G999"/>
  <c r="H999" s="1"/>
  <c r="G253"/>
  <c r="G498"/>
  <c r="G573"/>
  <c r="F818"/>
  <c r="G818" s="1"/>
  <c r="H818" s="1"/>
  <c r="I818" s="1"/>
  <c r="I1693"/>
  <c r="D85" i="68"/>
  <c r="D89"/>
  <c r="D91" s="1"/>
  <c r="I81"/>
  <c r="M258"/>
  <c r="M260"/>
  <c r="I56"/>
  <c r="F75"/>
  <c r="I74"/>
  <c r="C85"/>
  <c r="I85" s="1"/>
  <c r="I86" s="1"/>
  <c r="C89"/>
  <c r="I80"/>
  <c r="I196"/>
  <c r="C16" i="70"/>
  <c r="C17" s="1"/>
  <c r="C15"/>
  <c r="I53" i="68"/>
  <c r="E54"/>
  <c r="I54" s="1"/>
  <c r="F71"/>
  <c r="I71" s="1"/>
  <c r="I121"/>
  <c r="I130"/>
  <c r="F58"/>
  <c r="I58" s="1"/>
  <c r="C129"/>
  <c r="I129" s="1"/>
  <c r="D131"/>
  <c r="F981" i="71"/>
  <c r="F946"/>
  <c r="F913"/>
  <c r="G913" s="1"/>
  <c r="H913" s="1"/>
  <c r="F1030"/>
  <c r="F1015"/>
  <c r="F844"/>
  <c r="G844" s="1"/>
  <c r="F928"/>
  <c r="G928" s="1"/>
  <c r="H928" s="1"/>
  <c r="F712"/>
  <c r="F538"/>
  <c r="F205"/>
  <c r="G205" s="1"/>
  <c r="F32" i="72"/>
  <c r="G32" s="1"/>
  <c r="F231" i="71"/>
  <c r="F219"/>
  <c r="G219" s="1"/>
  <c r="F155"/>
  <c r="F133"/>
  <c r="F188"/>
  <c r="G188" s="1"/>
  <c r="F255"/>
  <c r="G255" s="1"/>
  <c r="G236"/>
  <c r="F458"/>
  <c r="G427"/>
  <c r="G633"/>
  <c r="F650"/>
  <c r="G650" s="1"/>
  <c r="H718"/>
  <c r="I718" s="1"/>
  <c r="I1115"/>
  <c r="H1115"/>
  <c r="F424"/>
  <c r="G270"/>
  <c r="F443"/>
  <c r="G443" s="1"/>
  <c r="G289"/>
  <c r="F621"/>
  <c r="G621" s="1"/>
  <c r="F580"/>
  <c r="G580" s="1"/>
  <c r="F238"/>
  <c r="G238" s="1"/>
  <c r="G240" s="1"/>
  <c r="G212"/>
  <c r="F299"/>
  <c r="F422"/>
  <c r="G268"/>
  <c r="F527"/>
  <c r="G527" s="1"/>
  <c r="G520"/>
  <c r="H483"/>
  <c r="I483" s="1"/>
  <c r="G483"/>
  <c r="D506"/>
  <c r="G506" s="1"/>
  <c r="G499"/>
  <c r="F779"/>
  <c r="F794"/>
  <c r="G768"/>
  <c r="H793"/>
  <c r="I793" s="1"/>
  <c r="G453"/>
  <c r="H453" s="1"/>
  <c r="I453"/>
  <c r="J453" s="1"/>
  <c r="K453" s="1"/>
  <c r="L453" s="1"/>
  <c r="F426"/>
  <c r="F305"/>
  <c r="G273"/>
  <c r="F301"/>
  <c r="H360"/>
  <c r="I360" s="1"/>
  <c r="G360"/>
  <c r="G392"/>
  <c r="G423"/>
  <c r="K516"/>
  <c r="G742"/>
  <c r="H742" s="1"/>
  <c r="H809"/>
  <c r="I809" s="1"/>
  <c r="F300"/>
  <c r="F391"/>
  <c r="H398"/>
  <c r="K533"/>
  <c r="G690"/>
  <c r="G755"/>
  <c r="F700"/>
  <c r="G700" s="1"/>
  <c r="F736"/>
  <c r="F743" s="1"/>
  <c r="F756" s="1"/>
  <c r="H1116"/>
  <c r="I1116"/>
  <c r="J1116" s="1"/>
  <c r="H732"/>
  <c r="I778"/>
  <c r="G919"/>
  <c r="H919" s="1"/>
  <c r="F1021"/>
  <c r="F1052"/>
  <c r="G1004"/>
  <c r="H1004" s="1"/>
  <c r="F1406"/>
  <c r="G1399"/>
  <c r="G1439"/>
  <c r="F1467"/>
  <c r="G864"/>
  <c r="H915"/>
  <c r="H920" s="1"/>
  <c r="G969"/>
  <c r="H969" s="1"/>
  <c r="F986"/>
  <c r="G986" s="1"/>
  <c r="H986" s="1"/>
  <c r="H944"/>
  <c r="H979"/>
  <c r="H1079"/>
  <c r="H1545"/>
  <c r="H1432"/>
  <c r="I1432" s="1"/>
  <c r="I1431"/>
  <c r="G1499"/>
  <c r="F1513"/>
  <c r="G1620"/>
  <c r="G1629"/>
  <c r="G597"/>
  <c r="G599"/>
  <c r="G831"/>
  <c r="F876"/>
  <c r="G876" s="1"/>
  <c r="F891"/>
  <c r="G891" s="1"/>
  <c r="D885"/>
  <c r="H1028"/>
  <c r="I1119"/>
  <c r="J1119" s="1"/>
  <c r="H1119"/>
  <c r="F968"/>
  <c r="F950"/>
  <c r="G950" s="1"/>
  <c r="F932"/>
  <c r="G932" s="1"/>
  <c r="F1002"/>
  <c r="H926"/>
  <c r="H1063"/>
  <c r="D1089"/>
  <c r="G1120"/>
  <c r="H1120" s="1"/>
  <c r="I1120" s="1"/>
  <c r="J1120" s="1"/>
  <c r="G1127"/>
  <c r="G1128" s="1"/>
  <c r="G1135"/>
  <c r="E1461"/>
  <c r="G1461" s="1"/>
  <c r="G1454"/>
  <c r="F1526"/>
  <c r="G1526" s="1"/>
  <c r="G1511"/>
  <c r="F952"/>
  <c r="G952" s="1"/>
  <c r="H952" s="1"/>
  <c r="F970"/>
  <c r="F1384"/>
  <c r="F1405"/>
  <c r="F1587"/>
  <c r="G1587" s="1"/>
  <c r="G1580"/>
  <c r="I1540"/>
  <c r="I1541" s="1"/>
  <c r="G1573"/>
  <c r="D1694"/>
  <c r="I1694" s="1"/>
  <c r="G720"/>
  <c r="H720" s="1"/>
  <c r="I720" s="1"/>
  <c r="F951"/>
  <c r="G951" s="1"/>
  <c r="H951" s="1"/>
  <c r="G1489"/>
  <c r="F1503"/>
  <c r="G1503" s="1"/>
  <c r="F1532"/>
  <c r="G1532" s="1"/>
  <c r="G1517"/>
  <c r="G1646"/>
  <c r="F1665"/>
  <c r="I1665" s="1"/>
  <c r="I1426"/>
  <c r="I1427" s="1"/>
  <c r="I1556"/>
  <c r="I1557" s="1"/>
  <c r="F50" i="72"/>
  <c r="G35"/>
  <c r="F362"/>
  <c r="G362" s="1"/>
  <c r="G334"/>
  <c r="G69" i="73"/>
  <c r="G71" s="1"/>
  <c r="G72" s="1"/>
  <c r="G78"/>
  <c r="G80" s="1"/>
  <c r="G28" i="72"/>
  <c r="F67"/>
  <c r="G49"/>
  <c r="F69"/>
  <c r="G51"/>
  <c r="J9" i="65"/>
  <c r="J8"/>
  <c r="J6"/>
  <c r="F606" i="71" l="1"/>
  <c r="G606" s="1"/>
  <c r="D14" i="70"/>
  <c r="G38" i="72"/>
  <c r="H735" i="71"/>
  <c r="K192" i="68"/>
  <c r="M192" s="1"/>
  <c r="I723" i="71"/>
  <c r="I132" i="68"/>
  <c r="G415" i="72"/>
  <c r="I102" i="68"/>
  <c r="M30"/>
  <c r="G1515" i="71"/>
  <c r="F1516"/>
  <c r="F1531" s="1"/>
  <c r="G1531" s="1"/>
  <c r="G1137"/>
  <c r="G1138" s="1"/>
  <c r="H1221" s="1"/>
  <c r="J13" i="65"/>
  <c r="G1449" i="71"/>
  <c r="G1450" s="1"/>
  <c r="G40" i="72"/>
  <c r="G41" s="1"/>
  <c r="I100" i="68"/>
  <c r="I115"/>
  <c r="I82"/>
  <c r="I105" s="1"/>
  <c r="G691" i="71"/>
  <c r="G693" s="1"/>
  <c r="I1699"/>
  <c r="I1700" s="1"/>
  <c r="I1701" s="1"/>
  <c r="I1702" s="1"/>
  <c r="I1703" s="1"/>
  <c r="G858"/>
  <c r="G1500"/>
  <c r="F1514"/>
  <c r="J1121"/>
  <c r="G1003"/>
  <c r="H1003" s="1"/>
  <c r="G865"/>
  <c r="G1463"/>
  <c r="G1464" s="1"/>
  <c r="F871"/>
  <c r="G871" s="1"/>
  <c r="G214"/>
  <c r="G391"/>
  <c r="G600"/>
  <c r="F612"/>
  <c r="G612" s="1"/>
  <c r="G743"/>
  <c r="H743" s="1"/>
  <c r="H744" s="1"/>
  <c r="H1122"/>
  <c r="H1123" s="1"/>
  <c r="G722"/>
  <c r="H722" s="1"/>
  <c r="I722" s="1"/>
  <c r="F188" i="72"/>
  <c r="G69"/>
  <c r="F91"/>
  <c r="F80"/>
  <c r="G80" s="1"/>
  <c r="F186"/>
  <c r="G67"/>
  <c r="F78"/>
  <c r="G78" s="1"/>
  <c r="F90"/>
  <c r="G1405" i="71"/>
  <c r="F1412"/>
  <c r="G1412" s="1"/>
  <c r="F1484"/>
  <c r="G1467"/>
  <c r="G1477" s="1"/>
  <c r="G1478" s="1"/>
  <c r="C91" i="68"/>
  <c r="I91" s="1"/>
  <c r="I89"/>
  <c r="G1384" i="71"/>
  <c r="G1390" s="1"/>
  <c r="F1394"/>
  <c r="G1394" s="1"/>
  <c r="G1400" s="1"/>
  <c r="D1107"/>
  <c r="G937"/>
  <c r="H937" s="1"/>
  <c r="H932"/>
  <c r="H936" s="1"/>
  <c r="G1051"/>
  <c r="H1051" s="1"/>
  <c r="F1086"/>
  <c r="F1070"/>
  <c r="G1070" s="1"/>
  <c r="H1070" s="1"/>
  <c r="G736"/>
  <c r="F403"/>
  <c r="G398"/>
  <c r="F355"/>
  <c r="G301"/>
  <c r="G271"/>
  <c r="J1115"/>
  <c r="F144"/>
  <c r="G144" s="1"/>
  <c r="F110"/>
  <c r="G110" s="1"/>
  <c r="G133"/>
  <c r="C21" i="70"/>
  <c r="C18"/>
  <c r="C19" s="1"/>
  <c r="C20" s="1"/>
  <c r="I106" i="68"/>
  <c r="F1020" i="71"/>
  <c r="F1050"/>
  <c r="G1002"/>
  <c r="F769"/>
  <c r="G756"/>
  <c r="F457"/>
  <c r="G426"/>
  <c r="F715"/>
  <c r="G712"/>
  <c r="I1629"/>
  <c r="I732"/>
  <c r="I742"/>
  <c r="F452"/>
  <c r="G422"/>
  <c r="I621"/>
  <c r="H621"/>
  <c r="G1122"/>
  <c r="G1123" s="1"/>
  <c r="G155"/>
  <c r="F166"/>
  <c r="F947"/>
  <c r="G946"/>
  <c r="H946" s="1"/>
  <c r="G1021"/>
  <c r="F1035"/>
  <c r="G1035" s="1"/>
  <c r="H1035" s="1"/>
  <c r="H516"/>
  <c r="H403"/>
  <c r="I398"/>
  <c r="G231"/>
  <c r="F266"/>
  <c r="G1030"/>
  <c r="H1030" s="1"/>
  <c r="F1031"/>
  <c r="G1031" s="1"/>
  <c r="H1031" s="1"/>
  <c r="G50" i="72"/>
  <c r="G52" s="1"/>
  <c r="G54" s="1"/>
  <c r="G55" s="1"/>
  <c r="F68"/>
  <c r="H950" i="71"/>
  <c r="H954" s="1"/>
  <c r="G955"/>
  <c r="H955" s="1"/>
  <c r="H831"/>
  <c r="H834" s="1"/>
  <c r="G834"/>
  <c r="F354"/>
  <c r="G300"/>
  <c r="F810"/>
  <c r="G794"/>
  <c r="F800"/>
  <c r="G800" s="1"/>
  <c r="H800" s="1"/>
  <c r="I800" s="1"/>
  <c r="G970"/>
  <c r="H970" s="1"/>
  <c r="F987"/>
  <c r="G987" s="1"/>
  <c r="H987" s="1"/>
  <c r="I1121"/>
  <c r="I1122" s="1"/>
  <c r="I1123" s="1"/>
  <c r="F985"/>
  <c r="G985" s="1"/>
  <c r="G968"/>
  <c r="F903"/>
  <c r="G903" s="1"/>
  <c r="F896"/>
  <c r="F884"/>
  <c r="G884" s="1"/>
  <c r="F1528"/>
  <c r="G1528" s="1"/>
  <c r="G1513"/>
  <c r="I1545"/>
  <c r="H1561"/>
  <c r="I1561" s="1"/>
  <c r="H1546"/>
  <c r="F1413"/>
  <c r="G1413" s="1"/>
  <c r="G1406"/>
  <c r="G1052"/>
  <c r="H1052" s="1"/>
  <c r="F1087"/>
  <c r="F1071"/>
  <c r="G1071" s="1"/>
  <c r="H1071" s="1"/>
  <c r="G305"/>
  <c r="F359"/>
  <c r="G833"/>
  <c r="H833" s="1"/>
  <c r="G779"/>
  <c r="F784"/>
  <c r="G784" s="1"/>
  <c r="G299"/>
  <c r="F353"/>
  <c r="G424"/>
  <c r="F454"/>
  <c r="H723"/>
  <c r="F488"/>
  <c r="I458"/>
  <c r="K458" s="1"/>
  <c r="G458"/>
  <c r="F563"/>
  <c r="G538"/>
  <c r="F551"/>
  <c r="G551" s="1"/>
  <c r="F1016"/>
  <c r="G1016" s="1"/>
  <c r="G1015"/>
  <c r="G981"/>
  <c r="F982"/>
  <c r="G982" s="1"/>
  <c r="H982" s="1"/>
  <c r="I75" i="68"/>
  <c r="D16" i="70" l="1"/>
  <c r="D15"/>
  <c r="K229" i="68"/>
  <c r="M229" s="1"/>
  <c r="K231"/>
  <c r="M231" s="1"/>
  <c r="G1516" i="71"/>
  <c r="H1256"/>
  <c r="I1256" s="1"/>
  <c r="I1221"/>
  <c r="I1222" s="1"/>
  <c r="I1234" s="1"/>
  <c r="I1235" s="1"/>
  <c r="J1122"/>
  <c r="J1123" s="1"/>
  <c r="I743"/>
  <c r="I745" s="1"/>
  <c r="H745"/>
  <c r="G744"/>
  <c r="G1514"/>
  <c r="F1529"/>
  <c r="G1529" s="1"/>
  <c r="F875"/>
  <c r="G875" s="1"/>
  <c r="G877" s="1"/>
  <c r="F892"/>
  <c r="F904" s="1"/>
  <c r="G904" s="1"/>
  <c r="G905" s="1"/>
  <c r="H1433"/>
  <c r="I1433" s="1"/>
  <c r="I1434" s="1"/>
  <c r="F1142"/>
  <c r="G563"/>
  <c r="I563"/>
  <c r="H563"/>
  <c r="H359"/>
  <c r="I359" s="1"/>
  <c r="G359"/>
  <c r="F177" i="68"/>
  <c r="I177" s="1"/>
  <c r="G488" i="71"/>
  <c r="H488"/>
  <c r="I488" s="1"/>
  <c r="H779"/>
  <c r="D323"/>
  <c r="E323" s="1"/>
  <c r="F323" s="1"/>
  <c r="G323" s="1"/>
  <c r="H305"/>
  <c r="I1546"/>
  <c r="H1562"/>
  <c r="I1562" s="1"/>
  <c r="G972"/>
  <c r="H972" s="1"/>
  <c r="H968"/>
  <c r="H971" s="1"/>
  <c r="H794"/>
  <c r="I794" s="1"/>
  <c r="H527"/>
  <c r="I527" s="1"/>
  <c r="I516"/>
  <c r="H520" s="1"/>
  <c r="G947"/>
  <c r="H947" s="1"/>
  <c r="F948"/>
  <c r="G948" s="1"/>
  <c r="H948" s="1"/>
  <c r="K180" i="68"/>
  <c r="M180" s="1"/>
  <c r="I457" i="71"/>
  <c r="J457" s="1"/>
  <c r="K457" s="1"/>
  <c r="L457" s="1"/>
  <c r="F487"/>
  <c r="G457"/>
  <c r="H457" s="1"/>
  <c r="F1034"/>
  <c r="G1034" s="1"/>
  <c r="G1020"/>
  <c r="F544"/>
  <c r="G355"/>
  <c r="H355"/>
  <c r="F1104"/>
  <c r="G1104" s="1"/>
  <c r="H1104" s="1"/>
  <c r="G1086"/>
  <c r="H1086" s="1"/>
  <c r="F1574"/>
  <c r="G1574" s="1"/>
  <c r="G1575" s="1"/>
  <c r="G1576" s="1"/>
  <c r="F1581"/>
  <c r="G1581" s="1"/>
  <c r="G1582" s="1"/>
  <c r="G1583" s="1"/>
  <c r="G1415"/>
  <c r="F101" i="72"/>
  <c r="G90"/>
  <c r="I104" i="68"/>
  <c r="F542" i="71"/>
  <c r="G353"/>
  <c r="H353"/>
  <c r="H985"/>
  <c r="H988" s="1"/>
  <c r="G989"/>
  <c r="H989" s="1"/>
  <c r="G810"/>
  <c r="F816"/>
  <c r="G816" s="1"/>
  <c r="H712"/>
  <c r="G1408"/>
  <c r="G91" i="72"/>
  <c r="F102"/>
  <c r="G454" i="71"/>
  <c r="H454" s="1"/>
  <c r="F484"/>
  <c r="I454"/>
  <c r="H981"/>
  <c r="D317"/>
  <c r="E317" s="1"/>
  <c r="F317" s="1"/>
  <c r="G317" s="1"/>
  <c r="H299"/>
  <c r="G302"/>
  <c r="F1105"/>
  <c r="G1105" s="1"/>
  <c r="H1105" s="1"/>
  <c r="G1087"/>
  <c r="H1087" s="1"/>
  <c r="G896"/>
  <c r="F897"/>
  <c r="G897" s="1"/>
  <c r="D318"/>
  <c r="E318" s="1"/>
  <c r="F318" s="1"/>
  <c r="G318" s="1"/>
  <c r="H300"/>
  <c r="F177"/>
  <c r="G177" s="1"/>
  <c r="G166"/>
  <c r="G715"/>
  <c r="H715" s="1"/>
  <c r="I715" s="1"/>
  <c r="F997"/>
  <c r="F962"/>
  <c r="H1002"/>
  <c r="H1005" s="1"/>
  <c r="G1006"/>
  <c r="H1006" s="1"/>
  <c r="F533"/>
  <c r="G533" s="1"/>
  <c r="G403"/>
  <c r="I107" i="68"/>
  <c r="I93"/>
  <c r="H784" i="71"/>
  <c r="F543"/>
  <c r="G354"/>
  <c r="H354"/>
  <c r="I354" s="1"/>
  <c r="F187" i="72"/>
  <c r="G68"/>
  <c r="F79"/>
  <c r="G79" s="1"/>
  <c r="G81" s="1"/>
  <c r="F420" i="71"/>
  <c r="F297"/>
  <c r="G266"/>
  <c r="F249"/>
  <c r="G249" s="1"/>
  <c r="H533"/>
  <c r="I533" s="1"/>
  <c r="I403"/>
  <c r="I452"/>
  <c r="J452" s="1"/>
  <c r="K452" s="1"/>
  <c r="L452" s="1"/>
  <c r="G452"/>
  <c r="H452" s="1"/>
  <c r="F482"/>
  <c r="G769"/>
  <c r="F780"/>
  <c r="F795"/>
  <c r="G1050"/>
  <c r="F1085"/>
  <c r="F1069"/>
  <c r="G1069" s="1"/>
  <c r="D319"/>
  <c r="H301"/>
  <c r="H736"/>
  <c r="I736"/>
  <c r="G737"/>
  <c r="F1588"/>
  <c r="G1588" s="1"/>
  <c r="G1589" s="1"/>
  <c r="G1590" s="1"/>
  <c r="I1428"/>
  <c r="I1429" s="1"/>
  <c r="I1542"/>
  <c r="F1498"/>
  <c r="G1484"/>
  <c r="G1490" s="1"/>
  <c r="G1491" s="1"/>
  <c r="F199" i="72"/>
  <c r="G186"/>
  <c r="F201"/>
  <c r="G188"/>
  <c r="D17" i="70" l="1"/>
  <c r="I712" i="71"/>
  <c r="H1547"/>
  <c r="I1547" s="1"/>
  <c r="I1548" s="1"/>
  <c r="G82" i="72"/>
  <c r="G83" s="1"/>
  <c r="G747" i="71"/>
  <c r="G748" s="1"/>
  <c r="K224" i="68" s="1"/>
  <c r="M224" s="1"/>
  <c r="I744" i="71"/>
  <c r="G892"/>
  <c r="F883"/>
  <c r="G883" s="1"/>
  <c r="G885" s="1"/>
  <c r="F1190"/>
  <c r="H1142"/>
  <c r="H1154" s="1"/>
  <c r="I108" i="68"/>
  <c r="M108" s="1"/>
  <c r="H738" i="71"/>
  <c r="H737"/>
  <c r="G795"/>
  <c r="F811"/>
  <c r="F801"/>
  <c r="G801" s="1"/>
  <c r="H801" s="1"/>
  <c r="I801" s="1"/>
  <c r="I804" s="1"/>
  <c r="H482"/>
  <c r="I482" s="1"/>
  <c r="G482"/>
  <c r="F351"/>
  <c r="G297"/>
  <c r="G187" i="72"/>
  <c r="G189" s="1"/>
  <c r="G191" s="1"/>
  <c r="G192" s="1"/>
  <c r="F200"/>
  <c r="I784" i="71"/>
  <c r="F1045"/>
  <c r="G997"/>
  <c r="F998"/>
  <c r="G998" s="1"/>
  <c r="H998" s="1"/>
  <c r="G356"/>
  <c r="I779"/>
  <c r="I738"/>
  <c r="I737"/>
  <c r="F963"/>
  <c r="G962"/>
  <c r="F214" i="72"/>
  <c r="G201"/>
  <c r="H1069" i="71"/>
  <c r="G1073"/>
  <c r="G420"/>
  <c r="F450"/>
  <c r="G70" i="72"/>
  <c r="G71" s="1"/>
  <c r="G72" s="1"/>
  <c r="F556" i="71"/>
  <c r="G556" s="1"/>
  <c r="F567"/>
  <c r="G542"/>
  <c r="G92" i="72"/>
  <c r="G93" s="1"/>
  <c r="H1034" i="71"/>
  <c r="H1038" s="1"/>
  <c r="G1037"/>
  <c r="H1037" s="1"/>
  <c r="F568"/>
  <c r="G543"/>
  <c r="F557"/>
  <c r="G557" s="1"/>
  <c r="G1498"/>
  <c r="G1504" s="1"/>
  <c r="G1505" s="1"/>
  <c r="F1512"/>
  <c r="G780"/>
  <c r="F785"/>
  <c r="G785" s="1"/>
  <c r="I1435"/>
  <c r="I1436" s="1"/>
  <c r="J454"/>
  <c r="K454" s="1"/>
  <c r="I455"/>
  <c r="J455" s="1"/>
  <c r="G102" i="72"/>
  <c r="F126"/>
  <c r="H357" i="71"/>
  <c r="I355"/>
  <c r="I1558"/>
  <c r="I1559" s="1"/>
  <c r="I1543"/>
  <c r="D321"/>
  <c r="E321" s="1"/>
  <c r="E319"/>
  <c r="F319" s="1"/>
  <c r="F1103"/>
  <c r="G1103" s="1"/>
  <c r="G1085"/>
  <c r="H302"/>
  <c r="H484"/>
  <c r="G484"/>
  <c r="H816"/>
  <c r="I816" s="1"/>
  <c r="F125" i="72"/>
  <c r="G101"/>
  <c r="F212"/>
  <c r="G199"/>
  <c r="H1050" i="71"/>
  <c r="G1054"/>
  <c r="H810"/>
  <c r="I810" s="1"/>
  <c r="I353"/>
  <c r="H356"/>
  <c r="F558"/>
  <c r="G558" s="1"/>
  <c r="F569"/>
  <c r="G544"/>
  <c r="G487"/>
  <c r="H487"/>
  <c r="I487" s="1"/>
  <c r="D21" i="70" l="1"/>
  <c r="D18"/>
  <c r="D19" s="1"/>
  <c r="K182" i="68"/>
  <c r="M182" s="1"/>
  <c r="K233"/>
  <c r="M233" s="1"/>
  <c r="H1563" i="71"/>
  <c r="I1563" s="1"/>
  <c r="I1564" s="1"/>
  <c r="I1565" s="1"/>
  <c r="I1566" s="1"/>
  <c r="I1549"/>
  <c r="I1550" s="1"/>
  <c r="I747"/>
  <c r="I748" s="1"/>
  <c r="I356"/>
  <c r="H747"/>
  <c r="H748" s="1"/>
  <c r="H1190"/>
  <c r="H1202" s="1"/>
  <c r="F1158"/>
  <c r="H1158" s="1"/>
  <c r="H1170" s="1"/>
  <c r="H1103"/>
  <c r="G1107"/>
  <c r="I357"/>
  <c r="L454"/>
  <c r="L455" s="1"/>
  <c r="K455"/>
  <c r="H780"/>
  <c r="G781"/>
  <c r="H781" s="1"/>
  <c r="I781" s="1"/>
  <c r="F227" i="72"/>
  <c r="G214"/>
  <c r="G569" i="71"/>
  <c r="F585"/>
  <c r="I569"/>
  <c r="H569"/>
  <c r="F138" i="72"/>
  <c r="G126"/>
  <c r="F1527" i="71"/>
  <c r="G1527" s="1"/>
  <c r="G1533" s="1"/>
  <c r="G1534" s="1"/>
  <c r="G1512"/>
  <c r="G1518" s="1"/>
  <c r="G1519" s="1"/>
  <c r="G567"/>
  <c r="F583"/>
  <c r="I567"/>
  <c r="H567"/>
  <c r="H962"/>
  <c r="G200" i="72"/>
  <c r="G202" s="1"/>
  <c r="G204" s="1"/>
  <c r="G205" s="1"/>
  <c r="F213"/>
  <c r="G103"/>
  <c r="G104" s="1"/>
  <c r="H1072" i="71"/>
  <c r="H1073" s="1"/>
  <c r="F964"/>
  <c r="G964" s="1"/>
  <c r="H964" s="1"/>
  <c r="G963"/>
  <c r="H963" s="1"/>
  <c r="G811"/>
  <c r="F817"/>
  <c r="G817" s="1"/>
  <c r="I484"/>
  <c r="I485" s="1"/>
  <c r="H485"/>
  <c r="G546"/>
  <c r="F225" i="72"/>
  <c r="G212"/>
  <c r="G319" i="71"/>
  <c r="G321" s="1"/>
  <c r="F321"/>
  <c r="G1045"/>
  <c r="F1046"/>
  <c r="H804"/>
  <c r="H1053"/>
  <c r="H1054" s="1"/>
  <c r="F137" i="72"/>
  <c r="G125"/>
  <c r="H1085" i="71"/>
  <c r="G1089"/>
  <c r="H785"/>
  <c r="F584"/>
  <c r="G568"/>
  <c r="I568"/>
  <c r="H568"/>
  <c r="F480"/>
  <c r="I450"/>
  <c r="J450" s="1"/>
  <c r="K450" s="1"/>
  <c r="L450" s="1"/>
  <c r="G450"/>
  <c r="H450" s="1"/>
  <c r="D315"/>
  <c r="E315" s="1"/>
  <c r="F315" s="1"/>
  <c r="G315" s="1"/>
  <c r="H297"/>
  <c r="H795"/>
  <c r="I795" s="1"/>
  <c r="G796"/>
  <c r="H796" s="1"/>
  <c r="I796" s="1"/>
  <c r="H997"/>
  <c r="G351"/>
  <c r="H351"/>
  <c r="I351" s="1"/>
  <c r="K184" i="68" l="1"/>
  <c r="M184" s="1"/>
  <c r="K186"/>
  <c r="M186" s="1"/>
  <c r="K235"/>
  <c r="M235" s="1"/>
  <c r="I797" i="71"/>
  <c r="F149" i="72"/>
  <c r="G149" s="1"/>
  <c r="G138"/>
  <c r="G480" i="71"/>
  <c r="H480"/>
  <c r="I480" s="1"/>
  <c r="G127" i="72"/>
  <c r="G128" s="1"/>
  <c r="G1046" i="71"/>
  <c r="H1046" s="1"/>
  <c r="F1047"/>
  <c r="F624"/>
  <c r="G583"/>
  <c r="F586"/>
  <c r="F626"/>
  <c r="G585"/>
  <c r="G798"/>
  <c r="G803" s="1"/>
  <c r="H803" s="1"/>
  <c r="I803" s="1"/>
  <c r="G570"/>
  <c r="I780"/>
  <c r="H782"/>
  <c r="H1088"/>
  <c r="H1089" s="1"/>
  <c r="G137" i="72"/>
  <c r="F148"/>
  <c r="G148" s="1"/>
  <c r="H1045" i="71"/>
  <c r="F240" i="72"/>
  <c r="G225"/>
  <c r="H797" i="71"/>
  <c r="H798" s="1"/>
  <c r="H817"/>
  <c r="G819"/>
  <c r="H819" s="1"/>
  <c r="I819" s="1"/>
  <c r="G213" i="72"/>
  <c r="F226"/>
  <c r="H570" i="71"/>
  <c r="H571"/>
  <c r="F242" i="72"/>
  <c r="G227"/>
  <c r="H1106" i="71"/>
  <c r="H1107" s="1"/>
  <c r="F625"/>
  <c r="G584"/>
  <c r="I785"/>
  <c r="D20" i="70"/>
  <c r="H811" i="71"/>
  <c r="I811" s="1"/>
  <c r="G812"/>
  <c r="H812" s="1"/>
  <c r="I812" s="1"/>
  <c r="I570"/>
  <c r="I571"/>
  <c r="K251" i="68" l="1"/>
  <c r="M251" s="1"/>
  <c r="I798" i="71"/>
  <c r="I805" s="1"/>
  <c r="I806" s="1"/>
  <c r="I813"/>
  <c r="I814" s="1"/>
  <c r="H820"/>
  <c r="I817"/>
  <c r="I820" s="1"/>
  <c r="G805"/>
  <c r="G806" s="1"/>
  <c r="G814"/>
  <c r="G821" s="1"/>
  <c r="G822" s="1"/>
  <c r="H805"/>
  <c r="H806" s="1"/>
  <c r="F627"/>
  <c r="G627" s="1"/>
  <c r="G586"/>
  <c r="H813"/>
  <c r="H814" s="1"/>
  <c r="F659"/>
  <c r="G625"/>
  <c r="F643"/>
  <c r="G643" s="1"/>
  <c r="H643" s="1"/>
  <c r="I643" s="1"/>
  <c r="G226" i="72"/>
  <c r="F241"/>
  <c r="G150"/>
  <c r="G151" s="1"/>
  <c r="G215"/>
  <c r="G217" s="1"/>
  <c r="G218" s="1"/>
  <c r="K237" i="68" s="1"/>
  <c r="M237" s="1"/>
  <c r="G242" i="72"/>
  <c r="F258"/>
  <c r="F256"/>
  <c r="G240"/>
  <c r="G139"/>
  <c r="G140" s="1"/>
  <c r="I782" i="71"/>
  <c r="F660"/>
  <c r="G626"/>
  <c r="F644"/>
  <c r="G644" s="1"/>
  <c r="H644" s="1"/>
  <c r="I644" s="1"/>
  <c r="F658"/>
  <c r="G624"/>
  <c r="F642"/>
  <c r="G642" s="1"/>
  <c r="F1064"/>
  <c r="F1081"/>
  <c r="G1081" s="1"/>
  <c r="G1047"/>
  <c r="F1082"/>
  <c r="K220" i="68" l="1"/>
  <c r="M220" s="1"/>
  <c r="K213"/>
  <c r="M213" s="1"/>
  <c r="I821" i="71"/>
  <c r="I822" s="1"/>
  <c r="G228" i="72"/>
  <c r="G230" s="1"/>
  <c r="G231" s="1"/>
  <c r="G588" i="71"/>
  <c r="H821"/>
  <c r="H822" s="1"/>
  <c r="G1064"/>
  <c r="F1065"/>
  <c r="G1065" s="1"/>
  <c r="H1065" s="1"/>
  <c r="F1100"/>
  <c r="G1100" s="1"/>
  <c r="G1082"/>
  <c r="H1082" s="1"/>
  <c r="F1101"/>
  <c r="G1101" s="1"/>
  <c r="H1101" s="1"/>
  <c r="F294" i="72"/>
  <c r="G258"/>
  <c r="F280"/>
  <c r="G280" s="1"/>
  <c r="I625" i="71"/>
  <c r="H625"/>
  <c r="I627"/>
  <c r="H627"/>
  <c r="H642"/>
  <c r="G646"/>
  <c r="F292" i="72"/>
  <c r="G256"/>
  <c r="F673" i="71"/>
  <c r="G658"/>
  <c r="H1047"/>
  <c r="I626"/>
  <c r="H626"/>
  <c r="F674"/>
  <c r="G659"/>
  <c r="H659" s="1"/>
  <c r="I659" s="1"/>
  <c r="H1081"/>
  <c r="G629"/>
  <c r="I624"/>
  <c r="H624"/>
  <c r="F675"/>
  <c r="G660"/>
  <c r="H660" s="1"/>
  <c r="F257" i="72"/>
  <c r="G241"/>
  <c r="I660" i="71" l="1"/>
  <c r="H629"/>
  <c r="G673"/>
  <c r="I673"/>
  <c r="H673"/>
  <c r="F311" i="72"/>
  <c r="G292"/>
  <c r="H647" i="71"/>
  <c r="I642"/>
  <c r="H646"/>
  <c r="G257" i="72"/>
  <c r="G259" s="1"/>
  <c r="G261" s="1"/>
  <c r="F279"/>
  <c r="G279" s="1"/>
  <c r="F293"/>
  <c r="F313"/>
  <c r="G294"/>
  <c r="H630" i="71"/>
  <c r="G243" i="72"/>
  <c r="G245" s="1"/>
  <c r="H1100" i="71"/>
  <c r="G675"/>
  <c r="I675"/>
  <c r="H675"/>
  <c r="F701"/>
  <c r="I629"/>
  <c r="H658"/>
  <c r="G662"/>
  <c r="I630"/>
  <c r="H1064"/>
  <c r="G674"/>
  <c r="I674"/>
  <c r="H674"/>
  <c r="G407" l="1"/>
  <c r="I678"/>
  <c r="F341" i="72"/>
  <c r="G313"/>
  <c r="I677" i="71"/>
  <c r="G677"/>
  <c r="F757"/>
  <c r="G701"/>
  <c r="F312" i="72"/>
  <c r="G293"/>
  <c r="G295" s="1"/>
  <c r="G297" s="1"/>
  <c r="G298" s="1"/>
  <c r="F366"/>
  <c r="G366" s="1"/>
  <c r="G311"/>
  <c r="I658" i="71"/>
  <c r="I663" s="1"/>
  <c r="H662"/>
  <c r="H678"/>
  <c r="G281" i="72"/>
  <c r="G283" s="1"/>
  <c r="I647" i="71"/>
  <c r="I646"/>
  <c r="H677"/>
  <c r="H663"/>
  <c r="I662" l="1"/>
  <c r="G702"/>
  <c r="G704"/>
  <c r="F340" i="72"/>
  <c r="G340" s="1"/>
  <c r="G312"/>
  <c r="G314" s="1"/>
  <c r="G315" s="1"/>
  <c r="G757" i="71"/>
  <c r="F770"/>
  <c r="G341" i="72"/>
  <c r="F367"/>
  <c r="K253" i="68" l="1"/>
  <c r="M253" s="1"/>
  <c r="G705" i="71"/>
  <c r="G706" s="1"/>
  <c r="G707" s="1"/>
  <c r="G770"/>
  <c r="F786"/>
  <c r="G786" s="1"/>
  <c r="G342" i="72"/>
  <c r="G343" s="1"/>
  <c r="G759" i="71"/>
  <c r="G758"/>
  <c r="F389" i="72"/>
  <c r="G389" s="1"/>
  <c r="G390" s="1"/>
  <c r="G367"/>
  <c r="K249" i="68" l="1"/>
  <c r="M249" s="1"/>
  <c r="G760" i="71"/>
  <c r="G761" s="1"/>
  <c r="G368" i="72"/>
  <c r="G369" s="1"/>
  <c r="G771" i="71"/>
  <c r="H786"/>
  <c r="G787"/>
  <c r="H787" s="1"/>
  <c r="I787" s="1"/>
  <c r="K247" i="68" l="1"/>
  <c r="M247" s="1"/>
  <c r="G789" i="71"/>
  <c r="G790" s="1"/>
  <c r="G773"/>
  <c r="G774" s="1"/>
  <c r="G775" s="1"/>
  <c r="I786"/>
  <c r="H788"/>
  <c r="H789" s="1"/>
  <c r="H790" s="1"/>
  <c r="I788" l="1"/>
  <c r="I789" s="1"/>
  <c r="I790" s="1"/>
  <c r="F9" i="15" l="1"/>
  <c r="F10" s="1"/>
  <c r="F11" s="1"/>
  <c r="F12" s="1"/>
  <c r="F13" s="1"/>
  <c r="F14" l="1"/>
  <c r="F15" s="1"/>
  <c r="F16" s="1"/>
  <c r="F17" s="1"/>
  <c r="F18" s="1"/>
  <c r="F19" s="1"/>
  <c r="E22" i="70"/>
  <c r="J22" s="1"/>
  <c r="F20" i="15"/>
  <c r="F21" s="1"/>
  <c r="F22" s="1"/>
  <c r="F23" s="1"/>
  <c r="F24" s="1"/>
  <c r="F25" s="1"/>
  <c r="F26" s="1"/>
  <c r="F27" s="1"/>
  <c r="F28" s="1"/>
  <c r="F29" s="1"/>
  <c r="F30" s="1"/>
  <c r="F31" s="1"/>
  <c r="F32" s="1"/>
  <c r="F33" s="1"/>
  <c r="F34" s="1"/>
  <c r="F35" s="1"/>
  <c r="F36" s="1"/>
  <c r="F37" s="1"/>
  <c r="F38" s="1"/>
  <c r="F39" s="1"/>
  <c r="F40" s="1"/>
  <c r="F41" s="1"/>
  <c r="F42" s="1"/>
  <c r="F43" s="1"/>
  <c r="F44" s="1"/>
  <c r="F45" s="1"/>
  <c r="F46" s="1"/>
  <c r="F47" s="1"/>
  <c r="F48" s="1"/>
  <c r="F49" s="1"/>
  <c r="F50" s="1"/>
  <c r="F51" s="1"/>
  <c r="F52" s="1"/>
  <c r="F53" s="1"/>
  <c r="F54" s="1"/>
  <c r="F55" s="1"/>
  <c r="F56" s="1"/>
  <c r="F57" s="1"/>
  <c r="F58" s="1"/>
  <c r="F59" s="1"/>
  <c r="F60" s="1"/>
  <c r="F61" s="1"/>
  <c r="F62" s="1"/>
  <c r="F63" s="1"/>
  <c r="F64" s="1"/>
  <c r="F65" s="1"/>
  <c r="F66" s="1"/>
  <c r="F67" s="1"/>
  <c r="F68" s="1"/>
  <c r="F69" s="1"/>
  <c r="F70" s="1"/>
  <c r="F71" s="1"/>
  <c r="F72" s="1"/>
  <c r="F73" s="1"/>
  <c r="F74" s="1"/>
  <c r="F75" s="1"/>
  <c r="F76" s="1"/>
  <c r="F77" s="1"/>
  <c r="F78" s="1"/>
  <c r="F79" s="1"/>
  <c r="F80" s="1"/>
  <c r="F81" s="1"/>
  <c r="F82" s="1"/>
  <c r="F83" s="1"/>
  <c r="F84" s="1"/>
  <c r="F85" s="1"/>
  <c r="F86" s="1"/>
  <c r="F87" s="1"/>
  <c r="F88" s="1"/>
  <c r="F89" s="1"/>
  <c r="F90" s="1"/>
  <c r="F91" s="1"/>
  <c r="F92" s="1"/>
  <c r="F93" s="1"/>
  <c r="F6" i="43"/>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5"/>
  <c r="F639" i="71" l="1"/>
  <c r="G639" s="1"/>
  <c r="H639" s="1"/>
  <c r="I639" s="1"/>
  <c r="F539"/>
  <c r="F94" i="15"/>
  <c r="F95" s="1"/>
  <c r="F96" s="1"/>
  <c r="F97" s="1"/>
  <c r="F98" s="1"/>
  <c r="F99" s="1"/>
  <c r="F100" s="1"/>
  <c r="F101" s="1"/>
  <c r="F102" s="1"/>
  <c r="F103" s="1"/>
  <c r="F104" s="1"/>
  <c r="F105" s="1"/>
  <c r="F106" s="1"/>
  <c r="F107" s="1"/>
  <c r="F108" s="1"/>
  <c r="F109" s="1"/>
  <c r="F110" s="1"/>
  <c r="F111" s="1"/>
  <c r="F112" s="1"/>
  <c r="F113" s="1"/>
  <c r="F114" s="1"/>
  <c r="F115" s="1"/>
  <c r="F116" s="1"/>
  <c r="F117" s="1"/>
  <c r="F118" s="1"/>
  <c r="F552" i="71" l="1"/>
  <c r="G552" s="1"/>
  <c r="G539"/>
  <c r="F564"/>
  <c r="E91" i="43"/>
  <c r="E90"/>
  <c r="H564" i="71" l="1"/>
  <c r="G564"/>
  <c r="I564"/>
  <c r="H5" i="7" l="1"/>
  <c r="L20"/>
  <c r="L5" i="43"/>
  <c r="L82" i="7"/>
  <c r="F82" s="1"/>
  <c r="L59" i="43"/>
  <c r="L58"/>
  <c r="L57"/>
  <c r="L56"/>
  <c r="L55"/>
  <c r="L54"/>
  <c r="L53"/>
  <c r="L52"/>
  <c r="J30" i="45"/>
  <c r="J24"/>
  <c r="J21"/>
  <c r="J18"/>
  <c r="J12"/>
  <c r="L12" s="1"/>
  <c r="L9"/>
  <c r="L51" i="43"/>
  <c r="L50"/>
  <c r="L48"/>
  <c r="L47"/>
  <c r="L46"/>
  <c r="L45"/>
  <c r="L44"/>
  <c r="L43"/>
  <c r="L42"/>
  <c r="L41"/>
  <c r="L40"/>
  <c r="L39"/>
  <c r="L38"/>
  <c r="L37"/>
  <c r="L36"/>
  <c r="L35"/>
  <c r="L34"/>
  <c r="L33"/>
  <c r="L32"/>
  <c r="L31"/>
  <c r="L30"/>
  <c r="L29"/>
  <c r="L28"/>
  <c r="L27"/>
  <c r="L26"/>
  <c r="L25"/>
  <c r="L24"/>
  <c r="L23"/>
  <c r="L22"/>
  <c r="L21"/>
  <c r="L20"/>
  <c r="L19"/>
  <c r="L18"/>
  <c r="L17"/>
  <c r="L16"/>
  <c r="L15"/>
  <c r="L14"/>
  <c r="L13"/>
  <c r="L12"/>
  <c r="L11"/>
  <c r="L10"/>
  <c r="L9"/>
  <c r="L8"/>
  <c r="L7"/>
  <c r="L6"/>
  <c r="E14" i="14"/>
  <c r="E15" s="1"/>
  <c r="F15" s="1"/>
  <c r="D14"/>
  <c r="C14"/>
  <c r="C15" s="1"/>
  <c r="B10" i="15" s="1"/>
  <c r="F13" i="14"/>
  <c r="F12"/>
  <c r="F11"/>
  <c r="F10"/>
  <c r="F9"/>
  <c r="Q34" i="9"/>
  <c r="K34"/>
  <c r="AI33"/>
  <c r="AC33"/>
  <c r="Q33"/>
  <c r="K33"/>
  <c r="Q31"/>
  <c r="K31"/>
  <c r="AI30"/>
  <c r="AC30"/>
  <c r="Q30"/>
  <c r="K30"/>
  <c r="Q28"/>
  <c r="K28"/>
  <c r="AI27"/>
  <c r="AC27"/>
  <c r="Q27"/>
  <c r="K27"/>
  <c r="S25"/>
  <c r="Q25"/>
  <c r="K25"/>
  <c r="AE24"/>
  <c r="AI24" s="1"/>
  <c r="Y24"/>
  <c r="AC24" s="1"/>
  <c r="S24"/>
  <c r="W24" s="1"/>
  <c r="Q24"/>
  <c r="K24"/>
  <c r="S23"/>
  <c r="Y23" s="1"/>
  <c r="AC23" s="1"/>
  <c r="Q23"/>
  <c r="K23"/>
  <c r="AE22"/>
  <c r="AI22" s="1"/>
  <c r="S22"/>
  <c r="W22" s="1"/>
  <c r="Q22"/>
  <c r="K22"/>
  <c r="AE21"/>
  <c r="AI21" s="1"/>
  <c r="Y21"/>
  <c r="AC21" s="1"/>
  <c r="S21"/>
  <c r="W21" s="1"/>
  <c r="Q21"/>
  <c r="K21"/>
  <c r="AE20"/>
  <c r="AI20" s="1"/>
  <c r="Y20"/>
  <c r="AC20" s="1"/>
  <c r="S20"/>
  <c r="W20" s="1"/>
  <c r="Q20"/>
  <c r="K20"/>
  <c r="AE19"/>
  <c r="AI19" s="1"/>
  <c r="Y19"/>
  <c r="AC19" s="1"/>
  <c r="S19"/>
  <c r="W19" s="1"/>
  <c r="Q19"/>
  <c r="K19"/>
  <c r="Y17"/>
  <c r="AC17" s="1"/>
  <c r="S17"/>
  <c r="AE17" s="1"/>
  <c r="AI17" s="1"/>
  <c r="Q17"/>
  <c r="K17"/>
  <c r="AE16"/>
  <c r="AI16" s="1"/>
  <c r="Y16"/>
  <c r="AC16" s="1"/>
  <c r="S16"/>
  <c r="W16" s="1"/>
  <c r="Q16"/>
  <c r="K16"/>
  <c r="S15"/>
  <c r="W15" s="1"/>
  <c r="Q15"/>
  <c r="K15"/>
  <c r="AE14"/>
  <c r="AI14" s="1"/>
  <c r="Y14"/>
  <c r="AC14" s="1"/>
  <c r="S14"/>
  <c r="W14" s="1"/>
  <c r="Q14"/>
  <c r="K14"/>
  <c r="AE13"/>
  <c r="AI13" s="1"/>
  <c r="Y13"/>
  <c r="AC13" s="1"/>
  <c r="S13"/>
  <c r="W13" s="1"/>
  <c r="Q13"/>
  <c r="K13"/>
  <c r="AE12"/>
  <c r="AI12" s="1"/>
  <c r="Y12"/>
  <c r="AC12" s="1"/>
  <c r="S12"/>
  <c r="W12" s="1"/>
  <c r="Q12"/>
  <c r="K12"/>
  <c r="S11"/>
  <c r="Q11"/>
  <c r="K11"/>
  <c r="Q9"/>
  <c r="K9"/>
  <c r="Q8"/>
  <c r="K8"/>
  <c r="Q7"/>
  <c r="K7"/>
  <c r="Q6"/>
  <c r="K6"/>
  <c r="L59" i="7"/>
  <c r="F59" s="1"/>
  <c r="L12"/>
  <c r="F12" s="1"/>
  <c r="L5"/>
  <c r="F5" s="1"/>
  <c r="A3" i="38"/>
  <c r="K17" i="31"/>
  <c r="M17" s="1"/>
  <c r="K12"/>
  <c r="L12" s="1"/>
  <c r="K16"/>
  <c r="M16" s="1"/>
  <c r="K15"/>
  <c r="M15" s="1"/>
  <c r="K14"/>
  <c r="M14" s="1"/>
  <c r="K13"/>
  <c r="M13" s="1"/>
  <c r="C9"/>
  <c r="C8"/>
  <c r="D8" s="1"/>
  <c r="G589" i="35"/>
  <c r="H589" s="1"/>
  <c r="I589" s="1"/>
  <c r="G581"/>
  <c r="H581" s="1"/>
  <c r="I581" s="1"/>
  <c r="G1226"/>
  <c r="E1224"/>
  <c r="E1222"/>
  <c r="G1213"/>
  <c r="G1215" s="1"/>
  <c r="G1216" s="1"/>
  <c r="G1207"/>
  <c r="G1209" s="1"/>
  <c r="G1210" s="1"/>
  <c r="G1211" s="1"/>
  <c r="H1197"/>
  <c r="H1196"/>
  <c r="I1191"/>
  <c r="I1188"/>
  <c r="J1188" s="1"/>
  <c r="I1187"/>
  <c r="J1187" s="1"/>
  <c r="H1176"/>
  <c r="I1176"/>
  <c r="I1196" s="1"/>
  <c r="I1197" s="1"/>
  <c r="H1175"/>
  <c r="I1170"/>
  <c r="K1167"/>
  <c r="J1167"/>
  <c r="H1168" s="1"/>
  <c r="H1189" s="1"/>
  <c r="J1166"/>
  <c r="E1157"/>
  <c r="E1147"/>
  <c r="E1138"/>
  <c r="E1127"/>
  <c r="G1126"/>
  <c r="E1118"/>
  <c r="F1127"/>
  <c r="E1108"/>
  <c r="G1107"/>
  <c r="E1096"/>
  <c r="E1086"/>
  <c r="E1076"/>
  <c r="E1066"/>
  <c r="F1096"/>
  <c r="G1096" s="1"/>
  <c r="F1066"/>
  <c r="F1138"/>
  <c r="F1147" s="1"/>
  <c r="F1157" s="1"/>
  <c r="F1108"/>
  <c r="F1118" s="1"/>
  <c r="G1118" s="1"/>
  <c r="F1054"/>
  <c r="G1054" s="1"/>
  <c r="F1051"/>
  <c r="G1051" s="1"/>
  <c r="F1050"/>
  <c r="G1050" s="1"/>
  <c r="G1047"/>
  <c r="F1045"/>
  <c r="G1045" s="1"/>
  <c r="G1044"/>
  <c r="G1043"/>
  <c r="F1039"/>
  <c r="G1039" s="1"/>
  <c r="F1038"/>
  <c r="G1038" s="1"/>
  <c r="F1037"/>
  <c r="G1037" s="1"/>
  <c r="F1036"/>
  <c r="G1036" s="1"/>
  <c r="F1035"/>
  <c r="G1035" s="1"/>
  <c r="F1033"/>
  <c r="G1033" s="1"/>
  <c r="G1029"/>
  <c r="G1028"/>
  <c r="G1027"/>
  <c r="G1026"/>
  <c r="G1025"/>
  <c r="F1024"/>
  <c r="G1023"/>
  <c r="G1019"/>
  <c r="E1018"/>
  <c r="G1018" s="1"/>
  <c r="E1017"/>
  <c r="G1017" s="1"/>
  <c r="G1008"/>
  <c r="G1007"/>
  <c r="G999"/>
  <c r="H999" s="1"/>
  <c r="I999" s="1"/>
  <c r="J999" s="1"/>
  <c r="K999" s="1"/>
  <c r="G998"/>
  <c r="H998" s="1"/>
  <c r="G996"/>
  <c r="I996" s="1"/>
  <c r="G995"/>
  <c r="H995" s="1"/>
  <c r="I995" s="1"/>
  <c r="J995" s="1"/>
  <c r="K995" s="1"/>
  <c r="G959"/>
  <c r="H959" s="1"/>
  <c r="I959" s="1"/>
  <c r="G943"/>
  <c r="H943" s="1"/>
  <c r="I943" s="1"/>
  <c r="G924"/>
  <c r="H924" s="1"/>
  <c r="I924" s="1"/>
  <c r="F909"/>
  <c r="G909" s="1"/>
  <c r="H909" s="1"/>
  <c r="I909" s="1"/>
  <c r="F910"/>
  <c r="G910" s="1"/>
  <c r="H910" s="1"/>
  <c r="I910" s="1"/>
  <c r="G890"/>
  <c r="H890" s="1"/>
  <c r="I890" s="1"/>
  <c r="G852"/>
  <c r="H852" s="1"/>
  <c r="I852" s="1"/>
  <c r="G849"/>
  <c r="H849" s="1"/>
  <c r="I849" s="1"/>
  <c r="F848"/>
  <c r="G848" s="1"/>
  <c r="H848" s="1"/>
  <c r="I848" s="1"/>
  <c r="K830"/>
  <c r="F830"/>
  <c r="G830" s="1"/>
  <c r="H830" s="1"/>
  <c r="I830" s="1"/>
  <c r="G829"/>
  <c r="H829" s="1"/>
  <c r="I829" s="1"/>
  <c r="G828"/>
  <c r="H828" s="1"/>
  <c r="I828" s="1"/>
  <c r="G820"/>
  <c r="G810"/>
  <c r="H810" s="1"/>
  <c r="I810" s="1"/>
  <c r="G808"/>
  <c r="H808" s="1"/>
  <c r="I808" s="1"/>
  <c r="F874"/>
  <c r="F895" s="1"/>
  <c r="F796"/>
  <c r="F832" s="1"/>
  <c r="G832" s="1"/>
  <c r="H832" s="1"/>
  <c r="G793"/>
  <c r="H793" s="1"/>
  <c r="I793" s="1"/>
  <c r="G777"/>
  <c r="H777" s="1"/>
  <c r="I777" s="1"/>
  <c r="G776"/>
  <c r="H776" s="1"/>
  <c r="I776" s="1"/>
  <c r="E768"/>
  <c r="E767"/>
  <c r="E760"/>
  <c r="E759"/>
  <c r="E752"/>
  <c r="E751"/>
  <c r="E744"/>
  <c r="E743"/>
  <c r="E736"/>
  <c r="E735"/>
  <c r="E728"/>
  <c r="E727"/>
  <c r="G727" s="1"/>
  <c r="E720"/>
  <c r="E719"/>
  <c r="G713"/>
  <c r="G710"/>
  <c r="G709"/>
  <c r="G708"/>
  <c r="G706"/>
  <c r="G705"/>
  <c r="G704"/>
  <c r="G693"/>
  <c r="H693" s="1"/>
  <c r="I693" s="1"/>
  <c r="G692"/>
  <c r="H692" s="1"/>
  <c r="F780"/>
  <c r="G780" s="1"/>
  <c r="H780" s="1"/>
  <c r="I780" s="1"/>
  <c r="F779"/>
  <c r="G779" s="1"/>
  <c r="H779" s="1"/>
  <c r="G689"/>
  <c r="H689" s="1"/>
  <c r="I689" s="1"/>
  <c r="F678"/>
  <c r="G678" s="1"/>
  <c r="G675"/>
  <c r="H675" s="1"/>
  <c r="I675" s="1"/>
  <c r="G669"/>
  <c r="H669" s="1"/>
  <c r="I669" s="1"/>
  <c r="G658"/>
  <c r="H658" s="1"/>
  <c r="I658" s="1"/>
  <c r="G652"/>
  <c r="H652" s="1"/>
  <c r="I652" s="1"/>
  <c r="G640"/>
  <c r="H640" s="1"/>
  <c r="I640" s="1"/>
  <c r="G635"/>
  <c r="H635" s="1"/>
  <c r="I635" s="1"/>
  <c r="E624"/>
  <c r="E623"/>
  <c r="E608"/>
  <c r="E607"/>
  <c r="G604"/>
  <c r="H604" s="1"/>
  <c r="I604" s="1"/>
  <c r="E593"/>
  <c r="E592"/>
  <c r="E585"/>
  <c r="E584"/>
  <c r="E568"/>
  <c r="E567"/>
  <c r="G564"/>
  <c r="H564" s="1"/>
  <c r="I564" s="1"/>
  <c r="E558"/>
  <c r="G558" s="1"/>
  <c r="H558" s="1"/>
  <c r="I558" s="1"/>
  <c r="F584"/>
  <c r="F592" s="1"/>
  <c r="F607" s="1"/>
  <c r="E557"/>
  <c r="G557" s="1"/>
  <c r="H557" s="1"/>
  <c r="I557" s="1"/>
  <c r="G554"/>
  <c r="H554" s="1"/>
  <c r="I554" s="1"/>
  <c r="M545"/>
  <c r="K545"/>
  <c r="I545"/>
  <c r="G545"/>
  <c r="M528"/>
  <c r="K528"/>
  <c r="I528"/>
  <c r="G528"/>
  <c r="I511"/>
  <c r="G511"/>
  <c r="G506"/>
  <c r="I506" s="1"/>
  <c r="K506" s="1"/>
  <c r="M506" s="1"/>
  <c r="G505"/>
  <c r="I505" s="1"/>
  <c r="G504"/>
  <c r="I504" s="1"/>
  <c r="K504" s="1"/>
  <c r="G501"/>
  <c r="I501" s="1"/>
  <c r="K501" s="1"/>
  <c r="M501" s="1"/>
  <c r="L512"/>
  <c r="J512"/>
  <c r="M492"/>
  <c r="K492"/>
  <c r="J511"/>
  <c r="K511" s="1"/>
  <c r="I492"/>
  <c r="G481"/>
  <c r="I481" s="1"/>
  <c r="K481" s="1"/>
  <c r="M481" s="1"/>
  <c r="G466"/>
  <c r="M456"/>
  <c r="K456"/>
  <c r="I456"/>
  <c r="F431"/>
  <c r="G431" s="1"/>
  <c r="R408"/>
  <c r="M408"/>
  <c r="K408"/>
  <c r="I408"/>
  <c r="G408"/>
  <c r="E401"/>
  <c r="E394"/>
  <c r="L395"/>
  <c r="L402" s="1"/>
  <c r="J395"/>
  <c r="J402" s="1"/>
  <c r="H395"/>
  <c r="H402" s="1"/>
  <c r="F395"/>
  <c r="F402" s="1"/>
  <c r="L394"/>
  <c r="J394"/>
  <c r="H394"/>
  <c r="H401" s="1"/>
  <c r="M380"/>
  <c r="K380"/>
  <c r="I380"/>
  <c r="G380"/>
  <c r="M356"/>
  <c r="K356"/>
  <c r="I356"/>
  <c r="G356"/>
  <c r="M349"/>
  <c r="K349"/>
  <c r="I349"/>
  <c r="G349"/>
  <c r="M342"/>
  <c r="K342"/>
  <c r="I342"/>
  <c r="G342"/>
  <c r="F365"/>
  <c r="E328"/>
  <c r="E365" s="1"/>
  <c r="F364"/>
  <c r="G364" s="1"/>
  <c r="H364" s="1"/>
  <c r="G326"/>
  <c r="H326" s="1"/>
  <c r="J326" s="1"/>
  <c r="L326" s="1"/>
  <c r="N326" s="1"/>
  <c r="G319"/>
  <c r="G312"/>
  <c r="G305"/>
  <c r="F338"/>
  <c r="F375" s="1"/>
  <c r="G292"/>
  <c r="F331"/>
  <c r="G331" s="1"/>
  <c r="I331" s="1"/>
  <c r="K331" s="1"/>
  <c r="M331" s="1"/>
  <c r="G284"/>
  <c r="G283"/>
  <c r="G282"/>
  <c r="E273"/>
  <c r="G273" s="1"/>
  <c r="E266"/>
  <c r="E259"/>
  <c r="E252"/>
  <c r="G252" s="1"/>
  <c r="E245"/>
  <c r="J246"/>
  <c r="J253" s="1"/>
  <c r="J260" s="1"/>
  <c r="J267" s="1"/>
  <c r="F245"/>
  <c r="F252"/>
  <c r="F259" s="1"/>
  <c r="E238"/>
  <c r="I238" s="1"/>
  <c r="K231"/>
  <c r="I231"/>
  <c r="G231"/>
  <c r="K207"/>
  <c r="I207"/>
  <c r="G207"/>
  <c r="K200"/>
  <c r="I200"/>
  <c r="G200"/>
  <c r="K193"/>
  <c r="I193"/>
  <c r="G193"/>
  <c r="G169"/>
  <c r="G162"/>
  <c r="G155"/>
  <c r="F188"/>
  <c r="F226" s="1"/>
  <c r="G141"/>
  <c r="F180"/>
  <c r="F218" s="1"/>
  <c r="F420" s="1"/>
  <c r="G136"/>
  <c r="G122"/>
  <c r="G120"/>
  <c r="G112"/>
  <c r="F125"/>
  <c r="G125" s="1"/>
  <c r="G109"/>
  <c r="G107"/>
  <c r="G100"/>
  <c r="G99"/>
  <c r="G97"/>
  <c r="G92"/>
  <c r="G90"/>
  <c r="G57"/>
  <c r="F47"/>
  <c r="G47" s="1"/>
  <c r="G28"/>
  <c r="G24"/>
  <c r="D14"/>
  <c r="D26" s="1"/>
  <c r="D41" s="1"/>
  <c r="P10" i="34"/>
  <c r="P11" s="1"/>
  <c r="P12" s="1"/>
  <c r="L9"/>
  <c r="R8"/>
  <c r="L8"/>
  <c r="R7"/>
  <c r="L7"/>
  <c r="L6"/>
  <c r="Q4"/>
  <c r="E18" i="31"/>
  <c r="L11"/>
  <c r="L19" s="1"/>
  <c r="L20" s="1"/>
  <c r="E7"/>
  <c r="F31" i="28"/>
  <c r="I235" i="24"/>
  <c r="I13"/>
  <c r="I14" s="1"/>
  <c r="I15" s="1"/>
  <c r="N15" s="1"/>
  <c r="I16" s="1"/>
  <c r="M16" s="1"/>
  <c r="L74" i="7"/>
  <c r="F74" s="1"/>
  <c r="L73"/>
  <c r="F73" s="1"/>
  <c r="L62"/>
  <c r="F62" s="1"/>
  <c r="L81"/>
  <c r="F81" s="1"/>
  <c r="L80"/>
  <c r="F80" s="1"/>
  <c r="L79"/>
  <c r="F79" s="1"/>
  <c r="L78"/>
  <c r="F78" s="1"/>
  <c r="L77"/>
  <c r="F77" s="1"/>
  <c r="L76"/>
  <c r="F76" s="1"/>
  <c r="L75"/>
  <c r="F75" s="1"/>
  <c r="L72"/>
  <c r="F72" s="1"/>
  <c r="L71"/>
  <c r="F71" s="1"/>
  <c r="L70"/>
  <c r="F70" s="1"/>
  <c r="L69"/>
  <c r="F69" s="1"/>
  <c r="L68"/>
  <c r="F68" s="1"/>
  <c r="L67"/>
  <c r="F67" s="1"/>
  <c r="L66"/>
  <c r="F66" s="1"/>
  <c r="L65"/>
  <c r="F65" s="1"/>
  <c r="L64"/>
  <c r="F64" s="1"/>
  <c r="L63"/>
  <c r="F63" s="1"/>
  <c r="L61"/>
  <c r="F61" s="1"/>
  <c r="L60"/>
  <c r="F60" s="1"/>
  <c r="L57"/>
  <c r="F57" s="1"/>
  <c r="L56"/>
  <c r="F56" s="1"/>
  <c r="L55"/>
  <c r="F55" s="1"/>
  <c r="L54"/>
  <c r="F54" s="1"/>
  <c r="L53"/>
  <c r="F53" s="1"/>
  <c r="L52"/>
  <c r="F52" s="1"/>
  <c r="L51"/>
  <c r="F51" s="1"/>
  <c r="L50"/>
  <c r="F50" s="1"/>
  <c r="L49"/>
  <c r="F49" s="1"/>
  <c r="L48"/>
  <c r="F48" s="1"/>
  <c r="L47"/>
  <c r="L46"/>
  <c r="F46" s="1"/>
  <c r="L45"/>
  <c r="F45" s="1"/>
  <c r="L44"/>
  <c r="F44" s="1"/>
  <c r="L43"/>
  <c r="F43" s="1"/>
  <c r="L42"/>
  <c r="F42" s="1"/>
  <c r="L41"/>
  <c r="F41" s="1"/>
  <c r="L40"/>
  <c r="F40" s="1"/>
  <c r="L39"/>
  <c r="F39" s="1"/>
  <c r="L38"/>
  <c r="F38" s="1"/>
  <c r="L37"/>
  <c r="F37" s="1"/>
  <c r="L36"/>
  <c r="F36" s="1"/>
  <c r="L35"/>
  <c r="F35" s="1"/>
  <c r="L34"/>
  <c r="F34" s="1"/>
  <c r="L33"/>
  <c r="F33" s="1"/>
  <c r="L32"/>
  <c r="F32" s="1"/>
  <c r="L31"/>
  <c r="F31" s="1"/>
  <c r="L30"/>
  <c r="F30" s="1"/>
  <c r="L29"/>
  <c r="F29" s="1"/>
  <c r="L28"/>
  <c r="F28" s="1"/>
  <c r="L27"/>
  <c r="F27" s="1"/>
  <c r="L26"/>
  <c r="F26" s="1"/>
  <c r="L25"/>
  <c r="F25" s="1"/>
  <c r="L24"/>
  <c r="F24" s="1"/>
  <c r="L23"/>
  <c r="F23" s="1"/>
  <c r="L22"/>
  <c r="F22" s="1"/>
  <c r="L21"/>
  <c r="F21" s="1"/>
  <c r="L19"/>
  <c r="F19" s="1"/>
  <c r="L18"/>
  <c r="F18" s="1"/>
  <c r="L17"/>
  <c r="F17" s="1"/>
  <c r="L16"/>
  <c r="F16" s="1"/>
  <c r="L15"/>
  <c r="F15" s="1"/>
  <c r="L14"/>
  <c r="F14" s="1"/>
  <c r="L13"/>
  <c r="F13" s="1"/>
  <c r="L10"/>
  <c r="F10" s="1"/>
  <c r="L9"/>
  <c r="F9" s="1"/>
  <c r="L6"/>
  <c r="F6" s="1"/>
  <c r="L8"/>
  <c r="F8" s="1"/>
  <c r="I167" i="24"/>
  <c r="I202"/>
  <c r="I201"/>
  <c r="I200"/>
  <c r="I199"/>
  <c r="F197"/>
  <c r="I197" s="1"/>
  <c r="I196"/>
  <c r="F188"/>
  <c r="I188" s="1"/>
  <c r="F187"/>
  <c r="I187" s="1"/>
  <c r="I193"/>
  <c r="I191"/>
  <c r="F186"/>
  <c r="I186" s="1"/>
  <c r="I192"/>
  <c r="I190"/>
  <c r="I189"/>
  <c r="I185"/>
  <c r="I212"/>
  <c r="M19" i="29"/>
  <c r="E18"/>
  <c r="E17"/>
  <c r="E16"/>
  <c r="M15"/>
  <c r="E13"/>
  <c r="D13"/>
  <c r="E9"/>
  <c r="D9"/>
  <c r="I129" i="24"/>
  <c r="I130"/>
  <c r="I131"/>
  <c r="I132"/>
  <c r="I128"/>
  <c r="I229"/>
  <c r="I231"/>
  <c r="F226"/>
  <c r="I226" s="1"/>
  <c r="F225"/>
  <c r="I225" s="1"/>
  <c r="I223"/>
  <c r="I222"/>
  <c r="I221"/>
  <c r="I220"/>
  <c r="I219"/>
  <c r="I218"/>
  <c r="I203"/>
  <c r="I169"/>
  <c r="I168"/>
  <c r="I181"/>
  <c r="F180"/>
  <c r="I180" s="1"/>
  <c r="I166"/>
  <c r="I165"/>
  <c r="I179"/>
  <c r="F178"/>
  <c r="I178" s="1"/>
  <c r="I164"/>
  <c r="I177"/>
  <c r="F176"/>
  <c r="I176" s="1"/>
  <c r="I163"/>
  <c r="I175"/>
  <c r="I174"/>
  <c r="F173"/>
  <c r="I173" s="1"/>
  <c r="I162"/>
  <c r="I75"/>
  <c r="I76" s="1"/>
  <c r="I71"/>
  <c r="I70"/>
  <c r="I69"/>
  <c r="I110"/>
  <c r="I103"/>
  <c r="I109"/>
  <c r="I102"/>
  <c r="I108"/>
  <c r="I107"/>
  <c r="I106"/>
  <c r="I105"/>
  <c r="I104"/>
  <c r="I101"/>
  <c r="M239"/>
  <c r="E239"/>
  <c r="I237"/>
  <c r="M233"/>
  <c r="O247"/>
  <c r="I241"/>
  <c r="I216"/>
  <c r="M216" s="1"/>
  <c r="I213"/>
  <c r="I211"/>
  <c r="I148"/>
  <c r="I147"/>
  <c r="I146"/>
  <c r="I145"/>
  <c r="I133"/>
  <c r="I126"/>
  <c r="I124"/>
  <c r="I123"/>
  <c r="I122"/>
  <c r="I121"/>
  <c r="I115"/>
  <c r="C19" i="29" s="1"/>
  <c r="E19" s="1"/>
  <c r="I96" i="24"/>
  <c r="I95"/>
  <c r="I94"/>
  <c r="I93"/>
  <c r="I92"/>
  <c r="I91"/>
  <c r="I90"/>
  <c r="M87"/>
  <c r="F85"/>
  <c r="I85" s="1"/>
  <c r="I84"/>
  <c r="I83"/>
  <c r="I82"/>
  <c r="I81"/>
  <c r="I78"/>
  <c r="I79" s="1"/>
  <c r="I66"/>
  <c r="I65"/>
  <c r="I64"/>
  <c r="I60"/>
  <c r="I59"/>
  <c r="I58"/>
  <c r="I57"/>
  <c r="I56"/>
  <c r="N55"/>
  <c r="I55"/>
  <c r="I52"/>
  <c r="I51"/>
  <c r="I47"/>
  <c r="I46"/>
  <c r="I45"/>
  <c r="I44"/>
  <c r="I39"/>
  <c r="C10" i="29" s="1"/>
  <c r="I36" i="24"/>
  <c r="I37" s="1"/>
  <c r="I34"/>
  <c r="I35" s="1"/>
  <c r="C8" i="29" s="1"/>
  <c r="E8" s="1"/>
  <c r="I158" i="24"/>
  <c r="I157"/>
  <c r="I156"/>
  <c r="I155"/>
  <c r="I154"/>
  <c r="I153"/>
  <c r="I30"/>
  <c r="I29"/>
  <c r="I28"/>
  <c r="I26"/>
  <c r="I25"/>
  <c r="I24"/>
  <c r="I23"/>
  <c r="I22"/>
  <c r="I8"/>
  <c r="N10"/>
  <c r="I11" s="1"/>
  <c r="M11" s="1"/>
  <c r="B5" i="15"/>
  <c r="B7"/>
  <c r="B4"/>
  <c r="D4"/>
  <c r="D5"/>
  <c r="B6"/>
  <c r="D6"/>
  <c r="D7"/>
  <c r="B8"/>
  <c r="D8"/>
  <c r="E7" i="29"/>
  <c r="D7"/>
  <c r="K135" i="24"/>
  <c r="K149"/>
  <c r="M11" i="31"/>
  <c r="D7"/>
  <c r="C17"/>
  <c r="E17" s="1"/>
  <c r="C15"/>
  <c r="E15" s="1"/>
  <c r="C16"/>
  <c r="E16" s="1"/>
  <c r="C14"/>
  <c r="E14" s="1"/>
  <c r="C12"/>
  <c r="C10"/>
  <c r="E10" s="1"/>
  <c r="G288" i="35"/>
  <c r="F332"/>
  <c r="F369" s="1"/>
  <c r="G369" s="1"/>
  <c r="H369" s="1"/>
  <c r="I369" s="1"/>
  <c r="G327"/>
  <c r="I327" s="1"/>
  <c r="K327" s="1"/>
  <c r="M327" s="1"/>
  <c r="F814"/>
  <c r="F816"/>
  <c r="G816" s="1"/>
  <c r="H816" s="1"/>
  <c r="I816" s="1"/>
  <c r="F891"/>
  <c r="G891" s="1"/>
  <c r="H891" s="1"/>
  <c r="I891" s="1"/>
  <c r="G1117"/>
  <c r="G908"/>
  <c r="H908" s="1"/>
  <c r="I908" s="1"/>
  <c r="F978"/>
  <c r="G978" s="1"/>
  <c r="H978" s="1"/>
  <c r="I978" s="1"/>
  <c r="G798"/>
  <c r="H798" s="1"/>
  <c r="I798" s="1"/>
  <c r="G800"/>
  <c r="H800" s="1"/>
  <c r="I800" s="1"/>
  <c r="F835"/>
  <c r="G835" s="1"/>
  <c r="H835" s="1"/>
  <c r="D611"/>
  <c r="D627" s="1"/>
  <c r="D645" s="1"/>
  <c r="D595"/>
  <c r="D695"/>
  <c r="D721" s="1"/>
  <c r="D729" s="1"/>
  <c r="D673"/>
  <c r="D680" s="1"/>
  <c r="F181"/>
  <c r="G181" s="1"/>
  <c r="I181" s="1"/>
  <c r="K181" s="1"/>
  <c r="M181" s="1"/>
  <c r="L511"/>
  <c r="M511" s="1"/>
  <c r="F567"/>
  <c r="G567" s="1"/>
  <c r="H567" s="1"/>
  <c r="I567" s="1"/>
  <c r="F781"/>
  <c r="G781" s="1"/>
  <c r="H781" s="1"/>
  <c r="I781" s="1"/>
  <c r="G892"/>
  <c r="H892" s="1"/>
  <c r="I892" s="1"/>
  <c r="G108"/>
  <c r="G121"/>
  <c r="G91"/>
  <c r="F432"/>
  <c r="G432" s="1"/>
  <c r="F58"/>
  <c r="F69" s="1"/>
  <c r="F68"/>
  <c r="G691"/>
  <c r="H691" s="1"/>
  <c r="I691" s="1"/>
  <c r="F138"/>
  <c r="G138" s="1"/>
  <c r="G140"/>
  <c r="F337"/>
  <c r="F363"/>
  <c r="G363" s="1"/>
  <c r="H363" s="1"/>
  <c r="I363" s="1"/>
  <c r="J363" s="1"/>
  <c r="I387"/>
  <c r="M387"/>
  <c r="F620"/>
  <c r="G620" s="1"/>
  <c r="H620" s="1"/>
  <c r="I620" s="1"/>
  <c r="C13" i="31"/>
  <c r="F930" i="35"/>
  <c r="F965" s="1"/>
  <c r="G965" s="1"/>
  <c r="H965" s="1"/>
  <c r="I965" s="1"/>
  <c r="F137"/>
  <c r="G137" s="1"/>
  <c r="F719"/>
  <c r="F735"/>
  <c r="F759" s="1"/>
  <c r="F767" s="1"/>
  <c r="E16" i="14"/>
  <c r="E17" s="1"/>
  <c r="F446" i="35"/>
  <c r="G446" s="1"/>
  <c r="I446" s="1"/>
  <c r="K446" s="1"/>
  <c r="M446" s="1"/>
  <c r="J245"/>
  <c r="K238"/>
  <c r="G1217"/>
  <c r="G291"/>
  <c r="F336"/>
  <c r="F373" s="1"/>
  <c r="G373" s="1"/>
  <c r="H373" s="1"/>
  <c r="I373" s="1"/>
  <c r="J373" s="1"/>
  <c r="F851"/>
  <c r="G851" s="1"/>
  <c r="H851" s="1"/>
  <c r="I851" s="1"/>
  <c r="G850"/>
  <c r="H850" s="1"/>
  <c r="I850" s="1"/>
  <c r="G13"/>
  <c r="F25"/>
  <c r="F62" s="1"/>
  <c r="G142"/>
  <c r="F182"/>
  <c r="G182" s="1"/>
  <c r="H182" s="1"/>
  <c r="J182" s="1"/>
  <c r="L182" s="1"/>
  <c r="N182" s="1"/>
  <c r="F585"/>
  <c r="F568"/>
  <c r="G799"/>
  <c r="H799" s="1"/>
  <c r="I799" s="1"/>
  <c r="F836"/>
  <c r="F855" s="1"/>
  <c r="G855" s="1"/>
  <c r="H855" s="1"/>
  <c r="I855" s="1"/>
  <c r="G870"/>
  <c r="H870" s="1"/>
  <c r="I870" s="1"/>
  <c r="F960"/>
  <c r="G960" s="1"/>
  <c r="H960" s="1"/>
  <c r="I960" s="1"/>
  <c r="F1075"/>
  <c r="G1075" s="1"/>
  <c r="G1065"/>
  <c r="K387"/>
  <c r="F51"/>
  <c r="G51" s="1"/>
  <c r="G40"/>
  <c r="F394"/>
  <c r="F401" s="1"/>
  <c r="G387"/>
  <c r="G871"/>
  <c r="H871" s="1"/>
  <c r="I871" s="1"/>
  <c r="F928"/>
  <c r="F963" s="1"/>
  <c r="G963" s="1"/>
  <c r="H963" s="1"/>
  <c r="I963" s="1"/>
  <c r="F889"/>
  <c r="G889" s="1"/>
  <c r="H889" s="1"/>
  <c r="I889" s="1"/>
  <c r="G417"/>
  <c r="G287"/>
  <c r="F1137"/>
  <c r="F176"/>
  <c r="G418"/>
  <c r="F447"/>
  <c r="G447" s="1"/>
  <c r="I447" s="1"/>
  <c r="K447" s="1"/>
  <c r="M447" s="1"/>
  <c r="F875"/>
  <c r="G1066"/>
  <c r="F1076"/>
  <c r="F728"/>
  <c r="F720" s="1"/>
  <c r="G720" s="1"/>
  <c r="G115"/>
  <c r="F128"/>
  <c r="G128" s="1"/>
  <c r="G146"/>
  <c r="F187"/>
  <c r="G187" s="1"/>
  <c r="I187" s="1"/>
  <c r="K187" s="1"/>
  <c r="M187" s="1"/>
  <c r="H245"/>
  <c r="I245" s="1"/>
  <c r="G456"/>
  <c r="F492"/>
  <c r="G492" s="1"/>
  <c r="G796"/>
  <c r="H796" s="1"/>
  <c r="I796" s="1"/>
  <c r="G286"/>
  <c r="F330"/>
  <c r="F367" s="1"/>
  <c r="G367" s="1"/>
  <c r="H367" s="1"/>
  <c r="I367" s="1"/>
  <c r="J367" s="1"/>
  <c r="F876"/>
  <c r="F896" s="1"/>
  <c r="F837"/>
  <c r="Y22" i="9"/>
  <c r="AC22" s="1"/>
  <c r="I273" i="35"/>
  <c r="M241" i="24"/>
  <c r="F127" i="35"/>
  <c r="G127" s="1"/>
  <c r="G114"/>
  <c r="G1009"/>
  <c r="G1010" s="1"/>
  <c r="G1011" s="1"/>
  <c r="K245"/>
  <c r="J252"/>
  <c r="F979"/>
  <c r="G979" s="1"/>
  <c r="H979" s="1"/>
  <c r="I979" s="1"/>
  <c r="F932"/>
  <c r="F967" s="1"/>
  <c r="K505"/>
  <c r="M505" s="1"/>
  <c r="G36"/>
  <c r="I364"/>
  <c r="G145"/>
  <c r="F186"/>
  <c r="G186" s="1"/>
  <c r="H186" s="1"/>
  <c r="I186" s="1"/>
  <c r="J186" s="1"/>
  <c r="K186" s="1"/>
  <c r="L186" s="1"/>
  <c r="M186" s="1"/>
  <c r="N186" s="1"/>
  <c r="G416"/>
  <c r="F445"/>
  <c r="G445" s="1"/>
  <c r="I445" s="1"/>
  <c r="K445" s="1"/>
  <c r="M445" s="1"/>
  <c r="F430"/>
  <c r="G430" s="1"/>
  <c r="G332"/>
  <c r="H332" s="1"/>
  <c r="J332" s="1"/>
  <c r="L332" s="1"/>
  <c r="N332" s="1"/>
  <c r="F1046"/>
  <c r="F1053" s="1"/>
  <c r="G1053" s="1"/>
  <c r="F46"/>
  <c r="G46" s="1"/>
  <c r="G35"/>
  <c r="G792"/>
  <c r="H792" s="1"/>
  <c r="I792" s="1"/>
  <c r="F795"/>
  <c r="G795" s="1"/>
  <c r="H795" s="1"/>
  <c r="I795" s="1"/>
  <c r="W11" i="9"/>
  <c r="Y11"/>
  <c r="J364" i="35"/>
  <c r="A3" i="24"/>
  <c r="G719" i="35" l="1"/>
  <c r="G1157"/>
  <c r="J1197"/>
  <c r="G836"/>
  <c r="H836" s="1"/>
  <c r="I836" s="1"/>
  <c r="G14"/>
  <c r="G15" s="1"/>
  <c r="G16" s="1"/>
  <c r="G17" s="1"/>
  <c r="J996"/>
  <c r="K996" s="1"/>
  <c r="M394"/>
  <c r="F47" i="7"/>
  <c r="H47" s="1"/>
  <c r="H1254" i="71"/>
  <c r="G1108" i="35"/>
  <c r="L401"/>
  <c r="M401" s="1"/>
  <c r="G25"/>
  <c r="G26" s="1"/>
  <c r="F736"/>
  <c r="G736" s="1"/>
  <c r="K273"/>
  <c r="C16" i="14"/>
  <c r="B11" i="15" s="1"/>
  <c r="G328" i="35"/>
  <c r="I328" s="1"/>
  <c r="G394"/>
  <c r="D8" i="29"/>
  <c r="H252" i="35"/>
  <c r="H259" s="1"/>
  <c r="I259" s="1"/>
  <c r="F907"/>
  <c r="G907" s="1"/>
  <c r="H907" s="1"/>
  <c r="I907" s="1"/>
  <c r="F368"/>
  <c r="G368" s="1"/>
  <c r="H368" s="1"/>
  <c r="I368" s="1"/>
  <c r="J368" s="1"/>
  <c r="H327"/>
  <c r="J327" s="1"/>
  <c r="L327" s="1"/>
  <c r="N327" s="1"/>
  <c r="G238"/>
  <c r="B9" i="15"/>
  <c r="I73" i="24"/>
  <c r="H44" i="7"/>
  <c r="Y15" i="9"/>
  <c r="AC15" s="1"/>
  <c r="G180" i="35"/>
  <c r="G876"/>
  <c r="H876" s="1"/>
  <c r="I876" s="1"/>
  <c r="G585"/>
  <c r="H585" s="1"/>
  <c r="G767"/>
  <c r="E1225"/>
  <c r="E1228" s="1"/>
  <c r="E1229" s="1"/>
  <c r="G1229" s="1"/>
  <c r="G1230" s="1"/>
  <c r="G1231" s="1"/>
  <c r="G1232" s="1"/>
  <c r="I394"/>
  <c r="G1046"/>
  <c r="G1048" s="1"/>
  <c r="F593"/>
  <c r="F608" s="1"/>
  <c r="G608" s="1"/>
  <c r="H608" s="1"/>
  <c r="I608" s="1"/>
  <c r="F225"/>
  <c r="G225" s="1"/>
  <c r="H225" s="1"/>
  <c r="I225" s="1"/>
  <c r="F220"/>
  <c r="G220" s="1"/>
  <c r="H220" s="1"/>
  <c r="I220" s="1"/>
  <c r="G874"/>
  <c r="H874" s="1"/>
  <c r="I874" s="1"/>
  <c r="I326"/>
  <c r="K326" s="1"/>
  <c r="M326" s="1"/>
  <c r="I559"/>
  <c r="G1147"/>
  <c r="J1176"/>
  <c r="J1196"/>
  <c r="G1076"/>
  <c r="G1138"/>
  <c r="I32" i="24"/>
  <c r="I17" s="1"/>
  <c r="N17" s="1"/>
  <c r="I18" s="1"/>
  <c r="M18" s="1"/>
  <c r="M19" s="1"/>
  <c r="M137" s="1"/>
  <c r="C12" i="28" s="1"/>
  <c r="I160" i="24"/>
  <c r="K12" i="29" s="1"/>
  <c r="L12" s="1"/>
  <c r="L20" s="1"/>
  <c r="L21" s="1"/>
  <c r="I113" i="24"/>
  <c r="I206"/>
  <c r="K17" i="29" s="1"/>
  <c r="M17" s="1"/>
  <c r="G62" i="35"/>
  <c r="F73"/>
  <c r="G73" s="1"/>
  <c r="F266"/>
  <c r="G266" s="1"/>
  <c r="G259"/>
  <c r="G896"/>
  <c r="H896" s="1"/>
  <c r="I896" s="1"/>
  <c r="F914"/>
  <c r="G914" s="1"/>
  <c r="H914" s="1"/>
  <c r="I914" s="1"/>
  <c r="F422"/>
  <c r="G932"/>
  <c r="H932" s="1"/>
  <c r="I932" s="1"/>
  <c r="F1086"/>
  <c r="G1086" s="1"/>
  <c r="G336"/>
  <c r="H336" s="1"/>
  <c r="I336" s="1"/>
  <c r="J336" s="1"/>
  <c r="K336" s="1"/>
  <c r="L336" s="1"/>
  <c r="M336" s="1"/>
  <c r="N336" s="1"/>
  <c r="H331"/>
  <c r="J331" s="1"/>
  <c r="L331" s="1"/>
  <c r="N331" s="1"/>
  <c r="F219"/>
  <c r="M12" i="31"/>
  <c r="M19" s="1"/>
  <c r="M20" s="1"/>
  <c r="N20" s="1"/>
  <c r="H801" i="35"/>
  <c r="I332"/>
  <c r="K332" s="1"/>
  <c r="M332" s="1"/>
  <c r="K252"/>
  <c r="G41"/>
  <c r="G42" s="1"/>
  <c r="I801"/>
  <c r="F178"/>
  <c r="I998"/>
  <c r="J998" s="1"/>
  <c r="J1000" s="1"/>
  <c r="I1000"/>
  <c r="G895"/>
  <c r="H895" s="1"/>
  <c r="F913"/>
  <c r="G913" s="1"/>
  <c r="H913" s="1"/>
  <c r="I913" s="1"/>
  <c r="F1128"/>
  <c r="G1128" s="1"/>
  <c r="G728"/>
  <c r="G729" s="1"/>
  <c r="F854"/>
  <c r="G854" s="1"/>
  <c r="H854" s="1"/>
  <c r="I854" s="1"/>
  <c r="C17" i="14"/>
  <c r="G695" i="35"/>
  <c r="D711"/>
  <c r="G711" s="1"/>
  <c r="G715" s="1"/>
  <c r="F718" s="1"/>
  <c r="F726" s="1"/>
  <c r="I62" i="24"/>
  <c r="H1177" i="35"/>
  <c r="G330"/>
  <c r="I330" s="1"/>
  <c r="K330" s="1"/>
  <c r="G928"/>
  <c r="H928" s="1"/>
  <c r="I928" s="1"/>
  <c r="F1085"/>
  <c r="F1094" s="1"/>
  <c r="G1094" s="1"/>
  <c r="G58"/>
  <c r="L11" i="34"/>
  <c r="L14" s="1"/>
  <c r="F80" i="35"/>
  <c r="G80" s="1"/>
  <c r="G69"/>
  <c r="H266"/>
  <c r="I266" s="1"/>
  <c r="H782"/>
  <c r="I779"/>
  <c r="I782" s="1"/>
  <c r="F985"/>
  <c r="G985" s="1"/>
  <c r="H985" s="1"/>
  <c r="I985" s="1"/>
  <c r="G967"/>
  <c r="H967" s="1"/>
  <c r="I967" s="1"/>
  <c r="M12" i="29"/>
  <c r="G420" i="35"/>
  <c r="F450"/>
  <c r="I678"/>
  <c r="H678"/>
  <c r="I692"/>
  <c r="I694" s="1"/>
  <c r="I695" s="1"/>
  <c r="H694"/>
  <c r="H695" s="1"/>
  <c r="G218"/>
  <c r="H218" s="1"/>
  <c r="F84"/>
  <c r="G84" s="1"/>
  <c r="F452"/>
  <c r="F224"/>
  <c r="G224" s="1"/>
  <c r="H224" s="1"/>
  <c r="I224" s="1"/>
  <c r="F868"/>
  <c r="F925" s="1"/>
  <c r="H181"/>
  <c r="J181" s="1"/>
  <c r="L181" s="1"/>
  <c r="N181" s="1"/>
  <c r="F951"/>
  <c r="G951" s="1"/>
  <c r="H951" s="1"/>
  <c r="I951" s="1"/>
  <c r="I182"/>
  <c r="K182" s="1"/>
  <c r="M182" s="1"/>
  <c r="K507"/>
  <c r="J1175"/>
  <c r="F744"/>
  <c r="G744" s="1"/>
  <c r="H559"/>
  <c r="F946"/>
  <c r="F947" s="1"/>
  <c r="G947" s="1"/>
  <c r="H947" s="1"/>
  <c r="I947" s="1"/>
  <c r="F16" i="14"/>
  <c r="D639" i="35"/>
  <c r="I98" i="24"/>
  <c r="C15" i="29" s="1"/>
  <c r="E15" s="1"/>
  <c r="I135" i="24"/>
  <c r="M135" s="1"/>
  <c r="G735" i="35"/>
  <c r="F14" i="14"/>
  <c r="I49" i="24"/>
  <c r="I67"/>
  <c r="I149"/>
  <c r="I214"/>
  <c r="M214" s="1"/>
  <c r="I171"/>
  <c r="F831" i="35"/>
  <c r="G831" s="1"/>
  <c r="H831" s="1"/>
  <c r="I831" s="1"/>
  <c r="F1052"/>
  <c r="G1052" s="1"/>
  <c r="G1055" s="1"/>
  <c r="G1127"/>
  <c r="W17" i="9"/>
  <c r="K30" i="45"/>
  <c r="L30" s="1"/>
  <c r="K18"/>
  <c r="L18" s="1"/>
  <c r="AE11" i="9"/>
  <c r="AI11" s="1"/>
  <c r="AC11"/>
  <c r="I333" i="35"/>
  <c r="F17" i="14"/>
  <c r="E18"/>
  <c r="F79" i="35"/>
  <c r="G79" s="1"/>
  <c r="G68"/>
  <c r="F867"/>
  <c r="F888" s="1"/>
  <c r="G888" s="1"/>
  <c r="H888" s="1"/>
  <c r="I888" s="1"/>
  <c r="K235" i="24"/>
  <c r="M235" s="1"/>
  <c r="Q8" i="34"/>
  <c r="Q7"/>
  <c r="J401" i="35"/>
  <c r="K401" s="1"/>
  <c r="K394"/>
  <c r="I401"/>
  <c r="G401"/>
  <c r="G607"/>
  <c r="H607" s="1"/>
  <c r="F623"/>
  <c r="G584"/>
  <c r="H584" s="1"/>
  <c r="I584" s="1"/>
  <c r="G759"/>
  <c r="G868"/>
  <c r="H868" s="1"/>
  <c r="I868" s="1"/>
  <c r="F177"/>
  <c r="G592"/>
  <c r="H592" s="1"/>
  <c r="I592" s="1"/>
  <c r="G1085"/>
  <c r="F833"/>
  <c r="G833" s="1"/>
  <c r="H833" s="1"/>
  <c r="I833" s="1"/>
  <c r="I507"/>
  <c r="F752"/>
  <c r="G752" s="1"/>
  <c r="J259"/>
  <c r="M504"/>
  <c r="M507" s="1"/>
  <c r="F983"/>
  <c r="G983" s="1"/>
  <c r="H983" s="1"/>
  <c r="I983" s="1"/>
  <c r="Q9" i="34"/>
  <c r="D737" i="35"/>
  <c r="G875"/>
  <c r="H875" s="1"/>
  <c r="F931"/>
  <c r="G1137"/>
  <c r="F1146"/>
  <c r="F906"/>
  <c r="G906" s="1"/>
  <c r="H906" s="1"/>
  <c r="I906" s="1"/>
  <c r="G837"/>
  <c r="H837" s="1"/>
  <c r="I837" s="1"/>
  <c r="F856"/>
  <c r="G856" s="1"/>
  <c r="H856" s="1"/>
  <c r="F214"/>
  <c r="G214" s="1"/>
  <c r="H214" s="1"/>
  <c r="I214" s="1"/>
  <c r="G176"/>
  <c r="G930"/>
  <c r="H930" s="1"/>
  <c r="F949"/>
  <c r="G949" s="1"/>
  <c r="H949" s="1"/>
  <c r="I949" s="1"/>
  <c r="AE23" i="9"/>
  <c r="AI23" s="1"/>
  <c r="W23"/>
  <c r="Y25"/>
  <c r="W25"/>
  <c r="D15" i="14"/>
  <c r="D9" i="15"/>
  <c r="G721" i="35"/>
  <c r="G568"/>
  <c r="H568" s="1"/>
  <c r="I568" s="1"/>
  <c r="I183" i="24"/>
  <c r="D63" i="35"/>
  <c r="D52"/>
  <c r="G52" s="1"/>
  <c r="G53" s="1"/>
  <c r="I53" i="24"/>
  <c r="H1198" i="35"/>
  <c r="G867"/>
  <c r="H867" s="1"/>
  <c r="I867" s="1"/>
  <c r="H45" i="7"/>
  <c r="A2" i="29"/>
  <c r="A2" i="24"/>
  <c r="A2" i="28"/>
  <c r="I585" i="35"/>
  <c r="J369"/>
  <c r="I370"/>
  <c r="I832"/>
  <c r="H370"/>
  <c r="G18"/>
  <c r="I895"/>
  <c r="I218"/>
  <c r="H915"/>
  <c r="G718"/>
  <c r="F435"/>
  <c r="G435" s="1"/>
  <c r="I19" i="24"/>
  <c r="G587" i="35"/>
  <c r="I835"/>
  <c r="D13" i="31"/>
  <c r="E13"/>
  <c r="F815" i="35"/>
  <c r="G815" s="1"/>
  <c r="H815" s="1"/>
  <c r="I815" s="1"/>
  <c r="G814"/>
  <c r="H814" s="1"/>
  <c r="E10" i="29"/>
  <c r="D10"/>
  <c r="I227" i="24"/>
  <c r="K16" i="29" s="1"/>
  <c r="M16" s="1"/>
  <c r="F374" i="35"/>
  <c r="G374" s="1"/>
  <c r="H374" s="1"/>
  <c r="I374" s="1"/>
  <c r="J374" s="1"/>
  <c r="G337"/>
  <c r="I337" s="1"/>
  <c r="K337" s="1"/>
  <c r="M337" s="1"/>
  <c r="H328"/>
  <c r="E12" i="31"/>
  <c r="D12"/>
  <c r="M149" i="24"/>
  <c r="G365" i="35"/>
  <c r="G1024"/>
  <c r="G1030" s="1"/>
  <c r="F1034"/>
  <c r="G1034" s="1"/>
  <c r="G1040" s="1"/>
  <c r="G245"/>
  <c r="D19" i="31"/>
  <c r="D20" s="1"/>
  <c r="L7" i="7"/>
  <c r="F7" s="1"/>
  <c r="E8" i="31"/>
  <c r="E19" s="1"/>
  <c r="E20" s="1"/>
  <c r="E9"/>
  <c r="D9"/>
  <c r="H330" i="35" l="1"/>
  <c r="J330" s="1"/>
  <c r="L330" s="1"/>
  <c r="K998"/>
  <c r="L12" i="34"/>
  <c r="G29" i="35"/>
  <c r="L13" i="34"/>
  <c r="H897" i="35"/>
  <c r="J370"/>
  <c r="C14" i="29"/>
  <c r="D14" s="1"/>
  <c r="D20" s="1"/>
  <c r="D21" s="1"/>
  <c r="F869" i="35"/>
  <c r="G869" s="1"/>
  <c r="H869" s="1"/>
  <c r="I869" s="1"/>
  <c r="F624"/>
  <c r="G1129"/>
  <c r="G593"/>
  <c r="AE15" i="9"/>
  <c r="AI15" s="1"/>
  <c r="C11" i="29"/>
  <c r="E11" s="1"/>
  <c r="I252" i="35"/>
  <c r="H1255" i="71"/>
  <c r="I1255" s="1"/>
  <c r="I1254"/>
  <c r="H1376"/>
  <c r="K118" i="24"/>
  <c r="M118" s="1"/>
  <c r="H838" i="35"/>
  <c r="J839" s="1"/>
  <c r="G946"/>
  <c r="H946" s="1"/>
  <c r="I946" s="1"/>
  <c r="I838"/>
  <c r="K839" s="1"/>
  <c r="I180"/>
  <c r="H180"/>
  <c r="J180" s="1"/>
  <c r="L180" s="1"/>
  <c r="N180" s="1"/>
  <c r="F760"/>
  <c r="F743"/>
  <c r="G743" s="1"/>
  <c r="G722"/>
  <c r="H586"/>
  <c r="K18" i="29"/>
  <c r="M18" s="1"/>
  <c r="M20" s="1"/>
  <c r="M21" s="1"/>
  <c r="N21" s="1"/>
  <c r="M246" i="24" s="1"/>
  <c r="J333" i="35"/>
  <c r="I209" i="24"/>
  <c r="L16" i="34"/>
  <c r="F437" i="35"/>
  <c r="G437" s="1"/>
  <c r="G422"/>
  <c r="F216"/>
  <c r="G216" s="1"/>
  <c r="H216" s="1"/>
  <c r="I216" s="1"/>
  <c r="G178"/>
  <c r="F421"/>
  <c r="G219"/>
  <c r="H219" s="1"/>
  <c r="B12" i="15"/>
  <c r="C18" i="14"/>
  <c r="G1130" i="35"/>
  <c r="G1131" s="1"/>
  <c r="G1132" s="1"/>
  <c r="F1097"/>
  <c r="G1097" s="1"/>
  <c r="F1140"/>
  <c r="F1149" s="1"/>
  <c r="G452"/>
  <c r="I452" s="1"/>
  <c r="K452" s="1"/>
  <c r="M452" s="1"/>
  <c r="F471"/>
  <c r="G450"/>
  <c r="I450" s="1"/>
  <c r="F469"/>
  <c r="F926"/>
  <c r="G925"/>
  <c r="H925" s="1"/>
  <c r="I925" s="1"/>
  <c r="K15" i="45"/>
  <c r="L15" s="1"/>
  <c r="K27"/>
  <c r="L27" s="1"/>
  <c r="D10" i="15"/>
  <c r="D16" i="14"/>
  <c r="AE25" i="9"/>
  <c r="AI25" s="1"/>
  <c r="AC25"/>
  <c r="I930" i="35"/>
  <c r="I875"/>
  <c r="I877" s="1"/>
  <c r="K878" s="1"/>
  <c r="H877"/>
  <c r="J878" s="1"/>
  <c r="N330"/>
  <c r="N333" s="1"/>
  <c r="L333"/>
  <c r="F215"/>
  <c r="G215" s="1"/>
  <c r="H215" s="1"/>
  <c r="I215" s="1"/>
  <c r="G177"/>
  <c r="F654"/>
  <c r="G624"/>
  <c r="H624" s="1"/>
  <c r="I624" s="1"/>
  <c r="F637"/>
  <c r="F18" i="14"/>
  <c r="E19"/>
  <c r="D74" i="35"/>
  <c r="G63"/>
  <c r="G64" s="1"/>
  <c r="I176"/>
  <c r="K176" s="1"/>
  <c r="M176" s="1"/>
  <c r="H176"/>
  <c r="J176" s="1"/>
  <c r="L176" s="1"/>
  <c r="N176" s="1"/>
  <c r="H857"/>
  <c r="I856"/>
  <c r="I857" s="1"/>
  <c r="G1146"/>
  <c r="F1155"/>
  <c r="G1155" s="1"/>
  <c r="F966"/>
  <c r="G931"/>
  <c r="H931" s="1"/>
  <c r="I931" s="1"/>
  <c r="F950"/>
  <c r="G950" s="1"/>
  <c r="H950" s="1"/>
  <c r="D745"/>
  <c r="G737"/>
  <c r="K259"/>
  <c r="J266"/>
  <c r="K266" s="1"/>
  <c r="G623"/>
  <c r="H623" s="1"/>
  <c r="I623" s="1"/>
  <c r="F653"/>
  <c r="F636"/>
  <c r="M330"/>
  <c r="M333" s="1"/>
  <c r="K333"/>
  <c r="G20" i="31"/>
  <c r="G22" s="1"/>
  <c r="F1087" i="35"/>
  <c r="G1087" s="1"/>
  <c r="G1088" s="1"/>
  <c r="G1089" s="1"/>
  <c r="J1172"/>
  <c r="J1193" s="1"/>
  <c r="H365"/>
  <c r="G723"/>
  <c r="G724" s="1"/>
  <c r="H587"/>
  <c r="F1077"/>
  <c r="G1077" s="1"/>
  <c r="G1078" s="1"/>
  <c r="G1079" s="1"/>
  <c r="F1067"/>
  <c r="G1067" s="1"/>
  <c r="G1068" s="1"/>
  <c r="G1069" s="1"/>
  <c r="F1109"/>
  <c r="I814"/>
  <c r="I817" s="1"/>
  <c r="I820" s="1"/>
  <c r="H817"/>
  <c r="H820" s="1"/>
  <c r="G588"/>
  <c r="F734"/>
  <c r="F758"/>
  <c r="G726"/>
  <c r="G730" s="1"/>
  <c r="I897"/>
  <c r="K328"/>
  <c r="I586"/>
  <c r="I587" s="1"/>
  <c r="I588" s="1"/>
  <c r="J328"/>
  <c r="I915"/>
  <c r="K1000"/>
  <c r="I607"/>
  <c r="K229" i="24"/>
  <c r="M229" s="1"/>
  <c r="K231"/>
  <c r="M231" s="1"/>
  <c r="G30" i="35" l="1"/>
  <c r="G31"/>
  <c r="E14" i="29"/>
  <c r="E20" s="1"/>
  <c r="E21" s="1"/>
  <c r="H593" i="35"/>
  <c r="G595"/>
  <c r="G597" s="1"/>
  <c r="G598" s="1"/>
  <c r="G600" s="1"/>
  <c r="I1257" i="71"/>
  <c r="I1258" s="1"/>
  <c r="I1259" s="1"/>
  <c r="I933" i="35"/>
  <c r="H1377" i="71"/>
  <c r="I1377" s="1"/>
  <c r="I1376"/>
  <c r="F768" i="35"/>
  <c r="G768" s="1"/>
  <c r="G760"/>
  <c r="F751"/>
  <c r="G751" s="1"/>
  <c r="K180"/>
  <c r="I183"/>
  <c r="J183" s="1"/>
  <c r="G1140"/>
  <c r="H178"/>
  <c r="J178" s="1"/>
  <c r="L178" s="1"/>
  <c r="N178" s="1"/>
  <c r="I178"/>
  <c r="K178" s="1"/>
  <c r="M178" s="1"/>
  <c r="G421"/>
  <c r="F436"/>
  <c r="G436" s="1"/>
  <c r="F451"/>
  <c r="I219"/>
  <c r="I221" s="1"/>
  <c r="H221"/>
  <c r="N17" i="34"/>
  <c r="L18"/>
  <c r="B13" i="15"/>
  <c r="C19" i="14"/>
  <c r="F484" i="35"/>
  <c r="G469"/>
  <c r="K450"/>
  <c r="G471"/>
  <c r="F486"/>
  <c r="F472"/>
  <c r="G926"/>
  <c r="H926" s="1"/>
  <c r="I926" s="1"/>
  <c r="F927"/>
  <c r="F670"/>
  <c r="F659"/>
  <c r="G659" s="1"/>
  <c r="G653"/>
  <c r="G1149"/>
  <c r="F1158"/>
  <c r="G1158" s="1"/>
  <c r="D753"/>
  <c r="G745"/>
  <c r="F688"/>
  <c r="G688" s="1"/>
  <c r="F809"/>
  <c r="G809" s="1"/>
  <c r="H809" s="1"/>
  <c r="I809" s="1"/>
  <c r="F520"/>
  <c r="G21" i="29"/>
  <c r="M139" i="24" s="1"/>
  <c r="F641" i="35"/>
  <c r="G641" s="1"/>
  <c r="H641" s="1"/>
  <c r="I641" s="1"/>
  <c r="G636"/>
  <c r="H952"/>
  <c r="I950"/>
  <c r="I952" s="1"/>
  <c r="G966"/>
  <c r="H966" s="1"/>
  <c r="F984"/>
  <c r="G984" s="1"/>
  <c r="H984" s="1"/>
  <c r="D85"/>
  <c r="G74"/>
  <c r="G75" s="1"/>
  <c r="E20" i="14"/>
  <c r="F19"/>
  <c r="F642" i="35"/>
  <c r="G642" s="1"/>
  <c r="H642" s="1"/>
  <c r="I642" s="1"/>
  <c r="G637"/>
  <c r="H637" s="1"/>
  <c r="I637" s="1"/>
  <c r="F660"/>
  <c r="G660" s="1"/>
  <c r="H660" s="1"/>
  <c r="I660" s="1"/>
  <c r="F671"/>
  <c r="G654"/>
  <c r="H654" s="1"/>
  <c r="I654" s="1"/>
  <c r="I177"/>
  <c r="K177" s="1"/>
  <c r="M177" s="1"/>
  <c r="H177"/>
  <c r="J177" s="1"/>
  <c r="L177" s="1"/>
  <c r="N177" s="1"/>
  <c r="H933"/>
  <c r="D17" i="14"/>
  <c r="D11" i="15"/>
  <c r="G1090" i="35"/>
  <c r="G1091" s="1"/>
  <c r="G1092" s="1"/>
  <c r="G731"/>
  <c r="G732" s="1"/>
  <c r="F1119"/>
  <c r="G1119" s="1"/>
  <c r="G1120" s="1"/>
  <c r="G1109"/>
  <c r="G1110" s="1"/>
  <c r="L328"/>
  <c r="G758"/>
  <c r="F750"/>
  <c r="G750" s="1"/>
  <c r="G1070"/>
  <c r="G1071" s="1"/>
  <c r="G1072" s="1"/>
  <c r="H588"/>
  <c r="I365"/>
  <c r="M328"/>
  <c r="G734"/>
  <c r="G738" s="1"/>
  <c r="F742"/>
  <c r="G742" s="1"/>
  <c r="G746" s="1"/>
  <c r="F766"/>
  <c r="G766" s="1"/>
  <c r="G1080"/>
  <c r="G1081" s="1"/>
  <c r="G1082" s="1"/>
  <c r="I593" l="1"/>
  <c r="I594" s="1"/>
  <c r="H594"/>
  <c r="H595" s="1"/>
  <c r="I1379" i="71"/>
  <c r="I1380" s="1"/>
  <c r="I1381" s="1"/>
  <c r="M180" i="35"/>
  <c r="M183" s="1"/>
  <c r="N183" s="1"/>
  <c r="K183"/>
  <c r="L183" s="1"/>
  <c r="G451"/>
  <c r="I451" s="1"/>
  <c r="F470"/>
  <c r="B14" i="15"/>
  <c r="C20" i="14"/>
  <c r="G472" i="35"/>
  <c r="F487"/>
  <c r="G487" s="1"/>
  <c r="I487" s="1"/>
  <c r="K487" s="1"/>
  <c r="M487" s="1"/>
  <c r="M450"/>
  <c r="F524"/>
  <c r="G486"/>
  <c r="I486" s="1"/>
  <c r="K486" s="1"/>
  <c r="M486" s="1"/>
  <c r="G927"/>
  <c r="H927" s="1"/>
  <c r="I927" s="1"/>
  <c r="F961"/>
  <c r="G961" s="1"/>
  <c r="H961" s="1"/>
  <c r="I961" s="1"/>
  <c r="F944"/>
  <c r="F962"/>
  <c r="F522"/>
  <c r="G484"/>
  <c r="I484" s="1"/>
  <c r="K24" i="45"/>
  <c r="L24" s="1"/>
  <c r="G671" i="35"/>
  <c r="H671" s="1"/>
  <c r="I671" s="1"/>
  <c r="F677"/>
  <c r="G677" s="1"/>
  <c r="H677" s="1"/>
  <c r="I677" s="1"/>
  <c r="F467"/>
  <c r="G467" s="1"/>
  <c r="F502"/>
  <c r="G502" s="1"/>
  <c r="I502" s="1"/>
  <c r="K502" s="1"/>
  <c r="M502" s="1"/>
  <c r="H986"/>
  <c r="I984"/>
  <c r="I986" s="1"/>
  <c r="H636"/>
  <c r="G639"/>
  <c r="F29" i="28"/>
  <c r="N246" i="24"/>
  <c r="G656" i="35"/>
  <c r="G657" s="1"/>
  <c r="H653"/>
  <c r="G670"/>
  <c r="F676"/>
  <c r="G676" s="1"/>
  <c r="D12" i="15"/>
  <c r="D18" i="14"/>
  <c r="E21"/>
  <c r="F20"/>
  <c r="D101" i="35"/>
  <c r="G85"/>
  <c r="G86" s="1"/>
  <c r="F482" s="1"/>
  <c r="G482" s="1"/>
  <c r="I482" s="1"/>
  <c r="K482" s="1"/>
  <c r="M482" s="1"/>
  <c r="H968"/>
  <c r="I966"/>
  <c r="I968" s="1"/>
  <c r="G520"/>
  <c r="I520" s="1"/>
  <c r="K520" s="1"/>
  <c r="M520" s="1"/>
  <c r="F537"/>
  <c r="G537" s="1"/>
  <c r="I537" s="1"/>
  <c r="K537" s="1"/>
  <c r="M537" s="1"/>
  <c r="H688"/>
  <c r="G696"/>
  <c r="G697" s="1"/>
  <c r="G698" s="1"/>
  <c r="G699" s="1"/>
  <c r="D761"/>
  <c r="G753"/>
  <c r="G754" s="1"/>
  <c r="G755" s="1"/>
  <c r="G756" s="1"/>
  <c r="G662"/>
  <c r="H659"/>
  <c r="G747"/>
  <c r="G748" s="1"/>
  <c r="G739"/>
  <c r="G740" s="1"/>
  <c r="J365"/>
  <c r="N328"/>
  <c r="G1111"/>
  <c r="G1112" s="1"/>
  <c r="G1113" s="1"/>
  <c r="G1121"/>
  <c r="G1122" s="1"/>
  <c r="G1123" s="1"/>
  <c r="I595"/>
  <c r="I597" s="1"/>
  <c r="I598" s="1"/>
  <c r="I600" s="1"/>
  <c r="K237" i="24"/>
  <c r="M237" s="1"/>
  <c r="H597" i="35" l="1"/>
  <c r="H598" s="1"/>
  <c r="H600" s="1"/>
  <c r="G470"/>
  <c r="F485"/>
  <c r="K451"/>
  <c r="I453"/>
  <c r="C21" i="14"/>
  <c r="B15" i="15"/>
  <c r="K484" i="35"/>
  <c r="F539"/>
  <c r="G539" s="1"/>
  <c r="I539" s="1"/>
  <c r="G522"/>
  <c r="I522" s="1"/>
  <c r="F980"/>
  <c r="G980" s="1"/>
  <c r="H980" s="1"/>
  <c r="I980" s="1"/>
  <c r="F981"/>
  <c r="G981" s="1"/>
  <c r="H981" s="1"/>
  <c r="I981" s="1"/>
  <c r="G962"/>
  <c r="H962" s="1"/>
  <c r="I962" s="1"/>
  <c r="G944"/>
  <c r="H944" s="1"/>
  <c r="I944" s="1"/>
  <c r="F945"/>
  <c r="G945" s="1"/>
  <c r="H945" s="1"/>
  <c r="I945" s="1"/>
  <c r="F541"/>
  <c r="G524"/>
  <c r="I524" s="1"/>
  <c r="K524" s="1"/>
  <c r="M524" s="1"/>
  <c r="K21" i="45"/>
  <c r="L21" s="1"/>
  <c r="L33" s="1"/>
  <c r="M32" s="1"/>
  <c r="D769" i="35"/>
  <c r="G761"/>
  <c r="G762" s="1"/>
  <c r="I688"/>
  <c r="I696" s="1"/>
  <c r="I697" s="1"/>
  <c r="I698" s="1"/>
  <c r="I699" s="1"/>
  <c r="H696"/>
  <c r="H697" s="1"/>
  <c r="H698" s="1"/>
  <c r="H699" s="1"/>
  <c r="D116"/>
  <c r="G101"/>
  <c r="G102" s="1"/>
  <c r="F21" i="14"/>
  <c r="E22"/>
  <c r="H670" i="35"/>
  <c r="G673"/>
  <c r="G674" s="1"/>
  <c r="G663"/>
  <c r="G664" s="1"/>
  <c r="I636"/>
  <c r="I638" s="1"/>
  <c r="I639" s="1"/>
  <c r="H638"/>
  <c r="H639" s="1"/>
  <c r="H661"/>
  <c r="H662" s="1"/>
  <c r="I659"/>
  <c r="I661" s="1"/>
  <c r="I662" s="1"/>
  <c r="D19" i="14"/>
  <c r="D13" i="15"/>
  <c r="E10" i="70" s="1"/>
  <c r="J10" s="1"/>
  <c r="F104" i="71" s="1"/>
  <c r="G104" s="1"/>
  <c r="G105" s="1"/>
  <c r="G106" s="1"/>
  <c r="H676" i="35"/>
  <c r="G680"/>
  <c r="I653"/>
  <c r="H655"/>
  <c r="H656" s="1"/>
  <c r="K111" i="68" l="1"/>
  <c r="M111" s="1"/>
  <c r="M451" i="35"/>
  <c r="M453" s="1"/>
  <c r="K453"/>
  <c r="G485"/>
  <c r="I485" s="1"/>
  <c r="F523"/>
  <c r="G681"/>
  <c r="G682" s="1"/>
  <c r="C22" i="14"/>
  <c r="B16" i="15"/>
  <c r="K522" i="35"/>
  <c r="G541"/>
  <c r="I541" s="1"/>
  <c r="K541" s="1"/>
  <c r="M541" s="1"/>
  <c r="F569"/>
  <c r="K539"/>
  <c r="M484"/>
  <c r="H657"/>
  <c r="H663" s="1"/>
  <c r="H664" s="1"/>
  <c r="H665" s="1"/>
  <c r="H666" s="1"/>
  <c r="G665"/>
  <c r="G666" s="1"/>
  <c r="E23" i="14"/>
  <c r="F22"/>
  <c r="G103" i="35"/>
  <c r="G104" s="1"/>
  <c r="G763"/>
  <c r="G764" s="1"/>
  <c r="I655"/>
  <c r="I656" s="1"/>
  <c r="I657" s="1"/>
  <c r="I676"/>
  <c r="H679"/>
  <c r="H680" s="1"/>
  <c r="D14" i="15"/>
  <c r="D20" i="14"/>
  <c r="G683" i="35"/>
  <c r="G684" s="1"/>
  <c r="I670"/>
  <c r="H672"/>
  <c r="H673" s="1"/>
  <c r="D129"/>
  <c r="G116"/>
  <c r="G117" s="1"/>
  <c r="D783"/>
  <c r="G769"/>
  <c r="G770" s="1"/>
  <c r="F540" l="1"/>
  <c r="G540" s="1"/>
  <c r="I540" s="1"/>
  <c r="K540" s="1"/>
  <c r="M540" s="1"/>
  <c r="G523"/>
  <c r="I523" s="1"/>
  <c r="K485"/>
  <c r="I488"/>
  <c r="B17" i="15"/>
  <c r="C23" i="14"/>
  <c r="G569" i="35"/>
  <c r="F609"/>
  <c r="M539"/>
  <c r="M522"/>
  <c r="G771"/>
  <c r="G772" s="1"/>
  <c r="G118"/>
  <c r="F775"/>
  <c r="G775" s="1"/>
  <c r="H775" s="1"/>
  <c r="I775" s="1"/>
  <c r="H674"/>
  <c r="H681" s="1"/>
  <c r="H682" s="1"/>
  <c r="I672"/>
  <c r="I673" s="1"/>
  <c r="I674" s="1"/>
  <c r="I679"/>
  <c r="I663"/>
  <c r="I664" s="1"/>
  <c r="I665" s="1"/>
  <c r="I666" s="1"/>
  <c r="F23" i="14"/>
  <c r="E24"/>
  <c r="D802" i="35"/>
  <c r="H783"/>
  <c r="I783"/>
  <c r="G783"/>
  <c r="G129"/>
  <c r="G130" s="1"/>
  <c r="G131" s="1"/>
  <c r="D143"/>
  <c r="D15" i="15"/>
  <c r="D21" i="14"/>
  <c r="I542" i="35" l="1"/>
  <c r="K542"/>
  <c r="M542"/>
  <c r="M485"/>
  <c r="M488" s="1"/>
  <c r="K488"/>
  <c r="K523"/>
  <c r="I525"/>
  <c r="C24" i="14"/>
  <c r="B18" i="15"/>
  <c r="I785" i="35"/>
  <c r="I786" s="1"/>
  <c r="G609"/>
  <c r="F625"/>
  <c r="H569"/>
  <c r="G572"/>
  <c r="H683"/>
  <c r="H684" s="1"/>
  <c r="I802"/>
  <c r="I803" s="1"/>
  <c r="I804" s="1"/>
  <c r="G802"/>
  <c r="G803" s="1"/>
  <c r="G804" s="1"/>
  <c r="F811" s="1"/>
  <c r="G811" s="1"/>
  <c r="H811" s="1"/>
  <c r="D818"/>
  <c r="H802"/>
  <c r="H803" s="1"/>
  <c r="H804" s="1"/>
  <c r="F24" i="14"/>
  <c r="E25"/>
  <c r="D16" i="15"/>
  <c r="D22" i="14"/>
  <c r="G143" i="35"/>
  <c r="G148" s="1"/>
  <c r="D156"/>
  <c r="G785"/>
  <c r="G786" s="1"/>
  <c r="G787" s="1"/>
  <c r="H785"/>
  <c r="H786" s="1"/>
  <c r="H787" s="1"/>
  <c r="I680"/>
  <c r="I681" s="1"/>
  <c r="I682" s="1"/>
  <c r="I683" s="1"/>
  <c r="I684" s="1"/>
  <c r="M523" l="1"/>
  <c r="M525" s="1"/>
  <c r="K525"/>
  <c r="B19" i="15"/>
  <c r="C25" i="14"/>
  <c r="H570" i="35"/>
  <c r="I569"/>
  <c r="H572"/>
  <c r="G625"/>
  <c r="F643"/>
  <c r="G643" s="1"/>
  <c r="G611"/>
  <c r="H609"/>
  <c r="F161"/>
  <c r="G161" s="1"/>
  <c r="F154"/>
  <c r="G154" s="1"/>
  <c r="F168"/>
  <c r="G168" s="1"/>
  <c r="F149"/>
  <c r="G150"/>
  <c r="G151" s="1"/>
  <c r="D839"/>
  <c r="H818"/>
  <c r="H821" s="1"/>
  <c r="H822" s="1"/>
  <c r="I818"/>
  <c r="G818"/>
  <c r="G821" s="1"/>
  <c r="G822" s="1"/>
  <c r="G156"/>
  <c r="D163"/>
  <c r="D17" i="15"/>
  <c r="D23" i="14"/>
  <c r="E26"/>
  <c r="F25"/>
  <c r="I811" i="35"/>
  <c r="I821" s="1"/>
  <c r="I822" s="1"/>
  <c r="I823" s="1"/>
  <c r="I824" s="1"/>
  <c r="B20" i="15" l="1"/>
  <c r="C26" i="14"/>
  <c r="H625" i="35"/>
  <c r="G627"/>
  <c r="G628" s="1"/>
  <c r="G629" s="1"/>
  <c r="G630" s="1"/>
  <c r="G631" s="1"/>
  <c r="G632" s="1"/>
  <c r="H610"/>
  <c r="H611" s="1"/>
  <c r="H612" s="1"/>
  <c r="H613" s="1"/>
  <c r="H614" s="1"/>
  <c r="H615" s="1"/>
  <c r="H616" s="1"/>
  <c r="I609"/>
  <c r="G612"/>
  <c r="G613"/>
  <c r="G614" s="1"/>
  <c r="G615" s="1"/>
  <c r="G616" s="1"/>
  <c r="I570"/>
  <c r="I572"/>
  <c r="G645"/>
  <c r="G646" s="1"/>
  <c r="G647" s="1"/>
  <c r="G648" s="1"/>
  <c r="G649" s="1"/>
  <c r="H643"/>
  <c r="H823"/>
  <c r="H824" s="1"/>
  <c r="D24" i="14"/>
  <c r="D18" i="15"/>
  <c r="G163" i="35"/>
  <c r="G164" s="1"/>
  <c r="D170"/>
  <c r="G823"/>
  <c r="G824" s="1"/>
  <c r="F26" i="14"/>
  <c r="E27"/>
  <c r="G839" i="35"/>
  <c r="G841" s="1"/>
  <c r="D878"/>
  <c r="K840"/>
  <c r="I839"/>
  <c r="I841" s="1"/>
  <c r="I842" s="1"/>
  <c r="J840"/>
  <c r="D858"/>
  <c r="H839"/>
  <c r="H841" s="1"/>
  <c r="H842" s="1"/>
  <c r="H843" s="1"/>
  <c r="H844" s="1"/>
  <c r="G157"/>
  <c r="B21" i="15" l="1"/>
  <c r="C27" i="14"/>
  <c r="I610" i="35"/>
  <c r="I611" s="1"/>
  <c r="I643"/>
  <c r="I644" s="1"/>
  <c r="I645" s="1"/>
  <c r="I646" s="1"/>
  <c r="I647" s="1"/>
  <c r="I648" s="1"/>
  <c r="I649" s="1"/>
  <c r="H644"/>
  <c r="H645" s="1"/>
  <c r="H646" s="1"/>
  <c r="H647" s="1"/>
  <c r="H648" s="1"/>
  <c r="H649" s="1"/>
  <c r="H626"/>
  <c r="H627" s="1"/>
  <c r="I625"/>
  <c r="I626" s="1"/>
  <c r="G158"/>
  <c r="G159" s="1"/>
  <c r="G842"/>
  <c r="K838"/>
  <c r="K841" s="1"/>
  <c r="J838"/>
  <c r="J841" s="1"/>
  <c r="G165"/>
  <c r="G166" s="1"/>
  <c r="D25" i="14"/>
  <c r="D19" i="15"/>
  <c r="H858" i="35"/>
  <c r="H860" s="1"/>
  <c r="H861" s="1"/>
  <c r="G858"/>
  <c r="G860" s="1"/>
  <c r="G861" s="1"/>
  <c r="G862" s="1"/>
  <c r="G863" s="1"/>
  <c r="I858"/>
  <c r="I860" s="1"/>
  <c r="I861" s="1"/>
  <c r="I843"/>
  <c r="I844" s="1"/>
  <c r="J879"/>
  <c r="I878"/>
  <c r="I880" s="1"/>
  <c r="I882" s="1"/>
  <c r="I883" s="1"/>
  <c r="I884" s="1"/>
  <c r="K879"/>
  <c r="D934"/>
  <c r="H878"/>
  <c r="H880" s="1"/>
  <c r="H881" s="1"/>
  <c r="H882" s="1"/>
  <c r="H883" s="1"/>
  <c r="H884" s="1"/>
  <c r="G878"/>
  <c r="G880" s="1"/>
  <c r="D898"/>
  <c r="F27" i="14"/>
  <c r="E28"/>
  <c r="G170" i="35"/>
  <c r="G171" s="1"/>
  <c r="D184"/>
  <c r="I627" l="1"/>
  <c r="I628" s="1"/>
  <c r="I629" s="1"/>
  <c r="I630" s="1"/>
  <c r="I631" s="1"/>
  <c r="I632" s="1"/>
  <c r="C28" i="14"/>
  <c r="B22" i="15"/>
  <c r="H628" i="35"/>
  <c r="H629" s="1"/>
  <c r="H630" s="1"/>
  <c r="H631" s="1"/>
  <c r="H632" s="1"/>
  <c r="I612"/>
  <c r="I613" s="1"/>
  <c r="I614" s="1"/>
  <c r="I615" s="1"/>
  <c r="I616" s="1"/>
  <c r="G172"/>
  <c r="G173" s="1"/>
  <c r="E29" i="14"/>
  <c r="F28"/>
  <c r="I898" i="35"/>
  <c r="I899" s="1"/>
  <c r="I900" s="1"/>
  <c r="I901" s="1"/>
  <c r="I902" s="1"/>
  <c r="H898"/>
  <c r="H899" s="1"/>
  <c r="H900" s="1"/>
  <c r="H901" s="1"/>
  <c r="H902" s="1"/>
  <c r="D916"/>
  <c r="G898"/>
  <c r="G899" s="1"/>
  <c r="G900" s="1"/>
  <c r="D20" i="15"/>
  <c r="D26" i="14"/>
  <c r="J843" i="35"/>
  <c r="J844"/>
  <c r="G843"/>
  <c r="G844" s="1"/>
  <c r="D194"/>
  <c r="I184"/>
  <c r="K184"/>
  <c r="G184"/>
  <c r="G189" s="1"/>
  <c r="F192" s="1"/>
  <c r="G192" s="1"/>
  <c r="M184"/>
  <c r="H184"/>
  <c r="H189" s="1"/>
  <c r="J877"/>
  <c r="J880" s="1"/>
  <c r="J884" s="1"/>
  <c r="G881"/>
  <c r="G882" s="1"/>
  <c r="G883" s="1"/>
  <c r="G884" s="1"/>
  <c r="K877"/>
  <c r="K880" s="1"/>
  <c r="K884" s="1"/>
  <c r="G934"/>
  <c r="G936" s="1"/>
  <c r="G937" s="1"/>
  <c r="G938" s="1"/>
  <c r="G939" s="1"/>
  <c r="D953"/>
  <c r="H934"/>
  <c r="H936" s="1"/>
  <c r="H937" s="1"/>
  <c r="I934"/>
  <c r="I936" s="1"/>
  <c r="I937" s="1"/>
  <c r="I862"/>
  <c r="I863" s="1"/>
  <c r="H862"/>
  <c r="H863" s="1"/>
  <c r="K843"/>
  <c r="K844" s="1"/>
  <c r="C29" i="14" l="1"/>
  <c r="B23" i="15"/>
  <c r="H938" i="35"/>
  <c r="H939" s="1"/>
  <c r="F199"/>
  <c r="G199" s="1"/>
  <c r="F206"/>
  <c r="G206" s="1"/>
  <c r="I190"/>
  <c r="H192" s="1"/>
  <c r="I192" s="1"/>
  <c r="J184"/>
  <c r="J190" s="1"/>
  <c r="D27" i="14"/>
  <c r="D21" i="15"/>
  <c r="G901" i="35"/>
  <c r="G902" s="1"/>
  <c r="I938"/>
  <c r="I939" s="1"/>
  <c r="H953"/>
  <c r="H954" s="1"/>
  <c r="H955" s="1"/>
  <c r="D969"/>
  <c r="G953"/>
  <c r="G954" s="1"/>
  <c r="G955" s="1"/>
  <c r="G956" s="1"/>
  <c r="G957" s="1"/>
  <c r="I953"/>
  <c r="I954" s="1"/>
  <c r="I955" s="1"/>
  <c r="I956" s="1"/>
  <c r="I957" s="1"/>
  <c r="N184"/>
  <c r="N190" s="1"/>
  <c r="M190"/>
  <c r="L184"/>
  <c r="L190" s="1"/>
  <c r="K190"/>
  <c r="J192" s="1"/>
  <c r="K192" s="1"/>
  <c r="G194"/>
  <c r="G195" s="1"/>
  <c r="D201"/>
  <c r="K194"/>
  <c r="I194"/>
  <c r="I916"/>
  <c r="I917" s="1"/>
  <c r="I918" s="1"/>
  <c r="I919" s="1"/>
  <c r="I920" s="1"/>
  <c r="G916"/>
  <c r="G917" s="1"/>
  <c r="G918" s="1"/>
  <c r="H916"/>
  <c r="H917" s="1"/>
  <c r="H918" s="1"/>
  <c r="H919" s="1"/>
  <c r="H920" s="1"/>
  <c r="F29" i="14"/>
  <c r="E30"/>
  <c r="B24" i="15" l="1"/>
  <c r="C30" i="14"/>
  <c r="G919" i="35"/>
  <c r="G920" s="1"/>
  <c r="G201"/>
  <c r="G202" s="1"/>
  <c r="G203" s="1"/>
  <c r="G204" s="1"/>
  <c r="I201"/>
  <c r="K201"/>
  <c r="D208"/>
  <c r="K195"/>
  <c r="G969"/>
  <c r="G971" s="1"/>
  <c r="G972" s="1"/>
  <c r="D987"/>
  <c r="I969"/>
  <c r="I971" s="1"/>
  <c r="I972" s="1"/>
  <c r="H969"/>
  <c r="H971" s="1"/>
  <c r="H972" s="1"/>
  <c r="H973" s="1"/>
  <c r="H974" s="1"/>
  <c r="H206"/>
  <c r="I206" s="1"/>
  <c r="H199"/>
  <c r="I199" s="1"/>
  <c r="I202" s="1"/>
  <c r="I203" s="1"/>
  <c r="I204" s="1"/>
  <c r="E31" i="14"/>
  <c r="F30"/>
  <c r="G196" i="35"/>
  <c r="G197"/>
  <c r="J199"/>
  <c r="K199" s="1"/>
  <c r="J206"/>
  <c r="K206" s="1"/>
  <c r="H956"/>
  <c r="H957" s="1"/>
  <c r="D28" i="14"/>
  <c r="D22" i="15"/>
  <c r="I195" i="35"/>
  <c r="K209" i="24"/>
  <c r="M209" s="1"/>
  <c r="K202" i="35" l="1"/>
  <c r="K203" s="1"/>
  <c r="K204" s="1"/>
  <c r="C31" i="14"/>
  <c r="B25" i="15"/>
  <c r="I196" i="35"/>
  <c r="I197" s="1"/>
  <c r="D23" i="15"/>
  <c r="D29" i="14"/>
  <c r="E32"/>
  <c r="F31"/>
  <c r="I973" i="35"/>
  <c r="I974" s="1"/>
  <c r="G973"/>
  <c r="G974" s="1"/>
  <c r="G208"/>
  <c r="G209" s="1"/>
  <c r="G210" s="1"/>
  <c r="G211" s="1"/>
  <c r="K208"/>
  <c r="K209" s="1"/>
  <c r="I208"/>
  <c r="I209" s="1"/>
  <c r="I210" s="1"/>
  <c r="I211" s="1"/>
  <c r="D222"/>
  <c r="D1001"/>
  <c r="G987"/>
  <c r="G989" s="1"/>
  <c r="G990" s="1"/>
  <c r="I987"/>
  <c r="I989" s="1"/>
  <c r="I990" s="1"/>
  <c r="I991" s="1"/>
  <c r="I992" s="1"/>
  <c r="H987"/>
  <c r="H989" s="1"/>
  <c r="H990" s="1"/>
  <c r="K196"/>
  <c r="K197" s="1"/>
  <c r="O210" i="24"/>
  <c r="B26" i="15" l="1"/>
  <c r="C32" i="14"/>
  <c r="H991" i="35"/>
  <c r="H992" s="1"/>
  <c r="G991"/>
  <c r="G992" s="1"/>
  <c r="G222"/>
  <c r="G227" s="1"/>
  <c r="D232"/>
  <c r="I222"/>
  <c r="I227" s="1"/>
  <c r="H222"/>
  <c r="H227" s="1"/>
  <c r="K210"/>
  <c r="K211" s="1"/>
  <c r="D30" i="14"/>
  <c r="D24" i="15"/>
  <c r="I1001" i="35"/>
  <c r="I1002" s="1"/>
  <c r="I1003" s="1"/>
  <c r="D1020"/>
  <c r="G1020" s="1"/>
  <c r="G1021" s="1"/>
  <c r="I1177" s="1"/>
  <c r="K1001"/>
  <c r="K1002" s="1"/>
  <c r="K1003" s="1"/>
  <c r="J1001"/>
  <c r="J1002" s="1"/>
  <c r="J1003" s="1"/>
  <c r="H1001"/>
  <c r="H1002" s="1"/>
  <c r="H1003" s="1"/>
  <c r="F1095" s="1"/>
  <c r="G1001"/>
  <c r="G1002" s="1"/>
  <c r="G1003" s="1"/>
  <c r="G1168"/>
  <c r="F32" i="14"/>
  <c r="E33"/>
  <c r="C33" l="1"/>
  <c r="B27" i="15"/>
  <c r="G1004" i="35"/>
  <c r="G1005" s="1"/>
  <c r="J1004"/>
  <c r="J1005" s="1"/>
  <c r="J1177"/>
  <c r="J1178" s="1"/>
  <c r="I1198"/>
  <c r="J1198" s="1"/>
  <c r="J1199" s="1"/>
  <c r="H237"/>
  <c r="H230"/>
  <c r="I230" s="1"/>
  <c r="K232"/>
  <c r="I232"/>
  <c r="D239"/>
  <c r="G232"/>
  <c r="F33" i="14"/>
  <c r="E34"/>
  <c r="J1168" i="35"/>
  <c r="J1169" s="1"/>
  <c r="J1170" s="1"/>
  <c r="J1173" s="1"/>
  <c r="G1189"/>
  <c r="J1189" s="1"/>
  <c r="J1190" s="1"/>
  <c r="J1191" s="1"/>
  <c r="J1194" s="1"/>
  <c r="F1139"/>
  <c r="G1095"/>
  <c r="G1098" s="1"/>
  <c r="G1099" s="1"/>
  <c r="K1004"/>
  <c r="K1005"/>
  <c r="I1004"/>
  <c r="I1005" s="1"/>
  <c r="D25" i="15"/>
  <c r="D31" i="14"/>
  <c r="J237" i="35"/>
  <c r="J230"/>
  <c r="K230" s="1"/>
  <c r="K233" s="1"/>
  <c r="F237"/>
  <c r="G237" s="1"/>
  <c r="F251"/>
  <c r="F230"/>
  <c r="G230" s="1"/>
  <c r="G233" s="1"/>
  <c r="F244"/>
  <c r="G244" s="1"/>
  <c r="C34" i="14" l="1"/>
  <c r="B28" i="15"/>
  <c r="G251" i="35"/>
  <c r="F258"/>
  <c r="K234"/>
  <c r="K235" s="1"/>
  <c r="D26" i="15"/>
  <c r="D32" i="14"/>
  <c r="G1100" i="35"/>
  <c r="G1101" s="1"/>
  <c r="G1102" s="1"/>
  <c r="E35" i="14"/>
  <c r="F34"/>
  <c r="I233" i="35"/>
  <c r="I234" s="1"/>
  <c r="I235" s="1"/>
  <c r="J1200"/>
  <c r="H1201" s="1"/>
  <c r="J1201" s="1"/>
  <c r="J1202" s="1"/>
  <c r="J1203" s="1"/>
  <c r="G234"/>
  <c r="G235" s="1"/>
  <c r="J244"/>
  <c r="K237"/>
  <c r="F1148"/>
  <c r="G1139"/>
  <c r="G1141" s="1"/>
  <c r="I239"/>
  <c r="G239"/>
  <c r="G240" s="1"/>
  <c r="G241" s="1"/>
  <c r="G242" s="1"/>
  <c r="K239"/>
  <c r="D246"/>
  <c r="H244"/>
  <c r="I237"/>
  <c r="J1179"/>
  <c r="I240" l="1"/>
  <c r="K240"/>
  <c r="K241" s="1"/>
  <c r="K242" s="1"/>
  <c r="C35" i="14"/>
  <c r="B29" i="15"/>
  <c r="I241" i="35"/>
  <c r="I242" s="1"/>
  <c r="G246"/>
  <c r="G247" s="1"/>
  <c r="D253"/>
  <c r="I246"/>
  <c r="K246"/>
  <c r="G1142"/>
  <c r="G1143" s="1"/>
  <c r="G1144" s="1"/>
  <c r="D27" i="15"/>
  <c r="D33" i="14"/>
  <c r="G258" i="35"/>
  <c r="F265"/>
  <c r="H1180"/>
  <c r="J1180" s="1"/>
  <c r="J1181" s="1"/>
  <c r="J1182" s="1"/>
  <c r="H251"/>
  <c r="I244"/>
  <c r="F1156"/>
  <c r="G1156" s="1"/>
  <c r="G1159" s="1"/>
  <c r="G1148"/>
  <c r="G1150" s="1"/>
  <c r="J251"/>
  <c r="K244"/>
  <c r="E36" i="14"/>
  <c r="F35"/>
  <c r="K247" i="35" l="1"/>
  <c r="C36" i="14"/>
  <c r="B30" i="15"/>
  <c r="K248" i="35"/>
  <c r="K249" s="1"/>
  <c r="G1151"/>
  <c r="G1152" s="1"/>
  <c r="G1153" s="1"/>
  <c r="I247"/>
  <c r="I248" s="1"/>
  <c r="I249" s="1"/>
  <c r="F272"/>
  <c r="G272" s="1"/>
  <c r="G265"/>
  <c r="D34" i="14"/>
  <c r="D28" i="15"/>
  <c r="I253" i="35"/>
  <c r="G253"/>
  <c r="G254" s="1"/>
  <c r="K253"/>
  <c r="D260"/>
  <c r="F36" i="14"/>
  <c r="E37"/>
  <c r="J258" i="35"/>
  <c r="K251"/>
  <c r="G1160"/>
  <c r="G1161" s="1"/>
  <c r="G1162" s="1"/>
  <c r="H258"/>
  <c r="I251"/>
  <c r="G248"/>
  <c r="G249" s="1"/>
  <c r="B31" i="15" l="1"/>
  <c r="C37" i="14"/>
  <c r="H265" i="35"/>
  <c r="I258"/>
  <c r="J265"/>
  <c r="K258"/>
  <c r="D29" i="15"/>
  <c r="D35" i="14"/>
  <c r="I254" i="35"/>
  <c r="I255" s="1"/>
  <c r="I256" s="1"/>
  <c r="K254"/>
  <c r="E38" i="14"/>
  <c r="F37"/>
  <c r="G260" i="35"/>
  <c r="G261" s="1"/>
  <c r="I260"/>
  <c r="D267"/>
  <c r="K260"/>
  <c r="G255"/>
  <c r="G256" s="1"/>
  <c r="B32" i="15" l="1"/>
  <c r="C38" i="14"/>
  <c r="K255" i="35"/>
  <c r="K256" s="1"/>
  <c r="D36" i="14"/>
  <c r="D30" i="15"/>
  <c r="K261" i="35"/>
  <c r="K262" s="1"/>
  <c r="K263" s="1"/>
  <c r="I261"/>
  <c r="I262" s="1"/>
  <c r="I263" s="1"/>
  <c r="I267"/>
  <c r="G267"/>
  <c r="G268" s="1"/>
  <c r="K267"/>
  <c r="D274"/>
  <c r="G262"/>
  <c r="G263" s="1"/>
  <c r="F38" i="14"/>
  <c r="E39"/>
  <c r="J272" i="35"/>
  <c r="K272" s="1"/>
  <c r="K265"/>
  <c r="K268" s="1"/>
  <c r="K269" s="1"/>
  <c r="K270" s="1"/>
  <c r="I265"/>
  <c r="H272"/>
  <c r="I272" s="1"/>
  <c r="I268" l="1"/>
  <c r="I269" s="1"/>
  <c r="I270" s="1"/>
  <c r="C39" i="14"/>
  <c r="B33" i="15"/>
  <c r="F39" i="14"/>
  <c r="E40"/>
  <c r="I274" i="35"/>
  <c r="I275" s="1"/>
  <c r="I276" s="1"/>
  <c r="I277" s="1"/>
  <c r="D289"/>
  <c r="K274"/>
  <c r="K275" s="1"/>
  <c r="G274"/>
  <c r="G275" s="1"/>
  <c r="G276" s="1"/>
  <c r="G277" s="1"/>
  <c r="G269"/>
  <c r="G270" s="1"/>
  <c r="D31" i="15"/>
  <c r="D37" i="14"/>
  <c r="B34" i="15" l="1"/>
  <c r="C40" i="14"/>
  <c r="D306" i="35"/>
  <c r="G289"/>
  <c r="G294" s="1"/>
  <c r="E41" i="14"/>
  <c r="F40"/>
  <c r="D38"/>
  <c r="D32" i="15"/>
  <c r="K276" i="35"/>
  <c r="K277" s="1"/>
  <c r="B35" i="15" l="1"/>
  <c r="C41" i="14"/>
  <c r="F318" i="35"/>
  <c r="G318" s="1"/>
  <c r="F295"/>
  <c r="F299" s="1"/>
  <c r="G299" s="1"/>
  <c r="G300" s="1"/>
  <c r="G296"/>
  <c r="G297" s="1"/>
  <c r="F311"/>
  <c r="G311" s="1"/>
  <c r="F304"/>
  <c r="G304" s="1"/>
  <c r="D33" i="15"/>
  <c r="D39" i="14"/>
  <c r="E42"/>
  <c r="F41"/>
  <c r="G306" i="35"/>
  <c r="D313"/>
  <c r="C42" i="14" l="1"/>
  <c r="B36" i="15"/>
  <c r="G307" i="35"/>
  <c r="G308" s="1"/>
  <c r="G309" s="1"/>
  <c r="E43" i="14"/>
  <c r="F42"/>
  <c r="G301" i="35"/>
  <c r="G302" s="1"/>
  <c r="D320"/>
  <c r="G313"/>
  <c r="G314" s="1"/>
  <c r="G315" s="1"/>
  <c r="G316" s="1"/>
  <c r="D34" i="15"/>
  <c r="D40" i="14"/>
  <c r="C43" l="1"/>
  <c r="B37" i="15"/>
  <c r="D41" i="14"/>
  <c r="D35" i="15"/>
  <c r="D334" i="35"/>
  <c r="G320"/>
  <c r="G321" s="1"/>
  <c r="G322" s="1"/>
  <c r="G323" s="1"/>
  <c r="F43" i="14"/>
  <c r="E44"/>
  <c r="C44" l="1"/>
  <c r="B38" i="15"/>
  <c r="E45" i="14"/>
  <c r="F44"/>
  <c r="G334" i="35"/>
  <c r="G339" s="1"/>
  <c r="F341" s="1"/>
  <c r="G341" s="1"/>
  <c r="D343"/>
  <c r="D350"/>
  <c r="K334"/>
  <c r="M334"/>
  <c r="H334"/>
  <c r="H339" s="1"/>
  <c r="I334"/>
  <c r="D36" i="15"/>
  <c r="D42" i="14"/>
  <c r="B39" i="15" l="1"/>
  <c r="C45" i="14"/>
  <c r="D43"/>
  <c r="D37" i="15"/>
  <c r="I339" i="35"/>
  <c r="H341" s="1"/>
  <c r="I341" s="1"/>
  <c r="J334"/>
  <c r="J339" s="1"/>
  <c r="N334"/>
  <c r="N339" s="1"/>
  <c r="L348" s="1"/>
  <c r="M339"/>
  <c r="L341" s="1"/>
  <c r="M341" s="1"/>
  <c r="M350"/>
  <c r="I350"/>
  <c r="D357"/>
  <c r="G350"/>
  <c r="K350"/>
  <c r="F348"/>
  <c r="G348" s="1"/>
  <c r="F355"/>
  <c r="G355" s="1"/>
  <c r="K339"/>
  <c r="J341" s="1"/>
  <c r="K341" s="1"/>
  <c r="L334"/>
  <c r="L339" s="1"/>
  <c r="J348" s="1"/>
  <c r="K343"/>
  <c r="G343"/>
  <c r="G344" s="1"/>
  <c r="M343"/>
  <c r="I343"/>
  <c r="F45" i="14"/>
  <c r="E46"/>
  <c r="G351" i="35" l="1"/>
  <c r="B40" i="15"/>
  <c r="C46" i="14"/>
  <c r="G345" i="35"/>
  <c r="G346" s="1"/>
  <c r="F46" i="14"/>
  <c r="E47"/>
  <c r="K348" i="35"/>
  <c r="K351" s="1"/>
  <c r="K352" s="1"/>
  <c r="K353" s="1"/>
  <c r="J355"/>
  <c r="K355" s="1"/>
  <c r="M344"/>
  <c r="H348"/>
  <c r="I348" s="1"/>
  <c r="I351" s="1"/>
  <c r="I352" s="1"/>
  <c r="I353" s="1"/>
  <c r="H355"/>
  <c r="I355" s="1"/>
  <c r="K344"/>
  <c r="K345" s="1"/>
  <c r="K346" s="1"/>
  <c r="G352"/>
  <c r="G353" s="1"/>
  <c r="I357"/>
  <c r="K357"/>
  <c r="D371"/>
  <c r="M357"/>
  <c r="G357"/>
  <c r="G358" s="1"/>
  <c r="M348"/>
  <c r="M351" s="1"/>
  <c r="L355"/>
  <c r="M355" s="1"/>
  <c r="I344"/>
  <c r="I345" s="1"/>
  <c r="I346" s="1"/>
  <c r="D44" i="14"/>
  <c r="D38" i="15"/>
  <c r="C47" i="14" l="1"/>
  <c r="B41" i="15"/>
  <c r="M358" i="35"/>
  <c r="M359" s="1"/>
  <c r="M360" s="1"/>
  <c r="G359"/>
  <c r="G360" s="1"/>
  <c r="D45" i="14"/>
  <c r="D39" i="15"/>
  <c r="J371" i="35"/>
  <c r="J376" s="1"/>
  <c r="I371"/>
  <c r="I376" s="1"/>
  <c r="D381"/>
  <c r="H371"/>
  <c r="H376" s="1"/>
  <c r="G371"/>
  <c r="G376" s="1"/>
  <c r="K358"/>
  <c r="M352"/>
  <c r="M353" s="1"/>
  <c r="I358"/>
  <c r="M345"/>
  <c r="M346" s="1"/>
  <c r="E48" i="14"/>
  <c r="F47"/>
  <c r="B42" i="15" l="1"/>
  <c r="C48" i="14"/>
  <c r="F48"/>
  <c r="E49"/>
  <c r="H386" i="35"/>
  <c r="H379"/>
  <c r="I379" s="1"/>
  <c r="J379"/>
  <c r="K379" s="1"/>
  <c r="J386"/>
  <c r="I359"/>
  <c r="I360" s="1"/>
  <c r="K359"/>
  <c r="K360" s="1"/>
  <c r="F386"/>
  <c r="F379"/>
  <c r="G379" s="1"/>
  <c r="M381"/>
  <c r="K381"/>
  <c r="G381"/>
  <c r="I381"/>
  <c r="D388"/>
  <c r="L379"/>
  <c r="M379" s="1"/>
  <c r="M382" s="1"/>
  <c r="M383" s="1"/>
  <c r="M384" s="1"/>
  <c r="L386"/>
  <c r="D40" i="15"/>
  <c r="D46" i="14"/>
  <c r="E7" i="70" l="1"/>
  <c r="J7" s="1"/>
  <c r="E8"/>
  <c r="J8" s="1"/>
  <c r="E9"/>
  <c r="J9" s="1"/>
  <c r="F92" i="71" s="1"/>
  <c r="G92" s="1"/>
  <c r="G93" s="1"/>
  <c r="G94" s="1"/>
  <c r="G382" i="35"/>
  <c r="G383" s="1"/>
  <c r="G384" s="1"/>
  <c r="C49" i="14"/>
  <c r="B43" i="15"/>
  <c r="K386" i="35"/>
  <c r="J393"/>
  <c r="I382"/>
  <c r="E50" i="14"/>
  <c r="F49"/>
  <c r="D47"/>
  <c r="D41" i="15"/>
  <c r="L393" i="35"/>
  <c r="M386"/>
  <c r="G388"/>
  <c r="I388"/>
  <c r="M388"/>
  <c r="D423"/>
  <c r="D395"/>
  <c r="K388"/>
  <c r="F393"/>
  <c r="G386"/>
  <c r="K382"/>
  <c r="H393"/>
  <c r="I386"/>
  <c r="F713" i="71" l="1"/>
  <c r="F1612"/>
  <c r="G1612" s="1"/>
  <c r="F540"/>
  <c r="F134"/>
  <c r="F1615"/>
  <c r="G1615" s="1"/>
  <c r="F1743"/>
  <c r="I1743" s="1"/>
  <c r="F1749" s="1"/>
  <c r="I1749" s="1"/>
  <c r="I1750" s="1"/>
  <c r="F945"/>
  <c r="G945" s="1"/>
  <c r="K34" i="68"/>
  <c r="M34" s="1"/>
  <c r="F1641" i="71"/>
  <c r="F190"/>
  <c r="G190" s="1"/>
  <c r="F843"/>
  <c r="G843" s="1"/>
  <c r="F980"/>
  <c r="G980" s="1"/>
  <c r="F207"/>
  <c r="G207" s="1"/>
  <c r="F1000"/>
  <c r="F965"/>
  <c r="F220"/>
  <c r="G220" s="1"/>
  <c r="F233"/>
  <c r="G389" i="35"/>
  <c r="M389"/>
  <c r="M390" s="1"/>
  <c r="M391" s="1"/>
  <c r="I389"/>
  <c r="B44" i="15"/>
  <c r="C50" i="14"/>
  <c r="I393" i="35"/>
  <c r="H400"/>
  <c r="F400"/>
  <c r="G393"/>
  <c r="K395"/>
  <c r="G395"/>
  <c r="I395"/>
  <c r="M395"/>
  <c r="D402"/>
  <c r="L400"/>
  <c r="M393"/>
  <c r="D48" i="14"/>
  <c r="D42" i="15"/>
  <c r="E51" i="14"/>
  <c r="F50"/>
  <c r="J400" i="35"/>
  <c r="K393"/>
  <c r="I390"/>
  <c r="I391" s="1"/>
  <c r="K383"/>
  <c r="K384" s="1"/>
  <c r="G390"/>
  <c r="G391" s="1"/>
  <c r="D438"/>
  <c r="G423"/>
  <c r="G424" s="1"/>
  <c r="I383"/>
  <c r="I384" s="1"/>
  <c r="K389"/>
  <c r="G134" i="71" l="1"/>
  <c r="G140" s="1"/>
  <c r="F671" s="1"/>
  <c r="F145"/>
  <c r="G145" s="1"/>
  <c r="G151" s="1"/>
  <c r="F156"/>
  <c r="F111"/>
  <c r="G111" s="1"/>
  <c r="G117" s="1"/>
  <c r="F656" s="1"/>
  <c r="G656" s="1"/>
  <c r="H945"/>
  <c r="F953"/>
  <c r="G953" s="1"/>
  <c r="H953" s="1"/>
  <c r="G956"/>
  <c r="G957" s="1"/>
  <c r="F553"/>
  <c r="G553" s="1"/>
  <c r="G559" s="1"/>
  <c r="G540"/>
  <c r="F565"/>
  <c r="F966"/>
  <c r="G966" s="1"/>
  <c r="H966" s="1"/>
  <c r="G965"/>
  <c r="D1753"/>
  <c r="D1756" s="1"/>
  <c r="D1757" s="1"/>
  <c r="D1758" s="1"/>
  <c r="D1759" s="1"/>
  <c r="D1760" s="1"/>
  <c r="I1751"/>
  <c r="E1753"/>
  <c r="E1756" s="1"/>
  <c r="E1757" s="1"/>
  <c r="E1758" s="1"/>
  <c r="E1759" s="1"/>
  <c r="E1760" s="1"/>
  <c r="G1621"/>
  <c r="E1624" s="1"/>
  <c r="F265"/>
  <c r="G233"/>
  <c r="F1656"/>
  <c r="I1656" s="1"/>
  <c r="I1666" s="1"/>
  <c r="I1667" s="1"/>
  <c r="G1641"/>
  <c r="G1648" s="1"/>
  <c r="G1649" s="1"/>
  <c r="I1650" s="1"/>
  <c r="I1651" s="1"/>
  <c r="H980"/>
  <c r="F990"/>
  <c r="G990" s="1"/>
  <c r="H990" s="1"/>
  <c r="G991"/>
  <c r="G992" s="1"/>
  <c r="F1014"/>
  <c r="F1048"/>
  <c r="G1000"/>
  <c r="F716"/>
  <c r="G716" s="1"/>
  <c r="H716" s="1"/>
  <c r="I716" s="1"/>
  <c r="G713"/>
  <c r="C51" i="14"/>
  <c r="B45" i="15"/>
  <c r="K396" i="35"/>
  <c r="K397" s="1"/>
  <c r="K398" s="1"/>
  <c r="G438"/>
  <c r="G439" s="1"/>
  <c r="D454"/>
  <c r="J407"/>
  <c r="K407" s="1"/>
  <c r="K400"/>
  <c r="M396"/>
  <c r="D409"/>
  <c r="M402"/>
  <c r="K402"/>
  <c r="G402"/>
  <c r="I402"/>
  <c r="F407"/>
  <c r="G407" s="1"/>
  <c r="G400"/>
  <c r="I396"/>
  <c r="K390"/>
  <c r="K391" s="1"/>
  <c r="G425"/>
  <c r="G426" s="1"/>
  <c r="F51" i="14"/>
  <c r="E52"/>
  <c r="D43" i="15"/>
  <c r="D49" i="14"/>
  <c r="L407" i="35"/>
  <c r="M407" s="1"/>
  <c r="M400"/>
  <c r="G396"/>
  <c r="H407"/>
  <c r="I407" s="1"/>
  <c r="I400"/>
  <c r="F721" i="71" l="1"/>
  <c r="G726"/>
  <c r="G727" s="1"/>
  <c r="H713"/>
  <c r="F1029"/>
  <c r="G1029" s="1"/>
  <c r="G1014"/>
  <c r="G1023" s="1"/>
  <c r="G1024" s="1"/>
  <c r="E1632"/>
  <c r="E1633" s="1"/>
  <c r="G1624"/>
  <c r="E1630"/>
  <c r="E1631" s="1"/>
  <c r="E661"/>
  <c r="G661" s="1"/>
  <c r="H661" s="1"/>
  <c r="I661" s="1"/>
  <c r="H656"/>
  <c r="G666"/>
  <c r="G667" s="1"/>
  <c r="G156"/>
  <c r="G162" s="1"/>
  <c r="F167"/>
  <c r="F1007"/>
  <c r="G1007" s="1"/>
  <c r="H1007" s="1"/>
  <c r="H1000"/>
  <c r="H1008" s="1"/>
  <c r="H1009" s="1"/>
  <c r="G1008"/>
  <c r="G1009" s="1"/>
  <c r="G565"/>
  <c r="G572" s="1"/>
  <c r="G574" s="1"/>
  <c r="G575" s="1"/>
  <c r="H565"/>
  <c r="H572" s="1"/>
  <c r="H574" s="1"/>
  <c r="H575" s="1"/>
  <c r="I565"/>
  <c r="I572" s="1"/>
  <c r="I574" s="1"/>
  <c r="I575" s="1"/>
  <c r="K154" i="68" s="1"/>
  <c r="M154" s="1"/>
  <c r="G974" i="71"/>
  <c r="G975" s="1"/>
  <c r="H965"/>
  <c r="F973"/>
  <c r="G973" s="1"/>
  <c r="H973" s="1"/>
  <c r="K200" i="68"/>
  <c r="M200" s="1"/>
  <c r="F1083" i="71"/>
  <c r="G1083" s="1"/>
  <c r="F1099"/>
  <c r="G1099" s="1"/>
  <c r="G1048"/>
  <c r="F1066"/>
  <c r="H991"/>
  <c r="H992" s="1"/>
  <c r="F296"/>
  <c r="F419"/>
  <c r="F248"/>
  <c r="G248" s="1"/>
  <c r="G265"/>
  <c r="E545"/>
  <c r="G547"/>
  <c r="H956"/>
  <c r="H957" s="1"/>
  <c r="H671"/>
  <c r="I671"/>
  <c r="G671"/>
  <c r="G403" i="35"/>
  <c r="B46" i="15"/>
  <c r="C52" i="14"/>
  <c r="M403" i="35"/>
  <c r="M404" s="1"/>
  <c r="M405" s="1"/>
  <c r="I403"/>
  <c r="D44" i="15"/>
  <c r="D50" i="14"/>
  <c r="E53"/>
  <c r="F52"/>
  <c r="G404" i="35"/>
  <c r="G405" s="1"/>
  <c r="I409"/>
  <c r="I410" s="1"/>
  <c r="I411" s="1"/>
  <c r="I412" s="1"/>
  <c r="M409"/>
  <c r="M410" s="1"/>
  <c r="M411" s="1"/>
  <c r="M412" s="1"/>
  <c r="K409"/>
  <c r="K410" s="1"/>
  <c r="K411" s="1"/>
  <c r="K412" s="1"/>
  <c r="G409"/>
  <c r="G410" s="1"/>
  <c r="G411" s="1"/>
  <c r="G412" s="1"/>
  <c r="I454"/>
  <c r="I455" s="1"/>
  <c r="M454"/>
  <c r="M455" s="1"/>
  <c r="G454"/>
  <c r="G455" s="1"/>
  <c r="D457"/>
  <c r="K454"/>
  <c r="K455" s="1"/>
  <c r="D473"/>
  <c r="I404"/>
  <c r="I405" s="1"/>
  <c r="G397"/>
  <c r="G398" s="1"/>
  <c r="I397"/>
  <c r="I398" s="1"/>
  <c r="M397"/>
  <c r="M398" s="1"/>
  <c r="K403"/>
  <c r="G440"/>
  <c r="G441" s="1"/>
  <c r="E676" i="71" l="1"/>
  <c r="G676" s="1"/>
  <c r="H676" s="1"/>
  <c r="I676" s="1"/>
  <c r="I681" s="1"/>
  <c r="I682" s="1"/>
  <c r="G681"/>
  <c r="G1056"/>
  <c r="G1057" s="1"/>
  <c r="G1058" s="1"/>
  <c r="G1059" s="1"/>
  <c r="H1048"/>
  <c r="H1056" s="1"/>
  <c r="H1057" s="1"/>
  <c r="H1058" s="1"/>
  <c r="H1059" s="1"/>
  <c r="K196" i="68"/>
  <c r="M196" s="1"/>
  <c r="F927" i="71"/>
  <c r="G927" s="1"/>
  <c r="F826"/>
  <c r="G826" s="1"/>
  <c r="H1029"/>
  <c r="F1036"/>
  <c r="G1036" s="1"/>
  <c r="H1036" s="1"/>
  <c r="K161" i="68"/>
  <c r="M161" s="1"/>
  <c r="H726" i="71"/>
  <c r="H727" s="1"/>
  <c r="I713"/>
  <c r="I726" s="1"/>
  <c r="I727" s="1"/>
  <c r="H681"/>
  <c r="H682" s="1"/>
  <c r="G1091"/>
  <c r="G1092" s="1"/>
  <c r="G1093" s="1"/>
  <c r="G1094" s="1"/>
  <c r="H1083"/>
  <c r="H1091" s="1"/>
  <c r="H1092" s="1"/>
  <c r="H1093" s="1"/>
  <c r="H1094" s="1"/>
  <c r="I656"/>
  <c r="I666" s="1"/>
  <c r="I667" s="1"/>
  <c r="H666"/>
  <c r="H667" s="1"/>
  <c r="K178" i="68"/>
  <c r="M178" s="1"/>
  <c r="F929" i="71"/>
  <c r="G929" s="1"/>
  <c r="H929" s="1"/>
  <c r="G419"/>
  <c r="F449"/>
  <c r="G296"/>
  <c r="F350"/>
  <c r="H1099"/>
  <c r="H1109" s="1"/>
  <c r="H1110" s="1"/>
  <c r="H1111" s="1"/>
  <c r="H1112" s="1"/>
  <c r="G1109"/>
  <c r="G1110" s="1"/>
  <c r="G1111" s="1"/>
  <c r="G1112" s="1"/>
  <c r="G1630"/>
  <c r="G1631" s="1"/>
  <c r="G1632" s="1"/>
  <c r="G1633" s="1"/>
  <c r="I1624"/>
  <c r="I1630" s="1"/>
  <c r="I1631" s="1"/>
  <c r="I1632" s="1"/>
  <c r="I1633" s="1"/>
  <c r="G1066"/>
  <c r="F1067"/>
  <c r="G1067" s="1"/>
  <c r="H1067" s="1"/>
  <c r="H974"/>
  <c r="H975" s="1"/>
  <c r="F178"/>
  <c r="G178" s="1"/>
  <c r="G184" s="1"/>
  <c r="F622" s="1"/>
  <c r="G167"/>
  <c r="G173" s="1"/>
  <c r="C53" i="14"/>
  <c r="B47" i="15"/>
  <c r="K32" i="24"/>
  <c r="M32" s="1"/>
  <c r="D45" i="15"/>
  <c r="D51" i="14"/>
  <c r="K404" i="35"/>
  <c r="K405" s="1"/>
  <c r="G473"/>
  <c r="G474" s="1"/>
  <c r="D489"/>
  <c r="K457"/>
  <c r="K458" s="1"/>
  <c r="K459" s="1"/>
  <c r="K460" s="1"/>
  <c r="I457"/>
  <c r="I458" s="1"/>
  <c r="I459" s="1"/>
  <c r="I460" s="1"/>
  <c r="M457"/>
  <c r="M458" s="1"/>
  <c r="M459" s="1"/>
  <c r="M460" s="1"/>
  <c r="G457"/>
  <c r="G458" s="1"/>
  <c r="G459" s="1"/>
  <c r="G460" s="1"/>
  <c r="E54" i="14"/>
  <c r="F53"/>
  <c r="H296" i="71" l="1"/>
  <c r="D314"/>
  <c r="E314" s="1"/>
  <c r="F314" s="1"/>
  <c r="G314" s="1"/>
  <c r="H927"/>
  <c r="F935"/>
  <c r="G935" s="1"/>
  <c r="H935" s="1"/>
  <c r="H939" s="1"/>
  <c r="H940" s="1"/>
  <c r="H941" s="1"/>
  <c r="G1074"/>
  <c r="G1075" s="1"/>
  <c r="G1076" s="1"/>
  <c r="G1077" s="1"/>
  <c r="H1066"/>
  <c r="H1074" s="1"/>
  <c r="H1075" s="1"/>
  <c r="H1076" s="1"/>
  <c r="H1077" s="1"/>
  <c r="H1039"/>
  <c r="H1040" s="1"/>
  <c r="J681"/>
  <c r="J682" s="1"/>
  <c r="G682"/>
  <c r="F607"/>
  <c r="G607" s="1"/>
  <c r="G613" s="1"/>
  <c r="G616" s="1"/>
  <c r="G622"/>
  <c r="G449"/>
  <c r="H449" s="1"/>
  <c r="I449"/>
  <c r="J449" s="1"/>
  <c r="K449" s="1"/>
  <c r="L449" s="1"/>
  <c r="F479"/>
  <c r="G1039"/>
  <c r="G1040" s="1"/>
  <c r="F581"/>
  <c r="F640"/>
  <c r="G640" s="1"/>
  <c r="G350"/>
  <c r="H350"/>
  <c r="I350" s="1"/>
  <c r="F832"/>
  <c r="H826"/>
  <c r="C54" i="14"/>
  <c r="B48" i="15"/>
  <c r="K37" i="24"/>
  <c r="M37" s="1"/>
  <c r="D493" i="35"/>
  <c r="I489"/>
  <c r="I490" s="1"/>
  <c r="M489"/>
  <c r="M490" s="1"/>
  <c r="G489"/>
  <c r="G490" s="1"/>
  <c r="K489"/>
  <c r="K490" s="1"/>
  <c r="D46" i="15"/>
  <c r="D52" i="14"/>
  <c r="F54"/>
  <c r="E55"/>
  <c r="G475" i="35"/>
  <c r="G476" s="1"/>
  <c r="H622" i="71" l="1"/>
  <c r="I622"/>
  <c r="E628"/>
  <c r="G628" s="1"/>
  <c r="H628" s="1"/>
  <c r="I628" s="1"/>
  <c r="G631"/>
  <c r="G634" s="1"/>
  <c r="K168" i="68"/>
  <c r="M168" s="1"/>
  <c r="H479" i="71"/>
  <c r="I479" s="1"/>
  <c r="G479"/>
  <c r="G648"/>
  <c r="G651" s="1"/>
  <c r="G652" s="1"/>
  <c r="H640"/>
  <c r="E645"/>
  <c r="I645" s="1"/>
  <c r="H832"/>
  <c r="H835" s="1"/>
  <c r="H836" s="1"/>
  <c r="G832"/>
  <c r="G835" s="1"/>
  <c r="G836" s="1"/>
  <c r="G581"/>
  <c r="E587" s="1"/>
  <c r="G587" s="1"/>
  <c r="G589" s="1"/>
  <c r="F595"/>
  <c r="G595" s="1"/>
  <c r="G601" s="1"/>
  <c r="G940"/>
  <c r="G941" s="1"/>
  <c r="C55" i="14"/>
  <c r="B49" i="15"/>
  <c r="K160" i="24"/>
  <c r="M160" s="1"/>
  <c r="K183"/>
  <c r="M183" s="1"/>
  <c r="F55" i="14"/>
  <c r="E56"/>
  <c r="D53"/>
  <c r="D47" i="15"/>
  <c r="I493" i="35"/>
  <c r="I494" s="1"/>
  <c r="I495" s="1"/>
  <c r="I496" s="1"/>
  <c r="G493"/>
  <c r="G494" s="1"/>
  <c r="G495" s="1"/>
  <c r="G496" s="1"/>
  <c r="K493"/>
  <c r="K494" s="1"/>
  <c r="D508"/>
  <c r="M493"/>
  <c r="M494" s="1"/>
  <c r="I640" i="71" l="1"/>
  <c r="I648" s="1"/>
  <c r="I651" s="1"/>
  <c r="I652" s="1"/>
  <c r="H648"/>
  <c r="H651" s="1"/>
  <c r="H652" s="1"/>
  <c r="I631"/>
  <c r="I634" s="1"/>
  <c r="K157" i="68"/>
  <c r="M157" s="1"/>
  <c r="H631" i="71"/>
  <c r="H634" s="1"/>
  <c r="C56" i="14"/>
  <c r="B50" i="15"/>
  <c r="K39" i="24"/>
  <c r="M39" s="1"/>
  <c r="G508" i="35"/>
  <c r="G509" s="1"/>
  <c r="D512"/>
  <c r="I508"/>
  <c r="I509" s="1"/>
  <c r="K508"/>
  <c r="K509" s="1"/>
  <c r="M508"/>
  <c r="M509" s="1"/>
  <c r="D526"/>
  <c r="D54" i="14"/>
  <c r="D48" i="15"/>
  <c r="M495" i="35"/>
  <c r="M496" s="1"/>
  <c r="K495"/>
  <c r="K496" s="1"/>
  <c r="E57" i="14"/>
  <c r="F56"/>
  <c r="C57" l="1"/>
  <c r="B51" i="15"/>
  <c r="K49" i="24"/>
  <c r="M49" s="1"/>
  <c r="K35"/>
  <c r="M35" s="1"/>
  <c r="K171"/>
  <c r="M171" s="1"/>
  <c r="F57" i="14"/>
  <c r="E58"/>
  <c r="D55"/>
  <c r="D49" i="15"/>
  <c r="M526" i="35"/>
  <c r="I526"/>
  <c r="K526"/>
  <c r="D529"/>
  <c r="D543"/>
  <c r="G526"/>
  <c r="G512"/>
  <c r="G513" s="1"/>
  <c r="G514" s="1"/>
  <c r="G515" s="1"/>
  <c r="G516" s="1"/>
  <c r="M512"/>
  <c r="M513" s="1"/>
  <c r="M514" s="1"/>
  <c r="M515" s="1"/>
  <c r="M516" s="1"/>
  <c r="K512"/>
  <c r="K513" s="1"/>
  <c r="K514" s="1"/>
  <c r="K515" s="1"/>
  <c r="K516" s="1"/>
  <c r="I512"/>
  <c r="I513" s="1"/>
  <c r="I514" s="1"/>
  <c r="I515" s="1"/>
  <c r="I516" s="1"/>
  <c r="C58" i="14" l="1"/>
  <c r="B52" i="15"/>
  <c r="K79" i="24"/>
  <c r="M79" s="1"/>
  <c r="K227"/>
  <c r="M227" s="1"/>
  <c r="K543" i="35"/>
  <c r="D560"/>
  <c r="D546"/>
  <c r="G543"/>
  <c r="I543"/>
  <c r="M543"/>
  <c r="G529"/>
  <c r="G530" s="1"/>
  <c r="G531" s="1"/>
  <c r="M529"/>
  <c r="M530" s="1"/>
  <c r="M531" s="1"/>
  <c r="M532" s="1"/>
  <c r="M533" s="1"/>
  <c r="I529"/>
  <c r="I530" s="1"/>
  <c r="I531" s="1"/>
  <c r="I532" s="1"/>
  <c r="I533" s="1"/>
  <c r="K529"/>
  <c r="K530" s="1"/>
  <c r="K531" s="1"/>
  <c r="K532" s="1"/>
  <c r="K533" s="1"/>
  <c r="F58" i="14"/>
  <c r="E59"/>
  <c r="K113" i="24"/>
  <c r="M113" s="1"/>
  <c r="D50" i="15"/>
  <c r="D56" i="14"/>
  <c r="C59" l="1"/>
  <c r="B53" i="15"/>
  <c r="K98" i="24"/>
  <c r="M98" s="1"/>
  <c r="K67"/>
  <c r="M67" s="1"/>
  <c r="K73"/>
  <c r="M73" s="1"/>
  <c r="K53"/>
  <c r="M53" s="1"/>
  <c r="K115"/>
  <c r="M115" s="1"/>
  <c r="K206"/>
  <c r="M206" s="1"/>
  <c r="M244" s="1"/>
  <c r="M245" s="1"/>
  <c r="M248" s="1"/>
  <c r="N247" s="1"/>
  <c r="D51" i="15"/>
  <c r="D57" i="14"/>
  <c r="G532" i="35"/>
  <c r="G533" s="1"/>
  <c r="H560"/>
  <c r="H561" s="1"/>
  <c r="D571"/>
  <c r="I560"/>
  <c r="I561" s="1"/>
  <c r="G560"/>
  <c r="G561" s="1"/>
  <c r="F59" i="14"/>
  <c r="E60"/>
  <c r="G546" i="35"/>
  <c r="G547" s="1"/>
  <c r="G548" s="1"/>
  <c r="I546"/>
  <c r="I547" s="1"/>
  <c r="I548" s="1"/>
  <c r="I549" s="1"/>
  <c r="I550" s="1"/>
  <c r="M546"/>
  <c r="M547" s="1"/>
  <c r="M548" s="1"/>
  <c r="M549" s="1"/>
  <c r="M550" s="1"/>
  <c r="K546"/>
  <c r="K547" s="1"/>
  <c r="K548" s="1"/>
  <c r="B54" i="15" l="1"/>
  <c r="C60" i="14"/>
  <c r="K76" i="24"/>
  <c r="M76" s="1"/>
  <c r="K549" i="35"/>
  <c r="K550" s="1"/>
  <c r="D52" i="15"/>
  <c r="D58" i="14"/>
  <c r="G549" i="35"/>
  <c r="G550" s="1"/>
  <c r="E61" i="14"/>
  <c r="F60"/>
  <c r="H571" i="35"/>
  <c r="H573" s="1"/>
  <c r="H574" s="1"/>
  <c r="G571"/>
  <c r="G573" s="1"/>
  <c r="G574" s="1"/>
  <c r="I571"/>
  <c r="I573" s="1"/>
  <c r="I574" s="1"/>
  <c r="C61" i="14" l="1"/>
  <c r="B55" i="15"/>
  <c r="K62" i="24"/>
  <c r="M62" s="1"/>
  <c r="M136" s="1"/>
  <c r="I575" i="35"/>
  <c r="I576" s="1"/>
  <c r="H575"/>
  <c r="H576" s="1"/>
  <c r="D53" i="15"/>
  <c r="D59" i="14"/>
  <c r="G575" i="35"/>
  <c r="G576" s="1"/>
  <c r="E62" i="14"/>
  <c r="F61"/>
  <c r="C62" l="1"/>
  <c r="B56" i="15"/>
  <c r="N243" i="24"/>
  <c r="F26" i="28"/>
  <c r="M138" i="24"/>
  <c r="D54" i="15"/>
  <c r="D60" i="14"/>
  <c r="E63"/>
  <c r="F62"/>
  <c r="B57" i="15" l="1"/>
  <c r="C63" i="14"/>
  <c r="N245" i="24"/>
  <c r="M141"/>
  <c r="N140" s="1"/>
  <c r="F28" i="28"/>
  <c r="F32" s="1"/>
  <c r="F33" s="1"/>
  <c r="D55" i="15"/>
  <c r="D61" i="14"/>
  <c r="F63"/>
  <c r="E64"/>
  <c r="C64" l="1"/>
  <c r="B58" i="15"/>
  <c r="E65" i="14"/>
  <c r="F64"/>
  <c r="D62"/>
  <c r="D56" i="15"/>
  <c r="B59" l="1"/>
  <c r="C65" i="14"/>
  <c r="D57" i="15"/>
  <c r="D63" i="14"/>
  <c r="E66"/>
  <c r="F65"/>
  <c r="C66" l="1"/>
  <c r="B60" i="15"/>
  <c r="D64" i="14"/>
  <c r="D58" i="15"/>
  <c r="F66" i="14"/>
  <c r="E67"/>
  <c r="C67" l="1"/>
  <c r="B61" i="15"/>
  <c r="E68" i="14"/>
  <c r="F67"/>
  <c r="D59" i="15"/>
  <c r="D65" i="14"/>
  <c r="C68" l="1"/>
  <c r="B62" i="15"/>
  <c r="D66" i="14"/>
  <c r="D60" i="15"/>
  <c r="E69" i="14"/>
  <c r="F68"/>
  <c r="C69" l="1"/>
  <c r="B63" i="15"/>
  <c r="E70" i="14"/>
  <c r="F69"/>
  <c r="D67"/>
  <c r="D61" i="15"/>
  <c r="B64" l="1"/>
  <c r="C70" i="14"/>
  <c r="D68"/>
  <c r="D62" i="15"/>
  <c r="F70" i="14"/>
  <c r="E71"/>
  <c r="C71" l="1"/>
  <c r="B65" i="15"/>
  <c r="E72" i="14"/>
  <c r="F71"/>
  <c r="D63" i="15"/>
  <c r="D69" i="14"/>
  <c r="B66" i="15" l="1"/>
  <c r="C72" i="14"/>
  <c r="D64" i="15"/>
  <c r="D70" i="14"/>
  <c r="F72"/>
  <c r="E73"/>
  <c r="C73" l="1"/>
  <c r="B67" i="15"/>
  <c r="F73" i="14"/>
  <c r="E74"/>
  <c r="D71"/>
  <c r="D65" i="15"/>
  <c r="C74" i="14" l="1"/>
  <c r="B68" i="15"/>
  <c r="F74" i="14"/>
  <c r="E75"/>
  <c r="D72"/>
  <c r="D66" i="15"/>
  <c r="C75" i="14" l="1"/>
  <c r="B69" i="15"/>
  <c r="E76" i="14"/>
  <c r="F75"/>
  <c r="D67" i="15"/>
  <c r="D73" i="14"/>
  <c r="B70" i="15" l="1"/>
  <c r="C76" i="14"/>
  <c r="D74"/>
  <c r="D68" i="15"/>
  <c r="F76" i="14"/>
  <c r="E77"/>
  <c r="C77" l="1"/>
  <c r="B71" i="15"/>
  <c r="F77" i="14"/>
  <c r="E78"/>
  <c r="D69" i="15"/>
  <c r="D75" i="14"/>
  <c r="C78" l="1"/>
  <c r="B72" i="15"/>
  <c r="D76" i="14"/>
  <c r="D70" i="15"/>
  <c r="E79" i="14"/>
  <c r="F78"/>
  <c r="C79" l="1"/>
  <c r="B73" i="15"/>
  <c r="E80" i="14"/>
  <c r="F79"/>
  <c r="D71" i="15"/>
  <c r="D77" i="14"/>
  <c r="B74" i="15" l="1"/>
  <c r="C80" i="14"/>
  <c r="D72" i="15"/>
  <c r="D78" i="14"/>
  <c r="E81"/>
  <c r="F80"/>
  <c r="B75" i="15" l="1"/>
  <c r="C81" i="14"/>
  <c r="D79"/>
  <c r="D73" i="15"/>
  <c r="F81" i="14"/>
  <c r="E82"/>
  <c r="B76" i="15" l="1"/>
  <c r="C82" i="14"/>
  <c r="F82"/>
  <c r="E83"/>
  <c r="D80"/>
  <c r="D74" i="15"/>
  <c r="B77" l="1"/>
  <c r="C83" i="14"/>
  <c r="F83"/>
  <c r="E84"/>
  <c r="D81"/>
  <c r="D75" i="15"/>
  <c r="E11" i="70" l="1"/>
  <c r="J11" s="1"/>
  <c r="E14"/>
  <c r="J14" s="1"/>
  <c r="E21"/>
  <c r="J21" s="1"/>
  <c r="F80" i="71" s="1"/>
  <c r="G80" s="1"/>
  <c r="G81" s="1"/>
  <c r="G82" s="1"/>
  <c r="E19" i="70"/>
  <c r="J19" s="1"/>
  <c r="E13"/>
  <c r="J13" s="1"/>
  <c r="E20"/>
  <c r="J20" s="1"/>
  <c r="F222" i="71" s="1"/>
  <c r="G222" s="1"/>
  <c r="E18" i="70"/>
  <c r="J18" s="1"/>
  <c r="F221" i="71" s="1"/>
  <c r="G221" s="1"/>
  <c r="F227" s="1"/>
  <c r="G227" s="1"/>
  <c r="G228" s="1"/>
  <c r="G229" s="1"/>
  <c r="E12" i="70"/>
  <c r="J12" s="1"/>
  <c r="E16"/>
  <c r="J16" s="1"/>
  <c r="E17"/>
  <c r="J17" s="1"/>
  <c r="F912" i="71" s="1"/>
  <c r="G912" s="1"/>
  <c r="H912" s="1"/>
  <c r="E15" i="70"/>
  <c r="J15" s="1"/>
  <c r="C84" i="14"/>
  <c r="B78" i="15"/>
  <c r="F84" i="14"/>
  <c r="E85"/>
  <c r="D76" i="15"/>
  <c r="D82" i="14"/>
  <c r="F264" i="71" l="1"/>
  <c r="G264" s="1"/>
  <c r="F295"/>
  <c r="F247"/>
  <c r="G247" s="1"/>
  <c r="K77" i="68"/>
  <c r="M77" s="1"/>
  <c r="F263" i="71"/>
  <c r="F246"/>
  <c r="G246" s="1"/>
  <c r="F842"/>
  <c r="G842" s="1"/>
  <c r="F189"/>
  <c r="G189" s="1"/>
  <c r="G200" s="1"/>
  <c r="G201" s="1"/>
  <c r="G202" s="1"/>
  <c r="F206"/>
  <c r="G206" s="1"/>
  <c r="G215" s="1"/>
  <c r="F232"/>
  <c r="G232" s="1"/>
  <c r="G241" s="1"/>
  <c r="F262"/>
  <c r="F245"/>
  <c r="G245" s="1"/>
  <c r="F841"/>
  <c r="G841" s="1"/>
  <c r="K115" i="68"/>
  <c r="M115" s="1"/>
  <c r="B79" i="15"/>
  <c r="C85" i="14"/>
  <c r="D77" i="15"/>
  <c r="D83" i="14"/>
  <c r="E86"/>
  <c r="F85"/>
  <c r="G257" i="71" l="1"/>
  <c r="F349"/>
  <c r="G295"/>
  <c r="F911"/>
  <c r="G911" s="1"/>
  <c r="G263"/>
  <c r="G276" s="1"/>
  <c r="F294"/>
  <c r="F418"/>
  <c r="G262"/>
  <c r="F417"/>
  <c r="F293"/>
  <c r="G852"/>
  <c r="C86" i="14"/>
  <c r="B80" i="15"/>
  <c r="D78"/>
  <c r="D84" i="14"/>
  <c r="E87"/>
  <c r="F86"/>
  <c r="F284" i="71" l="1"/>
  <c r="G284" s="1"/>
  <c r="G286" s="1"/>
  <c r="F280"/>
  <c r="G280" s="1"/>
  <c r="G282" s="1"/>
  <c r="G278"/>
  <c r="F277"/>
  <c r="F288"/>
  <c r="G288" s="1"/>
  <c r="G290" s="1"/>
  <c r="D313"/>
  <c r="E313" s="1"/>
  <c r="F313" s="1"/>
  <c r="G313" s="1"/>
  <c r="H295"/>
  <c r="F855"/>
  <c r="F895"/>
  <c r="G895" s="1"/>
  <c r="G898" s="1"/>
  <c r="G900" s="1"/>
  <c r="G418"/>
  <c r="F448"/>
  <c r="G349"/>
  <c r="H349"/>
  <c r="I349" s="1"/>
  <c r="F447"/>
  <c r="G417"/>
  <c r="G429" s="1"/>
  <c r="G921"/>
  <c r="G922" s="1"/>
  <c r="H911"/>
  <c r="H921" s="1"/>
  <c r="H922" s="1"/>
  <c r="F918"/>
  <c r="F347"/>
  <c r="G293"/>
  <c r="G294"/>
  <c r="F348"/>
  <c r="K141" i="68"/>
  <c r="M141" s="1"/>
  <c r="C87" i="14"/>
  <c r="B81" i="15"/>
  <c r="D85" i="14"/>
  <c r="D79" i="15"/>
  <c r="F87" i="14"/>
  <c r="E88"/>
  <c r="H293" i="71" l="1"/>
  <c r="D311"/>
  <c r="G308"/>
  <c r="F334" s="1"/>
  <c r="F336" s="1"/>
  <c r="G855"/>
  <c r="G859" s="1"/>
  <c r="F863"/>
  <c r="G431"/>
  <c r="F434"/>
  <c r="G434" s="1"/>
  <c r="G436" s="1"/>
  <c r="F430"/>
  <c r="F442"/>
  <c r="G442" s="1"/>
  <c r="G444" s="1"/>
  <c r="F438"/>
  <c r="G438" s="1"/>
  <c r="G440" s="1"/>
  <c r="G448"/>
  <c r="H448" s="1"/>
  <c r="F478"/>
  <c r="I448"/>
  <c r="J448" s="1"/>
  <c r="K448" s="1"/>
  <c r="L448" s="1"/>
  <c r="H348"/>
  <c r="I348" s="1"/>
  <c r="G348"/>
  <c r="G447"/>
  <c r="F477"/>
  <c r="I447"/>
  <c r="K82" i="68"/>
  <c r="M82" s="1"/>
  <c r="G347" i="71"/>
  <c r="G362" s="1"/>
  <c r="H347"/>
  <c r="H294"/>
  <c r="D312"/>
  <c r="E312" s="1"/>
  <c r="F312" s="1"/>
  <c r="G312" s="1"/>
  <c r="K100" i="68"/>
  <c r="M100" s="1"/>
  <c r="K86"/>
  <c r="M86" s="1"/>
  <c r="C88" i="14"/>
  <c r="B82" i="15"/>
  <c r="E89" i="14"/>
  <c r="F88"/>
  <c r="D86"/>
  <c r="D80" i="15"/>
  <c r="F382" i="71" l="1"/>
  <c r="G382" s="1"/>
  <c r="G384" s="1"/>
  <c r="F364"/>
  <c r="G364" s="1"/>
  <c r="G366" s="1"/>
  <c r="F375"/>
  <c r="G375" s="1"/>
  <c r="G378" s="1"/>
  <c r="G379" s="1"/>
  <c r="G380" s="1"/>
  <c r="F386"/>
  <c r="F368"/>
  <c r="G368" s="1"/>
  <c r="G371" s="1"/>
  <c r="G372" s="1"/>
  <c r="G373" s="1"/>
  <c r="G860"/>
  <c r="G861"/>
  <c r="K93" i="68"/>
  <c r="M93" s="1"/>
  <c r="J447" i="71"/>
  <c r="I460"/>
  <c r="I463" s="1"/>
  <c r="I465" s="1"/>
  <c r="E311"/>
  <c r="D326"/>
  <c r="G334" s="1"/>
  <c r="G336" s="1"/>
  <c r="H447"/>
  <c r="H460" s="1"/>
  <c r="G460"/>
  <c r="F463" s="1"/>
  <c r="G463" s="1"/>
  <c r="G465" s="1"/>
  <c r="H478"/>
  <c r="I478" s="1"/>
  <c r="G478"/>
  <c r="H362"/>
  <c r="I347"/>
  <c r="I362" s="1"/>
  <c r="G477"/>
  <c r="G490" s="1"/>
  <c r="H477"/>
  <c r="F869"/>
  <c r="G863"/>
  <c r="G866" s="1"/>
  <c r="G867" s="1"/>
  <c r="F890"/>
  <c r="H308"/>
  <c r="C89" i="14"/>
  <c r="B83" i="15"/>
  <c r="D81"/>
  <c r="D87" i="14"/>
  <c r="E90"/>
  <c r="F89"/>
  <c r="F874" i="71" l="1"/>
  <c r="G874" s="1"/>
  <c r="G878" s="1"/>
  <c r="F902"/>
  <c r="G902" s="1"/>
  <c r="G906" s="1"/>
  <c r="G907" s="1"/>
  <c r="G908" s="1"/>
  <c r="G869"/>
  <c r="G872" s="1"/>
  <c r="F390"/>
  <c r="G386"/>
  <c r="G388" s="1"/>
  <c r="F338"/>
  <c r="F340" s="1"/>
  <c r="F342"/>
  <c r="G342" s="1"/>
  <c r="G344" s="1"/>
  <c r="H490"/>
  <c r="I477"/>
  <c r="I490" s="1"/>
  <c r="F467"/>
  <c r="G467" s="1"/>
  <c r="G469" s="1"/>
  <c r="F471"/>
  <c r="G471" s="1"/>
  <c r="G473" s="1"/>
  <c r="J460"/>
  <c r="K447"/>
  <c r="F882"/>
  <c r="G882" s="1"/>
  <c r="G886" s="1"/>
  <c r="G890"/>
  <c r="G893" s="1"/>
  <c r="F493"/>
  <c r="G493" s="1"/>
  <c r="G495" s="1"/>
  <c r="F497"/>
  <c r="G497" s="1"/>
  <c r="G500" s="1"/>
  <c r="G501" s="1"/>
  <c r="G502" s="1"/>
  <c r="F504"/>
  <c r="G504" s="1"/>
  <c r="G507" s="1"/>
  <c r="G508" s="1"/>
  <c r="G509" s="1"/>
  <c r="F515"/>
  <c r="F511"/>
  <c r="G511" s="1"/>
  <c r="G513" s="1"/>
  <c r="K132" i="68"/>
  <c r="M132" s="1"/>
  <c r="H364" i="71"/>
  <c r="H366" s="1"/>
  <c r="H368"/>
  <c r="H375" s="1"/>
  <c r="H386"/>
  <c r="I386" s="1"/>
  <c r="H397"/>
  <c r="H402"/>
  <c r="I402" s="1"/>
  <c r="I404" s="1"/>
  <c r="I364"/>
  <c r="I366" s="1"/>
  <c r="F406"/>
  <c r="G406" s="1"/>
  <c r="G408" s="1"/>
  <c r="F311"/>
  <c r="E326"/>
  <c r="B84" i="15"/>
  <c r="C90" i="14"/>
  <c r="D82" i="15"/>
  <c r="D88" i="14"/>
  <c r="F90"/>
  <c r="E91"/>
  <c r="H342" i="71" l="1"/>
  <c r="H344" s="1"/>
  <c r="G338"/>
  <c r="G340" s="1"/>
  <c r="F326"/>
  <c r="H334" s="1"/>
  <c r="H336" s="1"/>
  <c r="G311"/>
  <c r="G326" s="1"/>
  <c r="I397"/>
  <c r="I399" s="1"/>
  <c r="H410"/>
  <c r="G515"/>
  <c r="G517" s="1"/>
  <c r="F519"/>
  <c r="K126" i="68"/>
  <c r="M126" s="1"/>
  <c r="H390" i="71"/>
  <c r="I388"/>
  <c r="G887"/>
  <c r="G888"/>
  <c r="K121" i="68"/>
  <c r="M121" s="1"/>
  <c r="L447" i="71"/>
  <c r="L460" s="1"/>
  <c r="K460"/>
  <c r="K463" s="1"/>
  <c r="K465" s="1"/>
  <c r="I493"/>
  <c r="I495" s="1"/>
  <c r="K515"/>
  <c r="K517" s="1"/>
  <c r="J526"/>
  <c r="K526" s="1"/>
  <c r="K528" s="1"/>
  <c r="J515"/>
  <c r="J532"/>
  <c r="K532" s="1"/>
  <c r="K534" s="1"/>
  <c r="K136" i="68"/>
  <c r="M136" s="1"/>
  <c r="M261" s="1"/>
  <c r="G880" i="71"/>
  <c r="G879"/>
  <c r="H467"/>
  <c r="I467" s="1"/>
  <c r="I469" s="1"/>
  <c r="H471"/>
  <c r="I471" s="1"/>
  <c r="I473" s="1"/>
  <c r="H515"/>
  <c r="I515" s="1"/>
  <c r="H493"/>
  <c r="H495" s="1"/>
  <c r="H526"/>
  <c r="I526" s="1"/>
  <c r="I528" s="1"/>
  <c r="H532"/>
  <c r="I532" s="1"/>
  <c r="I534" s="1"/>
  <c r="H497"/>
  <c r="H504" s="1"/>
  <c r="G390"/>
  <c r="G393" s="1"/>
  <c r="G394" s="1"/>
  <c r="G395" s="1"/>
  <c r="F397"/>
  <c r="B85" i="15"/>
  <c r="C91" i="14"/>
  <c r="F91"/>
  <c r="E92"/>
  <c r="D89"/>
  <c r="D83" i="15"/>
  <c r="F410" i="71" l="1"/>
  <c r="G410" s="1"/>
  <c r="F402"/>
  <c r="G402" s="1"/>
  <c r="G404" s="1"/>
  <c r="G397"/>
  <c r="G399" s="1"/>
  <c r="J471"/>
  <c r="K471" s="1"/>
  <c r="K473" s="1"/>
  <c r="J467"/>
  <c r="K467" s="1"/>
  <c r="K469" s="1"/>
  <c r="I517"/>
  <c r="H519"/>
  <c r="G519"/>
  <c r="G522" s="1"/>
  <c r="G523" s="1"/>
  <c r="G524" s="1"/>
  <c r="F526"/>
  <c r="H338"/>
  <c r="H340" s="1"/>
  <c r="I342"/>
  <c r="I344" s="1"/>
  <c r="C92" i="14"/>
  <c r="B86" i="15"/>
  <c r="E93" i="14"/>
  <c r="F92"/>
  <c r="D90"/>
  <c r="D84" i="15"/>
  <c r="G526" i="71" l="1"/>
  <c r="G528" s="1"/>
  <c r="F532"/>
  <c r="G532" s="1"/>
  <c r="G534" s="1"/>
  <c r="M264" i="68"/>
  <c r="G412" i="71"/>
  <c r="I410"/>
  <c r="I412" s="1"/>
  <c r="C93" i="14"/>
  <c r="B87" i="15"/>
  <c r="D85"/>
  <c r="D91" i="14"/>
  <c r="E94"/>
  <c r="F93"/>
  <c r="C94" l="1"/>
  <c r="B88" i="15"/>
  <c r="D86"/>
  <c r="D92" i="14"/>
  <c r="F94"/>
  <c r="E95"/>
  <c r="B89" i="15" l="1"/>
  <c r="C95" i="14"/>
  <c r="F95"/>
  <c r="E96"/>
  <c r="D93"/>
  <c r="D87" i="15"/>
  <c r="C96" i="14" l="1"/>
  <c r="B90" i="15"/>
  <c r="E97" i="14"/>
  <c r="F96"/>
  <c r="D94"/>
  <c r="D88" i="15"/>
  <c r="C97" i="14" l="1"/>
  <c r="B91" i="15"/>
  <c r="D95" i="14"/>
  <c r="D89" i="15"/>
  <c r="E98" i="14"/>
  <c r="F97"/>
  <c r="C98" l="1"/>
  <c r="B92" i="15"/>
  <c r="E99" i="14"/>
  <c r="F98"/>
  <c r="D96"/>
  <c r="D90" i="15"/>
  <c r="C99" i="14" l="1"/>
  <c r="B93" i="15"/>
  <c r="D97" i="14"/>
  <c r="D91" i="15"/>
  <c r="F99" i="14"/>
  <c r="E100"/>
  <c r="C100" l="1"/>
  <c r="B94" i="15"/>
  <c r="E101" i="14"/>
  <c r="F100"/>
  <c r="D92" i="15"/>
  <c r="D98" i="14"/>
  <c r="C101" l="1"/>
  <c r="B95" i="15"/>
  <c r="D99" i="14"/>
  <c r="D93" i="15"/>
  <c r="E102" i="14"/>
  <c r="F101"/>
  <c r="B96" i="15" l="1"/>
  <c r="C102" i="14"/>
  <c r="F102"/>
  <c r="E103"/>
  <c r="D100"/>
  <c r="D94" i="15"/>
  <c r="B97" l="1"/>
  <c r="C103" i="14"/>
  <c r="E104"/>
  <c r="F103"/>
  <c r="D95" i="15"/>
  <c r="D101" i="14"/>
  <c r="B98" i="15" l="1"/>
  <c r="C104" i="14"/>
  <c r="D102"/>
  <c r="D96" i="15"/>
  <c r="E105" i="14"/>
  <c r="F104"/>
  <c r="C105" l="1"/>
  <c r="B99" i="15"/>
  <c r="F105" i="14"/>
  <c r="E106"/>
  <c r="D103"/>
  <c r="D97" i="15"/>
  <c r="B100" l="1"/>
  <c r="C106" i="14"/>
  <c r="E107"/>
  <c r="F106"/>
  <c r="D98" i="15"/>
  <c r="D104" i="14"/>
  <c r="B101" i="15" l="1"/>
  <c r="C107" i="14"/>
  <c r="D99" i="15"/>
  <c r="D105" i="14"/>
  <c r="E108"/>
  <c r="F107"/>
  <c r="B102" i="15" l="1"/>
  <c r="C108" i="14"/>
  <c r="D106"/>
  <c r="D100" i="15"/>
  <c r="F108" i="14"/>
  <c r="E109"/>
  <c r="B103" i="15" l="1"/>
  <c r="C109" i="14"/>
  <c r="F109"/>
  <c r="E110"/>
  <c r="D107"/>
  <c r="D101" i="15"/>
  <c r="B104" l="1"/>
  <c r="C110" i="14"/>
  <c r="E111"/>
  <c r="F110"/>
  <c r="D108"/>
  <c r="D102" i="15"/>
  <c r="C111" i="14" l="1"/>
  <c r="B105" i="15"/>
  <c r="D103"/>
  <c r="D109" i="14"/>
  <c r="F111"/>
  <c r="E112"/>
  <c r="B106" i="15" l="1"/>
  <c r="C112" i="14"/>
  <c r="D110"/>
  <c r="D104" i="15"/>
  <c r="F112" i="14"/>
  <c r="E113"/>
  <c r="B107" i="15" l="1"/>
  <c r="C113" i="14"/>
  <c r="D111"/>
  <c r="D105" i="15"/>
  <c r="F113" i="14"/>
  <c r="E114"/>
  <c r="C114" l="1"/>
  <c r="B108" i="15"/>
  <c r="D112" i="14"/>
  <c r="D106" i="15"/>
  <c r="F114" i="14"/>
  <c r="E115"/>
  <c r="B109" i="15" l="1"/>
  <c r="C115" i="14"/>
  <c r="D113"/>
  <c r="D107" i="15"/>
  <c r="E116" i="14"/>
  <c r="F115"/>
  <c r="C116" l="1"/>
  <c r="B110" i="15"/>
  <c r="D114" i="14"/>
  <c r="D108" i="15"/>
  <c r="F116" i="14"/>
  <c r="E117"/>
  <c r="B111" i="15" l="1"/>
  <c r="C117" i="14"/>
  <c r="D115"/>
  <c r="D109" i="15"/>
  <c r="E118" i="14"/>
  <c r="F117"/>
  <c r="C118" l="1"/>
  <c r="B112" i="15"/>
  <c r="D116" i="14"/>
  <c r="D110" i="15"/>
  <c r="F118" i="14"/>
  <c r="E119"/>
  <c r="B113" i="15" l="1"/>
  <c r="C119" i="14"/>
  <c r="C120" s="1"/>
  <c r="C121" s="1"/>
  <c r="C122" s="1"/>
  <c r="C123" s="1"/>
  <c r="C124" s="1"/>
  <c r="C125" s="1"/>
  <c r="C126" s="1"/>
  <c r="C127" s="1"/>
  <c r="C128" s="1"/>
  <c r="C129" s="1"/>
  <c r="C130" s="1"/>
  <c r="C131" s="1"/>
  <c r="C132" s="1"/>
  <c r="C133" s="1"/>
  <c r="D117"/>
  <c r="D111" i="15"/>
  <c r="F119" i="14"/>
  <c r="E120"/>
  <c r="D118" l="1"/>
  <c r="D112" i="15"/>
  <c r="E121" i="14"/>
  <c r="F120"/>
  <c r="D119" l="1"/>
  <c r="D120" s="1"/>
  <c r="D121" s="1"/>
  <c r="D122" s="1"/>
  <c r="D123" s="1"/>
  <c r="D124" s="1"/>
  <c r="D125" s="1"/>
  <c r="D126" s="1"/>
  <c r="D127" s="1"/>
  <c r="D128" s="1"/>
  <c r="D129" s="1"/>
  <c r="D130" s="1"/>
  <c r="D131" s="1"/>
  <c r="D132" s="1"/>
  <c r="D133" s="1"/>
  <c r="D113" i="15"/>
  <c r="E122" i="14"/>
  <c r="F121"/>
  <c r="E123" l="1"/>
  <c r="F122"/>
  <c r="F123" l="1"/>
  <c r="E124"/>
  <c r="F124" l="1"/>
  <c r="E125"/>
  <c r="E126" l="1"/>
  <c r="F125"/>
  <c r="F126" l="1"/>
  <c r="E127"/>
  <c r="F127" l="1"/>
  <c r="E128"/>
  <c r="F128" l="1"/>
  <c r="E129"/>
  <c r="F129" l="1"/>
  <c r="E130"/>
  <c r="F130" l="1"/>
  <c r="E131"/>
  <c r="E132" l="1"/>
  <c r="F131"/>
  <c r="E133" l="1"/>
  <c r="F133" s="1"/>
  <c r="F132"/>
  <c r="M147" i="78"/>
</calcChain>
</file>

<file path=xl/sharedStrings.xml><?xml version="1.0" encoding="utf-8"?>
<sst xmlns="http://schemas.openxmlformats.org/spreadsheetml/2006/main" count="8400" uniqueCount="2251">
  <si>
    <t xml:space="preserve">Plain Cement Concrete corresponding to M 5 grade as per IS 456 equivalent to (1:5:10) proportion nominal mix (cement: fine aggregate: Coarse aggregate) using 40mm size Hard Blasted Granite (IS383, 1970) metal from approved quarry including cost and conveyance of all materials like cement, sand, coarse aggregate, water etc. to site, including   all operational, incidental,  and labour charges such as mixing, laying and ramming concrete in layers in position not exceeding 15cm, finishing top surface, curing concrete,  etc.,   complete for Foundations  (APSS No. 402) </t>
  </si>
  <si>
    <t xml:space="preserve">CPlain Cement Concrete corresponding to  grade as per IS 456 equivalent to (1:6:10) proportion nominal mix (cement: fine aggregate: Coarse aggregate) using 40mm size Hard Blasted Granite (IS383, 1970) metal from approved quarry including cost and conveyance of all materials like cement, sand, coarse aggregate, water etc. to site, including   all operational, incidental,  and labour charges such as mixing, laying and ramming concrete in layers in position not exceeding 15cm, finishing top surface, curing concrete,  etc.,   complete for Foundations  (APSS No. 402) </t>
  </si>
  <si>
    <t xml:space="preserve">Plain Cement Concrete corresponding to M7.5 grade as per IS 456 equivalent to (1:4:8) proportion nominal mix (cement: fine aggregate: Coarse aggregate) using 40mm size Hard Blasted Granite (IS383, 1970) metal from approved quarry including cost and conveyance of all materials like cement, sand, coarse aggregate, water etc. to site, including   all operational, incidental,  and labour charges such as mixing, laying and ramming concrete in layers in position not exceeding 15cm, finishing top surface, curing concrete,  etc.,   complete for Foundations  (APSS No. 402) </t>
  </si>
  <si>
    <t>MS powder coated bult hings 125mm long</t>
  </si>
  <si>
    <t>Initial Cost without seignorage</t>
  </si>
  <si>
    <t>Polished Bethmcherla (Marble type) white stone of min of25mm thick (0.254x0.254)</t>
  </si>
  <si>
    <t>White lead</t>
  </si>
  <si>
    <t>Cement Primer Gr.I (Interior)</t>
  </si>
  <si>
    <t>BMT-J-02</t>
  </si>
  <si>
    <t>Cement Primer Gr.I (exterior)</t>
  </si>
  <si>
    <t>Oil bound washeable distemper</t>
  </si>
  <si>
    <t>Painting to New walls with two coats of Plastic Emulsion paint of superior quality of approved brand and shade over base coat of cement primer grade -I making three coats in all to give an even shade after thoroughly brushing the surface to remove all loose powdered materials, including cost and conveyance of all materials, including cost and conveyance of all materials, cost of brushes, water to site, etc., sales &amp; other taxes, all operational, incidental and labour charges such as scaffolding charges, lift charges, curing etc., complete for finished item of work in all floors for Walls.(APSS No. 911) in All Floors for interior walls</t>
  </si>
  <si>
    <t>BMT-G-17</t>
  </si>
  <si>
    <t>BMT-G-36</t>
  </si>
  <si>
    <t>BMT-G-45</t>
  </si>
  <si>
    <t>BMT-G-29</t>
  </si>
  <si>
    <t>BMS-W 69</t>
  </si>
  <si>
    <t>MS hold fasts 300mm long</t>
  </si>
  <si>
    <t>BMT-G-14</t>
  </si>
  <si>
    <t>BMT-G-28</t>
  </si>
  <si>
    <t>Brick Masonry in CM (1:6) with Bricks traditional size 23 x 11 x 7 cms 2nd Class for basement</t>
  </si>
  <si>
    <t>Brick Masonry in CM (1:8) with Bricks traditional size 23 x 11 x 7 cms 2nd Class for superstructure</t>
  </si>
  <si>
    <t>Unit  : 10 sqm</t>
  </si>
  <si>
    <t>Unit = 10 sqm</t>
  </si>
  <si>
    <t>A. MATERIALS:</t>
  </si>
  <si>
    <t>Flooring with 40 mm thick Rough Cuddapah/Shabad stones, set over base coat of cement mortar (1 : 8) 12 mm thick over CC bed already laid or RCC roof slab, including pointing with cement mortar 1:3 duly filling joints nearly, including cost of all materials like flooring stone, cement, sand, and water etc., complete,  labour charges for dressing of flooring stones etc., complete for finished item of work, but excluding the cost of conveyance of all materials.</t>
  </si>
  <si>
    <t>BLD-CSTN-8-11</t>
  </si>
  <si>
    <t>RCM facia 5cm thick in CM (1:3) for drop walls, fins with rabbit wire mesh &amp; nominal reinforcement as directed by Engineer-in-charge with dubara sponge finishing, including cost &amp; conveyance of all materials to site, seigniorage charges, sales &amp; other taxes on all materials, operational &amp; incidental, cost and conveyance of cement, wire mesh, water to work site, centering, scaffolding and form work, lift charges etc., complete for finished items of work but excluding cost of steel &amp; its fabrication charges, for finished item of work. (APSS No.403 &amp; 903)</t>
  </si>
  <si>
    <t>A) MATERIALS</t>
  </si>
  <si>
    <t>Rabbit wire mesh (1.0 M panna for 0.6 M drop)</t>
  </si>
  <si>
    <t>Cement Mortar 1:3 for 25 mm thick</t>
  </si>
  <si>
    <t>Dry Cement for making Lumps</t>
  </si>
  <si>
    <t>12 mm Plastering 2 coats in 1:4 &amp; 1:2 cm both sides</t>
  </si>
  <si>
    <t>Excluding HYSD Steel/ Mild steel &amp; Binding wire</t>
  </si>
  <si>
    <t>B) LABOUR CHARGES</t>
  </si>
  <si>
    <t>Miller Operator</t>
  </si>
  <si>
    <t>c) Machinery</t>
  </si>
  <si>
    <t>Machine Mixing Mortar with Miller - Hire charges</t>
  </si>
  <si>
    <t>BASIC COST per 10 sqm</t>
  </si>
  <si>
    <t>Total cost for 1 sqm</t>
  </si>
  <si>
    <t>Without vibration</t>
  </si>
  <si>
    <t>Brick Masonry in CM (1:8) with Bricks traditional size 23 x 11 x 7 cms 2nd Class for Basement</t>
  </si>
  <si>
    <t>Flooring with vitrified tiles of 1st quality, set over base coat of cement mortar (1:8), 12 mm thick over CC bed already laid or RCC roof slab, including neat cement slurry of honey like consistency spread @ 3.3.kgs per sqm &amp; jointed neatly with white cement paste to full depth mixed with pigment of matching shade, including cost of all materials like cement, sand water and tiles etc., complete,  for finished item of work, but excluding the cost of conveyance of all materials.</t>
  </si>
  <si>
    <t>BLD-CSTN-5-17</t>
  </si>
  <si>
    <t>SSR NO</t>
  </si>
  <si>
    <t>R&amp;B 94b</t>
  </si>
  <si>
    <t>R&amp;B 9436.a</t>
  </si>
  <si>
    <t>R&amp;B 94c</t>
  </si>
  <si>
    <t>BMT-F-28</t>
  </si>
  <si>
    <t>R&amp;B33b</t>
  </si>
  <si>
    <t>R&amp;B33c</t>
  </si>
  <si>
    <t>R&amp;B33d</t>
  </si>
  <si>
    <t>R&amp;B33e</t>
  </si>
  <si>
    <t>R&amp;B33f</t>
  </si>
  <si>
    <t>Irr M-045</t>
  </si>
  <si>
    <t>Irr M-052</t>
  </si>
  <si>
    <t>Irr-7</t>
  </si>
  <si>
    <t>BMT-A-01</t>
  </si>
  <si>
    <t>BMT-A-10</t>
  </si>
  <si>
    <t>BMT-A-11</t>
  </si>
  <si>
    <t>BMT-A-12</t>
  </si>
  <si>
    <t>BMT-A-13</t>
  </si>
  <si>
    <t>BMT-B-05</t>
  </si>
  <si>
    <t>BMT-B-06</t>
  </si>
  <si>
    <t>BMT-B-07</t>
  </si>
  <si>
    <t>BMT-B-08</t>
  </si>
  <si>
    <t>BMT-B-01</t>
  </si>
  <si>
    <t>BMT-B-04</t>
  </si>
  <si>
    <t>BMT-B-03</t>
  </si>
  <si>
    <t>BMT-E-05</t>
  </si>
  <si>
    <t>BMT-E-06</t>
  </si>
  <si>
    <t>BMT-E-08</t>
  </si>
  <si>
    <t>BMT-E-15</t>
  </si>
  <si>
    <t>BMT-E-16</t>
  </si>
  <si>
    <t>BMT-E-01</t>
  </si>
  <si>
    <t>BMT-E-02</t>
  </si>
  <si>
    <t>BMT-E-04</t>
  </si>
  <si>
    <t>BMT-E-17</t>
  </si>
  <si>
    <t>BMT-E-18</t>
  </si>
  <si>
    <t>BMT-E-19</t>
  </si>
  <si>
    <t>BMT-E-20</t>
  </si>
  <si>
    <t>BMS-W-15</t>
  </si>
  <si>
    <t>BMS-W-16</t>
  </si>
  <si>
    <t>BMS-W-20</t>
  </si>
  <si>
    <t>BMS-W-21</t>
  </si>
  <si>
    <t>BMT-U-02</t>
  </si>
  <si>
    <t>BMT-J-08</t>
  </si>
  <si>
    <t>BMS-W-68</t>
  </si>
  <si>
    <t>BMT-J-01</t>
  </si>
  <si>
    <t>BMT-J-03</t>
  </si>
  <si>
    <t>BMT-J-05</t>
  </si>
  <si>
    <t>BMT-J-20</t>
  </si>
  <si>
    <t>BMT-J-21</t>
  </si>
  <si>
    <t>BMT-J-24</t>
  </si>
  <si>
    <t>BMT-J-30</t>
  </si>
  <si>
    <t>BMT-F-04</t>
  </si>
  <si>
    <t>Coarse Aggregate IRC&amp;SS5, HBG (including  Blasting &amp; Crushing Charges)</t>
  </si>
  <si>
    <t>Cement Mortar (1 : 5)for plastering</t>
  </si>
  <si>
    <t>R&amp;B SS-22a</t>
  </si>
  <si>
    <t>R&amp;B SS-b-28</t>
  </si>
  <si>
    <t>R&amp;B 173</t>
  </si>
  <si>
    <t>BLD-CSTN-10-25</t>
  </si>
  <si>
    <t>BLD-CSTN-8-10</t>
  </si>
  <si>
    <t>BLD-CSTN-9-1</t>
  </si>
  <si>
    <t>BLD-CSTN-9-2</t>
  </si>
  <si>
    <t>BLD-CSTN-11-4</t>
  </si>
  <si>
    <t>200mm dia3.50mts depth</t>
  </si>
  <si>
    <t>BLD-CSTN-12-5</t>
  </si>
  <si>
    <t>BMM-V-14</t>
  </si>
  <si>
    <t>BMM-V-15</t>
  </si>
  <si>
    <t>BLD-CSTN                4-1</t>
  </si>
  <si>
    <t>BLD-CSTN                12-2, 12-4</t>
  </si>
  <si>
    <t>Rough Cuddapah/Shabad stones (40 mm thick) (0.457 x 0.457 m)</t>
  </si>
  <si>
    <t>sqm</t>
  </si>
  <si>
    <t>Cement for CM (1:8) proportion for base coat</t>
  </si>
  <si>
    <t>kg.</t>
  </si>
  <si>
    <t>Sand for CM (1:8) proportion</t>
  </si>
  <si>
    <t>cum</t>
  </si>
  <si>
    <t>Sand for CM (1:3) proportion</t>
  </si>
  <si>
    <t>day</t>
  </si>
  <si>
    <t>Grand Total</t>
  </si>
  <si>
    <t xml:space="preserve">Cement for CM (1:8) for base coat </t>
  </si>
  <si>
    <t xml:space="preserve">Cement for slurry </t>
  </si>
  <si>
    <t>Cement for Pointing with CM (1:3)</t>
  </si>
  <si>
    <t xml:space="preserve">Sand for CM (1:8) </t>
  </si>
  <si>
    <t xml:space="preserve">Sand for pointing </t>
  </si>
  <si>
    <t>BLD- CSTN 8-3</t>
  </si>
  <si>
    <t>Cement for CM (1:8) for base coat</t>
  </si>
  <si>
    <t>B. LABOUR</t>
  </si>
  <si>
    <t>Unit: 10 sqm</t>
  </si>
  <si>
    <t>A. MATERIALS :</t>
  </si>
  <si>
    <t>kg</t>
  </si>
  <si>
    <t>Total cost for 10 sqm</t>
  </si>
  <si>
    <t>BLD-CSTN                9-5</t>
  </si>
  <si>
    <t xml:space="preserve">Total cost for 10 sqm </t>
  </si>
  <si>
    <t>cum / kg</t>
  </si>
  <si>
    <t>hr</t>
  </si>
  <si>
    <t>Sundries inclusive of holdfasts and all wind appliances (Vide relevant standard specification)</t>
  </si>
  <si>
    <t>Total for each door</t>
  </si>
  <si>
    <t>say</t>
  </si>
  <si>
    <t>Sl.No</t>
  </si>
  <si>
    <t>Unit</t>
  </si>
  <si>
    <t>Total</t>
  </si>
  <si>
    <t>1 Cum</t>
  </si>
  <si>
    <t>A</t>
  </si>
  <si>
    <t>B</t>
  </si>
  <si>
    <t>C</t>
  </si>
  <si>
    <t>10 Sqm</t>
  </si>
  <si>
    <t>Name of the Material</t>
  </si>
  <si>
    <t>Rate</t>
  </si>
  <si>
    <t>Per</t>
  </si>
  <si>
    <t>10mm Nominal size</t>
  </si>
  <si>
    <t>13.20/12.50mm Nominal size</t>
  </si>
  <si>
    <t>20mm Nominal size</t>
  </si>
  <si>
    <t>25mm Nominal size</t>
  </si>
  <si>
    <t>40mm Nominal size</t>
  </si>
  <si>
    <t>Water Proofing compound (Acco-proof)</t>
  </si>
  <si>
    <t>Bricks 2nd Class traditional size</t>
  </si>
  <si>
    <t>a</t>
  </si>
  <si>
    <t>b</t>
  </si>
  <si>
    <t>c</t>
  </si>
  <si>
    <t>d</t>
  </si>
  <si>
    <t>e</t>
  </si>
  <si>
    <t>f</t>
  </si>
  <si>
    <t>Polished Bethmcherla coloured stone of 25mm thick</t>
  </si>
  <si>
    <t>Shabad stone 40mm thick</t>
  </si>
  <si>
    <t>Shabad stone 25mm thick</t>
  </si>
  <si>
    <t>Medium Teak wood scantling upto 2.00m</t>
  </si>
  <si>
    <t>Medium Teak wood scantling upto 2.00-3.00m</t>
  </si>
  <si>
    <t>Medium Teak wood planks</t>
  </si>
  <si>
    <t>Sal wood planks any thickness</t>
  </si>
  <si>
    <t>AC sheet corrugated 6mm thick</t>
  </si>
  <si>
    <t>AC sheet plain 4mm thick</t>
  </si>
  <si>
    <t>AC sheet plain 6mm thick</t>
  </si>
  <si>
    <t>Sal wood scantlings any length</t>
  </si>
  <si>
    <t>Plain or corrugated GI sheet (0.1mm to 0.8mm thick)</t>
  </si>
  <si>
    <t>PAINTS &amp; POLISHES</t>
  </si>
  <si>
    <t>Rex Oxide Gr.I</t>
  </si>
  <si>
    <t>Wood primer</t>
  </si>
  <si>
    <t>Dry power distember</t>
  </si>
  <si>
    <t>Synthetic Enamel paint Gr.I</t>
  </si>
  <si>
    <t>Cum</t>
  </si>
  <si>
    <t>Kg</t>
  </si>
  <si>
    <t>Each</t>
  </si>
  <si>
    <t>Sqm</t>
  </si>
  <si>
    <t>Lit</t>
  </si>
  <si>
    <t>3</t>
  </si>
  <si>
    <t>Fly ash bricks of size 290X225X140mm (50Kg)</t>
  </si>
  <si>
    <t>Best Teak wood scantling upto 2.00m</t>
  </si>
  <si>
    <t>BestTeak wood scantling upto 2.00-3.00m</t>
  </si>
  <si>
    <t>Best Teak wood planks</t>
  </si>
  <si>
    <t>Binding wire</t>
  </si>
  <si>
    <t>Rabit wire mesh (Chicken mesh)</t>
  </si>
  <si>
    <t>1Sqm</t>
  </si>
  <si>
    <t>White cement</t>
  </si>
  <si>
    <t>Cement jolly 25mm thick</t>
  </si>
  <si>
    <t>Cement jolly 40mm thick</t>
  </si>
  <si>
    <t>Fly ash bricks of size 290X200X140mm (50Kg)</t>
  </si>
  <si>
    <t>Fly ash bricks of size 290X150X140mm (50Kg)</t>
  </si>
  <si>
    <t>Fly ash bricks of size 290X112/100X140mm (50Kg)</t>
  </si>
  <si>
    <t xml:space="preserve">Water  </t>
  </si>
  <si>
    <t>Kl</t>
  </si>
  <si>
    <t>Fabrication of iron girlls, doors &amp; windows</t>
  </si>
  <si>
    <t>1Kg</t>
  </si>
  <si>
    <t>Fixing charges of iron grills, doors &amp; windows.</t>
  </si>
  <si>
    <t>20-10mm Aggregate size</t>
  </si>
  <si>
    <t>1000 Nos</t>
  </si>
  <si>
    <t>Kgs</t>
  </si>
  <si>
    <t>MT</t>
  </si>
  <si>
    <t>Cement Mortar (1:6)</t>
  </si>
  <si>
    <t>Labour charges</t>
  </si>
  <si>
    <t>Cost of 40mm HG metal</t>
  </si>
  <si>
    <t>Sand for mortar</t>
  </si>
  <si>
    <t>Cost of cement</t>
  </si>
  <si>
    <t>Concrete mixer10/7 cft (2/88cum) capacity</t>
  </si>
  <si>
    <t>KL</t>
  </si>
  <si>
    <t>Watering including curing</t>
  </si>
  <si>
    <t>Nos</t>
  </si>
  <si>
    <t>Cement</t>
  </si>
  <si>
    <t>Plastering with CM (1:5) 12mm thick including cost and conveyance of all materials and all labour charges etc., complete for superstructure -10Sqm</t>
  </si>
  <si>
    <t>Cost and supply of HYSD bars including cost and conveyance of work spot and fabrication charges fo steel like cutting rods, tying grills placing in position including cost of binding wire etc., complete.</t>
  </si>
  <si>
    <t>Furniture - Iron - for External windows (Schedule Item 292)(two leaf)</t>
  </si>
  <si>
    <t>Furniture - Iron - for External windows (Schedule Item 292)(three leaf)</t>
  </si>
  <si>
    <t>BLD-CSTN-5-4</t>
  </si>
  <si>
    <t>Painter</t>
  </si>
  <si>
    <t>1st class</t>
  </si>
  <si>
    <t>2ndclass</t>
  </si>
  <si>
    <t>Sundries including brushes, soap,putty, etc.</t>
  </si>
  <si>
    <t>Hr</t>
  </si>
  <si>
    <t>Centring charges</t>
  </si>
  <si>
    <t>Centring Charges</t>
  </si>
  <si>
    <t xml:space="preserve"> DATA </t>
  </si>
  <si>
    <t>Index-code</t>
  </si>
  <si>
    <t>S. No.</t>
  </si>
  <si>
    <t>Description</t>
  </si>
  <si>
    <t>Quantity</t>
  </si>
  <si>
    <t>Rate Rs.</t>
  </si>
  <si>
    <t>Amount Rs.</t>
  </si>
  <si>
    <t xml:space="preserve">
BLD-CSTN-2-1</t>
  </si>
  <si>
    <t>Unit = cum</t>
  </si>
  <si>
    <t>Taking output = 10 cum</t>
  </si>
  <si>
    <t>Mate</t>
  </si>
  <si>
    <t>Mazdoor (Unskilled)</t>
  </si>
  <si>
    <t>Rate per cum = (a+b+c)/10</t>
  </si>
  <si>
    <t xml:space="preserve">
BLD-CSTN-2-8</t>
  </si>
  <si>
    <t>Filling in foundation trenches as per drawing and technical specification Clause 305.3.9 MORD &amp; 304 MORTH</t>
  </si>
  <si>
    <t>Sand filling</t>
  </si>
  <si>
    <t>b) Material</t>
  </si>
  <si>
    <t xml:space="preserve">Sand </t>
  </si>
  <si>
    <t>BLD-CSTN-1-4</t>
  </si>
  <si>
    <t>Unit : 1cum</t>
  </si>
  <si>
    <t>Sand (including 5% wastage)</t>
  </si>
  <si>
    <t>B. MACHINERY</t>
  </si>
  <si>
    <t>- Nil -</t>
  </si>
  <si>
    <t>C. LABOUR:</t>
  </si>
  <si>
    <t>Man mazdoor for mixing mortar</t>
  </si>
  <si>
    <t>BLD-</t>
  </si>
  <si>
    <t>CSTN-1-6</t>
  </si>
  <si>
    <t>Cement Mortar (1 : 8)</t>
  </si>
  <si>
    <t>CSTN-1-8</t>
  </si>
  <si>
    <t>BLD-CSTN-3-5</t>
  </si>
  <si>
    <t>Unit = 1cum</t>
  </si>
  <si>
    <t xml:space="preserve">Coarse aggregate 40 mm </t>
  </si>
  <si>
    <t>Fine aggregate (Sand)</t>
  </si>
  <si>
    <t>Water (including for curing)</t>
  </si>
  <si>
    <t>kl</t>
  </si>
  <si>
    <t>Concrete Mixer 10 / 7 cft (0.2 / 0.8 cum) capacity</t>
  </si>
  <si>
    <t>hour</t>
  </si>
  <si>
    <t>Mazdoor (unskilled)</t>
  </si>
  <si>
    <t>Rate per cum</t>
  </si>
  <si>
    <t>BLD-CSTN-3-7</t>
  </si>
  <si>
    <t>V.R.C.C. M-20 Nominal Mix</t>
  </si>
  <si>
    <t>CSTN-3-13</t>
  </si>
  <si>
    <t>300mm dia3.50mts depth</t>
  </si>
  <si>
    <t>300mm dia3.75mts depth</t>
  </si>
  <si>
    <t xml:space="preserve">RCC M- 20 Nominal mix (Cement:fine aggregate: coarse aggregate) corresponding to Table 9 of IS 456 using 20mm size graded machine crushed hard granite metal (coarse aggregate) from approved quarry including cost and conveyance of all materials like cement, fine aggregate (sand) coarse aggregate, water etc., to site and including  sales &amp; other taxes on all materials including all operational, incidental and labour charges such as machine mixing, laying concrete, curing etc.,complete but excluding cost of steel and its fabrication charges ,Seigniorage charges for finished item of work, including centering, shuttering. </t>
  </si>
  <si>
    <t>20mm HBG graded metal</t>
  </si>
  <si>
    <t>Sand</t>
  </si>
  <si>
    <t>B. LABOUR:</t>
  </si>
  <si>
    <t>1st Class Mason</t>
  </si>
  <si>
    <t>2nd Class Mason</t>
  </si>
  <si>
    <t>Mazdoor (Both Men and Women)</t>
  </si>
  <si>
    <t>Concrete mixer 10/7 cft ( 0.2 / 0.8 cum) capacity</t>
  </si>
  <si>
    <t>Vibrator hire charges</t>
  </si>
  <si>
    <t>BASIC COST per 1 cum</t>
  </si>
  <si>
    <t>COLUMNS, LINTELS, WATER TANKS, RCC WALLS IN BUILDINGS</t>
  </si>
  <si>
    <t>Lintels and sunshades</t>
  </si>
  <si>
    <t>20mm HBG  graded metal</t>
  </si>
  <si>
    <t>LINTELS IN BUILDINGS</t>
  </si>
  <si>
    <t>SUNSHADES</t>
  </si>
  <si>
    <t>BASIC COST</t>
  </si>
  <si>
    <t>RCC SLABS, BEAMS</t>
  </si>
  <si>
    <t>Concrete mixer 10 / 7 cft ( 0.2 / 0.8 cum) capacity</t>
  </si>
  <si>
    <t>BLD-CSTN-5-5</t>
  </si>
  <si>
    <t>Bricks traditional size 23 x 11 x 7 cms 2nd class</t>
  </si>
  <si>
    <t>C. SCAFOLDING</t>
  </si>
  <si>
    <t>Scafolding charges per sqm (1cum/0.23m thick = 4.35sqm)</t>
  </si>
  <si>
    <t>LEAD STATEMENT</t>
  </si>
  <si>
    <t>Name of the Quarry</t>
  </si>
  <si>
    <t>Conveyance</t>
  </si>
  <si>
    <t>Net Amount</t>
  </si>
  <si>
    <t>KM</t>
  </si>
  <si>
    <t>Amount</t>
  </si>
  <si>
    <t>Sand for Blindage</t>
  </si>
  <si>
    <t>40mm  HBG metal-SS5</t>
  </si>
  <si>
    <t>20mm  HBG metal-SS5</t>
  </si>
  <si>
    <t>12mm  HBG metal-SS5</t>
  </si>
  <si>
    <t>10mm  HBG metal-SS5</t>
  </si>
  <si>
    <t>20-10mm  graded HBG metal</t>
  </si>
  <si>
    <t>(1)</t>
  </si>
  <si>
    <t>Certified that the above rates are correct.        (2) Certified that the above leads are correct.</t>
  </si>
  <si>
    <t>(3)</t>
  </si>
  <si>
    <t>Certified that the Quarries are nearest.            (4) Certified that the meterials are avilable in the above Quarrys</t>
  </si>
  <si>
    <t>Metal</t>
  </si>
  <si>
    <t>Gravel &amp; Sand</t>
  </si>
  <si>
    <t>Bricks 1000</t>
  </si>
  <si>
    <t>lead</t>
  </si>
  <si>
    <t>At site</t>
  </si>
  <si>
    <t>12mm Nominal size</t>
  </si>
  <si>
    <t>g</t>
  </si>
  <si>
    <t>Masonry work in CM (1:8) prop with Flyash Cement solid blocks of size 290 x 225 x 140 mm for manufacturing of flyash solid blocks using flyash of 80 kgs, cement of 15 kgs. Gypsum of 5 kgs. and stone dust including cost and conveyance of all materials, labour charges, seiniorage charges, scaffolding and curing etc., cpomplete with a compresive strength not lessthan 50 kg/sqm for walls for Superstructure Walls</t>
  </si>
  <si>
    <t>1MT</t>
  </si>
  <si>
    <t>Unit=1cum</t>
  </si>
  <si>
    <t>Earth work excavation for foundations and depositing on bank for all lifts and with an initial lead of 10m including all operational, incidental, labour charges such as shoring ,sheeting, planking, strutting, etc. complete for finished item of work including seigniorage excluding dewatering charges etc as per SS - 20 B (APSS 308).</t>
  </si>
  <si>
    <t>Ordinary Soil-Manual Means-Upto 3 m depth</t>
  </si>
  <si>
    <t>Cost for 10 cum = a+b+c</t>
  </si>
  <si>
    <t>Note : 1. Cost of dewatering may be added, where required, up to 5 per cent of labour cost. Assessment for dewatering shall be made as per site conditions.</t>
  </si>
  <si>
    <t>10-4.75mm  graded HBG metal</t>
  </si>
  <si>
    <t>10-4.75  mm Nominal size</t>
  </si>
  <si>
    <t>h</t>
  </si>
  <si>
    <t>BLD-CSTN-9-14</t>
  </si>
  <si>
    <t>Flooring with 100 mm thick CC (1:6:10) mix using 40mm HG metal,100mm thick and 20mm cement concrete surface(Ellies pattern , first sort) per 10Sqm of area including all labour charges etc., complete</t>
  </si>
  <si>
    <t>Unit - 10 sqm</t>
  </si>
  <si>
    <t>Cement concrete(1:6:10) using concrete mixer</t>
  </si>
  <si>
    <t>Stone chippings 3.34mm - 10mm</t>
  </si>
  <si>
    <t>Grand Total per 10 sqm</t>
  </si>
  <si>
    <t>per 1 Sqm</t>
  </si>
  <si>
    <t>BLD-CSTN-3-9</t>
  </si>
  <si>
    <t>For Raft</t>
  </si>
  <si>
    <t>.</t>
  </si>
  <si>
    <t>Masonry work in CM (1:6) prop with Flyash Cement solid blocks of size 290 x 225 x 140 mm for manufacturing of flyash solid blocks using flyash of 80 kgs, cement of 15 kgs. Gypsum of 5 kgs. and stone dust including cost and conveyance of all materials, labour charges, seiniorage charges, scaffolding and curing etc., cpomplete with a compresive strength not lessthan 50 kg/sqm for walls for Basement</t>
  </si>
  <si>
    <t>Cost of Cement Mortar (1:6)</t>
  </si>
  <si>
    <t>400mm dia4.00mts depth</t>
  </si>
  <si>
    <t>Augoring  4.00*0.631</t>
  </si>
  <si>
    <t>Plastering with CM 2 coats, 12 mm thick, base coat in CM (1:4), 8mm thick and top coat in CM (1:2), 4mm thick with sponze finishing.</t>
  </si>
  <si>
    <t>Base Coat in CM(1:4), 8 mm thick</t>
  </si>
  <si>
    <t>Top Coat in CM(1:2), 4 mm thick</t>
  </si>
  <si>
    <t>Sand forCM(1:5)  12mm thick</t>
  </si>
  <si>
    <t>Door</t>
  </si>
  <si>
    <t>Window</t>
  </si>
  <si>
    <t>Cost of 16mm rods</t>
  </si>
  <si>
    <t>1000no</t>
  </si>
  <si>
    <t>300mm dia4.10mts depth</t>
  </si>
  <si>
    <t>Augoring  4.10*0.526</t>
  </si>
  <si>
    <t>PEDASTALS&amp;PILE CAP</t>
  </si>
  <si>
    <t>RCC SLABS 115mm thick</t>
  </si>
  <si>
    <t>BLD-CSTN-12-2&amp;emendment 15</t>
  </si>
  <si>
    <t>Cost of Cement Primer</t>
  </si>
  <si>
    <t>1st class painter</t>
  </si>
  <si>
    <t>2nd class painter</t>
  </si>
  <si>
    <t>Sundries@0.5%</t>
  </si>
  <si>
    <t xml:space="preserve"> plastic emulsion(@20sqm/lt as per british paint ltd)</t>
  </si>
  <si>
    <t>Ist class painter</t>
  </si>
  <si>
    <t>Polished Shabad stones (15 to 18 mm thick) (0.457 x 0.304 m)</t>
  </si>
  <si>
    <t>Cement for jointing</t>
  </si>
  <si>
    <t>BLD-CSTN-9-20</t>
  </si>
  <si>
    <t>Coloured glazed tiles</t>
  </si>
  <si>
    <t xml:space="preserve">White Cement </t>
  </si>
  <si>
    <t>Machinery</t>
  </si>
  <si>
    <t>Cost of Cement Slurry</t>
  </si>
  <si>
    <t>Cement for CM(1:5) for base coat</t>
  </si>
  <si>
    <t>Masons 1st class</t>
  </si>
  <si>
    <t>Masons 2nd class</t>
  </si>
  <si>
    <t xml:space="preserve">Mam mazdoor  </t>
  </si>
  <si>
    <t>Add water charges @ 1%</t>
  </si>
  <si>
    <t>BLD-CSTN-9-23</t>
  </si>
  <si>
    <t xml:space="preserve">15-18 mm thick polished Shahabad stone </t>
  </si>
  <si>
    <t>Sand for cm 1:5 base coat</t>
  </si>
  <si>
    <t>Cement for cm 1:5 base coat</t>
  </si>
  <si>
    <t>kgs</t>
  </si>
  <si>
    <t>Cement for slurry</t>
  </si>
  <si>
    <t>Mason Ist class</t>
  </si>
  <si>
    <t>Cost for 1 sqm</t>
  </si>
  <si>
    <t>unit:10sqm</t>
  </si>
  <si>
    <t>Cost of water proof cement Paint of approved quality</t>
  </si>
  <si>
    <t>Flooring with 15 to 18mm thick polished Shabad stones set over base coat of CM (1:8) over already laid CC bed / RCC Roof Slab, including neat cement slurry of honey like consistency spread @ 3.3 kgs per sqm. &amp; Jointed with neat cement to full depth including cost of all materials like cement, sand, and water and flooring stones etc., complete, including labour charges for dressing of flooring stones etc., complete for finished item of work, but excludingeigniorage charges, the cost of conveyance of all materials.</t>
  </si>
  <si>
    <t xml:space="preserve">Double Shutter </t>
  </si>
  <si>
    <t>1050 x 2100 mm</t>
  </si>
  <si>
    <t>900 x 2100 mm</t>
  </si>
  <si>
    <t>Seigniorage</t>
  </si>
  <si>
    <t>gravel</t>
  </si>
  <si>
    <t>750 x 2100 mm</t>
  </si>
  <si>
    <t>1220 x 1350 mm</t>
  </si>
  <si>
    <t>Medium Teak Wood</t>
  </si>
  <si>
    <t xml:space="preserve">Dadooing to walls with coloured  glazed tiles 1st. quality of any size of brand as approved by Engineer - in - charge and set over a base coat of CM (1:5), 12mm thick and neat cement paste at the rate of 3.3 Kg/Sqmt. and jointed with white cement paste mixed with pigment of matching shade including cost and conveyance of all materials like cement, fine sand (screened), water, tiles, etc. to site,  sales and other taxes on all materials, C921 such as mixing of cement mortar, laying in position, curing, lift charges etc., complete excluding seigniorage charges for finished item of work  (APSS No.701 &amp; 707) </t>
  </si>
  <si>
    <t>Providing skirting to internal walls to 10 cm height/risers of steps with 15-18 mm thick polished Shahabad stone length equal to flooring stones, set over base coat of CM (1:5) 12 mm thick with cement slurry of honey like consistency spread at the rate of 3.30 kgs per sqm and jointed with white cement paste mixed with pigment of matching shade to full depth, including cost of all materials like Shahabad stone, cement, sand and water etc., complete excluding seigniorage charges, etc., complete for finished item of work</t>
  </si>
  <si>
    <t>Painting to new walls with 2 coats of water proof cement paint of apporved brand and shade over a base coat of approved cement primer making 3 coats in all to give an even shade after thourughly brushing the surface to remove all dirt and remains of loose powdered materials, including cost and conveyance of all materials to work site and all operational, incidental, labour charges etc. complete for finished item of work as per SS 912 for internal walls</t>
  </si>
  <si>
    <t>Ground Floor</t>
  </si>
  <si>
    <t>Unit = 1 cum</t>
  </si>
  <si>
    <t>No of blocks required for one cum of Masonry</t>
  </si>
  <si>
    <t>Cost of Cement Mortar (1:8)</t>
  </si>
  <si>
    <t>Mason 1st class</t>
  </si>
  <si>
    <t>Mason 2nd class</t>
  </si>
  <si>
    <t>Man Mazdoor</t>
  </si>
  <si>
    <t>Woman Mazdoor</t>
  </si>
  <si>
    <t>Cement for CM 1:3 proportion for pointing</t>
  </si>
  <si>
    <t>MS powder coated handles 150mm long</t>
  </si>
  <si>
    <t>MS powder coated aldrops 300mm long</t>
  </si>
  <si>
    <t>MS powder coated bolt hings 125mm long</t>
  </si>
  <si>
    <t>(Same for all doors)</t>
  </si>
  <si>
    <t>75mm long MS powder coated butt hinges</t>
  </si>
  <si>
    <t>Fully Panelled doors - External or Internal - Moulded panels  (Schedule Item No 290)</t>
  </si>
  <si>
    <t xml:space="preserve">Single Shutter </t>
  </si>
  <si>
    <t>1200 x 2100 mm</t>
  </si>
  <si>
    <t>* Note : Average rate for respective size scantlings and rough plank</t>
  </si>
  <si>
    <t>Windows Panelled (Schedule Item No. 306)</t>
  </si>
  <si>
    <t>1350 x 1350 mm</t>
  </si>
  <si>
    <t>Sundries inclusive of hold fasts and wind appliances (Vide standard specification)</t>
  </si>
  <si>
    <t>Total for each window</t>
  </si>
  <si>
    <t>Scafolding charges</t>
  </si>
  <si>
    <t>Total per 10 sqm</t>
  </si>
  <si>
    <t>Total per 1 sqm</t>
  </si>
  <si>
    <t>Cement Mortor (1:5)</t>
  </si>
  <si>
    <t>Total cost</t>
  </si>
  <si>
    <t>cost for 1 sqm</t>
  </si>
  <si>
    <t>BLD-CSTN-12-6 &amp; 12-12</t>
  </si>
  <si>
    <t>Painting to New  wood work with two coats of ready mixed synthetic enamel paint first quality all shades  to give an even shade over base coat Primer with Luppam finishing  after thoroughly brushing the surface to remove all remains  including cost and conveyance of all materials to site, sales &amp; other taxes, all  operational, incidental and labour charges etc., complete for finished item of work.(3 coats) (APSS No. 1201 &amp; 1212).in All Floors</t>
  </si>
  <si>
    <t>Painting, Priming Coat on New Wood Work</t>
  </si>
  <si>
    <t>Wood Primer</t>
  </si>
  <si>
    <t>L</t>
  </si>
  <si>
    <t xml:space="preserve">Synthetic Enamel paint (at 20 sqm / litre as per British Paints (I) Ltd. </t>
  </si>
  <si>
    <t>Whiting / White Cement</t>
  </si>
  <si>
    <t>Gum, conjee water, or prickly pear juice including necessary fire wood</t>
  </si>
  <si>
    <t>L.S</t>
  </si>
  <si>
    <t>Brick Layers / Painter 1st class</t>
  </si>
  <si>
    <t>Brick Layers / Painter 2nd class</t>
  </si>
  <si>
    <t>Sundries including brushes, ladders, etc.@1%</t>
  </si>
  <si>
    <t>Providing impervious coat to exposed RCC roof slab surface with CM(1:3), 20mm thick  with 1kg of water proof compound per bag of cement  laid over roof when it is green including cost and conveyance charges of  all materials  excluding seigniorage charges and including all operational, incidental and labour charges for mixing mortar, laying, rendering smooth and thread lining, curing, rounding off junctions of wall and slab etc,, complete for finished item of work</t>
  </si>
  <si>
    <t>Cement Mortar 1:3</t>
  </si>
  <si>
    <t>Water proof compound</t>
  </si>
  <si>
    <t>Mazdoor (unskiled)</t>
  </si>
  <si>
    <t xml:space="preserve">Augoring and boring of holes in site and under reaming for Bored cast-in-situ R.C.C. Piles for building foundations in loamy, clayey soils like Black cotton soils and ordinary soils with augoring and boring equipment as per IS 2911 - 1980 as per approved designs including all operations, incidental, labour charges, hire charges of machinery, augur bore drill and shell equipment, etc, complete for all depths and for finished item of work for piles of different diameter , inclding  VRCC M- 20 Nominal mix (Cement:fine aggregate: coarse aggregate) corresponding to Table 9 of IS 456 using 20mm size graded machine crushed hard granite metal (coarse aggregate) from approved quarry including cost and conveyance of all materials like cement, fine aggregate (sand) coarse aggregate, water etc., to site and including  sales &amp; other taxes on all materials including all operational, incidental and labour charges such as machine mixing, laying concrete, curing etc.,complete but excluding cost of steel and its fabrication charges , seigniorage charges  for finished item of work, including centering, shuttering. </t>
  </si>
  <si>
    <t>375mm dia3.75mts depth</t>
  </si>
  <si>
    <t>RCC M20</t>
  </si>
  <si>
    <t>Augoring  3.75*0.631</t>
  </si>
  <si>
    <t>Hrs</t>
  </si>
  <si>
    <t>Under reaming for bulb  2*0.789</t>
  </si>
  <si>
    <t>250mm dia3.50mts depth</t>
  </si>
  <si>
    <t>Augoring  3.50*0.526</t>
  </si>
  <si>
    <t>Under reaming for bulb  2*0.56</t>
  </si>
  <si>
    <t>BLD-CSTN-9-6</t>
  </si>
  <si>
    <t>BLD-CSTN-13-5</t>
  </si>
  <si>
    <t>1100 x 2000 mm</t>
  </si>
  <si>
    <t>1200*1200mm</t>
  </si>
  <si>
    <t>900*1200mm</t>
  </si>
  <si>
    <t>BLD-CSTN                11-5</t>
  </si>
  <si>
    <t xml:space="preserve"> Whiting/White Cement</t>
  </si>
  <si>
    <t>cum/kg</t>
  </si>
  <si>
    <t>White Washing  two coats  with Whiting of approved quality to give an even shade after thoroughly brushing the surface to remove all dirt and remains of loose powdered materials including cost of all materials, labour charges and incidental such as scaffolding, lift charges etc., complete for finished item of work, but excluding conveyance charges of materials</t>
  </si>
  <si>
    <t>White washing one coat with whiting of approved quality to give an even shade after thoroughly brushing the surface to remove all dirt and remains of loose powdered materials including cost of all materials, labour charges and incidental such as scaffolding, lift charges etc., complete for finished item of work, but excluding conveyance charges of materials</t>
  </si>
  <si>
    <t>Painting walls with  snowcem or other equal and approved Water Proof Cement Paint paint two coats over a primary coat of  cement Primer including cost and conveyance  of all meterials  and all labour charges  etc. complete.</t>
  </si>
  <si>
    <t>CementPrimer</t>
  </si>
  <si>
    <t xml:space="preserve">Cement Paint paint 3sqm / kg </t>
  </si>
  <si>
    <t>Sundries including brushes, soap,putty, etc.@1%</t>
  </si>
  <si>
    <t>Sundries including brushes, soap,putty, etc.@0.50%</t>
  </si>
  <si>
    <t>Carpenter 1stClass</t>
  </si>
  <si>
    <t>Carpenter 2ndClass</t>
  </si>
  <si>
    <t xml:space="preserve"> HYSD barrs including 5% for overlaps and wastage (8 to 40mm)</t>
  </si>
  <si>
    <t>Black smith/Barbender</t>
  </si>
  <si>
    <t>a) Material</t>
  </si>
  <si>
    <t>b)Labour for cutting,bending,shifting to site,tying and placing in position</t>
  </si>
  <si>
    <t>BLD-CSTN-13-21</t>
  </si>
  <si>
    <t>CSTN-1-7</t>
  </si>
  <si>
    <t xml:space="preserve">Mazdoor (Unskilled) </t>
  </si>
  <si>
    <t>B.MAGHINERY</t>
  </si>
  <si>
    <t>16mmMS rods</t>
  </si>
  <si>
    <t>Flooring with ceramic tiles, set over base coat of cement mortar (1:8), 12 mm thick over CC bed already laid or RCC roof slab, including neat cement slurry of honey like consistency spread @ 3.3.kgs per sqm &amp; jointed neatly with white cement paste to full depth mixed with pigment of matching shade, including cost and conveyance of all materials like cement, sand water and tiles etc., complete, excluding seigniorage charges, etc., complete for finished item of work</t>
  </si>
  <si>
    <t>Ceramic tiles 7.30 mm thick</t>
  </si>
  <si>
    <t>Add water charges 1%</t>
  </si>
  <si>
    <t xml:space="preserve">Total cost for 1 sqm </t>
  </si>
  <si>
    <t>Labour Rates</t>
  </si>
  <si>
    <t xml:space="preserve">Mason 1stClass </t>
  </si>
  <si>
    <t xml:space="preserve">Mason 2ndClass </t>
  </si>
  <si>
    <t>Mazdoor</t>
  </si>
  <si>
    <t>Painter 1st class</t>
  </si>
  <si>
    <t>Painter 2nd class</t>
  </si>
  <si>
    <t>For slabs of 175mm thick</t>
  </si>
  <si>
    <t>Blacksmith/Barbender</t>
  </si>
  <si>
    <t>Add water charges</t>
  </si>
  <si>
    <t>Cost of RCC M20mix</t>
  </si>
  <si>
    <t>For slabs of 100mm thick</t>
  </si>
  <si>
    <t>For slabs of 125mm thick</t>
  </si>
  <si>
    <t>For slabs of 150mm thick</t>
  </si>
  <si>
    <t>Name of the structural Member</t>
  </si>
  <si>
    <t>Unit of measurement</t>
  </si>
  <si>
    <t>Material hire charges</t>
  </si>
  <si>
    <t>Per 1Cum</t>
  </si>
  <si>
    <t>Rs</t>
  </si>
  <si>
    <t>D</t>
  </si>
  <si>
    <t>E</t>
  </si>
  <si>
    <t>F</t>
  </si>
  <si>
    <t>G</t>
  </si>
  <si>
    <t>H</t>
  </si>
  <si>
    <t>I</t>
  </si>
  <si>
    <t>J</t>
  </si>
  <si>
    <t>FOOTINGS</t>
  </si>
  <si>
    <t>PLINTH BEAMS</t>
  </si>
  <si>
    <t>LINTELS</t>
  </si>
  <si>
    <t>CHAJJAS- SUNSHADES</t>
  </si>
  <si>
    <t>COLUMNS</t>
  </si>
  <si>
    <t>BEAMS</t>
  </si>
  <si>
    <t>SLABS - Up to 150mm thick</t>
  </si>
  <si>
    <t>SlABS - above 150mm - upto 300mm thick</t>
  </si>
  <si>
    <t>SLABS - Above 300</t>
  </si>
  <si>
    <t>Per 1Sqm</t>
  </si>
  <si>
    <t>1st Flour</t>
  </si>
  <si>
    <t>2nd Flour</t>
  </si>
  <si>
    <t>Hire charges for centring &amp; scaffolding, Unsupported Height up to 3.66M casurina Ballies, Bamboos, wooden Reapers, Runners, Wood Posts, Wall Plates etc.,</t>
  </si>
  <si>
    <t>Hire charges for centring &amp; scaffolding, Unsupported Height up to 3.66M steel scaffolding pipes, jack props, wallers, Foot plates, brackets, steel centering plates etc.,</t>
  </si>
  <si>
    <t xml:space="preserve">Hire charges for  Access scaffolding, up to 3.66M casurina Ballies, Bamboos, wooden Reapers, Runners, Wood Posts, Wall Plates etc., for brick masonary / stone masonary - 1 Sqm </t>
  </si>
  <si>
    <t xml:space="preserve">Hire charges for  Access scaffolding, up to 3.66M casurina Ballies, Bamboos, wooden Reapers, Runners, Wood Posts, Wall Plates etc., for plastering to walls- 1 Sqm </t>
  </si>
  <si>
    <t xml:space="preserve">Hire charges for  Access scaffolding, up to 3.66M casurina Ballies, Bamboos, wooden Reapers, Runners, Wood Posts, Wall Plates etc., for Celling plastering - 1 Sqm </t>
  </si>
  <si>
    <t xml:space="preserve"> </t>
  </si>
  <si>
    <t>Sand for Mortor for concrete</t>
  </si>
  <si>
    <t>Sand for Mortor for plastering</t>
  </si>
  <si>
    <t>Sand for Filling</t>
  </si>
  <si>
    <t>Polished shabad stone 15-18 mm thick (0.457 x .304))</t>
  </si>
  <si>
    <t>Mastic pad 25.4mm thick</t>
  </si>
  <si>
    <t>Mastic pad 12.7mm thick</t>
  </si>
  <si>
    <t>Joint filler board 20 mm thick</t>
  </si>
  <si>
    <t>Mild steel Tubes &amp; Pipes in all dia</t>
  </si>
  <si>
    <t>Cost and supply of MS Grills  including cost and conveyance  to work   spot and fabrication charges of steel like cutting rods,  welding  grills placing in position  etc., complete.</t>
  </si>
  <si>
    <t>Centering charges</t>
  </si>
  <si>
    <t>RR stone (for Masonry)</t>
  </si>
  <si>
    <t>Bond stone (600 x 200 x 200mm)</t>
  </si>
  <si>
    <t xml:space="preserve">HIRE CHARGES FOR CENTERING &amp; SCAFFOLDING - UNSUPPORTED hight  upto 3.66M  Steel scaffolding pipes, jack props,  wallers, foot plates, brackets, steet centering plastes, etc., </t>
  </si>
  <si>
    <t>1 Sqm</t>
  </si>
  <si>
    <t xml:space="preserve">    Centring &amp; Scaffolding Charges.</t>
  </si>
  <si>
    <t>LOADING&amp;UNLOADING INCLUDING IDLE HIRE CHARGES OF TRUCKS</t>
  </si>
  <si>
    <t>Distance in Km</t>
  </si>
  <si>
    <t>Earth/sand/Gravel/Morrum/Surki per cum Net Conveyance</t>
  </si>
  <si>
    <t>Stones and Coarse aggreagate per Cum Net Conveyance</t>
  </si>
  <si>
    <t>Net Conveyance</t>
  </si>
  <si>
    <t>Total conveyance charges</t>
  </si>
  <si>
    <t>Up to 30 Km Lead</t>
  </si>
  <si>
    <t>Beyond 30 Km Lead</t>
  </si>
  <si>
    <t>Up to 1 Km</t>
  </si>
  <si>
    <t>Up to 2 Km</t>
  </si>
  <si>
    <t>Up to 3 Km</t>
  </si>
  <si>
    <t>Up to 4 Km</t>
  </si>
  <si>
    <t>Up to 5 Km</t>
  </si>
  <si>
    <t>RCC SLABS 110mm thick</t>
  </si>
  <si>
    <t>Sundries including brushes, ladders, etc.@0.5%</t>
  </si>
  <si>
    <t>Augoring  3.75*0.526</t>
  </si>
  <si>
    <t>Furniture - Iron - for External doors (Schedule Item 292) Double Door</t>
  </si>
  <si>
    <t>MS powder coated top tower bolts 250mm long</t>
  </si>
  <si>
    <t>MS powder coated bottom tower bolts 250mm long</t>
  </si>
  <si>
    <t>Wind Cleats</t>
  </si>
  <si>
    <t>Furniture - Iron - for External doors (Schedule Item 292) Single Door</t>
  </si>
  <si>
    <t>Cabin hooks</t>
  </si>
  <si>
    <t>MS powder coated top tower bolts 100mm long</t>
  </si>
  <si>
    <t>MS powder coated bottom tower bolts 100mm long</t>
  </si>
  <si>
    <t>100mm long MS powder coated butt hinges</t>
  </si>
  <si>
    <t>Sal Wood</t>
  </si>
  <si>
    <t>BED BLOCKS,BANDS</t>
  </si>
  <si>
    <t>Fabrication and Fixing of Grills ( 22.00+4.00 )</t>
  </si>
  <si>
    <t>V.R.C.C. M-25 DesignMix</t>
  </si>
  <si>
    <t>weigh Batcher Hire Charges(Machine Mixing) Charges</t>
  </si>
  <si>
    <t>RACKS &amp; PLATFORMS</t>
  </si>
  <si>
    <t>Unit =1 cum</t>
  </si>
  <si>
    <t>Total for 1 cum</t>
  </si>
  <si>
    <t>Bricks 2nd Class traditional size (23x11x7 cm)</t>
  </si>
  <si>
    <t>Polished Kadapa slabs min of  15 mm thick (0.457 x 457))</t>
  </si>
  <si>
    <t>Cost of MS Grills</t>
  </si>
  <si>
    <t>BMM-V-25</t>
  </si>
  <si>
    <t>BMM-V-38</t>
  </si>
  <si>
    <t>Labour, wrought and putup in position frame &amp; shutters</t>
  </si>
  <si>
    <t>* Note : Average rate for respective size scantlings and rough planks</t>
  </si>
  <si>
    <t>Add 13.615% towards Overhead charges and contractor profit</t>
  </si>
  <si>
    <t>Bricks 1000 Nos
(Manual)</t>
  </si>
  <si>
    <t>BMT-H-119</t>
  </si>
  <si>
    <t>BMT-C-55</t>
  </si>
  <si>
    <t>Non Porcelain Ceramic Floortiles 400x400 size (7.8mm thick)</t>
  </si>
  <si>
    <t>BMT-C-61</t>
  </si>
  <si>
    <t>Snowcem paint/Water proof cement paint</t>
  </si>
  <si>
    <t>Mild steel</t>
  </si>
  <si>
    <t xml:space="preserve"> Teak wood wrought and put up to2 &amp;2 to3 meters(schedule item no 286&amp;287) for Doors</t>
  </si>
  <si>
    <t>BMM-V-31</t>
  </si>
  <si>
    <t xml:space="preserve"> Teak wood wrought and put up to2 &amp;2 to3 meters(schedule item no 286&amp;287) for Windows</t>
  </si>
  <si>
    <t>Other than Teak wood wrought and put up to2 &amp;2 to3 meters(schedule)  for Doors</t>
  </si>
  <si>
    <t>BMM-V-41</t>
  </si>
  <si>
    <t>Other than Teak wood wrought and put up to2 &amp;2 to3 meters(schedule) for Windows</t>
  </si>
  <si>
    <t>Add MA</t>
  </si>
  <si>
    <t>CSTN       Amendmt-22</t>
  </si>
  <si>
    <t>Supply and placing of the Design Mix Concrete corresponding to IS 456 using WEIGH BATCHER/MIXER with 20mm size graded machine crushed hard granite metal (coarse aggregate) from approved quarry including cost and conveyance of all materials like cement, fine aggregated (sand) coarse aggregate, water etc., tosite and sales &amp; othr taxes on all materials includign all operational, incidental and labour charges such as weigh batching, machine mixing, laying concrete, curing etc., complete but excludign cost of steel and its fabrictaion chrages for finished item of work (APSS No. 402) with minimum cement content as per IS code from standard suppliers approved by the department includign laying concrete,   Including Overheads &amp; Cotractors Profit @13.615%etc., complete but excluding cost of steel and its fabrication charges for finished item of work including Auguring, Boring&amp;Under reaming for Cast-in-Situ  piles of 250mm dia 3.50mts depth.</t>
  </si>
  <si>
    <t>BLD-CSTN                9-20</t>
  </si>
  <si>
    <t>Providing skirting to internal walls to 15 cm height/risers of steps with Vitrified tiles length equal to flooring stones, set over base coat of CM (1:5) 12 mm thick with cement slurry of honey like consistency spread at the rate of 3.30 kgs per sqm and jointed with white cement paste mixed with pigment of matching shade to full depth, including cost of all materials like  stone, cement, sand and water etc., complete excluding seigniorage charges, etc., complete for finished item of work</t>
  </si>
  <si>
    <t>Sand for CM 1:5 base coat</t>
  </si>
  <si>
    <t xml:space="preserve">Cement for CM (1:5) for base coat </t>
  </si>
  <si>
    <t xml:space="preserve">White Cement for Jointing &amp; Pointing </t>
  </si>
  <si>
    <t>BLD-CSTN-9-18</t>
  </si>
  <si>
    <t>Providing skirting to internal walls to 15cm height/risers of steps with Ceramic tiles length equal to flooring stones, set over base coat of CM (1:3) 12 mm thick with cement slurry of honey like consistency spread at the rate of 3.30 kgs per sqm and jointed with white cement paste mixed with pigment of matching shade to full depth, including cost of all materials like Shahabad stone, cement, sand and water etc., complete excluding seigniorage charges, etc., complete for finished item of work</t>
  </si>
  <si>
    <t xml:space="preserve">Sand for CM (1:3) for base coat </t>
  </si>
  <si>
    <t>Cement for CM (1:3) for base coat</t>
  </si>
  <si>
    <t>Providing dadooing to internal walls to 15 cm height/risers of steps with 7.30 mm thick Ceramic tiles length equal to flooring stones, set over base coat of CM (1:3) 12 mm thick with cement slurry of honey like consistency spread at the rate of 3.30 kgs per sqm and jointed with white cement paste mixed with pigment of matching shade to full depth, including cost of all materials like Shahabad stone, cement, sand and water etc., complete excluding seigniorage charges, etc., complete for finished item of work</t>
  </si>
  <si>
    <t>Sand for base coat</t>
  </si>
  <si>
    <t>Cement Mortar (1 : 3)for plastering</t>
  </si>
  <si>
    <t>CSTN-3-14</t>
  </si>
  <si>
    <t>CSTN-3-15</t>
  </si>
  <si>
    <t>CSTN-3-16</t>
  </si>
  <si>
    <t>Cement Mortar (1 : 4)for plastering</t>
  </si>
  <si>
    <t>FF</t>
  </si>
  <si>
    <t>Columns</t>
  </si>
  <si>
    <t>GF</t>
  </si>
  <si>
    <t>SF</t>
  </si>
  <si>
    <t>Add 10% Extra LC on Labour</t>
  </si>
  <si>
    <t>Centering Charges</t>
  </si>
  <si>
    <t>Add MA on Centering labour</t>
  </si>
  <si>
    <t xml:space="preserve">Add MA </t>
  </si>
  <si>
    <t>Add MA on Scaffolding labour</t>
  </si>
  <si>
    <t>3rdF</t>
  </si>
  <si>
    <t>Painting to New walls with two coats of Plastic Emulsion paint of superior quality of approved brand and shade over base coat of cement primer grade -I making three coats in all to give an even shade after thoroughly brushing the surface to remove all loose powdered materials, including cost and conveyance of all materials, including cost and conveyance of all materials, cost of brushes, water to site, etc., sales &amp; other taxes, all operational, incidental and labour charges such as scaffolding charges, lift charges, curing etc., complete for finished item of work in all floors for Walls.(APSS No. 911) in All Floors for exterior walls</t>
  </si>
  <si>
    <t>BLD-CSTN-12-2&amp;emendment 17</t>
  </si>
  <si>
    <t>BASIC COST per Each</t>
  </si>
  <si>
    <t>Flush door shutter</t>
  </si>
  <si>
    <t xml:space="preserve">Rate per Sqm </t>
  </si>
  <si>
    <t>Fixtures</t>
  </si>
  <si>
    <t>frames</t>
  </si>
  <si>
    <t>verticals</t>
  </si>
  <si>
    <t>horizontals</t>
  </si>
  <si>
    <t>labour charges</t>
  </si>
  <si>
    <t>Cost of frame + door shutter</t>
  </si>
  <si>
    <t>Add 13.615% overhead charges, Contractor profit</t>
  </si>
  <si>
    <t>Rate for one door of 0.1.08 x 2.05m</t>
  </si>
  <si>
    <t>Door size 1.20 X 2.10 M (Frame )</t>
  </si>
  <si>
    <t xml:space="preserve">Cost of Frame .1.20m x 2.10m </t>
  </si>
  <si>
    <t>Cost of flush door with frame of size 1.20m x2.10m</t>
  </si>
  <si>
    <t>labour charges for fixing flush door shutters of any thickness to the existing door frame including fixing all fixtuters to the door SSR P.No69 BMM V23</t>
  </si>
  <si>
    <t>BLD-CSTN-13-1</t>
  </si>
  <si>
    <t>Best Teak wood wrought and put up to2 &amp;2 to3 meters(schedule item no 286&amp;287)</t>
  </si>
  <si>
    <t>Unit=1 cum</t>
  </si>
  <si>
    <t>Materials:-</t>
  </si>
  <si>
    <t>Teak wood large scantlings</t>
  </si>
  <si>
    <t>Labour:-</t>
  </si>
  <si>
    <t>Carpenter 1st class</t>
  </si>
  <si>
    <t>Carpenter 2nd class</t>
  </si>
  <si>
    <t>Man mazdoor</t>
  </si>
  <si>
    <t>Add MA @40%</t>
  </si>
  <si>
    <t>Rate for one door of 0.78 x 2.05m</t>
  </si>
  <si>
    <t>Door size 0.90 X 2.10 M (Frame )</t>
  </si>
  <si>
    <t xml:space="preserve">Cost of Frame .0.90m x 2.10m </t>
  </si>
  <si>
    <t>Cost of flush door with frame of size 0.90m x2.10m</t>
  </si>
  <si>
    <t>Flush door shutters, solid bond wood block board type with teak veneer on one face and commercial ply on another face (lipping) : 30 mmthick conforming to IS:2202  (As per SSR p.No41 BMT N 21)</t>
  </si>
  <si>
    <t xml:space="preserve">Supply and fixing of  Flush   Door shutter  of size 0.90 x 2.10mt with block board type  with teak veneer on one face and commercial ply on another face30 mm thick (conforming to IS:2202 of shubdwara), with frame made of well seasoned sal Wood scantlings of size 100 x 75mm   including cost and conveyance of all materials and labour charges  including Overheads &amp; Cotractors Profit @13.615%etc. complete as per specifications  (APSS NO.1001 &amp; 1002)                                                                                     </t>
  </si>
  <si>
    <t xml:space="preserve">Supply and fixing of  Flush   Door shutter  of size 1.20 x 2.10mt with block board type with teak veneer on one face and commercial ply on another face-30 mm thick (conforming to IS:2202 of shubdwara), with frame made of well seasoned sal Wood scantlings of size 100 x 75mm   including cost and conveyance of all materials and labour charges  including Overheads &amp; Cotractors Profit @13.615%etc. complete as per specifications  (APSS NO.1001 &amp; 1002)                                                                                     </t>
  </si>
  <si>
    <t>Gravel</t>
  </si>
  <si>
    <t>Fly ash bricks of size 290X100X60mm (50Kg)</t>
  </si>
  <si>
    <t>BMT-A-14</t>
  </si>
  <si>
    <t>Porcelain Vitrified  floor tiles of size 600X600 mm (8-10mm)</t>
  </si>
  <si>
    <t>BMT-C-95</t>
  </si>
  <si>
    <t>Coloured glazed tiles (5-7mm)</t>
  </si>
  <si>
    <t>Polymer luxary Plastic emulsion superior grade</t>
  </si>
  <si>
    <t>BMM-V-44</t>
  </si>
  <si>
    <t>HYSD( Fe 415)</t>
  </si>
  <si>
    <t>DETIALED-CUM-ABSTRACT ESTIMATE</t>
  </si>
  <si>
    <t>S.
No</t>
  </si>
  <si>
    <t>Descripition of Item</t>
  </si>
  <si>
    <t>No.</t>
  </si>
  <si>
    <t>Measurements</t>
  </si>
  <si>
    <t>unit</t>
  </si>
  <si>
    <t>Earthwork in excavation for structures as per drawing and technical specifications Clause 305.1 including setting out, construction of shoring and bracing, removal of stumps and other deleterious material and disposal upto a lead of 50 m, dressing of sides and bottom and backfilling in trenches with excavated suitable material as per Technical Specification 305 MORD / 304 MORTH    but excluding  seigniorage   charges  &amp;  VAT</t>
  </si>
  <si>
    <t>For Ramp</t>
  </si>
  <si>
    <t>x</t>
  </si>
  <si>
    <t>Add Steps</t>
  </si>
  <si>
    <t>Engaging Unskilled labour for Clearing Light shurbs for clearing the site.</t>
  </si>
  <si>
    <t xml:space="preserve">Labour charges for filling </t>
  </si>
  <si>
    <t>1cum</t>
  </si>
  <si>
    <t>Deduct Voids @ 40%</t>
  </si>
  <si>
    <t>Filling  of sand in foundation trenches as per drawing and technical specification Clause 305.3.9 MORD &amp; 304 MORTH  including cost of all materials, labour charges and incidental such as scaffolding, lift charges etc., complete for finished item of work.    but excluding  seigniorage   charges  &amp;  VAT</t>
  </si>
  <si>
    <t>Basement</t>
  </si>
  <si>
    <t>Hall</t>
  </si>
  <si>
    <t xml:space="preserve">Antinental Room </t>
  </si>
  <si>
    <t>Kitchen</t>
  </si>
  <si>
    <t>Store</t>
  </si>
  <si>
    <t>Varandah</t>
  </si>
  <si>
    <t>Room in Varandah</t>
  </si>
  <si>
    <t>Wash area</t>
  </si>
  <si>
    <t>For inside Ramp</t>
  </si>
  <si>
    <t>Plain Cement concrete (1:4:8) using 40 mm metal with concrete mixture. All work upto plinth level. including cost of all materials,seigniorage, labour charges and incidental such as scaffolding, lift charges etc., complete for finished item of work.    but excluding  seigniorage   charges  &amp;  VAT</t>
  </si>
  <si>
    <t>NO</t>
  </si>
  <si>
    <t xml:space="preserve">Augoring and boring of holes in site and under reaming for Bored cast-in-situ R.C.C. Piles for building foundations in loamy, clayey soils like Black cotton soils and ordinary soils with augoring and boring equipment as per IS 2911 - 1980 as per approved designs including all operations, incidental, labour charges, hire charges of machinery, augur bore drill and shell equipment, etc, complete for all depths and for finished item of work for piles of different diameter , inclding  VRCC M- 25 Nominal mix (Cement:fine aggregate: coarse aggregate) corresponding to Table 9 of IS 456 using 20mm size graded machine crushed hard granite metal (coarse aggregate) from approved quarry including cost and conveyance of all materials like cement, fine aggregate (sand) coarse aggregate, water etc., to site and including  sales &amp; other taxes on all materials including all operational, incidental and labour charges such as machine mixing, laying concrete, curing etc.,complete but excluding cost of steel and its fabrication charges , seigniorage charges  for finished item of work, including centering, shuttering. </t>
  </si>
  <si>
    <t>375 mm dia 3.75 mts depth</t>
  </si>
  <si>
    <t>1 No</t>
  </si>
  <si>
    <t>450 mm dia 4.50 mts depth</t>
  </si>
  <si>
    <t>X</t>
  </si>
  <si>
    <t>VRCC M20 Nominal mix   ------do-------  for  PLINTH BEAMS  but excluding  seigniorage   charges  &amp;  VAT</t>
  </si>
  <si>
    <t>Long beams</t>
  </si>
  <si>
    <t>Plinth in Rooms</t>
  </si>
  <si>
    <t>Ver cross beam</t>
  </si>
  <si>
    <t>VRCC M20 Nominal mix   ------do-------  for  Columns    but excluding  seigniorage   charges  &amp;  VAT</t>
  </si>
  <si>
    <t>Upto roof level</t>
  </si>
  <si>
    <t>1 cum</t>
  </si>
  <si>
    <t>VRCC M20 Nominal mix   ------do-------  for  Lintels    but excluding  seigniorage   charges  &amp;  VAT</t>
  </si>
  <si>
    <t>(D)</t>
  </si>
  <si>
    <t>(D1) outer walls</t>
  </si>
  <si>
    <t>(D1) inner walls</t>
  </si>
  <si>
    <t>Opening</t>
  </si>
  <si>
    <t>(W)</t>
  </si>
  <si>
    <t>(W1)</t>
  </si>
  <si>
    <t>RCC M20 Nominal mix   ------do-------   for  SUN SHADES of 0.60mts  wide &amp; 75mm thick at fixed end and 50mm thick at free endfor  sunshades    but excluding  seigniorage   charges  &amp;  VAT</t>
  </si>
  <si>
    <t>(D1)</t>
  </si>
  <si>
    <t>1 sqm</t>
  </si>
  <si>
    <t>VRCC M20 Nominal mix   ------do-------  for  Roof level beams   but excluding  seigniorage   charges  &amp;  VAT</t>
  </si>
  <si>
    <t>VRCC M20 Nominal mix   ------do-------  for  Roof slab Projection of 50mm thick    but excluding  seigniorage   charges  &amp;  VAT</t>
  </si>
  <si>
    <t>RCC M20 Nominal mix   ------do-------  for   pre-casted slabs    but excluding  seigniorage   charges  &amp;  VAT</t>
  </si>
  <si>
    <t>Antenatal Room</t>
  </si>
  <si>
    <t>Pardha wall to Verandah</t>
  </si>
  <si>
    <t>1.00cum</t>
  </si>
  <si>
    <t>Brick Masonry in superstructure with CM (1:6) prop with Flyash Cement solid blocks of size 290 x 200x 140 mm, for manufacturing of flyash solid blocks using flyash of 80 kgs, cement of 15 kgs. Gypsum of 5 kgs. and stone dust with a compresive strength not lessthan 50 kg/sqm including cost and conveyance of all materials, labour charges,  and curing etc.,  but excluding  seigniorage   charges  &amp;  VAT</t>
  </si>
  <si>
    <t>Alround</t>
  </si>
  <si>
    <t xml:space="preserve">Deduct columns </t>
  </si>
  <si>
    <t>Cross Walls</t>
  </si>
  <si>
    <t>Add for Ramp</t>
  </si>
  <si>
    <t>(1.10+0.70)2</t>
  </si>
  <si>
    <t>Superstructure</t>
  </si>
  <si>
    <t>Deductions</t>
  </si>
  <si>
    <t xml:space="preserve"> (D1)</t>
  </si>
  <si>
    <t>W1</t>
  </si>
  <si>
    <t>LS</t>
  </si>
  <si>
    <t>Providing impervious coat to exposed RCC roof slab surface with CM(1:3), 20mm thick  with 1kg of water proof compound per bag of cement  laid over roof when it is green including cost of all materials, seigniorage charges, excluding conveyance charges of materials and including all operational, incidental and labour charges for mixing mortar, laying, rendering smooth and thread lining, curing, rounding off junctions of wall and slab etc,, complete for finished item of work    but excluding  seigniorage   charges  &amp;  VAT</t>
  </si>
  <si>
    <t>over roof slab</t>
  </si>
  <si>
    <t xml:space="preserve"> x</t>
  </si>
  <si>
    <t>Supplying, fitting and placing HYSD bar reinforcement in foundation complete as per drawings and technical specifications for Bars below 36 mm dia including over laps and wastage, where they are not welded     but excluding  seigniorage   charges  &amp;  VAT</t>
  </si>
  <si>
    <t xml:space="preserve">   -----</t>
  </si>
  <si>
    <t>Plastering with CM (1:5) 12mm thick ,including cost and coveyance of all material and all labour charges and  i but excluding  seigniorage   charges  &amp;  VAT</t>
  </si>
  <si>
    <t>Inside</t>
  </si>
  <si>
    <t>kitchen</t>
  </si>
  <si>
    <t>store</t>
  </si>
  <si>
    <t>outside</t>
  </si>
  <si>
    <t>alround</t>
  </si>
  <si>
    <t>Windows  W</t>
  </si>
  <si>
    <t>Add for Ramp out side</t>
  </si>
  <si>
    <t>(0.85+0.45)/2</t>
  </si>
  <si>
    <t>CW10</t>
  </si>
  <si>
    <t>CW01</t>
  </si>
  <si>
    <t>CW11</t>
  </si>
  <si>
    <t>CW12</t>
  </si>
  <si>
    <t>CW13</t>
  </si>
  <si>
    <t>Part B</t>
  </si>
  <si>
    <t xml:space="preserve">Estmate cost </t>
  </si>
  <si>
    <t>Rs 2.00 lakhs</t>
  </si>
  <si>
    <t>Painting to new wood work with two coats of ready mixed synthetic enamel paint first quality all shades over  primer including cost and conveyance of all mateials to site, and all labour charges etc. complete for finished item of work   but excluding    VAT</t>
  </si>
  <si>
    <t xml:space="preserve"> Door D</t>
  </si>
  <si>
    <t xml:space="preserve">   ----</t>
  </si>
  <si>
    <t xml:space="preserve"> Door D1</t>
  </si>
  <si>
    <t xml:space="preserve"> Window W</t>
  </si>
  <si>
    <t>Window W1</t>
  </si>
  <si>
    <t>1sqm</t>
  </si>
  <si>
    <t>Flooring with ceramic tiles, set over base coat of cement mortar (1:8), 12 mm thick over CC bed already laid or RCC roof slab, including neat cement slurry of honey like consistency spread @ 3.3.kgs per sqm &amp; jointed neatly with white cement paste to full depth mixed with pigment of matching shade, including cost of all materials like cement, sand water and tiles etc., complete, including seigniorage charges, etc., complete for finished item of work, but excluding  seigniorage   charges  &amp;  VAT</t>
  </si>
  <si>
    <t>White washing two coats with whiting of approved quality to give an even shade after thoroughly brushing the surface to remove all dirt and remains of loose powdered materials including cost of all materials, labour charges and incidental such as scaffolding, lift charges etc., complete for finished item of work.  but excluding    VAT</t>
  </si>
  <si>
    <t>same as plastering qty</t>
  </si>
  <si>
    <t xml:space="preserve"> 1 sqm</t>
  </si>
  <si>
    <t>Painting to new walls with 2 coats of   acrylic exterior emulsion paint having VOC (Volatile Organic Compound ) content less than 50 grams/ liter of approved brand and shade over a base coat of appropriate primer of approved brand, making 3 coats in all to give an even shade after thourughly brushing the surface to remove all dirt and remains of loose powdered materials, including cost and conveyance of all materials to work site and all operational, incidental, labour charges etc. complete for finished item of work as per SS 911 for external walls  but excluding    VAT</t>
  </si>
  <si>
    <t>all round out side  for  basement.</t>
  </si>
  <si>
    <t>all round out side  above basement</t>
  </si>
  <si>
    <t>Varandah above lintel</t>
  </si>
  <si>
    <t>10sqm</t>
  </si>
  <si>
    <t>Making Green Chalk Board of size 1.8mx1.20m including boarder with Plastering in CM(1:3)20 mm thick as base coat and 3mm thick top coat with cement green oxide powder in (1:1) proportion and making boarder of 50x20mm thick  with CM(1:2) including cost &amp; conveyance of all materials  and labour charges    but excluding  seigniorage   charges  &amp;  VAT</t>
  </si>
  <si>
    <t>Oranamental plastering to ceiling  in Cm(1:4)8 mm thick  with dubara sponge finish including cost and conveyance of all materials like cement , sand , water etc. to site , including seigniorage charges,sales &amp; other axes on all materials , all operational,incidental and labour charges such as mixing motor , finishing, scafolding, lift charges, including cutting of grooves where ever necessary as directed by Engineer - in - Charge curing etc. complete for finished item of work (APSS No.901,903&amp;904)   but excluding  seigniorage   charges  &amp;  VAT</t>
  </si>
  <si>
    <t>Door(D) size:1.05x2.10m</t>
  </si>
  <si>
    <t xml:space="preserve">  -----</t>
  </si>
  <si>
    <t>No</t>
  </si>
  <si>
    <t>1 No.</t>
  </si>
  <si>
    <t>Provision for cost and supply of window shutters</t>
  </si>
  <si>
    <t>Cos &amp; Supply of Cement Jali 25mm thick  including cost and conveyance of all mateials to site, and all labour charges etc. complete for finished item of work  but excluding    VAT</t>
  </si>
  <si>
    <t>over Doos&amp; windows</t>
  </si>
  <si>
    <t xml:space="preserve">  ---</t>
  </si>
  <si>
    <t>Provision for   Seigniorage Charges ( As calulation Sheet enclosed)</t>
  </si>
  <si>
    <t xml:space="preserve">Provision of unforseen </t>
  </si>
  <si>
    <t xml:space="preserve">     Deputy Executive Engineer,</t>
  </si>
  <si>
    <t>Assistant Executive  Engineer,</t>
  </si>
  <si>
    <t xml:space="preserve"> PRI  Sub-Division, Vijayawada.</t>
  </si>
  <si>
    <t>MPP, Kankipadu.</t>
  </si>
  <si>
    <t>Brick Masonry in superstructure with CM (1:6) prop with Flyash Cement solid blocks of size 290 x 200 x 140 mm, for manufacturing of flyash solid blocks using flyash of 80 kgs, cement of 15 kgs. Gypsum of 5 kgs. and stone dust with a compresive strength not lessthan 50 kg/sqm including cost and conveyance of all materials, labour charges,  scaffolding and curing etc.,   but excluding  seigniorage   charges  &amp;  VAT</t>
  </si>
  <si>
    <t>450mm dia4.50mts depth</t>
  </si>
  <si>
    <t>RCC M-25</t>
  </si>
  <si>
    <t>Augoring  4.50*0.631</t>
  </si>
  <si>
    <t>VRCC M20 Nominal mix   ------do-------  for  Roof slab 115mm thick    but excluding  seigniorage   charges  &amp;  VAT</t>
  </si>
  <si>
    <t>Masonry work in CM (1:6) prop with Flyash Cement solid blocks of size 290 x 200 x 140 mm for manufacturing of flyash solid blocks using flyash of 80 kgs, cement of 15 kgs. Gypsum of 5 kgs. and stone dust including cost and conveyance of all materials, labour charges, seiniorage charges, scaffolding and curing etc., cpomplete with a compresive strength not lessthan 50 kg/sqm for walls for Basement</t>
  </si>
  <si>
    <t>Masonry work in CM (1:8) prop with Flyash Cement solid blocks of size 290 x 200 x 140 mm for manufacturing of flyash solid blocks using flyash of 80 kgs, cement of 15 kgs. Gypsum of 5 kgs. and stone dust including cost and conveyance of all materials, labour charges, seiniorage charges, scaffolding and curing etc., cpomplete with a compresive strength not lessthan 50 kg/sqm for walls for Superstructure Walls</t>
  </si>
  <si>
    <t>Rmt</t>
  </si>
  <si>
    <t>1No</t>
  </si>
  <si>
    <t>RM</t>
  </si>
  <si>
    <t>Assistant Executive Engineer</t>
  </si>
  <si>
    <t>Windows</t>
  </si>
  <si>
    <t>Room</t>
  </si>
  <si>
    <t>Nos.</t>
  </si>
  <si>
    <t>Qty</t>
  </si>
  <si>
    <t>Sundries</t>
  </si>
  <si>
    <t>each</t>
  </si>
  <si>
    <t>Supply and run of 2 of 36/0.3mm (2.5 Sq.mm) F.R P.V.C. insulated flexible copper cable in existing pipe for mains inlcuding all labour charges etc., complete.</t>
  </si>
  <si>
    <t xml:space="preserve">PRI Sub Division, Vijayawada. </t>
  </si>
  <si>
    <r>
      <t xml:space="preserve">Supply and </t>
    </r>
    <r>
      <rPr>
        <sz val="10"/>
        <rFont val="Trebuchet MS"/>
        <family val="2"/>
      </rPr>
      <t xml:space="preserve">  including cost and conyence of all material for fixing and all labour charges etc complete    but excluding  seigniorage   charges  &amp;  VAT</t>
    </r>
  </si>
  <si>
    <t>Window(W) size: 1.22x1.35m</t>
  </si>
  <si>
    <t>For Windows frame 0.91*1.22</t>
  </si>
  <si>
    <t>Bldg A/R</t>
  </si>
  <si>
    <t xml:space="preserve">Deduct  Door D </t>
  </si>
  <si>
    <t>Cross Wall at Rooms</t>
  </si>
  <si>
    <t xml:space="preserve">Deduct  Opening  O </t>
  </si>
  <si>
    <t>Long Wall in Rooms</t>
  </si>
  <si>
    <t>Skirting A/R</t>
  </si>
  <si>
    <t>Deduct Door D</t>
  </si>
  <si>
    <t xml:space="preserve"> ----do--- D1</t>
  </si>
  <si>
    <t>Deduct opening</t>
  </si>
  <si>
    <t>Deduct D1</t>
  </si>
  <si>
    <t>Add for platform top</t>
  </si>
  <si>
    <t>Front steps</t>
  </si>
  <si>
    <t>Slab panel in hall</t>
  </si>
  <si>
    <t>Sides of T- Beams</t>
  </si>
  <si>
    <t xml:space="preserve"> Slab panel in Room</t>
  </si>
  <si>
    <t xml:space="preserve"> ---do-- in Store</t>
  </si>
  <si>
    <t xml:space="preserve"> ---do-- in Kitchen</t>
  </si>
  <si>
    <t xml:space="preserve"> ---do-- in Varandah</t>
  </si>
  <si>
    <t>Beam sides</t>
  </si>
  <si>
    <t>Slab projection A/R</t>
  </si>
  <si>
    <t>Tapper projection in Varandah</t>
  </si>
  <si>
    <t xml:space="preserve">RCC Frame </t>
  </si>
  <si>
    <t>MS Z hold fasts 300 mm long</t>
  </si>
  <si>
    <t>Top Tower Bolts  250mm long MS power coated</t>
  </si>
  <si>
    <t>Aldrop 300mm long  MS power coated</t>
  </si>
  <si>
    <t>50mm gauge nails  Ele 8.1.11</t>
  </si>
  <si>
    <t>doz</t>
  </si>
  <si>
    <t>Rubber Door stopper bushes</t>
  </si>
  <si>
    <t>1200 x 1370mm</t>
  </si>
  <si>
    <t xml:space="preserve">Frame of size </t>
  </si>
  <si>
    <t>*Sal wood (Average of scantlings  Planks  ( 69327)</t>
  </si>
  <si>
    <t>MS Z Hold fasts - 300 mm long of 40 x 40 x 5 mm ISA</t>
  </si>
  <si>
    <t>Cost of 100 long M.S.Powder Coated Towerbolts (BMT-G.14)</t>
  </si>
  <si>
    <t>Cost of 125mm Long M.S.Powder Coated Handles (BMT-G.35)</t>
  </si>
  <si>
    <t>Cost of 75mm long M.S.Powder Coated but hinges (BMT-G.27)</t>
  </si>
  <si>
    <t>Cost of 250mm long M.S.Powder Coated flat latches  (BMT-G.52)</t>
  </si>
  <si>
    <t>Labour, wrought and putup in position frame &amp; shutters (BMM - V 38)</t>
  </si>
  <si>
    <t>SAY</t>
  </si>
  <si>
    <t>900 x 1200mm</t>
  </si>
  <si>
    <t>Double Shutter  Window of size</t>
  </si>
  <si>
    <t>Double Shutter Window of size</t>
  </si>
  <si>
    <t>Door Handles 150mm MS power coated</t>
  </si>
  <si>
    <t>Hinges 125mm long  MS power coated</t>
  </si>
  <si>
    <t>Assistant Executive Engineer,</t>
  </si>
  <si>
    <t>Deputy Executive Engineer,</t>
  </si>
  <si>
    <t>Scafolding charges per sqm (1cum/0.20m thick = 5.00 sqm)</t>
  </si>
  <si>
    <t>GOVERNMENT OF ANDHRA PRADESH</t>
  </si>
  <si>
    <t>PANCHAYATI RAJ ENGINEERING DEPARTMENT</t>
  </si>
  <si>
    <t xml:space="preserve">  </t>
  </si>
  <si>
    <t>G.P.</t>
  </si>
  <si>
    <t xml:space="preserve">: </t>
  </si>
  <si>
    <t>Mandal</t>
  </si>
  <si>
    <t xml:space="preserve">Sub-Division  </t>
  </si>
  <si>
    <t xml:space="preserve">Division  </t>
  </si>
  <si>
    <t xml:space="preserve">:  </t>
  </si>
  <si>
    <t xml:space="preserve">DETAILED ESTIMATE </t>
  </si>
  <si>
    <t>Deputy Executive Engineer</t>
  </si>
  <si>
    <t>P.R.I Sub-Division, Vijayawada.</t>
  </si>
  <si>
    <t>General information Abstract Estimate</t>
  </si>
  <si>
    <t>Work details</t>
  </si>
  <si>
    <t>Expenditure incurred for  Labour component (Amount in Rs)</t>
  </si>
  <si>
    <t>Admn Sanction details</t>
  </si>
  <si>
    <t>Expenditure incurred for  Materiol  component (Amount in Rs)</t>
  </si>
  <si>
    <t>Admn Sanction Amount</t>
  </si>
  <si>
    <t xml:space="preserve">Total Expenditure incurred (Amount in Rs) </t>
  </si>
  <si>
    <t>Technical sanction details</t>
  </si>
  <si>
    <t>Amount payment done for  this work</t>
  </si>
  <si>
    <t>Date of commencement letter issued</t>
  </si>
  <si>
    <t>II</t>
  </si>
  <si>
    <t>Items to be paid details</t>
  </si>
  <si>
    <t>A.wage Component (Unskilled Labour)</t>
  </si>
  <si>
    <t>Amount for wage  component</t>
  </si>
  <si>
    <t xml:space="preserve">B.Material  Component </t>
  </si>
  <si>
    <t>Cost towards  supply of following material</t>
  </si>
  <si>
    <t>Material Type</t>
  </si>
  <si>
    <t>CW02</t>
  </si>
  <si>
    <t>CW03</t>
  </si>
  <si>
    <t>Sand for filling</t>
  </si>
  <si>
    <t>CW04</t>
  </si>
  <si>
    <t>CW05</t>
  </si>
  <si>
    <t>63-45 mm</t>
  </si>
  <si>
    <t>CW06</t>
  </si>
  <si>
    <t>53-22.5mm</t>
  </si>
  <si>
    <t>CW07</t>
  </si>
  <si>
    <t>20-12 mm</t>
  </si>
  <si>
    <t>CW08</t>
  </si>
  <si>
    <t>40,20,10 mm graded</t>
  </si>
  <si>
    <t>CW09</t>
  </si>
  <si>
    <t>40 mm nominal graded</t>
  </si>
  <si>
    <t>Total cost of materials (B) (1+2+3+4+5+6+7+8)</t>
  </si>
  <si>
    <r>
      <t>C</t>
    </r>
    <r>
      <rPr>
        <sz val="10"/>
        <rFont val="Arial"/>
        <family val="2"/>
      </rPr>
      <t>.Cost towards engaging  skilled labour,Semi skilled labour,other materials and equipment charges  including all other materials not covered above</t>
    </r>
  </si>
  <si>
    <r>
      <t>D</t>
    </r>
    <r>
      <rPr>
        <sz val="11"/>
        <rFont val="Arial"/>
        <family val="2"/>
      </rPr>
      <t>.Vat upto 5%</t>
    </r>
  </si>
  <si>
    <r>
      <t>E</t>
    </r>
    <r>
      <rPr>
        <sz val="11"/>
        <rFont val="Arial"/>
        <family val="2"/>
      </rPr>
      <t>.QC @ 0.5%</t>
    </r>
  </si>
  <si>
    <r>
      <t>F</t>
    </r>
    <r>
      <rPr>
        <sz val="11"/>
        <rFont val="Arial"/>
        <family val="2"/>
      </rPr>
      <t>.Seignorage charges</t>
    </r>
  </si>
  <si>
    <t>CW14</t>
  </si>
  <si>
    <r>
      <t>G</t>
    </r>
    <r>
      <rPr>
        <sz val="11"/>
        <rFont val="Arial"/>
        <family val="2"/>
      </rPr>
      <t>.Cost of NP,other pipes and precast chambers etc,</t>
    </r>
  </si>
  <si>
    <t>CW15</t>
  </si>
  <si>
    <r>
      <t>H</t>
    </r>
    <r>
      <rPr>
        <sz val="11"/>
        <rFont val="Arial"/>
        <family val="2"/>
      </rPr>
      <t>.LS amount for unforcen items</t>
    </r>
  </si>
  <si>
    <r>
      <t>P</t>
    </r>
    <r>
      <rPr>
        <sz val="11"/>
        <rFont val="Arial"/>
        <family val="2"/>
      </rPr>
      <t>.Total of material component (Total Amount at B,C,D,E,F,G and H)</t>
    </r>
  </si>
  <si>
    <t>Total Amount (Total of Labour &amp; Material component) (A+P)</t>
  </si>
  <si>
    <t>Deputy  Executive Engineer,</t>
  </si>
  <si>
    <t>M.P.P., Kankipadu.</t>
  </si>
  <si>
    <t>S.No</t>
  </si>
  <si>
    <t>Item</t>
  </si>
  <si>
    <t>Piles</t>
  </si>
  <si>
    <t>450mm Dia</t>
  </si>
  <si>
    <t>375 mm Dia</t>
  </si>
  <si>
    <t>300 mm Dia</t>
  </si>
  <si>
    <t>250 mm Dia</t>
  </si>
  <si>
    <t>sand filling</t>
  </si>
  <si>
    <t>CC 1:4:8</t>
  </si>
  <si>
    <t>CC 1:5:10</t>
  </si>
  <si>
    <t>RCC</t>
  </si>
  <si>
    <t xml:space="preserve">BM </t>
  </si>
  <si>
    <t>flooring</t>
  </si>
  <si>
    <t>Ceiling Plastering</t>
  </si>
  <si>
    <t>Plastering</t>
  </si>
  <si>
    <t>Impervious coat</t>
  </si>
  <si>
    <t>Mandal parishad Kankipadu.</t>
  </si>
  <si>
    <t xml:space="preserve">R.C.C. M-30  Nominal Mix for Piles </t>
  </si>
  <si>
    <t>12 mm HBG graded metal</t>
  </si>
  <si>
    <t>Inside hall A/R</t>
  </si>
  <si>
    <t>Deduct door D</t>
  </si>
  <si>
    <t>Deduct door D1</t>
  </si>
  <si>
    <t>Deduct Window W</t>
  </si>
  <si>
    <t>Inside room A/R</t>
  </si>
  <si>
    <t xml:space="preserve"> ----do--- W1</t>
  </si>
  <si>
    <t>Inside store A/R</t>
  </si>
  <si>
    <t>Inside kitchen A/R</t>
  </si>
  <si>
    <t>Outside</t>
  </si>
  <si>
    <t>Outside building A/R upto basement</t>
  </si>
  <si>
    <t>Outside building A/R above basement</t>
  </si>
  <si>
    <t>Sides of step I</t>
  </si>
  <si>
    <t xml:space="preserve"> ---do--- II</t>
  </si>
  <si>
    <t xml:space="preserve"> ---do--- III</t>
  </si>
  <si>
    <t>Step threads</t>
  </si>
  <si>
    <t>Provision towards Q.C. Charges  @ 0.500%</t>
  </si>
  <si>
    <t>Provision towards Seigniorage Charges</t>
  </si>
  <si>
    <t xml:space="preserve">                                   The above Estimate was Technically Sanctioned in DR .No.738/2013-14, Dt.28-02-2014 of the Executive Engineer, PRI Division, Vijayawada.  Since No Executive Agency has come forward to take up the work the Recost Estimate is prepared.</t>
  </si>
  <si>
    <t xml:space="preserve">                           Hence the Estimate is prepared with the following items as per instructions of the higher authorities.</t>
  </si>
  <si>
    <t>V.R.C.C M 20 Nominal   mix using 20mm size HBG machine crushed chips. For Plinth beam, Columns, Lintels, Roof Beams and 'T' Beams etc.,</t>
  </si>
  <si>
    <t>V.R.C.C Design mix using 20mm size HBG machine crushed chips for sunshade of size 0.60 Mts. Wide.</t>
  </si>
  <si>
    <t>V.R.C.C Design  mix using 20mm size HBG machine crushed chips for  Roof slab 115 mm thick.</t>
  </si>
  <si>
    <t>Provision towards Accoproof   plastering with CM(1:3)  of  20  mm thick over roof slab.</t>
  </si>
  <si>
    <t>Provision towards Snowcem  paint to internal &amp; external walls.</t>
  </si>
  <si>
    <t>Brick work in CM (1:8) mix using Fly Ash  bricks for superstructure.</t>
  </si>
  <si>
    <t>Plastring with C.M(1:5) 12mm thick to outside walls and inside walls.</t>
  </si>
  <si>
    <t>Cost,supply and fabrication of steel of various dia metres as per ISS.</t>
  </si>
  <si>
    <t>Provision Towards sand filling in Basement .</t>
  </si>
  <si>
    <t>Provision towards Ceramic Tiles flooring to the centre.</t>
  </si>
  <si>
    <t>Provision towards  Electrification to the Centre.</t>
  </si>
  <si>
    <t>Provision for Q C charges @ 0.50%.</t>
  </si>
  <si>
    <t>Provision for Unforseen items.</t>
  </si>
  <si>
    <t>M.P., Kankipadu</t>
  </si>
  <si>
    <r>
      <t xml:space="preserve">                                Specification Report to accompany the Working  Estimate for the work</t>
    </r>
    <r>
      <rPr>
        <b/>
        <sz val="11"/>
        <rFont val="Arial"/>
        <family val="2"/>
      </rPr>
      <t xml:space="preserve">    “Construction of Gram Panchayat Office Building at Velpuru (V) of Kankipadu (M)’.         </t>
    </r>
  </si>
  <si>
    <t>Est.Cost. 10.00  lakhs</t>
  </si>
  <si>
    <t xml:space="preserve">                              An amount of Rs.10.00  Lakhs Administratively sanctioned for the Work  “Construction of Gram Panchayat Office Building at Velpuru (V) of Kankipadu (M)"   under MGNREGS grand vide  Proc.Roc.No..............., dt..................  of The  Collector and District Magistrate, Krishna, Machilipatnam for the  year 2010-11.  The above Estimate was Technically Sanctioned in DR.No.3/2010-11, dt.13-10-2010 of the Executive Engineer, PRI Division, Vijayawada and the work was entrusted to Sarpanch, GP, Velpuru on nomination basis at an sanctioned estimated rates.</t>
  </si>
  <si>
    <t xml:space="preserve">                           Hence the estimate is prepared with the following items.</t>
  </si>
  <si>
    <t>Providing 375mm dia DUR piles to a depth of 3.75 Mts ,  &amp;  200mm dia DUR Piles 3.50 mts depth with VRCC (1:2:4) for foundation.</t>
  </si>
  <si>
    <t>V.R.C.C M -20 machine  mix using 20mm size HBG machine crushed chips. For Plinth beam, Columns, Lintels, Roof Beams and 'T' Beams etc.,</t>
  </si>
  <si>
    <t>V.R.C.C M -20 machine mix using 20mm size HBG machine crushed chips for sunshade of size 0.60 Mts. Wide.</t>
  </si>
  <si>
    <t>V.R.C.C M -20 machine mix using 20mm size HBG machine crushed chips for  Roof slab 125 mm thick.</t>
  </si>
  <si>
    <t>Provision towards Imprervious coat in  CM(1:3)  of  20  mm thick over roof slab.</t>
  </si>
  <si>
    <t>Provision towards Washable distemper paint to internal &amp; external walls.</t>
  </si>
  <si>
    <t>Brick work in CM (1:8) mix using country bricks for superstructure.</t>
  </si>
  <si>
    <t>Plastring with C.M(1:5) 12mm thick to outside walls and 20mm thick to inside walls.</t>
  </si>
  <si>
    <t>Cost and supply of steel of various dia metres as per ISS.</t>
  </si>
  <si>
    <t>Provision Towards sand filling in Basement.</t>
  </si>
  <si>
    <t>Provision towards Kadapa Polish Stones (Shahabad)  Flooring.</t>
  </si>
  <si>
    <t>Provision towards Cost , Suppy and fixing of  Teak Wood doors and windows.</t>
  </si>
  <si>
    <t>Provision for VAT @ 4.00%.</t>
  </si>
  <si>
    <t>Provision for QC &amp; Insurance Premium charges @ 1%.</t>
  </si>
  <si>
    <t xml:space="preserve">                     The above Working  Estimate is prepared as per the current SSR for the year 2010-11 and the work will be carried out as per APDSS.</t>
  </si>
  <si>
    <t>Providing VRCC M 20 Nominal mix for 375mm dia DUR Piles  of 3.75 mts depth and 250 mm dia DUR piles to a depth of 3.50 Mts &amp; 450mm dia piles  4.50mts  depth for foundation.</t>
  </si>
  <si>
    <t xml:space="preserve">                     The above   Estimate is prepared as per the current SSR for the year 2017-18 and the work will be carried out as per APDSS.</t>
  </si>
  <si>
    <t>Provision for GST @ 13.00%.</t>
  </si>
  <si>
    <r>
      <t xml:space="preserve">                                      An amount of</t>
    </r>
    <r>
      <rPr>
        <b/>
        <sz val="11"/>
        <rFont val="Arial"/>
        <family val="2"/>
      </rPr>
      <t xml:space="preserve"> Rs.7.00  Lakhs</t>
    </r>
    <r>
      <rPr>
        <sz val="11"/>
        <rFont val="Arial"/>
        <family val="2"/>
      </rPr>
      <t xml:space="preserve"> Administratively sanctioned for the work  </t>
    </r>
    <r>
      <rPr>
        <b/>
        <sz val="11"/>
        <rFont val="Arial"/>
        <family val="2"/>
      </rPr>
      <t>"Construction of   Uppuluru - 5 (Mini)  Anganwadi Center Building at  Uppuluru    (V) of Kankipadu (M)"</t>
    </r>
    <r>
      <rPr>
        <sz val="11"/>
        <rFont val="Arial"/>
        <family val="2"/>
      </rPr>
      <t xml:space="preserve">  vide Procgs.No........ .......... ......... ........ ...... ........ ....... ........... ............. ... ....  of the District Collector, Krishna, Machilipatnam for the year 2017-18 under NREGS Grant for </t>
    </r>
    <r>
      <rPr>
        <b/>
        <sz val="11"/>
        <rFont val="Arial"/>
        <family val="2"/>
      </rPr>
      <t>Rs.5.00 Lakhs</t>
    </r>
    <r>
      <rPr>
        <sz val="11"/>
        <rFont val="Arial"/>
        <family val="2"/>
      </rPr>
      <t xml:space="preserve">  and  matching with MP 15% Women and Children Welfare funds for </t>
    </r>
    <r>
      <rPr>
        <b/>
        <sz val="11"/>
        <rFont val="Arial"/>
        <family val="2"/>
      </rPr>
      <t>Rs.2.00 Lakhs,</t>
    </r>
    <r>
      <rPr>
        <sz val="11"/>
        <rFont val="Arial"/>
        <family val="2"/>
      </rPr>
      <t xml:space="preserve"> Vide Rc.No.27/2014/A, Dt.20-07-2017 of the Mandal Parishad Development Officer, M.P., Kankipadu for the year 2017-18.</t>
    </r>
  </si>
  <si>
    <t>12mm HBG graded metal</t>
  </si>
  <si>
    <t>S&amp;F of flush door shutters , solid bond wood black board type with commercial ply on both faces 30mm thick confirming to IS :2202  including RCC frame  for  size 1.00x2.06 including all fixtures and all labour charges etc complete.</t>
  </si>
  <si>
    <t>1220 x 1390mm</t>
  </si>
  <si>
    <t>950 x 1220mm</t>
  </si>
  <si>
    <t>18mm thick Ply Wood for Shutters  BMT - L - 07 (0.80X1.07) = 0.86</t>
  </si>
  <si>
    <t>S&amp;F of flush Door shutters , solid bond wood black board type with commercial ply on both faces 30mm thick confirming to IS :2202  including RCC frame  for  size 0.75x 2.05 including all fixtures and all labour charges etc complete.</t>
  </si>
  <si>
    <t>Supply and fixing of  Window of Size 0.95 X 1.22 mts RCC frame  of 100 mm x 75 mm thick  with 18mm thick Water Proof Ply Wood Shutters  including cost and conyence of all material for fixing  and all labour charges etc complete    but excluding  seigniorage   charges  &amp;  VAT</t>
  </si>
  <si>
    <t>Window(W1) size: 0.95x1.22M</t>
  </si>
  <si>
    <t>Door(D1) size:0.75 x2.05m</t>
  </si>
  <si>
    <t>Cost of 250mm long M.S.Powder Coated flat latches  (BMT-G.51)</t>
  </si>
  <si>
    <t>Revised Initial Cost without GST 2017-18</t>
  </si>
  <si>
    <t>GST %</t>
  </si>
  <si>
    <t>GST Value</t>
  </si>
  <si>
    <t>Basic+GST 2018-19</t>
  </si>
  <si>
    <t>BMT-C-23</t>
  </si>
  <si>
    <t>Plastic emulsion exterior</t>
  </si>
  <si>
    <t>BMT-J-23a</t>
  </si>
  <si>
    <t>BMT-J-22</t>
  </si>
  <si>
    <t xml:space="preserve"> 2018-19</t>
  </si>
  <si>
    <t>HYSD</t>
  </si>
  <si>
    <t>Plastic emulsion interior</t>
  </si>
  <si>
    <t>50mm gauge nails  Ele 8.1.8</t>
  </si>
  <si>
    <t>18mm thick Ply Wood for Shutters  BMT - L - 07 (1.07X1.24) = 1.33</t>
  </si>
  <si>
    <t>Deduct  Window W</t>
  </si>
  <si>
    <t>Deduct  Window W1</t>
  </si>
  <si>
    <t xml:space="preserve">Deduct  Door D1 </t>
  </si>
  <si>
    <t>Deduct Ventilators</t>
  </si>
  <si>
    <t>Ls</t>
  </si>
  <si>
    <t>Add Steps &amp; Ramp</t>
  </si>
  <si>
    <t>Add for sides&amp;sill of doors &amp; Windows</t>
  </si>
  <si>
    <t xml:space="preserve">Sun shades over  Doors &amp; windows </t>
  </si>
  <si>
    <t>Supply and fixing of  Window of Size  1.22X 1.39 mts RCC frame  of 100 mm x 75 mm thick  with 18mm thick Water Proof Ply Wood Shutters  including cost and conyence of all material for fixing  and all labour charges etc complete    but excluding  seigniorage   charges  &amp;  VAT</t>
  </si>
  <si>
    <t xml:space="preserve">U/F </t>
  </si>
  <si>
    <t>Provision for Electrical estimate</t>
  </si>
  <si>
    <t>Provision for Sanitary Estimate</t>
  </si>
  <si>
    <t xml:space="preserve">RCM facia </t>
  </si>
  <si>
    <t>LINE ESTIMATE</t>
  </si>
  <si>
    <t>Name of the work:Construction of Grama Sachivalayam in Penamaluru(V&amp;M)</t>
  </si>
  <si>
    <t>Sl. No.</t>
  </si>
  <si>
    <t>Description of Item</t>
  </si>
  <si>
    <t xml:space="preserve">Rate </t>
  </si>
  <si>
    <t>UNIT</t>
  </si>
  <si>
    <t xml:space="preserve">Plain Cement Concrete corresponding to M 7.5 grade as per IS 456 equivalent to (1:4:8) proportion nominal mix (cement: fine aggregate: Coarse aggregate) using 40mm size Hard Blasted Granite (IS383, 1970) metal from approved quarry including cost and conveyance of all materials like cement, sand, coarse aggregate, water etc. to site, including   all operational, incidental,  and labour charges such as mixing, laying and ramming concrete in layers in position not exceeding 15cm, finishing top surface, curing concrete,  etc.,   complete for Foundations </t>
  </si>
  <si>
    <t>Supply and placing of the Design Mix Concrete corresponding to IS 456 using WEIGH BATCHER/MIXER with 20mm size graded machine crushed hard granite metal (coarse aggregate) from approved quarry including cost and conveyance of all materials like cement, fine aggregated (sand) coarse aggregate, water etc., tosite and including  sales &amp; othr taxes on all materials includign all operational, incidental and labour charges such as weigh batching, machine mixing, laying concrete, curing etc., complete but excludign cost of steel and its fabrictaion chrages for finished item of work (APSS No. 402) with minimum cement content as per IS code from standard suppliers approved by the department includign pumping, centering, shuttering, laying concrete, vibrating, curing  Including Overheads &amp; Cotractors Profit @13.615/100etc., complete but excluding cost of steel and its fabrication charges for finished item of work.</t>
  </si>
  <si>
    <t>OrnamentalPlastering with CM (1:3)8mm thick including cost and conveyance of all materials and all labour charges etc., complete for superstructure -10Sqm</t>
  </si>
  <si>
    <t>Cost and supply of vetilators</t>
  </si>
  <si>
    <t>Assistant Engineer</t>
  </si>
  <si>
    <t>PRI Sub- Division, Vijayawada.</t>
  </si>
  <si>
    <t>Provision for Electrification</t>
  </si>
  <si>
    <t>Provision for Sanitation</t>
  </si>
  <si>
    <t>Provision for GST@12%</t>
  </si>
  <si>
    <t>Provision for QC@0.5%</t>
  </si>
  <si>
    <t>Provision for NAC@0.1%</t>
  </si>
  <si>
    <t>Provision for seginorage charges</t>
  </si>
  <si>
    <t>Assistant  Engineer,</t>
  </si>
  <si>
    <t>Est. Rs. 60.00 lakhs</t>
  </si>
  <si>
    <t>Construction of Ground floor</t>
  </si>
  <si>
    <t>Construction of First floor</t>
  </si>
  <si>
    <t>Construction of Compound wall ( 10 cents  say 400 Sq Mts )   100 Mts of Compound wall</t>
  </si>
  <si>
    <t>Provision for Unforseen items for change in SSR and sand rates</t>
  </si>
  <si>
    <t>MP, Penamaluru.</t>
  </si>
  <si>
    <t xml:space="preserve">RCC SLABS 125mm thick </t>
  </si>
  <si>
    <t>RCC SLABS 100 mm thick</t>
  </si>
  <si>
    <t>Est.Rs..60.00 lakhs</t>
  </si>
  <si>
    <r>
      <t>a)</t>
    </r>
    <r>
      <rPr>
        <sz val="10"/>
        <rFont val="Times New Roman"/>
        <family val="1"/>
      </rPr>
      <t>  </t>
    </r>
    <r>
      <rPr>
        <sz val="10"/>
        <rFont val="Arial"/>
        <family val="2"/>
      </rPr>
      <t>Labour</t>
    </r>
  </si>
  <si>
    <r>
      <t>Mason 1</t>
    </r>
    <r>
      <rPr>
        <vertAlign val="superscript"/>
        <sz val="10"/>
        <rFont val="Arial"/>
        <family val="2"/>
      </rPr>
      <t>st</t>
    </r>
    <r>
      <rPr>
        <sz val="10"/>
        <rFont val="Arial"/>
        <family val="2"/>
      </rPr>
      <t xml:space="preserve"> class</t>
    </r>
  </si>
  <si>
    <r>
      <t>Mason 2</t>
    </r>
    <r>
      <rPr>
        <vertAlign val="superscript"/>
        <sz val="10"/>
        <rFont val="Arial"/>
        <family val="2"/>
      </rPr>
      <t>nd</t>
    </r>
    <r>
      <rPr>
        <sz val="10"/>
        <rFont val="Arial"/>
        <family val="2"/>
      </rPr>
      <t xml:space="preserve"> class</t>
    </r>
  </si>
  <si>
    <t>BLD-CSTN-5-12</t>
  </si>
  <si>
    <t>Reinforcement birck masonary walls of 11.5cm in CM (1:6) using 2nd bricks having a crushing strength of not less than 35.00Kg/cm2 and using two mild steel bargs of 6m dia in every third layer of brick masory, with free joints of the main block work including cost  and conveyance of all materials and water from approved sources to work site and all operationsl, incidental labour charges such as scaffolding mixing mortor constructing masonary lift charges, curing including Overheads &amp; Cotractors Profit @13.615/100etc., complete but execluding the cost of steel and its fabrication charges for finished item of work as per SS 509</t>
  </si>
  <si>
    <t>Unit = 10 Sqm</t>
  </si>
  <si>
    <t>Ii Class Bricks</t>
  </si>
  <si>
    <t xml:space="preserve"> Mazdoor(Unskilled)</t>
  </si>
  <si>
    <t xml:space="preserve">Scafolding charges per sqm </t>
  </si>
  <si>
    <t>Total per 1 Sqm</t>
  </si>
  <si>
    <t>Cement Mortor (1:3)</t>
  </si>
  <si>
    <t>Sundries including brushes, soap,putty, etc.@1.00%</t>
  </si>
  <si>
    <t xml:space="preserve">R.C.C. M-25 DesignMix for Piles </t>
  </si>
  <si>
    <t xml:space="preserve"> M20 Cement 350 kgs</t>
  </si>
  <si>
    <r>
      <t>Vitrified tiles of 1</t>
    </r>
    <r>
      <rPr>
        <vertAlign val="superscript"/>
        <sz val="10"/>
        <rFont val="Arial"/>
        <family val="2"/>
      </rPr>
      <t>st</t>
    </r>
    <r>
      <rPr>
        <sz val="10"/>
        <rFont val="Arial"/>
        <family val="2"/>
      </rPr>
      <t xml:space="preserve"> quality of size</t>
    </r>
  </si>
  <si>
    <t>rate asper execution</t>
  </si>
  <si>
    <t>Add for contract profit@13.615%</t>
  </si>
  <si>
    <t>3rd</t>
  </si>
  <si>
    <t>*Sal wood (Average of scantlings   + Planks )</t>
  </si>
  <si>
    <t>*Medium Teak wood (Average of scantlings+ Planks)</t>
  </si>
  <si>
    <t>Say</t>
  </si>
  <si>
    <r>
      <t xml:space="preserve">Supply and fixing of </t>
    </r>
    <r>
      <rPr>
        <sz val="10"/>
        <rFont val="Verdana"/>
        <family val="2"/>
      </rPr>
      <t>Unplasticised Poly Chloride (UPVC) sliding windows two track sliding duly manufactured using UPVC reinforsed profiles of (62mmx60mm)(60mmx45mm) x2.0mm for outer frames,(66mmx38mm)58mm x 39mm) x2.0mm for sliding shutter frames capable of mounting single glazing system, structurally reinforced with hot dip galvanized up to 50 microns of minimum thickness of 1.2mm prefabricated &amp;welded through fusionwelding the window sash shall be fitted with 5mm thick clear float glass of reputed make duly fixed with TPV gasket/EPDM weathering seal resistent accessories like locking system 1No ., Per set of sashes and the system is to be installed at the site etc., including cost and conveyence of all materials,accessories ,labour charges for transportation,erriction at site with templates for casement windows sizing complete for finished item of work</t>
    </r>
  </si>
  <si>
    <t>BMT-P.27</t>
  </si>
  <si>
    <t>Lift charges</t>
  </si>
  <si>
    <t>Supply and fixing of roof purlings made of MS sqare pipe of 80X80X4m and jointing pipe MS square pipe of 60X60X3mm -0.20mm length and C channel 75mm cleats - 3Nos for fixing to truses including red oxide painting etc, complete labour charges for fabricating all heavy steel works like trusses inclduing cost and welding rods and fixing puling to trusses in parttion by using chain pully arrangements etc complete for furnished item of work</t>
  </si>
  <si>
    <t>Unit - 1 RM</t>
  </si>
  <si>
    <t>A) MATERIAL REQUIREMENT</t>
  </si>
  <si>
    <t>80mmX80mmX4mm(4(80-4)X4X7850=9.55 Kgs</t>
  </si>
  <si>
    <t>(10.40X9.55)kg</t>
  </si>
  <si>
    <t>60X60X3mm</t>
  </si>
  <si>
    <t>0.20X5.34(BMT-F.04)</t>
  </si>
  <si>
    <t>4X1/2X0.15X0.10X0.008=0.00027</t>
  </si>
  <si>
    <t>(2x0.08x0.08x0.006x7850</t>
  </si>
  <si>
    <t>Labour charges for fabrication steel works like window grills, compound wall grills, Iron doors, windows inclduing welding rods, power charges,(BMM.V.14)</t>
  </si>
  <si>
    <t>Labour charges for fixing of iron door  &amp; windows and window grill in position(BMM.V.15)</t>
  </si>
  <si>
    <t>add for MA @40%</t>
  </si>
  <si>
    <t>rate for 1=RM(10106/10.40)</t>
  </si>
  <si>
    <t>Assistant Engineer,</t>
  </si>
  <si>
    <t>PRI Sub - Division, Vijayawada.</t>
  </si>
  <si>
    <t>FF &amp; SF Head room</t>
  </si>
  <si>
    <r>
      <t xml:space="preserve">                                Specification Report to accompany the Detailed  Estimate for the work</t>
    </r>
    <r>
      <rPr>
        <b/>
        <sz val="11"/>
        <rFont val="Arial"/>
        <family val="2"/>
      </rPr>
      <t xml:space="preserve">  "Construction of   Grama Sachivalayam  Building at  Gannavaram    (V) of Gannavaram (M)"</t>
    </r>
  </si>
  <si>
    <t>SPECIFICATION REPORT</t>
  </si>
  <si>
    <t>Hence the estimate is prepared with the following provisions:-</t>
  </si>
  <si>
    <t>BM with country bricks of size (1:6) for basement, (1:8) for Superstructre</t>
  </si>
  <si>
    <t>Plastering of cm(1:5) 12mm thick &amp; Ornamental plastering (1:3) 8mm thic</t>
  </si>
  <si>
    <t>provide for Vertified tiles, Skirting for rooms &amp; hall , Ceramic tiles used on the toilet blocks.</t>
  </si>
  <si>
    <t>Further lump sum provisions are made in the estimate for the following items:-</t>
  </si>
  <si>
    <t xml:space="preserve">                 </t>
  </si>
  <si>
    <t>The estimate is prepared as per the current SSR,i.e.2018-19 rates and as per  the A.P Revised Standard data work will be carried out as per APDSS.</t>
  </si>
  <si>
    <t>QC charges @ 0.5%</t>
  </si>
  <si>
    <t>PRI Sub - Division, Gannavaram</t>
  </si>
  <si>
    <t>Mandal parishad, Gannavaram</t>
  </si>
  <si>
    <t>P.R.I Sub-Division, Gannavaram</t>
  </si>
  <si>
    <t>RCC M30</t>
  </si>
  <si>
    <t>VRCC M20 Nominal mix of Pile caps, plinthbeam, columns, Lintels, Sunshades, Roof level beams, Roof slab 125mm thick &amp; stair case slab 150mm thick provided</t>
  </si>
  <si>
    <t>Executive Engineer</t>
  </si>
  <si>
    <t>PRI Division, Vijayawada</t>
  </si>
  <si>
    <t>MP, Bapulapadu</t>
  </si>
  <si>
    <t>Basic+GST 2019-20</t>
  </si>
  <si>
    <t xml:space="preserve">Skilled Electrician </t>
  </si>
  <si>
    <t xml:space="preserve">Semi Skilled Electrician </t>
  </si>
  <si>
    <t>Helper</t>
  </si>
  <si>
    <t>2019-20</t>
  </si>
  <si>
    <t xml:space="preserve">PEDESTALS </t>
  </si>
  <si>
    <t>COLUMNS (Steel)</t>
  </si>
  <si>
    <t>Fabrication and Fixing of Grills ( 27.00+5.00 )</t>
  </si>
  <si>
    <t>*Sal wood (Average of scantlings  + Planks )</t>
  </si>
  <si>
    <t xml:space="preserve">CONVEYANCE CHARGES 2019-20 EXCLUDING 13.615% INCLUDING </t>
  </si>
  <si>
    <t>Total
(Including Loading &amp; unloading of Rs(54.80+54.80=109.60)</t>
  </si>
  <si>
    <t>lead charges of 2019-20</t>
  </si>
  <si>
    <t>S&amp;F of flush door shutters , solid bond wood black board type with commercial ply on both faces 30mm thick confirming to IS :2202  including RCC frame  for  size 1.20x210including all fixtures and all labour charges etc complete.</t>
  </si>
  <si>
    <t>S&amp;F of flush door shutters , solid bond wood black board type with commercial ply on both faces 30mm thick confirming to IS :2202  including RCC frame  for  size 1.05x2.00including all fixtures and all labour charges etc complete.</t>
  </si>
  <si>
    <t>BMT-N-16 (0.9 x 1.93)</t>
  </si>
  <si>
    <t>BMT-N-16 (1.05 x 2.03)</t>
  </si>
  <si>
    <t>S&amp;F of flush Door shutters , solid bond wood black board type with commercial ply on both faces 30mm thick confirming to IS :2202  including RCC frame  for  size 0.75x 2.00 including all fixtures and all labour charges etc complete.</t>
  </si>
  <si>
    <t>BMT-N-16  0.60x1.93</t>
  </si>
  <si>
    <t>RATES AS PER S.S.R 2019-20</t>
  </si>
  <si>
    <t>Pedastals</t>
  </si>
  <si>
    <t>Output-6 cum</t>
  </si>
  <si>
    <t>Total for 6 cum</t>
  </si>
  <si>
    <t>Flush door shutters, solid bond wood block board type with  commercial ply on both sides : 30 mmthick conforming to IS:2202  ( BMT N 16)</t>
  </si>
  <si>
    <t xml:space="preserve">Supply and fixing of  Flush   Door shutter  of size 1.20 x 2.10mt with block board type with commercial ply onboth faces30 mm thick  with frame made of well seasoned sal Wood scantlings of size 100 x 75mm   including cost and conveyance of all materials and labour charges   as per specifications  (APSS NO.1001 &amp; 1002)                                                                                     </t>
  </si>
  <si>
    <t xml:space="preserve">Supply and fixing of  Flush   Door shutter  of size 1.05 x 2.10mt with block board type with commercial ply onboth faces30 mm thick  with frame made of well seasoned sal Wood scantlings of size 100 x 75mm   including cost and conveyance of all materials and labour charges   as per specifications  (APSS NO.1001 &amp; 1002)                                                                                     </t>
  </si>
  <si>
    <t>Rate for one door of 0.1.05 x 2.03m</t>
  </si>
  <si>
    <t>Rate for one door of 0.0.90 x 2.03m</t>
  </si>
  <si>
    <t>Cost of flush door with frame of size 1.05m x2.10m</t>
  </si>
  <si>
    <t xml:space="preserve">Cost of Frame .1.05m x 2.10m </t>
  </si>
  <si>
    <t>Door size 1.05 X 2.10 M (Frame )</t>
  </si>
  <si>
    <t xml:space="preserve">Supply and fixing of  Flush   Door shutter  of size 0.75 x 2.10mt with block board type with commercial ply onboth faces30 mm thick  with frame made of well seasoned sal Wood scantlings of size 100 x 75mm   including cost and conveyance of all materials and labour charges   as per specifications  (APSS NO.1001 &amp; 1002)                                                                                     </t>
  </si>
  <si>
    <t>Rate for one door of 0.0.60 x 2.03m</t>
  </si>
  <si>
    <t xml:space="preserve">Cost of Frame 0.75m x 2.10m </t>
  </si>
  <si>
    <t>Cost of flush door with frame of size 0.75m x2.10m</t>
  </si>
  <si>
    <t>Compound wall</t>
  </si>
  <si>
    <t>SANITARY &amp;WATER SUPPLY  DATA 2018-19</t>
  </si>
  <si>
    <t>28%</t>
  </si>
  <si>
    <t>Sno</t>
  </si>
  <si>
    <t>Coefficient</t>
  </si>
  <si>
    <t>Supply &amp; fixing  580mm x 440mm size white virerous orissa pan with attached footrests of approved make confirming to IS 2556 (part - III) with 'P' or 'S' trap, including 10 lit. low level PVC flusihing system confirming to IS 7231 with all internal fittings, CI brackets, 32mm dia CP flush pipe, 15mm dia 450mm long PVC connerctor, 15mm dia Cp brass strop cock 300 grams of ISI make, cutting and making good the walls and floors wherever required including cost &amp; conveyance of all material to work site, all labour charges for all operations for fixing etc., complete for finished item of work.</t>
  </si>
  <si>
    <t>BMW-D.04</t>
  </si>
  <si>
    <t>Supplying &amp; Fixing Orissa Pan white glazed W.C 1st quality ISI marked conforming to IS:2556-Part-3-1981 with  "P" or "S" trap Hindware/ Parryware/Neycer - ISI Mark: 580 mm x 440 mm</t>
  </si>
  <si>
    <t>(BMW-G.08)</t>
  </si>
  <si>
    <t xml:space="preserve">Supply &amp; fixing of PVC low level system parry ware, slim line with internal components &amp; short bend: 10 Litres capacity Single Flush </t>
  </si>
  <si>
    <t xml:space="preserve">Add cost of Matrial GST </t>
  </si>
  <si>
    <t>BMW D06</t>
  </si>
  <si>
    <t>Labour charges only Fixing Orissa pan W.C with "P" or "S" trap</t>
  </si>
  <si>
    <t>Over Heads : 13.615%</t>
  </si>
  <si>
    <t>Total rate per each</t>
  </si>
  <si>
    <t>Supplying and Fixing European Water Closet of 1st quality conforming to IS:2556-Part-2-1973 of Hindustan / Neycer or Parryware make white glazed with 'P' trap including cost &amp; conveyance of all material to work site, all labour charges for all operations for fixing etc., complete for finished item of work.</t>
  </si>
  <si>
    <t>BMW-D.13</t>
  </si>
  <si>
    <t>Supplying and Fixing Orissa pan white Glazed WC 1st quality ISI maked conforming to IS:2556 Part-3 1981 with 'P' trap or "S" trap 630mm x 450mm including cost &amp; conveyance of all material to work site, all labour charges for all operations for fixing etc., complete for finished item of work.</t>
  </si>
  <si>
    <t>BMW-E.09</t>
  </si>
  <si>
    <t>Supply &amp; fixing of tested NP bib taps at all levels of 12.70mm dia of Indian make first quality ( N.P bib tap indian make 300 g ) including cost &amp; conveyance of all materials, labour charges for finished item of work complete for all floors</t>
  </si>
  <si>
    <t>Providing &amp; fixing UPVC SWR  pipes  TYPE-B ( single socket 4 Kg/sq.cm - Prince/Sudhakar or any ISI Brand ) conforming to IS 13592:1992 including necessary specials,jointing with adhesives ,fixing vertical pipes over wooden battens  including  cost and conveyance of all materials at site, all taxes etc., complete for finished item of work but excluding VAT.</t>
  </si>
  <si>
    <t>a)</t>
  </si>
  <si>
    <t>160 mm  dia</t>
  </si>
  <si>
    <t>BMW-G.32</t>
  </si>
  <si>
    <t>160 mm dia 3 M Single Socket PVC/SWR pipe - 4 Kg/sq.cm - Prince/Sudhakar or any ISI Brand</t>
  </si>
  <si>
    <t>BMW-G.152</t>
  </si>
  <si>
    <t>Labour charges only</t>
  </si>
  <si>
    <t>VAT : 0.00</t>
  </si>
  <si>
    <t>Total rate per  3 mt each</t>
  </si>
  <si>
    <t>Rate  per Rmt</t>
  </si>
  <si>
    <t>b)</t>
  </si>
  <si>
    <t>BMW-G.13</t>
  </si>
  <si>
    <t xml:space="preserve">S&amp; F 25 mm Nominal Bore GI pipe Light Grade properties &amp; weight as per IS 1239 ISI mark with GI fittings ncluding the cost of pipe &amp; its fittings &amp; labour charges etc., complete
</t>
  </si>
  <si>
    <t xml:space="preserve">S&amp; F 20 mm Nominal Bore GI pipe Light Grade properties &amp; weight as per IS 1239 ISI mark with GI fittings ncluding the cost of pipe &amp; its fittings &amp; labour charges etc., complete
</t>
  </si>
  <si>
    <t>110 mm dia 3 M Single Socket PVC/SWR pipe - 4 Kg/sq.cm - Prince/Sudhakar or any ISI Brand</t>
  </si>
  <si>
    <t>c)</t>
  </si>
  <si>
    <t>75 mm dia</t>
  </si>
  <si>
    <t>BMW-G.11</t>
  </si>
  <si>
    <t>75 mm dia 3 M Single Socket PVC / SWR pipe - 4 Kg/sq.cm - Prince / Sudhakar / Kisan/ Supreme or any ISI Brand</t>
  </si>
  <si>
    <t>Supply and Fixing of CPVC Pipes ( 22.20mm OD Pipe - SDR 13.5 )and Fittings to meet the requirement of ASTM-D 2846 and are produced in CTS (Copper Tube Sizes 1/2" ton 2" SDR 11 and SDR 13.5 pipes are made from idential CPVC compounds having the same physical Properties for Hot and Cold Water (IS 15778:2007) of Ashirvad / Ajay Flowguard including cost and conveyance of all material, labour charges, and over heads but excuding VAT.</t>
  </si>
  <si>
    <t>BMW-I.221</t>
  </si>
  <si>
    <t>22.20mm OD Pipe - SDR 13.5</t>
  </si>
  <si>
    <t>BMW-I.415</t>
  </si>
  <si>
    <t>Cost per Rmt</t>
  </si>
  <si>
    <t>Add Contractor Profit @ 13.615% but excluding cost of VAT</t>
  </si>
  <si>
    <t>Total cost per Rmt</t>
  </si>
  <si>
    <t>75 mm dia 3 M Single Socket PVC/SWR pipe - 4 Kg/sq.cm - Prince/Sudhakar or any ISI Brand</t>
  </si>
  <si>
    <t xml:space="preserve">Supply and Fixing of CPVC Pipes ( 28.60 mm OD Pipe - SDR 13.5 )and Fittings to meet the requirement of ASTM-D 2846 and are produced in CTS (Copper Tube Sizes 1/2" ton 2" SDR 11 and SDR 13.5 pipes are made from idential CPVC compounds having the same physical Properties for Hot and Cold Water (IS 15778:2007) of Ashirvad / Ajay Flowguard </t>
  </si>
  <si>
    <t>BMW-I.222</t>
  </si>
  <si>
    <t>28.60mm OD Pipe - SDR 13.5</t>
  </si>
  <si>
    <t xml:space="preserve">Constructing 457.2mm x 457.2mm ( 1'-6" x  1'-6") brick in CM (1:6) prop. Masonry inspection chamber upto 914.4mm (3'-0") and fitted with light weight 457.2mm x 457.2mm ( 1'-6" x  1'-6") C.I. frame and cover of 20Kg. including cost and conveyance of all materials to site, all labour charges, </t>
  </si>
  <si>
    <t>BMW B.06</t>
  </si>
  <si>
    <t>Cost of One number</t>
  </si>
  <si>
    <t>BMW-B.07</t>
  </si>
  <si>
    <t>BMW-B.08</t>
  </si>
  <si>
    <t xml:space="preserve">labour charges only </t>
  </si>
  <si>
    <t>BMW-B.05</t>
  </si>
  <si>
    <t>Making drainage connection in the existing inspection including all repairs</t>
  </si>
  <si>
    <t>Supply and fixing of 3" (76.2 mm ) Nahany Trap with Jali - UPVC/SWR Pipe fittings (Prince/Sudhakar or any ISI Brand) including cost and conveyance of all materials and labour charges etc., complete for All Floors. including cost and conveyance of all materials  and all incidental and  operational, labour charges, lift charges, but excluding seignorage charges and VAT etc., complete for finished item of work. (A.P.S.S. No. 1325).</t>
  </si>
  <si>
    <t>BMW-G.114</t>
  </si>
  <si>
    <t>Supplying and fixing 25.4mm dia 609.6mm long aluminium anodised towel rods with brackets and alluminium screews etc., complete for finished item of work including cost and conveyance of all materials to site, all labour charges, sales and other taxes on all materials etc., complete for finished item of work for All Floors but excluding VAT.</t>
  </si>
  <si>
    <t>BMW-I.20</t>
  </si>
  <si>
    <t>a) S &amp; F 25.4 mm dia &amp; 609.6 mm long aluminium anodized towel rod with brackets and aluminium screws</t>
  </si>
  <si>
    <t>BMW-I.21</t>
  </si>
  <si>
    <t>Supplying  and fixing of NP soap dish heavy type with NP SCREWS  including cost and conveyance of all materials to site, all labour charges, sales and other taxes on all materials etc., complete for finished item of work for All Floors.</t>
  </si>
  <si>
    <t>BMW-I.28</t>
  </si>
  <si>
    <t>S &amp; F NP soap dish heavy type with NP SCREWS</t>
  </si>
  <si>
    <t>BMW-I.29</t>
  </si>
  <si>
    <t>Making drainage connection in the existing inspection
including all repairs</t>
  </si>
  <si>
    <t xml:space="preserve">Providing &amp; placing on Terrace polyethylene water storage tank with Double layer approved brand &amp; manufacture with cover and suitable locking arrangement &amp; making necessary holes for inlet &amp; outlets and overflow pipes with all fittings  including supply and fixing of 76.20mm dia PVC elbow 1st quality and 38.10mm dia PVC waste pipe outlet  </t>
  </si>
  <si>
    <t>BMW-G.01</t>
  </si>
  <si>
    <t>Ltr</t>
  </si>
  <si>
    <t>BMW-G.04</t>
  </si>
  <si>
    <t>Supply &amp; Fixing 76.2 mm dia PVC elbow Ist quality</t>
  </si>
  <si>
    <t>BMW-G.06</t>
  </si>
  <si>
    <t>Cost per 1000 ltrs</t>
  </si>
  <si>
    <t>Total cost per ltr</t>
  </si>
  <si>
    <t>Supplying &amp; Fixing angle stop cock 12.7 mm dia first quality Indian Make heavy duty Seiko/ Senior/ Nice or equivalent</t>
  </si>
  <si>
    <t>BMW-E.05</t>
  </si>
  <si>
    <t xml:space="preserve">Supplying &amp; Fixing  of 12.7 mm brass stop cock Indian make heavy duty including cost and conveyance of all materials to site, all labour charges complete for finished item of work for All Floors </t>
  </si>
  <si>
    <t>BMW-E.13</t>
  </si>
  <si>
    <t>S &amp; F 12.7 mm brass stop cock Indian make heavy duty</t>
  </si>
  <si>
    <t xml:space="preserve">Supplying &amp; Fixing  of CP Long body bib cock fancy type deluxe heavy duty 12.7 mm dia Indian make Seiko/ Senior/ Nice or equivalent including cost and conveyance of all materials to site, all labour charges complete for finished item of work for All Floors </t>
  </si>
  <si>
    <t>BMW-E.21</t>
  </si>
  <si>
    <t>S &amp; F CP Long body bib cock fancy type deluxe heavy duty 12.7 mm dia Indian make Seiko/ Senior/ Nice or equivalent</t>
  </si>
  <si>
    <t xml:space="preserve">Supplying &amp; Fixing  of CP Short body bib cock fancy type deluxeheavy duty 12.7 mm dia Indian make Seiko/ Senior/ Nice or equivalent including cost and conveyance of all materials to site, all labour charges complete for finished item of work for All Floors </t>
  </si>
  <si>
    <t>BMW-E.22</t>
  </si>
  <si>
    <t>S &amp; F CP Short body bib cock fancy type deluxeheavy duty 12.7 mm dia Indian make Seiko/ Senior/ Nice or equivalent</t>
  </si>
  <si>
    <t>BMW-G.100</t>
  </si>
  <si>
    <t>110 mm dia - Vent Cowl - UPVC/SWR Pipe fittings (Prince/ Sudhakar/ Kisan/Supreme or any ISI Brand)</t>
  </si>
  <si>
    <t>BMW-G.69</t>
  </si>
  <si>
    <t>110 mm dia - Single Tee - UPVC/SWR Pipe fittings (Prince/ Sudhakar/ Kisan/Supreme or any ISI Brand)</t>
  </si>
  <si>
    <t xml:space="preserve">Supply &amp; fixing of 110 mm dia - Plain Bend 87.5 Degree - UPVC/SWR Pipe fittings (Prince/Sudhakar/ Kisan/ Supreme or any ISI Brand) including cost and conveyance of all materials to site, all labour charges complete for finished item of work  </t>
  </si>
  <si>
    <t>BMW-G.57</t>
  </si>
  <si>
    <t>110 mm dia - Plain Bend 87.5 Degree - UPVC/SWR Pipe fittings (Prince/Sudhakar/ Kisan/ Supreme or any ISI Brand)</t>
  </si>
  <si>
    <t xml:space="preserve">Supply &amp; fixing of 110 mm dia - Door Bend 87.5 Degree - UPVC/SWR Pipe fittings (Prince/Sudhakar/ Kisan/ Supreme or any ISI Brand) including cost and conveyance of all materials to site, all labour charges complete for finished item of work </t>
  </si>
  <si>
    <t>BMW-G.60</t>
  </si>
  <si>
    <t>110 mm dia - Door Bend 87.5 Degree - UPVC/SWR Pipe fittings (Prince/Sudhakar/ Kisan/ Supreme or any ISI Brand)</t>
  </si>
  <si>
    <t xml:space="preserve">Supply &amp; fixing of 110 mm dia - Single 'Y' with Door - UPVC/SWR Pipe fittings (Prince/ Sudhakar/ Kisan/ Supreme or any ISI Brand) including cost and conveyance of all materials to site, all labour charges complete for finished item of work  </t>
  </si>
  <si>
    <t>BMW-G.84</t>
  </si>
  <si>
    <t>110 mm dia - Single 'Y' with Door - UPVC/SWR Pipe fittings (Prince/ Sudhakar/ Kisan/ Supreme or any ISI Brand)</t>
  </si>
  <si>
    <t xml:space="preserve">Supply &amp; fixing of 110 mm dia - Single 'Y' - UPVC/SWR Pipe fittings (Prince/ Sudhakar/ Kisan/Supreme or any ISI Brand) including cost and conveyance of all materials to site, all labour charges complete for finished item of work </t>
  </si>
  <si>
    <t>BMW-G.81</t>
  </si>
  <si>
    <t>110 mm dia - Single 'Y' - UPVC/SWR Pipe fittings (Prince/ Sudhakar/ Kisan/Supreme or any ISI Brand)</t>
  </si>
  <si>
    <t xml:space="preserve">Supply &amp; fixing of 110 mm dia - 45 Degree Bend - UPVC/SWR Pipe fittings (Prince/ Sudhakar/Kisan/ Supreme or any ISI Brand) including cost and conveyance of all materials to site, all labour charges complete for finished item of work </t>
  </si>
  <si>
    <t>BMW-G.63</t>
  </si>
  <si>
    <t>110 mm dia - 45 Degree Bend - UPVC/SWR Pipe fittings (Prince/ Sudhakar/Kisan/ Supreme or any ISI Brand)</t>
  </si>
  <si>
    <t xml:space="preserve">Supply &amp; fixing of 75 mm dia - Single Tee - UPVC/SWR Pipe fittings (Prince/ Sudhakar/ Kisan/Supreme or any ISI Brand) including cost and conveyance of all materials to site, all labour charges complete for finished item of work </t>
  </si>
  <si>
    <t>BMW-G.67</t>
  </si>
  <si>
    <t>75 mm dia - Single Tee - UPVC/SWR Pipe fittings (Prince/ Sudhakar/ Kisan/Supreme or any ISI Brand)</t>
  </si>
  <si>
    <t xml:space="preserve">Supply &amp; fixing of 75 mm dia - Plain Bend 87.5 Degree - UPVC/SWR Pipe fittings (Prince/Sudhakar/ Kisan/ Supreme or any ISI Brand) including cost and conveyance of all materials to site, all labour charges complete for finished item of work </t>
  </si>
  <si>
    <t>BMW-G.55</t>
  </si>
  <si>
    <t>75 mm dia - Plain Bend 87.5 Degree - UPVC/SWR Pipe fittings (Prince/Sudhakar/ Kisan/ Supreme or any ISI Brand)</t>
  </si>
  <si>
    <t xml:space="preserve">Supply &amp; fixing of 75 mm dia - Door Bend 87.5 Degree - UPVC/SWR Pipe fittings (Prince/Sudhakar/ Kisan/ Supreme or any ISI Brand including cost and conveyance of all materials to site, all labour charges complete for finished item of work  </t>
  </si>
  <si>
    <t>BMW-G.58</t>
  </si>
  <si>
    <t xml:space="preserve">Supply &amp; fixing of 75 mm dia - 45 Degree Bend - UPVC/SWR Pipe fittings (Prince/ Sudhakar/Kisan/ Supreme or any ISI Brand) including cost and conveyance of all materials to site, all labour charges complete for finished item of work  </t>
  </si>
  <si>
    <t>BMW-G.61</t>
  </si>
  <si>
    <t>75 mm dia - 45 Degree Bend - UPVC/SWR Pipe fittings (Prince/ Sudhakar/Kisan/ Supreme or any ISI Brand)</t>
  </si>
  <si>
    <t xml:space="preserve">Supply &amp; fixing of 75 mm dia - Single 'Y' with Door - UPVC/SWR Pipe fittings (Prince/ Sudhakar/Kisan/ Supreme or any ISI Brand) including cost and conveyance of all materials to site, all labour charges complete for finished item of work  </t>
  </si>
  <si>
    <t>BMW-G.82</t>
  </si>
  <si>
    <t>75 mm dia - Single 'Y' with Door - UPVC/SWR Pipe fittings (Prince/ Sudhakar/Kisan/ Supreme or any ISI Brand)</t>
  </si>
  <si>
    <t xml:space="preserve">Supply &amp; fixing of 75 mm dia - Single 'Y' - UPVC/SWR Pipe fittings (Prince/ Sudhakar/ Kisan/Supreme or any ISI Brand) including cost and conveyance of all materials to site, all labour charges complete for finished item of work </t>
  </si>
  <si>
    <t>BMW-G.79</t>
  </si>
  <si>
    <t>75 mm dia - Single 'Y' - UPVC/SWR Pipe fittings (Prince/ Sudhakar/ Kisan/Supreme or any ISI Brand)</t>
  </si>
  <si>
    <t xml:space="preserve">Supply &amp; fixing of 75 mm dia - Vent Cowl - UPVC/SWR Pipe fittings (Prince/ Sudhakar/ Kisan/Supreme or any ISI Brand) including cost and conveyance of all materials to site, all labour charges complete for finished item of work </t>
  </si>
  <si>
    <t>BMW-G.98</t>
  </si>
  <si>
    <t>75 mm dia - Vent Cowl - UPVC/SWR Pipe fittings (Prince/ Sudhakar/ Kisan/Supreme or any ISI Brand)</t>
  </si>
  <si>
    <t>Standard Data - Electrical Items For Buildings</t>
  </si>
  <si>
    <t>Specification No.</t>
  </si>
  <si>
    <t>BLD-ELEC-1-3</t>
  </si>
  <si>
    <t>P.V.C. Conduit  (Surface)</t>
  </si>
  <si>
    <t>1.3.2</t>
  </si>
  <si>
    <t>Supply and Fixing of 25mm dia 2.20mm thick surface P.V.C. pipe (ISI MARK) with all accessories fixing on chromium plated metallic base saddles including all labour charges etc., complete for run of mains.</t>
  </si>
  <si>
    <t>Taking Output = 100 M</t>
  </si>
  <si>
    <t>25mm outer dia heavy 2.20mm thick PVC pipe (1.2.1)b</t>
  </si>
  <si>
    <t>100 M</t>
  </si>
  <si>
    <t>Rawl Plugs (8.1.2)</t>
  </si>
  <si>
    <t>100 Nos</t>
  </si>
  <si>
    <t>35mm Screws (1.4.4)d</t>
  </si>
  <si>
    <t>Chromium Plated saddles with base  (1.1.9)b</t>
  </si>
  <si>
    <t xml:space="preserve">Each </t>
  </si>
  <si>
    <t>25mm 1,2,3, &amp; 4 way Junction boxes  (1.2.6)b</t>
  </si>
  <si>
    <t>25mm PVC Bends  (1.2.8)b</t>
  </si>
  <si>
    <t>Total Material Cost</t>
  </si>
  <si>
    <t>Cement (8.4.11)</t>
  </si>
  <si>
    <t>b) Labour charges :</t>
  </si>
  <si>
    <t>Skilled Electrician</t>
  </si>
  <si>
    <t>Semi skilled  Electrician</t>
  </si>
  <si>
    <t>Helpers</t>
  </si>
  <si>
    <t>C) Cost for 100 RM</t>
  </si>
  <si>
    <t>Rate per Metre = C/100</t>
  </si>
  <si>
    <t>BLD-ELEC-1-4</t>
  </si>
  <si>
    <t>P.V.C. Conduit (Concealed)</t>
  </si>
  <si>
    <t>1.4.2    (a)</t>
  </si>
  <si>
    <t>U' Links (8.1.5)</t>
  </si>
  <si>
    <t>25mm dia 1,2,3 &amp; 4 way deep Junction Box</t>
  </si>
  <si>
    <t>25mm PVC bends</t>
  </si>
  <si>
    <t>1.4.2    (c)</t>
  </si>
  <si>
    <t>25mm dia 2mm thick PVC pipe</t>
  </si>
  <si>
    <t>BLD-ELEC-2</t>
  </si>
  <si>
    <t>Wiring</t>
  </si>
  <si>
    <t>BLD-ELEC-2-1</t>
  </si>
  <si>
    <t>Copper Wiring</t>
  </si>
  <si>
    <t>2.1.1</t>
  </si>
  <si>
    <t>14/0.3mm PVC FR flexible copper wire  (Finolex) (1.5.1)a</t>
  </si>
  <si>
    <t>6A  1 way flush type Switch (1.7.1)a</t>
  </si>
  <si>
    <t>6A 2 way jumbo Ceiling Rose  (1.7.1)m</t>
  </si>
  <si>
    <t>6 Moduler Cover frame  (1.8.3)</t>
  </si>
  <si>
    <t>C) Cost for 6 Points</t>
  </si>
  <si>
    <t>Rate per Point = C/6</t>
  </si>
  <si>
    <t>2.1.4</t>
  </si>
  <si>
    <t>Supply and fixing of 6A 3 pin wall plug socket with 6A switch control on a common switch board with earth continuity including wire leads, earth connections along with all labour charges etc., complete.</t>
  </si>
  <si>
    <t>Taking Output = each</t>
  </si>
  <si>
    <t>6A 3 pin / 2 pin Socket   (1.7.1)a</t>
  </si>
  <si>
    <t>6A switch  (1.7.1)d</t>
  </si>
  <si>
    <t>Rate per each</t>
  </si>
  <si>
    <t>Note : Labour Charges proposed for 1point considering 15 per day</t>
  </si>
  <si>
    <t>2.1.5</t>
  </si>
  <si>
    <t>Supply and fixing of 16A 3pin / 6A 3pin  plug socket with indicator lamp and 16Amps  fuse unit and 16 Amps  switch control (5 in one) on modular cover frame including earth connection and all labour charges etc., complete on wall.</t>
  </si>
  <si>
    <t>4 Moduler Cover frame  (1.8.3)c</t>
  </si>
  <si>
    <t>16A 3 pin / 6A 3pin Plug socket with indicator lamp, fuse unit (5 in 1)   (1.7.1)m</t>
  </si>
  <si>
    <t>Note : Labour Charges proposed for 1point considering 10 per day</t>
  </si>
  <si>
    <t>2.1.6</t>
  </si>
  <si>
    <t>Supply and Fixing of 16A 3pin and 6A 3pin plug socket with indicator lamp and 16A fuse unit and 16A switch control (5 in 1) duly recessed in wall with metal boxs, covered with modular cover frame including earth connections and all labour charges etc., complete.</t>
  </si>
  <si>
    <t>Galvanized 20/18 SWG 6 Module box  (1.3.1)d</t>
  </si>
  <si>
    <t>6 Moduler Cover frame  (1.8.3)d</t>
  </si>
  <si>
    <t>16A 3 pin / 6A 3pin plug socket (5 in 1) (1.8.1)i</t>
  </si>
  <si>
    <t>Semi Skilled Electrician</t>
  </si>
  <si>
    <t>Note : Labour Charges proposed for 10 jobs per day</t>
  </si>
  <si>
    <t>2.1.7</t>
  </si>
  <si>
    <t>Supply and fixing of batten holder / slanting holder in lieu of ceiling rose of light point complete with all connections and all labour charges with 40W bulb (for new installation).</t>
  </si>
  <si>
    <t>PVC batten holder (1.7.1)Y</t>
  </si>
  <si>
    <t>40W bulb (3.7.1)</t>
  </si>
  <si>
    <t>Note : 1. The Cost of Ceiling Rose may be deducted in view of holder.</t>
  </si>
  <si>
    <t>2.  Labour Charges proposed for 20 jobs per day</t>
  </si>
  <si>
    <t>2.1.8</t>
  </si>
  <si>
    <t>Supply and fixing of batten holder / angle holder on existing block, but without bulb including all connections etc., complete (For replacement).</t>
  </si>
  <si>
    <t>2.1.12</t>
  </si>
  <si>
    <t>Supply and fixing of buzzer / Calling bell on 100 x 100 mm (4"x4") decolam block including giving connections, cost of all accessories and labour charges etc., complete.</t>
  </si>
  <si>
    <t>Buzzer (1.7.1)U</t>
  </si>
  <si>
    <t>100 x 100 mm (4"x4") decolam block</t>
  </si>
  <si>
    <t>BLD-ELEC-3</t>
  </si>
  <si>
    <t>RUN OF MAINS</t>
  </si>
  <si>
    <t>BLD-ELEC-3-1</t>
  </si>
  <si>
    <t>Wiring with F.R P.V.C. insulated flexible copper cable</t>
  </si>
  <si>
    <t>3.1.1</t>
  </si>
  <si>
    <t>Supply and run of 2 of 14/0.3mm (1.0 Sq.mm) F.R P.V.C. insulated flexible copper cable in existing pipe for mains inlcuding all labour charges etc., complete.</t>
  </si>
  <si>
    <t>Note : Labour Charges considered for 150 M / day</t>
  </si>
  <si>
    <t>3.1.2</t>
  </si>
  <si>
    <t>Supply and  run of 1 of 14 /0.3mm (1.0 Sq.mm) FR P.V.C. insulated flexible copper cable in existing pipe for earth continuity including all labour charges etc., complete.</t>
  </si>
  <si>
    <t>3.1.3</t>
  </si>
  <si>
    <t>Supply and run of 2 of 22/0.3mm (1.5 Sq.mm) F.R P.V.C. insulated flexible copper cable in existing pipe for mains inlcuding all labour charges etc., complete.</t>
  </si>
  <si>
    <t>22/0.3mm FR PVC copper wire (Finolex) (1.5.1)b</t>
  </si>
  <si>
    <t>3.1.4</t>
  </si>
  <si>
    <t>36/0.3mm (2.5 sqmm) FR PVC copper wire (Finolex) (1.5.1)c</t>
  </si>
  <si>
    <t>3.1.5</t>
  </si>
  <si>
    <t>Supply and run of 2 of 56/0.3mm (4 Sq.mm) FR  P.V.C. insulated flexible copper cable in existing pipe for mains inlcuding all labour charges etc., complete.</t>
  </si>
  <si>
    <t>56 /0.3mm (4 sqmm)FR PVC flexible copper wire.</t>
  </si>
  <si>
    <t>Note : Labour Charges considered for 100 M / day</t>
  </si>
  <si>
    <t>3.1.4   (a)</t>
  </si>
  <si>
    <t>Supply and run of 1 of 36/0.3mm (2.5 Sq.mm) F.R P.V.C. insulated flexible copper cable in existing pipe for earth continuity inlcuding all labour charges etc., complete.</t>
  </si>
  <si>
    <t>BLD-ELEC-4</t>
  </si>
  <si>
    <t>SWITCH GEAR &amp; MCB DISTRIBUTION BOARDS.</t>
  </si>
  <si>
    <t>Panel Mounting Cubical type SDF</t>
  </si>
  <si>
    <t>4.1.1</t>
  </si>
  <si>
    <t>Supply and erection of Panel mounting cubical type 30 / 32A TPN 415V, 50 Hz. switch disconnector fuse unit complete with front drive mechanism with door inter lock, padlocking arrangement etc., complete with fuse links on existing control panel.</t>
  </si>
  <si>
    <t>30 / 32A TPN 415V, 50 Hz. switchs  Disconnector fuse unit with HRC fuses.</t>
  </si>
  <si>
    <t>Sundries such as hardware etc.,</t>
  </si>
  <si>
    <t>Note : Labour Charges considered for 6 jobs / day</t>
  </si>
  <si>
    <t>BLD-ELEC-4-4</t>
  </si>
  <si>
    <t>DISTRIBUTION BOARDS</t>
  </si>
  <si>
    <t>4.4.1</t>
  </si>
  <si>
    <t>Supply and fixing SPN Distribution board with IP-20 protection suitable for single phase Earth Leakage Circute Braker (ELCB) / Residual Current Circute Braker (RCCB) / Double Pole (DP) Isolator as incomer and 10kA SP MCBs as out going including internal connections and labour charges for surface / flush mounting etc., complete.</t>
  </si>
  <si>
    <t>40A DP Isolator / RCCB / ELCB - 1 No for incomer,            6-32A SP MCBs - 8Nos for outgoing.</t>
  </si>
  <si>
    <t>40A D.P.Isolator / ECCB / RCCB   (2.11.1)b</t>
  </si>
  <si>
    <t>10 kA - 6-32A range SP MCBs (2.10.1)a</t>
  </si>
  <si>
    <t>Sundries such as hardware, cement etc,</t>
  </si>
  <si>
    <t>Note : Labour Charges considered for 2 jobs / day</t>
  </si>
  <si>
    <t>BLD-ELEC-5</t>
  </si>
  <si>
    <t>EARTHING</t>
  </si>
  <si>
    <t>BLD-ELEC-5-1</t>
  </si>
  <si>
    <t>5.1.1</t>
  </si>
  <si>
    <t>Providing independent earthling by excavating a trench to a depth of 2.1 M in all soils, as per size specified in the Data, using 40mm dia 'B' class GI pipe of 2.5 Mtrs length with necessary accessories with hume pipe ring duly providing staggered holes  including filling with equal proportion of Salt and Charcoal in layers and all labour charges etc., complete for small quarters.</t>
  </si>
  <si>
    <t>Excavation of Hard disteggrated rocks and boulders for trench 2nd Step of size 1.2 x 0.6 x 1.2 m (Civil SSR) (4'x2'x4')</t>
  </si>
  <si>
    <t>25% extra for narrow trench &amp; pit and back filling with Sand, Coke, Salt etc., and leveling</t>
  </si>
  <si>
    <t>40mm dia 'B' Class G.I pipe   (8.4.15)</t>
  </si>
  <si>
    <t>Mtr</t>
  </si>
  <si>
    <t xml:space="preserve"> 25 x 6 mm (1"X 1/4") G.I Flat duly drilled 12mm holes (4 Nos) of 200 mm (8") length  (8.3.6)</t>
  </si>
  <si>
    <t>No 8 G.I Wire</t>
  </si>
  <si>
    <t>Drilling of 16 Nos through holes of 12mm dia to G.I pipe  (8.4.18)</t>
  </si>
  <si>
    <t>G.I Nuts, Bolts an Washers (8.4.19)</t>
  </si>
  <si>
    <t>Set</t>
  </si>
  <si>
    <t>18" dia  hume pipe ring  (8.1.20)</t>
  </si>
  <si>
    <t>Hard Coke (8.1.10)</t>
  </si>
  <si>
    <t>Salt  (8.1.11)</t>
  </si>
  <si>
    <t xml:space="preserve">b) labour charges for fixing pipe ring and connections </t>
  </si>
  <si>
    <t xml:space="preserve">Sundries </t>
  </si>
  <si>
    <t>BLD-ELEC-6</t>
  </si>
  <si>
    <t>SERVICE MAINS &amp; LTOH Lines</t>
  </si>
  <si>
    <t>BLD-ELEC-6-1</t>
  </si>
  <si>
    <t>WPSC (Weather Prrof Single Core) (PVC Cleats)</t>
  </si>
  <si>
    <t>6.1.1</t>
  </si>
  <si>
    <t>Supply and Run of 2 of 2.5 Sq.mm WPSC (Whether Proof Single Core) Aluminium cable along with No.10 SWG G.I bearer wire through PVC cleats with all accessories including labour charges etc., complete for service mains.</t>
  </si>
  <si>
    <t>2.5 Sq.mm WPSC Aluminium cable  (1.6.1)</t>
  </si>
  <si>
    <t>No.10 SWG G.I wire. (0.026 Kg / Mtr) Length 100 RM (8.3.6)</t>
  </si>
  <si>
    <t>PVC Cleats  (8.1.12)</t>
  </si>
  <si>
    <t xml:space="preserve">b) labour charges </t>
  </si>
  <si>
    <t>Semi skilled</t>
  </si>
  <si>
    <t>Sundries such as insulation tapes and rounding off</t>
  </si>
  <si>
    <t>C) Cost for 100 M</t>
  </si>
  <si>
    <t>Rate per mtr c/100</t>
  </si>
  <si>
    <t>BLD-ELEC-7</t>
  </si>
  <si>
    <t>STREET LIGHT LUMINARIES</t>
  </si>
  <si>
    <t>BLD-ELEC-7-1</t>
  </si>
  <si>
    <t>FLOURESCENT LUMINAIRE</t>
  </si>
  <si>
    <t>7.1.1</t>
  </si>
  <si>
    <t>Supply of 1x36/40W WP flourscent street light  fitting.  (3.1.1)</t>
  </si>
  <si>
    <t>Lamp cost of 36/40W  flourscent  (3.7.3)</t>
  </si>
  <si>
    <t>Supply of 23/0060 twin core flat wire of makes Finolex   (1.5.6)</t>
  </si>
  <si>
    <t>25 mm G.I Pipe medium (8.4.15)</t>
  </si>
  <si>
    <t>Pipe bending charges</t>
  </si>
  <si>
    <t>M.S Flat and welding charges</t>
  </si>
  <si>
    <t>Sundries and rounding off</t>
  </si>
  <si>
    <t xml:space="preserve"> skilled Mason</t>
  </si>
  <si>
    <t>Bldngs_Elec-8-2</t>
  </si>
  <si>
    <t>Flourescent  Luminaire</t>
  </si>
  <si>
    <t>8.2.1</t>
  </si>
  <si>
    <t>Supply and transportation of 1x11 W mirror light with all standard accessories diffuser and 1No 11W CFL lamp etc., complete</t>
  </si>
  <si>
    <t>1x11W M.O. fitting</t>
  </si>
  <si>
    <t>Cost of C.F.L.</t>
  </si>
  <si>
    <t>Supply of No 8 screws of 35/38 mm  (1.4.4)d</t>
  </si>
  <si>
    <t>Rawal Plugs  (8.1.2)</t>
  </si>
  <si>
    <t>TW/PVC Round blocks  (8.1.29)</t>
  </si>
  <si>
    <t>Sundries  and rounding off</t>
  </si>
  <si>
    <t>8.2.2</t>
  </si>
  <si>
    <t>Supply and Transportation of 1x36/40W box type tube light luminaire with copper / Electronic balast  etc.,  and 1No 36/40W tube etc., complete.</t>
  </si>
  <si>
    <t>1x40/36 box type T.L fitting  (3.6.1)</t>
  </si>
  <si>
    <t>36/40 Tube flourscent lamp</t>
  </si>
  <si>
    <t>Bldngs_Elec-8-5</t>
  </si>
  <si>
    <t>T- 5 Luminaires.</t>
  </si>
  <si>
    <t>8.5.1</t>
  </si>
  <si>
    <t>Supply and transportation of  1X28W surface pendant mounting T- 5 extruded Aluminium with Aluminium reflector luminaire with all standard accessories and connections etc., complete with 1 No. 28 W tube</t>
  </si>
  <si>
    <t>1x28w pendant T5 lugs fitting</t>
  </si>
  <si>
    <t>28w T5 FTL</t>
  </si>
  <si>
    <t>Bldngs_Elec-9-5</t>
  </si>
  <si>
    <t>Fans</t>
  </si>
  <si>
    <t>9.7.2</t>
  </si>
  <si>
    <t>Transportation Charges on Unit Cost</t>
  </si>
  <si>
    <t xml:space="preserve">Rate per Each </t>
  </si>
  <si>
    <t>Note : Labour is Considered for 10 jobs / day</t>
  </si>
  <si>
    <t>9.7.16</t>
  </si>
  <si>
    <t>EXHAUST  FANS</t>
  </si>
  <si>
    <t>Supply of fresh air exhaust fan of light duty 250V A.C.50Hz.. 225 mm (9") / 300mm size (12") 1350 R.P.M Metallic body plastic blades, wire mesh, etc., complete.</t>
  </si>
  <si>
    <t>225 mm (9") / 300mm (12") L.D. Exhaust Fan (5.1.11)</t>
  </si>
  <si>
    <t xml:space="preserve">Cement </t>
  </si>
  <si>
    <t>Sundries such as sand,bolts,nuts etc</t>
  </si>
  <si>
    <t>Transportation Charges on Unit Cost @1%</t>
  </si>
  <si>
    <t>9.7.26</t>
  </si>
  <si>
    <t>Supply and erectingStepped type regulator for ceiling fans 900/1200/1400mm sweep complete erected on existing board.</t>
  </si>
  <si>
    <t>Stepped type Regulator   (1.7.1)i</t>
  </si>
  <si>
    <t>M</t>
  </si>
  <si>
    <t>b) Labour charges.</t>
  </si>
  <si>
    <t>Semi skilled Electrician</t>
  </si>
  <si>
    <t>Bldngs_Elec-11-3</t>
  </si>
  <si>
    <t>SUBMERSIBLE PUMPS (Bore well type)</t>
  </si>
  <si>
    <t>11.3.1 (a)</t>
  </si>
  <si>
    <t>Supply and erecting, ISI mark submersible 1.0 HP,Single Phase  18stages pumpset suitable for 106 / 156mm dia borewell with high quality water resistant and dynamically balanced bronze impeller with stainless steel shaft sleeves, pump coupling and pivot of Single phase 250V, 50Hz.. A.C. power supply copper winding with water proof insulation and high precision strength not  to be effected by chemical in water and suitable bronze bearings with nut and bolts etc., with  necessary H-type clamp of suitable size and strength.</t>
  </si>
  <si>
    <t>1HP, Single Phase 10 stage submerisible pump set including all taxes</t>
  </si>
  <si>
    <t>Special M.S. clamps with bolts and nuts</t>
  </si>
  <si>
    <t>b) Labour charges for erection of pump set including pipe connection for suction &amp; delivery</t>
  </si>
  <si>
    <t>Skilled Fitter</t>
  </si>
  <si>
    <t>Plumber</t>
  </si>
  <si>
    <t>Sundries and rouding off</t>
  </si>
  <si>
    <t>Note :  Labour is Considered for 2 jobs / day</t>
  </si>
  <si>
    <t>1.2.1(b)</t>
  </si>
  <si>
    <t>25mm dia 2.20mm thick PVC Pipe</t>
  </si>
  <si>
    <t>Rm</t>
  </si>
  <si>
    <t>8.1.5</t>
  </si>
  <si>
    <t>Aluminium link clips</t>
  </si>
  <si>
    <t>1.2.6</t>
  </si>
  <si>
    <t>25mm dia 1,2,3,4 way deep junction box</t>
  </si>
  <si>
    <t>1.2.8(b)</t>
  </si>
  <si>
    <t>1.5.1(a)</t>
  </si>
  <si>
    <t>14/0.3mm PVC FR flexible copper wire</t>
  </si>
  <si>
    <t>100mt</t>
  </si>
  <si>
    <t>1.7.1(a)</t>
  </si>
  <si>
    <t>6A 1way flush type witch</t>
  </si>
  <si>
    <t>1.7.1(m)</t>
  </si>
  <si>
    <t>6A 2way jumbo ceiling Rose</t>
  </si>
  <si>
    <t>1.8.3(d)</t>
  </si>
  <si>
    <t>6 Modular Cover fame</t>
  </si>
  <si>
    <t>6A 3pin /2 pin socket</t>
  </si>
  <si>
    <t>1.7.1(d)</t>
  </si>
  <si>
    <t>6A switch</t>
  </si>
  <si>
    <t>1.8.3©</t>
  </si>
  <si>
    <t>4 Modular cover frame</t>
  </si>
  <si>
    <t>16A/3 pin/6A 3pin plug socket</t>
  </si>
  <si>
    <t>1.7.1(y)</t>
  </si>
  <si>
    <t>PVC Batten holder</t>
  </si>
  <si>
    <t>3.7.1</t>
  </si>
  <si>
    <t>40W Bulb</t>
  </si>
  <si>
    <t>1.7.1(u)</t>
  </si>
  <si>
    <t>Buzzer</t>
  </si>
  <si>
    <t>1.5.1(b)</t>
  </si>
  <si>
    <t>22/0.3mm FR PVC Copper wire</t>
  </si>
  <si>
    <t>1.5.1©</t>
  </si>
  <si>
    <t>36/0.3mm (2.5 sqmm)FR PVC Copper wire</t>
  </si>
  <si>
    <t>56/0.3mm (4 sqmm) FR PVC flexible copper wire</t>
  </si>
  <si>
    <t>2.1.1(a)</t>
  </si>
  <si>
    <t>30/32A TPN 415V,50HZ</t>
  </si>
  <si>
    <t>2.13.1(a)</t>
  </si>
  <si>
    <t xml:space="preserve">SPN 4 way D.B with IP 20 </t>
  </si>
  <si>
    <t>2.11.1(b)</t>
  </si>
  <si>
    <t>40A D.P Isolator/ECCB/RCCB</t>
  </si>
  <si>
    <t>2.10.1(a)</t>
  </si>
  <si>
    <t>10kA-6-32A range SP MCB</t>
  </si>
  <si>
    <t>8.4.19</t>
  </si>
  <si>
    <t>Earth work excavation</t>
  </si>
  <si>
    <t>8.1.17©</t>
  </si>
  <si>
    <t>40mm dia B Class G.I Pipe</t>
  </si>
  <si>
    <t>8.3.6</t>
  </si>
  <si>
    <t>25x6mm G.I Flat duty 12mm drilled holes</t>
  </si>
  <si>
    <t>No 8 G I Wire</t>
  </si>
  <si>
    <t>8.4.20</t>
  </si>
  <si>
    <t>Drilling of 16Nos through holes of 12mm dia</t>
  </si>
  <si>
    <t>8.4.21</t>
  </si>
  <si>
    <t>G I Nuts Bolts and washers</t>
  </si>
  <si>
    <t>8.4.22</t>
  </si>
  <si>
    <t>18" dia hume pipe ring</t>
  </si>
  <si>
    <t xml:space="preserve">8.1.10 </t>
  </si>
  <si>
    <t>Hard coke</t>
  </si>
  <si>
    <t>8.1.11</t>
  </si>
  <si>
    <t>Salt</t>
  </si>
  <si>
    <t>1.6.1</t>
  </si>
  <si>
    <t>2.5sq mm  WPSC Aluminium cable</t>
  </si>
  <si>
    <t>100 mts</t>
  </si>
  <si>
    <t>No 10 S W G GI Wire</t>
  </si>
  <si>
    <t>8.1.12</t>
  </si>
  <si>
    <t>PVC Cleats</t>
  </si>
  <si>
    <t>Supply of 1x36/40W WP flourscent street light</t>
  </si>
  <si>
    <t>3.7.3</t>
  </si>
  <si>
    <t>lamp cost of 36/40W</t>
  </si>
  <si>
    <t>1.5.6</t>
  </si>
  <si>
    <t>Supply of 23/0060 twin core flat wireof make Finolex</t>
  </si>
  <si>
    <t>100mts</t>
  </si>
  <si>
    <t>1.4.4(d)</t>
  </si>
  <si>
    <t>Supply of No 8 Screws of 35/38mm</t>
  </si>
  <si>
    <t>100Nos</t>
  </si>
  <si>
    <t>8.1.2</t>
  </si>
  <si>
    <t>Rawal Plug</t>
  </si>
  <si>
    <t>8.1.29</t>
  </si>
  <si>
    <t>TW/PVC Round blocks</t>
  </si>
  <si>
    <t>Ceiling Fan</t>
  </si>
  <si>
    <t xml:space="preserve">Nos </t>
  </si>
  <si>
    <t>1.7.1(i)</t>
  </si>
  <si>
    <t>Resistance type regulator</t>
  </si>
  <si>
    <t xml:space="preserve">25 mm G.I Pipe medium </t>
  </si>
  <si>
    <t>(8.4.15)</t>
  </si>
  <si>
    <t>rm</t>
  </si>
  <si>
    <t xml:space="preserve">1x40/36 box type T.L fitting  </t>
  </si>
  <si>
    <t>(3.6.1)</t>
  </si>
  <si>
    <t>SUB ESTIMATE</t>
  </si>
  <si>
    <t>Description of Work</t>
  </si>
  <si>
    <t>Providing Sanitatiaon</t>
  </si>
  <si>
    <t>Providing &amp; placing on Terrace polyethylene water storage tank with Double layer approved brand &amp; manufacture with cover and suitable locking arrangement &amp; making necessary holes for inlet &amp; outlets and overflow pipes with all fittings  including supply and fixing of 76.20mm dia PVC elbow 1st quality and 38.10mm dia PVC waste pipe outlet  including coat and conveyance of all materials all labour charges etc. complete for finished item of work but excluding VAT.</t>
  </si>
  <si>
    <t>Ltrs</t>
  </si>
  <si>
    <t>1 Ltrr</t>
  </si>
  <si>
    <t>Name of the Work: Providing Sanitation facilities to Grama Sachivalaym at Ibrahimpatnam</t>
  </si>
  <si>
    <t>Estimate Cost in Rs.:- 1.40  Lakhs</t>
  </si>
  <si>
    <t>Drilling of 165mm dia borewell with power rig and clearing of all stratas remaining the bore well and inserting 180mm dia PVC 6kg/Sq.cm as casing pipe upto hard strata as  recommended by the Geologist and flushing of borewell and cleaning of all starts</t>
  </si>
  <si>
    <t>mt</t>
  </si>
  <si>
    <t>Cost and Supply and fixing of  Casing pipe 180mm dia PVC 6Kg/sq.cm inclduong cost and conveyance of all materials and all labour charges etc., completed</t>
  </si>
  <si>
    <t>Supply and errcting,ISI mark  of 1 H.P  13 stages single phase ISI Submerseeeible motor Pumpset suitable for 4" borewell  Makes   kriloskar/Crompton/CRI/L&amp;T/Texma/Varsha with high quality wear resistance and dynamically balanced bronze imperres</t>
  </si>
  <si>
    <t>Supply and Fixing of 50mm dia Nominal bore GI Pipe Medium Grade properties and weight as per IS 1239 ISI mark with G I Fittings including the cost of pipe,fittings and labour charges etc., completed</t>
  </si>
  <si>
    <t xml:space="preserve">Supply and Fixing of CPVC Pipe (22.20mm OD pipe-SDR 13.5) andd fittings to meet the requirement of ASTM-D 2846 and are produced in CTC(Copper Tube Size 1/2" ton 2" SDR 11 and SDR 13.5 pipes are made from idential CPVC compound </t>
  </si>
  <si>
    <t>22.20mm OD CVPC Pipe</t>
  </si>
  <si>
    <t xml:space="preserve">Supply and Fixing of CPVC Pipe (28.60 mm OD pipe-SDR 13.5) andd fittings to meet the requirement of ASTM-D 2846 and are produced in CTC(Copper Tube Size 1/2" ton 2" SDR 11 and SDR 13.5 pipes are made from idential CPVC compound </t>
  </si>
  <si>
    <t>28.60 mm OD CVPC Pipe</t>
  </si>
  <si>
    <t>Provision for Specials</t>
  </si>
  <si>
    <t>Secretary Room</t>
  </si>
  <si>
    <t xml:space="preserve">S&amp; F 50 mm Nominal Bore GI pipe Light Grade properties &amp; weight as per IS 1239 ISI mark with GI fittings ncluding the cost of pipe &amp; its fittings &amp; labour charges etc., complete
</t>
  </si>
  <si>
    <t>1HP Motor 13 stage</t>
  </si>
  <si>
    <t>Supply and errcting,ISI mark  of 1 H.P  13 stages single phase ISI Submerseeeible motor Pumpset suitable for 4" borewell  Makes   kriloskar/Crompton/CRI/L&amp;T/Texma/Varsha with high quality wear resistance and dynamically balanced bronze imperresKirloskar / Crompton / Texmo / CRI / KSB/Lubi/ PSG/Aryen Varsha</t>
  </si>
  <si>
    <t>Cost of 1 H.P  13 stages single phase ISI Submerseeeible motor</t>
  </si>
  <si>
    <t>Transportation charges</t>
  </si>
  <si>
    <t>Skilled fitter</t>
  </si>
  <si>
    <t xml:space="preserve">Plumber </t>
  </si>
  <si>
    <t>Plumber/Pipefitter</t>
  </si>
  <si>
    <t xml:space="preserve">Supply and Fixing of CPVC Pipes ( 22.20 mm OD Pipe - SDR 13.5 )and Fittings to meet the requirement of ASTM-D 2846 and are produced in CTS (Copper Tube Sizes 1/2" ton 2" SDR 11 and SDR 13.5 pipes are made from idential CPVC compounds having the same physical Properties for Hot and Cold Water (IS 15778:2007) of Ashirvad / Ajay Flowguard </t>
  </si>
  <si>
    <t xml:space="preserve">6 Module Box </t>
  </si>
  <si>
    <t xml:space="preserve"> (1.3.1)</t>
  </si>
  <si>
    <t xml:space="preserve">8 or 9 Module Box </t>
  </si>
  <si>
    <t xml:space="preserve">12 Module Box  </t>
  </si>
  <si>
    <t xml:space="preserve">6 Module Cover Frame  </t>
  </si>
  <si>
    <t>(1.8.3)</t>
  </si>
  <si>
    <t xml:space="preserve">8 or 9 Module Cover Frame  </t>
  </si>
  <si>
    <t xml:space="preserve">12 Module Cover Frame  </t>
  </si>
  <si>
    <t xml:space="preserve">6A/10A module modular switch </t>
  </si>
  <si>
    <t>Estimate Amount Rs.          Lakhs</t>
  </si>
  <si>
    <t xml:space="preserve">                The work " Construction of Grama Sachivalayam in Gannavaram village of Gannavaram mandal " Est Rs               lakhs was prepared as per the instructions of the higher authorities.   The building was proposed with                feet size to fulfill the total requirements. The building was prepared for Ground and First floors.                   </t>
  </si>
  <si>
    <t>UPVC Windows</t>
  </si>
  <si>
    <t>BMT-P.79</t>
  </si>
  <si>
    <t>DETAILED  CUM  ABSTRACT  ESTIMATE</t>
  </si>
  <si>
    <t>S  No</t>
  </si>
  <si>
    <t>Description of the work</t>
  </si>
  <si>
    <t>No's</t>
  </si>
  <si>
    <t>For Columns - F1</t>
  </si>
  <si>
    <t>For Columns - F2</t>
  </si>
  <si>
    <t>For out side toilets alround</t>
  </si>
  <si>
    <t>Cross wall in toilets</t>
  </si>
  <si>
    <t>Long walls</t>
  </si>
  <si>
    <t>Short walls</t>
  </si>
  <si>
    <t>Deduct Columns portion</t>
  </si>
  <si>
    <t xml:space="preserve">Plain Cement Concrete (1:4:8) prop using 40mm size HBG  (SS5) metal  including Cost and Conveyance of all materials and curing charges but excluding unskilled wages etc., complete for finished item of work for Foundations and Flooring Bed (APSS No. 402)(CSSR) </t>
  </si>
  <si>
    <t>Plain Cement Concrete (1:5:10) prop using 40mm size HBG  (SS5) metal  including Cost and Conveyance of all materials and curing charges but excluding unskilled wages etc., complete for finished item of work for Foundations and Flooring Bed (APSS No. 402) (CSSR)</t>
  </si>
  <si>
    <t>For Foundations</t>
  </si>
  <si>
    <t>For Flooring</t>
  </si>
  <si>
    <t>Agri cum Aqua store</t>
  </si>
  <si>
    <t>Spandana Hall</t>
  </si>
  <si>
    <t>Stairecase</t>
  </si>
  <si>
    <t>Front plat form</t>
  </si>
  <si>
    <t>Toilets in side</t>
  </si>
  <si>
    <t>Columns Footings</t>
  </si>
  <si>
    <t>For Columns</t>
  </si>
  <si>
    <t>Plinth beam</t>
  </si>
  <si>
    <t>Earth work quantity</t>
  </si>
  <si>
    <t>PCC (1:4:8)</t>
  </si>
  <si>
    <t>VRCC M25 for Footings</t>
  </si>
  <si>
    <t>VRCC M25 for Pedastals</t>
  </si>
  <si>
    <t>VRCC M25 for Columns up to Plinth</t>
  </si>
  <si>
    <t>As per RSSR</t>
  </si>
  <si>
    <t>Over Doors</t>
  </si>
  <si>
    <t>Over Windows</t>
  </si>
  <si>
    <t>Roof slab</t>
  </si>
  <si>
    <t>Alround The building</t>
  </si>
  <si>
    <t>Deduct Columns</t>
  </si>
  <si>
    <t>Deduct Windows</t>
  </si>
  <si>
    <t>Deduct Lintels</t>
  </si>
  <si>
    <t>1 Kg</t>
  </si>
  <si>
    <t>Supply &amp; fixing of Rolling shutter made of 80 x 1.25 mm machine rolled CRCA laths, interlocked together through their entire length and jointed together at the ends by endlocks, mounted on specially designed pipe shaft of 50mm dia nominal bore MS B class pipe with brackets, plates, guide channels, stoppers, bottom locking plates and arrangements for inside &amp; outside locking with push-pull operations including cost of hood cover and springs complete, painted with one coat of approved steel primer, locks, ball bearings, all accessories etc complete for finished item of work as per special spn: 1108</t>
  </si>
  <si>
    <t>Door - D1</t>
  </si>
  <si>
    <t>Rms</t>
  </si>
  <si>
    <t>1 Rm</t>
  </si>
  <si>
    <t>Flooring with 25mm thick polished Bethamcherla cloured stone set over base coat of CM (1:8) over already laid CC bed / RCC Roof Slab, including neat cement slurry of honey like consistency spread @ 3.3 kgs per sqm. &amp; Jointed with neat cement to full depth including cost of all materials like cement, sand, and water and flooring stones etc., complete, including seigniorage charges, labour charges for dressing of flooring stones etc., complete for finished item of work, but excluding the cost of conveyance of all materials.</t>
  </si>
  <si>
    <t>Providing skirting to internal walls to 15 cm height/risers of steps with 25mm thick polished Bethamcherla cloured stone set over base coat of CM (1:8) over already laid CC bed / RCC Roof Slab, including neat cement slurry of honey like consistency spread @ 3.3 kgs per sqm. &amp; Jointed with neat cement to full depth including cost of all materials like cement, sand, and water and flooring stones etc., complete, including seigniorage charges, labour charges for dressing of flooring stones etc., complete for finished item of work, but excluding the cost of conveyance of all materials.</t>
  </si>
  <si>
    <t>Flooring (Dadooing) with decorated white back ground glazed tiles, set over base coat of cement mortar (1:6), 12 mm thick over CC bed already laid or RCC roof slab, including neat cement slurry of honey like consistency spread @ 3.3.kgs per sqm &amp; jointed neatly with white cement paste mixed with pigment of matching shade to full depth, including cost of all materials like cement, sand water and tiles etc., complete, including seigniorage charges, etc., complete for finished item of work, but excluding the cost of conveyance of all materials</t>
  </si>
  <si>
    <t>Supplying and fixing Gyp Board Suspended regular single layer false ceiling (GS-MFSC-4.1) using 12.5 mm thick Gyp Board conforming to IS 2095 - 1993 fixing to Gyp steel GI perimeter channels of size 20 mm x 27 mm x 30 mm(web) of 0.55 mm thick along the perimeter of ceiling screw fixed to brick work/ partition at 610 mm c/c and suspending the frame work using Intermediate channels (45 mm x 15mm x 15mm x 0.9 mm) from soffit at 1220 mm c/c with ceiling angle (25 mm x 10 mm x 0.55 mm) fixed with GI Cleat and steel expansion fasteners &amp; connecting clip to the ceiling channels (with knurled web of 51.5 mm x 26 mm x 10.5 mm x 0.55 mm) fixed in direction perpendicular to the intermediate channel at 457 mm c/c and fixing the 12.5 mm tapered edge Gypboard with 25 mm drywall screws at 230 mm c/c &amp; jointing and finishing using joint compound and paper tape to have a flush look including filling the tapered &amp; square edges with jointing compound, two coats of drywall top coat including Over Head Charges, Contractor Profit @ 13.615%</t>
  </si>
  <si>
    <t>Inside Prinicipal Room</t>
  </si>
  <si>
    <t>Inside Staff Room</t>
  </si>
  <si>
    <t xml:space="preserve">Inside </t>
  </si>
  <si>
    <t>Door - D</t>
  </si>
  <si>
    <t xml:space="preserve">Providing Antitermite treatment as per IS 6315 (Part - 2) 2001 (Pre-constructional chemical treatment measures) along the internal &amp; external vertical faces of the columns, plinth beams, basement and top surface of the basement filling below flooring bed as per the specified procedure conforming to IS 6315 (Part-2) 2001 and other relevant approved specification duly using Chlorpyriphos/ Lindane emulsifiable concentrate 20% with 1% concentration @ 7.5 Liters/ sqm of the vertical surface &amp; @ 5.0 Liters/ sqm of the horizontal surface of the substructure to a depth of 500 mm around columns &amp; 300 mm deep around plinth beams, basements &amp; floor filling area including excavation channel along the wall &amp; rodding etc &amp; cost &amp; conveyance of all materials to the site, cost of labour for spraying, rodding etc complete for finished item of work as per the approval of the Engineer-in-Charge </t>
  </si>
  <si>
    <t xml:space="preserve">Providing high yield strength deformed (HYSD) steel bars (Fe 500 grade as per IS 1786-1985) of 8mm to 40mm diameters, cutting, bending, to required sizes and shapes placing in position with cover blocks of approved size and binding wire of 20SWG, forming grills for reinforcement work as per approved designs and drawings including cost and conveyance of bars from approved sources to site of work, including cost and conveyance of binding wire, cover blocks and all operational, incidental, and labour charges such as cutting, bending, placing in position, tying etc., and sales &amp; other taxes,on cost of all materials complete for finished item of work  </t>
  </si>
  <si>
    <t xml:space="preserve">Supply and Fixing of 25mm dia 1.8mm thick  P.V.C. pipe (ISI MARK) concealed in wall with all required accessories including masonary work for light, fan and separate plug point with well seasoned TW box including all labour charges etc., complete.  Make : Sudhakar/ Maco Plast / Modi </t>
  </si>
  <si>
    <t>Supply and run of 1 of 14/0.3mm (1.0 Sqmm) FR / FRLS PVC insulated 1100V grade as per IS:694/1990 specification for copper cable in existing pipe for earth continuity including cost of all materials, all taxes, conveyance to site and all labour charges for all operations etc., complete as directed by Engineer in Charge.</t>
  </si>
  <si>
    <t>Supplying &amp; run of 2 of 2.5 Sqmm 36/0.3mmFR PVC insulated flexible copper cable in Existing pipe for mains including cost of all materials, all taxes, conveyance to site and all labour charges for all operations etc., complete as directed by Engineer in Charge</t>
  </si>
  <si>
    <t xml:space="preserve">Supply, Transportation and fixing of 4' - 40 Watt box type flourescent single Tube Light fitting with Energy saving  electronic ballast, consuming 28 W  suitable for 40 Watt tube on varnished teak wood round blocks with flexible 3 core wire etc.,, complete </t>
  </si>
  <si>
    <t>Supply of 1x40W weather proof flourescent streetlight fitting comprising canopy of sheet Aluminium in stove enamel finish with copper / VPIT ballast, capacitor, tube and starter etc., complete.  Makes: Phillips /  GE / Wipro /Thorn</t>
  </si>
  <si>
    <t>1.2.2(b)</t>
  </si>
  <si>
    <t>25mm dia 1.8mm thick PVC Pipe Medium</t>
  </si>
  <si>
    <t>Supply and Fixing of 25mm dia1.80mm thick PVC pipe (ISI MARK) concealed in wall with all required accessories including masonary work  and labour charges etc., complete.</t>
  </si>
  <si>
    <t>Supply and Fixing of 25mm dia 1.8mm thick PVC pipe (ISI MARK) concealed in Roof Slabs with all required accessories including masonary work  and labour charges etc., complete.</t>
  </si>
  <si>
    <t xml:space="preserve">Supply and Fixing of 25mm dia 1.80mm thick PVC pipe (ISI MARK) concealed in Roof Slabs with all required accessories including masonary work  and labour charges etc., complete. Make : Sudhakar/ Maco Plast / Modi </t>
  </si>
  <si>
    <t xml:space="preserve">Supply and  run of 1 of 14 /0.3mm (1.0 Sq.mm) FR P.V.C. insulated flexible copper cable in existing pipe for earth continuity including all labour charges etc., complete. 
  </t>
  </si>
  <si>
    <t xml:space="preserve">14/0.3mm FR PVC copper wire </t>
  </si>
  <si>
    <t>Supply &amp; Fixing of 1200mm (48") sweep 230V, A.C 50 Hz. ceiling fan with 3 blades and double ball bearings with all standard accessories including cost of all materials, all taxes, conveyance to site and all labour charges for all operations etc., complete as directed by Engineer in Charge</t>
  </si>
  <si>
    <t>90 mm dia 3 M Single Socket PVC/SWR pipe - 4 Kg/sq.cm - Prince/Sudhakar or any ISI Brand</t>
  </si>
  <si>
    <t xml:space="preserve">Supply &amp; fixing bib cock cum health faucet with 1 m long flexible tube and wall hook ofJaquar make queen series with 7 years warranty Chrome plated  
 </t>
  </si>
  <si>
    <t>bib cock cum health faucet</t>
  </si>
  <si>
    <t xml:space="preserve">a) S&amp;F 12.7mm N.P bib tap Indian make 3heavy duty </t>
  </si>
  <si>
    <t xml:space="preserve">4" (101.6 mm ) multi floor trap with Jali- UPVC/SWR Pipe fittings </t>
  </si>
  <si>
    <t xml:space="preserve">Supply and Fixing of CPVC Pipes ( 15.9 mm OD Pipe - SDR 13.5 )and Fittings to meet the requirement of ASTM-D 2846 and are produced in CTS (Copper Tube Sizes 1/2" ton 2" SDR 11 and SDR 13.5 pipes are made from idential CPVC compounds having the same physical Properties for Hot and Cold Water (IS 15778:2007) of Ashirvad / Ajay Flowguard </t>
  </si>
  <si>
    <t>15.9mm OD Pipe - SDR 13.5</t>
  </si>
  <si>
    <t xml:space="preserve">Supply and Fixing of CPVC Pipes ( 34.90 mm OD Pipe - SDR 13.5 )and Fittings to meet the requirement of ASTM-D 2846 and are produced in CTS (Copper Tube Sizes 1/2" ton 2" SDR 11 and SDR 13.5 pipes are made from idential CPVC compounds having the same physical Properties for Hot and Cold Water (IS 15778:2007) of Ashirvad / Ajay Flowguard </t>
  </si>
  <si>
    <t>34.90mm OD Pipe - SDR 13.5</t>
  </si>
  <si>
    <t>1st Class Bricks</t>
  </si>
  <si>
    <t xml:space="preserve">a)S &amp; F Gunmetal Gate (GM peet) valve as per IS - 778 Class - I, Indian make heavy type - 32 mm NB Size  
Each </t>
  </si>
  <si>
    <t>Sand for CM(1:5) base coat</t>
  </si>
  <si>
    <t>Cement for CM(1:5) base coat</t>
  </si>
  <si>
    <t>B.LABOUR</t>
  </si>
  <si>
    <t>Mazdoor(unskilled)</t>
  </si>
  <si>
    <t xml:space="preserve">Add water charges 1% </t>
  </si>
  <si>
    <t>Rate for 10 sqm</t>
  </si>
  <si>
    <t>Rate per 1 Sqm</t>
  </si>
  <si>
    <t>Cost of Bethamcherla tiles 8mm thick</t>
  </si>
  <si>
    <t>CSTN-3-11</t>
  </si>
  <si>
    <t>Filling in foundation with Stonedust trenches as per drawing and technical specification Clause 305.3.9 MORD &amp; 304 MORTH</t>
  </si>
  <si>
    <t>Stonedust</t>
  </si>
  <si>
    <t>i</t>
  </si>
  <si>
    <t>Stone dust</t>
  </si>
  <si>
    <t>Stone dust filling</t>
  </si>
  <si>
    <t>Filling with Stone dust  in trenches, sides of foundations &amp; basement by watering and ramming including all operational, incidental, labour charges, hire charges of T&amp;P etc complete including cost and conveyance of material and labour charges etc complete for finished item of the work (APSS No 309&amp; 310)</t>
  </si>
  <si>
    <t>BLD-CSTN-6-9</t>
  </si>
  <si>
    <t>Base Coat in CM(1:6),16 mm thick</t>
  </si>
  <si>
    <t>Top Coat in CM(1:4), 4 mm thick</t>
  </si>
  <si>
    <t>First Floor</t>
  </si>
  <si>
    <t>Rate per 10.00 Sqm</t>
  </si>
  <si>
    <t>Scaffolding charges</t>
  </si>
  <si>
    <t>Hire charges</t>
  </si>
  <si>
    <t>Lift charges 10% Extra on Labour charges</t>
  </si>
  <si>
    <t>Rate per 1.00 Sqm</t>
  </si>
  <si>
    <t>(BLD-CSTN-7-5)</t>
  </si>
  <si>
    <t>Unit = 10 sqm.</t>
  </si>
  <si>
    <t>polished Bethamcherla Cloured stone (0..254x0.254m) minimum 25mm thick  SSR item No. (29)</t>
  </si>
  <si>
    <t>Cement for CM(1:8) proportion for base coat</t>
  </si>
  <si>
    <t>Sand for CM(1:8)</t>
  </si>
  <si>
    <t>B .LABOUR</t>
  </si>
  <si>
    <t>Mazdoor(un skilled)</t>
  </si>
  <si>
    <t>Rate per 10 Sqm</t>
  </si>
  <si>
    <t>(BLD-CSTN-7-20)</t>
  </si>
  <si>
    <t>Cost of vitrified tiles 8mm thick</t>
  </si>
  <si>
    <t>The following provisions made in the Estimate</t>
  </si>
  <si>
    <t>Wheather proof course with plastering C.M(1:3) 20mm thick over roof .</t>
  </si>
  <si>
    <t>Plastring with C.M (1:5) 12mm thick proposed for Inside of the building</t>
  </si>
  <si>
    <t>Flooring with Ceramic tiles, set over base coat of cement mortar (1:8)  12 mm thick over CC bed for Toilets</t>
  </si>
  <si>
    <t xml:space="preserve">Dadooing to Toilets with ceramic tiles to 1.20mts height </t>
  </si>
  <si>
    <t>Painting to new walls with Water proof Cement paint of approved brand and shade over a base coat of appropriate primer of approved brand for outside of the building</t>
  </si>
  <si>
    <t>Plastering with CM 2 coats, 12 mm thick, base coat in CM (1:4), 8mm thick and top coat in CM (1:2), 4mm thick with sponze finishing</t>
  </si>
  <si>
    <t xml:space="preserve">Ellispattern Flooring to Godown and  with 25mm thick polished Bethamcherla cloured stone set over base coat of CM (1:8) over already laid CC bed for Ground Floor </t>
  </si>
  <si>
    <t>Estimate Cost Rs. 7.00 Lakhs</t>
  </si>
  <si>
    <t>Estimate Amount Rs. 7.00 Lakhs</t>
  </si>
  <si>
    <t>PRI, Chittoor</t>
  </si>
  <si>
    <t>:</t>
  </si>
  <si>
    <t>Local</t>
  </si>
  <si>
    <t>Chittoor</t>
  </si>
  <si>
    <t>Tirupati</t>
  </si>
  <si>
    <t>Add  Area Allowance</t>
  </si>
  <si>
    <t>Add 75% extra on Labour for Foundation of Buildings</t>
  </si>
  <si>
    <t>Water charges @ 1%</t>
  </si>
  <si>
    <t>Water Charges @1%</t>
  </si>
  <si>
    <t>Area Allowance</t>
  </si>
  <si>
    <t>Ded Columns</t>
  </si>
  <si>
    <t xml:space="preserve">Plain Cement Concrete corresponding to  grade as per IS 456 equivalent to (1:5:10) proportion nominal mix (cement: fine aggregate: Coarse aggregate) using 40mm size Hard Blasted Granite (IS383, 1970) metal from approved quarry including cost and conveyance of all materials like cement, sand, coarse aggregate, water etc. to site, including   all operational, incidental,  and labour charges such as mixing, laying and ramming concrete in layers in position not exceeding 15cm, finishing top surface, curing concrete,  etc.,   complete for Foundations  (APSS No. 402) </t>
  </si>
  <si>
    <t>Random Rubble stone masonry, in CM (1:6) prop: (Cement: Sand) using hard granite stones from approved quarry including Cost and Conveyance  of all materials like Granite stones, cement, sand, water,  etc.,  to site including   all operational, incidental,</t>
  </si>
  <si>
    <t>Unit=1 Cum</t>
  </si>
  <si>
    <t>A MATERIALS</t>
  </si>
  <si>
    <t>Fine aggregate</t>
  </si>
  <si>
    <t>Bond Stone</t>
  </si>
  <si>
    <t>C.LABOUR</t>
  </si>
  <si>
    <t>Mason 1 st class</t>
  </si>
  <si>
    <t>Water Charges at 1%</t>
  </si>
  <si>
    <t>Cost per Cum</t>
  </si>
  <si>
    <t>RR masonary</t>
  </si>
  <si>
    <t>CR stone</t>
  </si>
  <si>
    <t>Bond stones</t>
  </si>
  <si>
    <t>Supply and fixing of PVC Door Frames  made of hollow extruded PVC section having dimensions of 40 X 57mm with the wall thickness of 2mm +/- 0.2mm duly reinforced with seasoned wood plank at the hinges side.  The door frame top 2 corners shall be metri-cut/ welded including all taxes complete for finished item of work including cost and conveyance of all materials and labour charges etc., complete.</t>
  </si>
  <si>
    <t>Unit = 1 rm</t>
  </si>
  <si>
    <t>PVC Door frame of 40 X 57 mm</t>
  </si>
  <si>
    <t>Cost for 1 Rm</t>
  </si>
  <si>
    <t xml:space="preserve">BMT-N.02 </t>
  </si>
  <si>
    <t>Unit = 1 Sqm</t>
  </si>
  <si>
    <t xml:space="preserve">Amount </t>
  </si>
  <si>
    <t>a)  Labour</t>
  </si>
  <si>
    <r>
      <t>Mason 1</t>
    </r>
    <r>
      <rPr>
        <vertAlign val="superscript"/>
        <sz val="10"/>
        <color indexed="64"/>
        <rFont val="Gadugi"/>
        <family val="2"/>
      </rPr>
      <t>st</t>
    </r>
    <r>
      <rPr>
        <sz val="10"/>
        <color indexed="64"/>
        <rFont val="Gadugi"/>
        <family val="2"/>
      </rPr>
      <t xml:space="preserve"> class</t>
    </r>
  </si>
  <si>
    <r>
      <t>Mason 2</t>
    </r>
    <r>
      <rPr>
        <vertAlign val="superscript"/>
        <sz val="10"/>
        <color indexed="64"/>
        <rFont val="Gadugi"/>
        <family val="2"/>
      </rPr>
      <t>nd</t>
    </r>
    <r>
      <rPr>
        <sz val="10"/>
        <color indexed="64"/>
        <rFont val="Gadugi"/>
        <family val="2"/>
      </rPr>
      <t xml:space="preserve"> class</t>
    </r>
  </si>
  <si>
    <r>
      <t>Mason 1</t>
    </r>
    <r>
      <rPr>
        <vertAlign val="superscript"/>
        <sz val="10"/>
        <rFont val="Gadugi"/>
        <family val="2"/>
      </rPr>
      <t>st</t>
    </r>
    <r>
      <rPr>
        <sz val="10"/>
        <rFont val="Gadugi"/>
        <family val="2"/>
      </rPr>
      <t xml:space="preserve"> class</t>
    </r>
  </si>
  <si>
    <r>
      <t>Mason 2</t>
    </r>
    <r>
      <rPr>
        <vertAlign val="superscript"/>
        <sz val="10"/>
        <rFont val="Gadugi"/>
        <family val="2"/>
      </rPr>
      <t>nd</t>
    </r>
    <r>
      <rPr>
        <sz val="10"/>
        <rFont val="Gadugi"/>
        <family val="2"/>
      </rPr>
      <t xml:space="preserve"> class</t>
    </r>
  </si>
  <si>
    <t xml:space="preserve">Plastering 20mm thick in two coats  with base  coat of 16mm thick in CM (1:6)  and top  coat of 4mm thick in CM (1:4)  with dubara  sponge finishing including  cost and  conveyance  of all  materials  like cement, fine sand (screened), water,  etc., to site, and all other taxes on all materials, and operational, incidental charges and all labour charges for mixing mortar, finishing, scaffolding, lift charges, curing, including cutting grooves etc.excluding VAT and  seigniorage charges and including overhead charges as directed by Engineer-in-charge, complete for finished item of work  (APSS No. 901 &amp; 904) for EXTERNAL faces of walls </t>
  </si>
  <si>
    <t xml:space="preserve">Materials </t>
  </si>
  <si>
    <r>
      <t>Note</t>
    </r>
    <r>
      <rPr>
        <sz val="10"/>
        <color indexed="8"/>
        <rFont val="Gadugi"/>
        <family val="2"/>
      </rPr>
      <t xml:space="preserve"> : 1.   If 25mm dia PVC / MS pipes are used for light / fan point, add the cost of sheet metal / well seasoned wooden board / box.</t>
    </r>
  </si>
  <si>
    <r>
      <t xml:space="preserve">Wiring with 2 runs of 14/0.3mm (1.0 Sq.mm) Fire Retardant (FR) P.V.C. insulated flexible copper cable </t>
    </r>
    <r>
      <rPr>
        <b/>
        <sz val="10"/>
        <color indexed="8"/>
        <rFont val="Gadugi"/>
        <family val="2"/>
      </rPr>
      <t xml:space="preserve">(ISI MARK) </t>
    </r>
    <r>
      <rPr>
        <sz val="10"/>
        <color indexed="8"/>
        <rFont val="Gadugi"/>
        <family val="2"/>
      </rPr>
      <t xml:space="preserve">in existing pipe with 6A switch, Ceiling rose and 3mm thick hylam sheet covering to switch control box including all labour charges etc., complete for light, bell, fan and exhaust fan points in Non-Residential Buildings </t>
    </r>
  </si>
  <si>
    <r>
      <t xml:space="preserve">Less : </t>
    </r>
    <r>
      <rPr>
        <sz val="10"/>
        <color indexed="8"/>
        <rFont val="Gadugi"/>
        <family val="2"/>
      </rPr>
      <t>Cost of ceiling Rose</t>
    </r>
  </si>
  <si>
    <r>
      <t xml:space="preserve">NOTE : </t>
    </r>
    <r>
      <rPr>
        <sz val="10"/>
        <color indexed="8"/>
        <rFont val="Gadugi"/>
        <family val="2"/>
      </rPr>
      <t xml:space="preserve">  Labour Charges proposed for 20 jobs per day</t>
    </r>
  </si>
  <si>
    <r>
      <t xml:space="preserve">NOTE : </t>
    </r>
    <r>
      <rPr>
        <sz val="10"/>
        <color indexed="8"/>
        <rFont val="Gadugi"/>
        <family val="2"/>
      </rPr>
      <t xml:space="preserve">  Labour Charges proposed for 16 jobs per day</t>
    </r>
  </si>
  <si>
    <r>
      <t>Certificate</t>
    </r>
    <r>
      <rPr>
        <b/>
        <sz val="12"/>
        <color indexed="64"/>
        <rFont val="Gadugi"/>
        <family val="2"/>
      </rPr>
      <t xml:space="preserve"> :</t>
    </r>
  </si>
  <si>
    <t>Flooring with Vitrified Ceramic tiles, set over base coat of cement mortar (1:8)  12 mm thick in First Foloor</t>
  </si>
  <si>
    <t>6mm  HBG metal-SS5</t>
  </si>
  <si>
    <t xml:space="preserve">RCC M- 25 Nominal mix (Cement:fine aggregate: coarse aggregate) corresponding to Table 9 of IS 456 using 20mm-6mm HBG size graded machine crushed hard granite metal (coarse aggregate) from approved quarry including cost and conveyance of all materials like cement, fine aggregate (sand) coarse aggregate, water etc., to site and including  sales &amp; other taxes on all materials including all operational, incidental and labour charges such as machine mixing, laying concrete, curing etc.,complete but excluding cost of steel and its fabrication charges ,Seigniorage charges for finished item of work, including centering, shuttering. </t>
  </si>
  <si>
    <t>6mm HBG graded metal</t>
  </si>
  <si>
    <t>V.R.C.C. M-25 Nominal Mix</t>
  </si>
  <si>
    <t xml:space="preserve">RCC M- 25 Nominal mix (Cement:fine aggregate: coarse aggregate) corresponding to Table 9 of IS 456 using 20mm-6mm  size graded machine crushed hard granite metal (coarse aggregate) from approved quarry including cost and conveyance of all materials like cement, fine aggregate (sand) coarse aggregate, water etc., to site and including  sales &amp; other taxes on all materials including all operational, incidental and labour charges such as machine mixing, laying concrete, curing etc.,complete but excluding cost of steel and its fabrication charges ,Seigniorage charges for finished item of work, including centering, shuttering. </t>
  </si>
  <si>
    <t>Plain Cement Concrete M 25 grade nominal mix (cement: fine aggregate: Coarse aggregate) using 20mm- 6mm  size HBG  (SS5) metal from from approved quarry including cost and conveyance of all materials like cement, sand, coarse aggregate, water etc. to site, including seigniorage charges, sales &amp; other taxes on all materials, all operational, incidental and labour charges such as mixing, laying, curing concrete,  etc., complete for finished item of work</t>
  </si>
  <si>
    <t xml:space="preserve">Reinforced Cement Concrete  M-25 Nominal mix (Cement: Fine aggregates: Coarse aggregates) corresponding Table 9 of IS 456 using 20mm-6mm  size graded machine crushed hard granite metal (coarse aggregate) from approved quarry including cost and conveyance of all materials like Cement, fine aggregate( Sand), coarse aggregate, water etc to site and including sales and other taxes on all materials including all operational, incidental and labour charges such as machine mixing, laying concrete, curing etc complete but excluding cost of steel and its fabrication charges for finished item of work, but including centering, shuttering  for finished item of work </t>
  </si>
  <si>
    <t>GST</t>
  </si>
  <si>
    <t>Supply and fixing of 40 mm dia Nominal Bore GI pipe Medium grade properties &amp; weight as per IS 1239 ISI mark with GI fittings including the cost of pipe and its fittings including cost and conveyance of all materials and labour charges etc., complete.</t>
  </si>
  <si>
    <t>Unit - 1 rm</t>
  </si>
  <si>
    <t>40 mm dia GI Pipe</t>
  </si>
  <si>
    <t>Add Overheads &amp; Contractors Profit @ 13.615%</t>
  </si>
  <si>
    <t xml:space="preserve"> COST per 1 Rm</t>
  </si>
  <si>
    <t>Roofing with 0.5 mm thick Galvanized / Pre-painted GI Profiled Sheets fixed to GI Pipes fixed to the purlins with 14 size self drilling screws with neoprene washer.  Side laps are stritched with self tapping / drilling screws.  End laps are to be sealed with 25 X 3 mm Butyl tape.  The sheets are provided with anti capillary Groove including cost of conveyance of all materials and labour charges etc., complete.</t>
  </si>
  <si>
    <t>Unit - 1 sqm</t>
  </si>
  <si>
    <t>Roofing with 0.5 mm thick Galvanized / Pre-painted GI Profiled Sheets</t>
  </si>
  <si>
    <t xml:space="preserve"> COST per 1 sqm</t>
  </si>
  <si>
    <t>Loading charges</t>
  </si>
  <si>
    <t>Plastering with CM 2 coats, 12 mm thick, base coat in CM (1:6), 8mm thick and top coat in CM (1:4), 4mm thick with sponze finishing.</t>
  </si>
  <si>
    <t>Base Coat in CM(1:6), 8 mm thick</t>
  </si>
  <si>
    <t>Grant :- MGNREGS</t>
  </si>
  <si>
    <t xml:space="preserve">             This Estimate is preapared as per SSR for the year 2019-20  and work will be executed as per the specifications of APDSS</t>
  </si>
  <si>
    <t xml:space="preserve">Supply &amp; fixing of 110 mm dia - Single Tee - UPVC/SWR Pipe fittings (Prince/ Sudhakar/ Kisan/ Supreme or any ISI Brand)including cost and conveyance of all materials to site, all labour charges complete for finished item of work </t>
  </si>
  <si>
    <t xml:space="preserve">Supply &amp; fixing of 110 mm dia - Vent Cowl - UPVC/SWR Pipe fittings (Prince/ Sudhakar/ Kisan / Supreme or any ISI Brand) including cost and conveyance of all materials to site, all labour charges complete for finished item of work </t>
  </si>
  <si>
    <t xml:space="preserve"> 3" (76.2 mm ) Nahany Trap with Jali - UPVC/SWR Pipe fittings Each </t>
  </si>
  <si>
    <t>Supplying and Fixing European Water Closet of 1st quality conforming to IS:2556-Part-2-1973 of Hindustan / Neycer or Parryware make white glazed
with 'P' trap</t>
  </si>
  <si>
    <t>Electrification for Ground floor &amp; First Floor</t>
  </si>
  <si>
    <t xml:space="preserve">Reinforced Cement Concrete  M-25 Nominal mix (Cement: Fine aggregates: Coarse aggregates) corresponding Table 9 of IS 456 using 20mm -6mmsize graded machine crushed hard granite metal (coarse aggregate) from approved quarry including cost and conveyance of all materials like Cement, fine aggregate( Sand), coarse aggregate, water etc to site and including sales and other taxes on all materials including all operational, incidental and labour charges such as machine mixing, laying concrete, curing etc complete but excluding cost of steel and its fabrication charges for finished item of work, but including centering, shuttering  for finished item of work </t>
  </si>
  <si>
    <t xml:space="preserve">Reinforced Cement Concrete  M-25 Nominal mix (Cement: Fine aggregates: Coarse aggregates) corresponding Table 9 of IS 456 using 20mm -6mm size graded machine crushed hard granite metal (coarse aggregate) from approved quarry including cost and conveyance of all materials like Cement, fine aggregate( Sand), coarse aggregate, water etc to site and including sales and other taxes on all materials including all operational, incidental and labour charges such as machine mixing, laying concrete, curing etc complete but excluding cost of steel and its fabrication charges for finished item of work, but including centering, shuttering  for finished item of work </t>
  </si>
  <si>
    <r>
      <rPr>
        <b/>
        <sz val="10"/>
        <rFont val="Arial"/>
        <family val="2"/>
      </rPr>
      <t xml:space="preserve">Filling with Excavated Earth in foundation tench </t>
    </r>
    <r>
      <rPr>
        <sz val="10"/>
        <rFont val="Arial"/>
        <family val="2"/>
      </rPr>
      <t xml:space="preserve">etc., complete for finished item of work as per technical specification caluse 305.3.9 MORD &amp; 304 MORTH </t>
    </r>
  </si>
  <si>
    <t>Painting to new wood work and flush shutters , over a primary coat  and painting two coats of synthetic enamel paint Grade-I of approved shade including cost and conveyance of all materials to site cost of primer coat and all labour charges etc. complete including applying sand paper on lappam coats for neat finish including sales &amp; other taxes on cost of all materials etc. complete (APSS No.1200, 1207 &amp; 1211) in all floors</t>
  </si>
  <si>
    <r>
      <t>2</t>
    </r>
    <r>
      <rPr>
        <sz val="10"/>
        <rFont val="Calibri"/>
        <family val="2"/>
      </rPr>
      <t>¼</t>
    </r>
  </si>
  <si>
    <t>Sand for Mortor for Plastering</t>
  </si>
  <si>
    <t>Ceramic walltiles 600x300 size (6-8 mm thick)</t>
  </si>
  <si>
    <t>Kadapa slab  40  mm thick (0.457 x 0.457))</t>
  </si>
  <si>
    <t xml:space="preserve">Providing  and fixing 30mm thick Solid panel PVC door shutter consisting of frame made out of M.S. tubes of 19 gauge thickness and size of 19mm x 19mm for stiles, &amp; 15mm x 15mm for top &amp; bottom rails. M.S. frame shall have a coat of steel primers of approved make and manufacture. M.S. frame shall be covered with 5mm thick heat moulded PVC „C‟ channel of size 30 x 50mm forming stiles, and 5mm thick, 75mm wide PVC sheets for top rail, lock rail &amp;bottom rail on either side, and 10mm (5mm x 2) thick, 20mm wide cross PVC sheet as gap insert for top rail &amp; bottom rail. Panelling of 5mm thick PVC sheet to be fitted in the M.S. frame welded / sealed to the stiles &amp; rails with 30mm wide x 5mm thick PVC sheet beading on either side, and joined together with solvent cement adhesive etc. An additional 5mm thick PVC strip of 20mm width is to be stuck on the interior side of the „C‟ Channel using PVC solvent adhesive. Complete as per direction of Engineer-in-charge, manufacturer‟s specification &amp; drawing for finished item of work . 718 </t>
  </si>
  <si>
    <t>HYSD( Fe 500)</t>
  </si>
  <si>
    <t>RR Stone</t>
  </si>
  <si>
    <t>Sand for concrete</t>
  </si>
  <si>
    <t>PEDASTALS</t>
  </si>
  <si>
    <t>Needle Vibrator hire charges</t>
  </si>
  <si>
    <t>Flooring with 100 mm thick CC (1:4:8) mix using 40mm HG metal,100mm thick and 20mm cement concrete surface(Ellies pattern , first sort) per 10Sqm of area including all labour charges etc., complete</t>
  </si>
  <si>
    <t>Cement concrete(1:4:8) using concrete mixer</t>
  </si>
  <si>
    <t>Structural steel</t>
  </si>
  <si>
    <t>Flush door shutters, solid bond wood block board type with  commercial ply on both sides : 30 mmthick conforming to IS:2202  ( BMT N 16) (1232*(18% GST))</t>
  </si>
  <si>
    <t xml:space="preserve">Plastic seat and lid for European Water Closet and rubber buffers </t>
  </si>
  <si>
    <t xml:space="preserve">Angle stop cock 12.70mm </t>
  </si>
  <si>
    <t xml:space="preserve">12.70mm dia PVC connection with brass union nuts </t>
  </si>
  <si>
    <t>Cutting holes in brick masonry</t>
  </si>
  <si>
    <t>Cost of 76.2 x 101.60 mm teakwood blocks</t>
  </si>
  <si>
    <t>Llabour charges for cutting holes in brick masonry</t>
  </si>
  <si>
    <t xml:space="preserve">Orissa pan as per BMW-D.05 </t>
  </si>
  <si>
    <t xml:space="preserve">Providing Brick masonry seat for Orissa pan/ Indian W.C. using 2nd class bricks as per standard practice BMW-D.09 
</t>
  </si>
  <si>
    <t xml:space="preserve">Labour charges for fixing as per BMW-D.06 </t>
  </si>
  <si>
    <t>Providing Cement Concrete Squatting plate for Orissa pan/ Indian W.C. in P.C.C. 1:2:4 as per standard practice BMW-D.10</t>
  </si>
  <si>
    <t xml:space="preserve">Supplying &amp; Fixing Indian makeFlat Back Wash Hand Basin1st quality conforming to IS:2556-Part-4:1972 with waste fittings like rubber plug, chain,32 mm nominal size C.P. Fitting with parallel pipe thread conforming to IS:29631979 and fitted with 15 mm nominal bore Chromium Plated Pillar Tap of 1st quality Indian make 400 grams Seiko/ Senior/ Nice/ Esso or equivalent complete with standard CI brackets including wooden block: 550 x 400 mm - Double C.P. Pillar cock </t>
  </si>
  <si>
    <t xml:space="preserve">Wash Hand Basin as per BMW-D.27 </t>
  </si>
  <si>
    <t>Labour charges only for fixing Indian makeFlat Back Wash Hand Basin with waste fittings like rubber plug, chain,32 mm nominal size C.P. Fitting Pillar Taps complete with standard CI brackets including wooden block as per BMW-D.28</t>
  </si>
  <si>
    <t>Supplying &amp; Fixing 31.75 mm C.P bottle trap (Heavy type) Parryware or equivalent  as per BMW-D.31</t>
  </si>
  <si>
    <t>Fixing of bottle trap</t>
  </si>
  <si>
    <t xml:space="preserve">S&amp;F of 12.7mm N.P bib tap indian make as per BMW-E.09 </t>
  </si>
  <si>
    <t xml:space="preserve">labour charges only as per BMW-E.10 </t>
  </si>
  <si>
    <t xml:space="preserve">Cost of One number BMW-B.06 </t>
  </si>
  <si>
    <t>labour charges only BMW-B.08</t>
  </si>
  <si>
    <t>Total cost per 1 No.</t>
  </si>
  <si>
    <t>Constructing 914.4 mm x 457.2 mm (3'0"x1'6") brick in CM 1:6 prop. Masonry Inspection chamber up to 914.4 mm (3'0") and fitted with light weight 914.4 mm x 457.2 mm (3'0"x1'6") C.I frame andcover of 40 Kg.</t>
  </si>
  <si>
    <t>Cost per each</t>
  </si>
  <si>
    <t>Total cost per Each</t>
  </si>
  <si>
    <t>Cost per Each</t>
  </si>
  <si>
    <r>
      <t xml:space="preserve">Providing &amp; Placing on Terrace (at all floor levels) polyethylene water storage tank with Double layer approved brand &amp; manufacture with cover and suitable locking arrangement &amp; making necessary holes for inlet &amp; outlets and over flow pipes but without fittings &amp; base support for tanks </t>
    </r>
    <r>
      <rPr>
        <b/>
        <sz val="10"/>
        <color theme="1"/>
        <rFont val="Gadugi"/>
        <family val="2"/>
      </rPr>
      <t>BMW-G.01</t>
    </r>
    <r>
      <rPr>
        <sz val="10"/>
        <color theme="1"/>
        <rFont val="Gadugi"/>
        <family val="2"/>
      </rPr>
      <t xml:space="preserve"> </t>
    </r>
  </si>
  <si>
    <t>Labour charges BMW-G.02</t>
  </si>
  <si>
    <t xml:space="preserve">Supply &amp; Fixing 38.1 mm dia PVC solid waste pipe outlet </t>
  </si>
  <si>
    <t>Supply of Plastic storage tank lid with hinges</t>
  </si>
  <si>
    <t>75 mm dia - Door Bend 87.5 Degree - UPVC/SWR Pipe fittings (Prince/Sudhakar/ Kisan/ Supreme or any ISI Brand</t>
  </si>
  <si>
    <t>Earth Work Excavation of Hard gravel Soil with small boulder for trench 1st step of size 1.5 x 0.6 x 2.1 m (5'x2'x7')   (8.4.17)ELEC-8.4.19</t>
  </si>
  <si>
    <t>2 Module Modular type  Electronic step type Fan Regulator ELEC-1.8.2 n</t>
  </si>
  <si>
    <t xml:space="preserve">Supply of 48" (1200mm) Sweep decorative Ceiling Fan, with double ball bearings with all accessories without Regulator.  Makes: Crompton HS Decora / Bajaj Regal Star / Havells Spark deco / Orient summer crown /Halonix(Zephyr) /Polycab(India Glory) </t>
  </si>
  <si>
    <t>Supply of 1x40W weatherproof flourescent street light fitting comprising canopy of sheet Aluminium in stove enamel finish with copper / VPIT ballast, capacitor, tube and starter etc., complete.</t>
  </si>
  <si>
    <t>Points</t>
  </si>
  <si>
    <t>Taking Output =100 mts</t>
  </si>
  <si>
    <t>C) Cost for 100 mts</t>
  </si>
  <si>
    <t>Rate per 1 Rmt</t>
  </si>
  <si>
    <t>SPN 8way D.B with IP-20 Protection suitable for single phase ECCB / RCCB/ DP Isolator.  (2.13.1)a</t>
  </si>
  <si>
    <r>
      <t>Supplying and fixing of</t>
    </r>
    <r>
      <rPr>
        <sz val="10"/>
        <rFont val="Arial"/>
        <family val="2"/>
      </rPr>
      <t xml:space="preserve"> </t>
    </r>
    <r>
      <rPr>
        <b/>
        <sz val="10"/>
        <rFont val="Arial"/>
        <family val="2"/>
      </rPr>
      <t>stainless steel ( grade 304 ) hand railing</t>
    </r>
    <r>
      <rPr>
        <sz val="10"/>
        <rFont val="Arial"/>
        <family val="2"/>
      </rPr>
      <t xml:space="preserve"> as per approved drawing with top rail of 50mm dia pipe and 2mm thick medium class and vertical posts of  25mm dia and 1.6mm thick medium class  2 Nos for each step fixed with base plate of  75mm dia using bonding agent and anchor fastner and welding,  drilling of 20mm dia holes with pneumatic compressor for fixing railing, buffing, polishing all members of the railing  thouroughly  , lacquer finishing to present seamless finish including cost and conveyance of all materials, electrodes, welding charges, cost of all consumables, labour charges , overheads &amp; contractors profit etc., complete for finished item of work.</t>
    </r>
  </si>
  <si>
    <t>For a flight length of 4.60 M.</t>
  </si>
  <si>
    <t>Cost of 50mm dia SS pipe (1x4.60)</t>
  </si>
  <si>
    <t>Cost of 25mm dia SS pipe (32x0.90)</t>
  </si>
  <si>
    <t>50.00mm pipe (4.60  x 2.39 Kgs/RM)</t>
  </si>
  <si>
    <t>25mm pipe (28.8x 0.89 Kgs/RM)</t>
  </si>
  <si>
    <t xml:space="preserve">Base Plate 75mm dia. </t>
  </si>
  <si>
    <t>Add for anchor bars</t>
  </si>
  <si>
    <t>Add for bonding</t>
  </si>
  <si>
    <t>Rate per 1 RM</t>
  </si>
  <si>
    <r>
      <t xml:space="preserve">Cost of stainless steel pipes </t>
    </r>
    <r>
      <rPr>
        <b/>
        <sz val="10"/>
        <rFont val="Arial"/>
        <family val="2"/>
      </rPr>
      <t>BMT-F.06</t>
    </r>
    <r>
      <rPr>
        <sz val="10"/>
        <rFont val="Arial"/>
        <family val="2"/>
      </rPr>
      <t xml:space="preserve"> 
</t>
    </r>
  </si>
  <si>
    <r>
      <t xml:space="preserve">Labour charges for fabrication </t>
    </r>
    <r>
      <rPr>
        <b/>
        <sz val="10"/>
        <rFont val="Arial"/>
        <family val="2"/>
      </rPr>
      <t>BMM-V.18</t>
    </r>
    <r>
      <rPr>
        <sz val="10"/>
        <rFont val="Arial"/>
        <family val="2"/>
      </rPr>
      <t xml:space="preserve"> </t>
    </r>
  </si>
  <si>
    <t>Drilling of 20mm dia hole(32 x 0.10) item 138.a (i)</t>
  </si>
  <si>
    <t>110 mm dia 3 M Single Socket PVC/SWR pipe - 4 Kg/sq.cm - Prince/Sudhakar or any ISI Brand for rain water including clamps and bends</t>
  </si>
  <si>
    <t>MS clamps</t>
  </si>
  <si>
    <t>110 mm PVC Bends</t>
  </si>
  <si>
    <t>Area allowance</t>
  </si>
  <si>
    <t>Lintels &amp; sunshades</t>
  </si>
  <si>
    <t>horizontals (1*1.20*0.10*0.075=0.009</t>
  </si>
  <si>
    <t>verticals (2*2.1*0.1*0.075=0.032)</t>
  </si>
  <si>
    <t>verticals (2*2.10*0.10*0.075=0.032)</t>
  </si>
  <si>
    <t>horizontals(1*1.05*0.1*0.075=0.008)</t>
  </si>
  <si>
    <t>verticals(2*2.1*0.1*0.075=0.032)</t>
  </si>
  <si>
    <t>horizontals(1*0.75*0.1*0.075=0.006)</t>
  </si>
  <si>
    <t>Add area allownace @ 20%</t>
  </si>
  <si>
    <t>Flooring with vitrified tiles Double charged / multi charged stain free full body porcelain with double layer pigment of size 600x600mm, set over base coat of cement mortar (1:8), 12 mm thick over CC bed already laid or RCC roof slab, including neat cement slurry of honey like consistency spread @ 3.3.kgs per sqm &amp; jointed neatly with white cement paste to full depth mixed with pigment of matching shade, including cost of all materials like cement, sand water and tiles etc., complete,  for finished item of work, but excluding the cost of conveyance of all materials.</t>
  </si>
  <si>
    <t>Vitrified tiles of Double charged / multi charged stain free full body porcelain vitrified tiles with double layer pigment of size 600x600mm (BMT-C-09)</t>
  </si>
  <si>
    <t>Providing skirting to internal walls  with Vitrified tiles of Double charged / multi charged stain free full body porcelain with double layer pigment of size 600x600mm , set over base coat of CM (1:5) 12 mm thick with cement slurry of honey like consistency spread at the rate of 3.30 kgs per sqm and jointed with white cement paste mixed with pigment of matching shade to full depth, including cost of all materials like  stone, cement, sand and water etc., complete excluding seigniorage charges, etc., complete for finished item of work</t>
  </si>
  <si>
    <t>Filling in foundation trenches with gravel  as per drawing and technical specification Clause 305.3.9 MORD &amp; 304 MORTH</t>
  </si>
  <si>
    <t>Gravel filling</t>
  </si>
  <si>
    <t xml:space="preserve">Gravel  </t>
  </si>
  <si>
    <t>Filling with gravel  in trenches, sides of foundations &amp; basement by watering and ramming including all operational, incidental, labour charges, hire charges of T&amp;P etc complete including cost and conveyance of material and labour charges etc complete for finished item of the work (APSS No 309&amp; 310)</t>
  </si>
  <si>
    <t>Columns Ground Floor</t>
  </si>
  <si>
    <t xml:space="preserve">Upto Plinth beam </t>
  </si>
  <si>
    <t xml:space="preserve">Above Plinth beam </t>
  </si>
  <si>
    <r>
      <t xml:space="preserve">Reinforced Cement Concrete  M-25 Nominal mix (Cement: Fine aggregates: Coarse aggregates) corresponding Table 9 of IS 456 using 20mm-6mm  size graded machine crushed hard granite metal (coarse aggregate) from approved quarry including cost and conveyance of all materials like Cement, fine aggregate( Sand), coarse aggregate, water etc to site and including sales and other taxes on all materials including all operational, incidental and labour charges such as machine mixing, laying concrete, curing etc complete but excluding cost of steel and its fabrication charges for finished item of work, but including centering, shuttering  for finished item of work </t>
    </r>
    <r>
      <rPr>
        <b/>
        <sz val="10"/>
        <rFont val="Arial"/>
        <family val="2"/>
      </rPr>
      <t>For Sunshades 0.60 mts wide</t>
    </r>
  </si>
  <si>
    <r>
      <t xml:space="preserve">Reinforced Cement Concrete  M-25 Nominal mix (Cement: Fine aggregates: Coarse aggregates) corresponding Table 9 of IS 456 using 20mm -6mm size graded machine crushed hard granite metal (coarse aggregate) from approved quarry including cost and conveyance of all materials like Cement, fine aggregate( Sand), coarse aggregate, water etc to site and including sales and other taxes on all materials including all operational, incidental and labour charges such as machine mixing, laying concrete, curing etc complete but excluding cost of steel and its fabrication charges for finished item of work, but including centering, shuttering  for finished item of work </t>
    </r>
    <r>
      <rPr>
        <b/>
        <sz val="10"/>
        <rFont val="Arial"/>
        <family val="2"/>
      </rPr>
      <t>For Roof Level Beams</t>
    </r>
  </si>
  <si>
    <t>For Roof Slab 125 mm thick  - Ground Floor</t>
  </si>
  <si>
    <t>For Ground Floor</t>
  </si>
  <si>
    <t xml:space="preserve">Brick Masonry in CM (1:8) with Bricks traditional size 23 x 11 x 7 cms 2nd Class for basement </t>
  </si>
  <si>
    <t xml:space="preserve">Flooring with vitrified tiles Double charged / multi charged stain free full body porcelain with double layer pigment of size 600x600mm, set over base coat of cement mortar (1:8), 12 mm thick over CC bed already laid or RCC roof slab, including neat cement slurry of honey like consistency spread @ 3.3.kgs per sqm &amp; jointed neatly with white cement paste to full depth mixed with pigment of matching shade, including cost of all materials like cement, sand water and tiles etc., complete, including seigniorage charges, etc., complete for finished item of work, but excluding the cost of conveyance of all materials  </t>
  </si>
  <si>
    <t xml:space="preserve">Providing skirting to internal walls  with Vitrified tiles of Double charged / multi charged stain free full body porcelain with double layer pigment of size 600x600mm, length equal to flooring stones, set over base coat of CM (1:5) 12 mm thick with cement slurry of honey like consistency spread at the rate of 3.30 kgs per sqm and jointed with white cement paste mixed with pigment of matching shade to full depth, including cost of all materials like tiles, cement, sand and water etc., complete including seigniorage charges, etc., complete for finished item of work, but excluding the cost of conveyance of all materials </t>
  </si>
  <si>
    <t>For Ceiling</t>
  </si>
  <si>
    <r>
      <t xml:space="preserve">Painting to new walls with 2 coats of water proof cement paint of apporved brand and shade over a base coat of approved cement primer making 3 coats in all to give an even shade after thourughly brushing the surface to remove all dirt and remains of loose powdered materials, including cost and conveyance of all materials to work site and all operational, incidental, labour charges etc. complete for finished item of work as per SS 912 </t>
    </r>
    <r>
      <rPr>
        <b/>
        <sz val="10"/>
        <color indexed="64"/>
        <rFont val="Gadugi"/>
        <family val="2"/>
      </rPr>
      <t>for internal walls</t>
    </r>
  </si>
  <si>
    <t>Brick Masonry</t>
  </si>
  <si>
    <t xml:space="preserve">Unforeseen items </t>
  </si>
  <si>
    <t>VRCC M25 Nominal Mix for Roof Slab of 125mm thick</t>
  </si>
  <si>
    <t>Brick Masonary C.M(1:8)  with Second class traditional bricks</t>
  </si>
  <si>
    <t>Filling in foundation with Sand  trenches as per drawing and technical specification Clause 305.3.9 MORD &amp; 304 MORTH</t>
  </si>
  <si>
    <t xml:space="preserve">Estimate Cost </t>
  </si>
  <si>
    <t xml:space="preserve">Grant </t>
  </si>
  <si>
    <t>Allround Outside-Foundation</t>
  </si>
  <si>
    <t>Rolling shutter vide BMT-F 29</t>
  </si>
  <si>
    <t>Cost of stainless steel pipes</t>
  </si>
  <si>
    <t>Labour charges for fabrication</t>
  </si>
  <si>
    <t>Drilling of 20mm dia hole(32 x 0.10)</t>
  </si>
  <si>
    <r>
      <rPr>
        <b/>
        <sz val="10"/>
        <rFont val="Arial"/>
        <family val="2"/>
      </rPr>
      <t>Supplying and fixing of Pre-painted Galvalume Trapezoidal Profile Roofing sheets with 0.50mm thickness</t>
    </r>
    <r>
      <rPr>
        <sz val="10"/>
        <rFont val="Arial"/>
        <family val="2"/>
      </rPr>
      <t>, Coating: Alu-Zinc coating AZ150 GSM. Tensile Strength: 550 MPA. Paint coating: Regular Modified Polyester painting. Painting Thickness (Top): 18 to 20 Microns, (Bottom): 5 to 7 Microns. Sheet Width: 1.020, Length: Maximum 12 Meters with Regular Range Colours fixed with G.I ‘J’ bolts &amp; nuts 8 mm dia with bitumen &amp; G.I limpet washers filled with white lead &amp; including a coat of approved steel primer and two coats of approved paint on over lapping of sheets complete (up to a pitch of 600)  etc., complete, excluding the cost of purlins, rafters, trusses including cost and conveyance of all materials , labour charges , overheads and contractors profit etc., complete for finished item of work in all floors.</t>
    </r>
  </si>
  <si>
    <t>Unit : 10 sqm</t>
  </si>
  <si>
    <t>Galvalume sheet 0.50mm thick</t>
  </si>
  <si>
    <t>G.I scam bolts &amp; nuts 2 x 27 (laps) x 17 = 884</t>
  </si>
  <si>
    <t>G.I ‘J’ bolts 8 mm dia 2 x 5 x 27 sheets x 3 nos = 810 nos. with washers or srews, if wooden battens used.</t>
  </si>
  <si>
    <t>Limpet washers (for scam &amp; ‘J’ bolts) 884 + 810 = 1694</t>
  </si>
  <si>
    <t>Bitumen washers</t>
  </si>
  <si>
    <t>For roofing</t>
  </si>
  <si>
    <t>Carpenter II class</t>
  </si>
  <si>
    <t>Man mazdoor (beldar)</t>
  </si>
  <si>
    <t>Rate per 10 sqm</t>
  </si>
  <si>
    <t>Rate per 1 sqm</t>
  </si>
  <si>
    <t>Add  Area Allowance 25%</t>
  </si>
  <si>
    <t xml:space="preserve">Compound wall </t>
  </si>
  <si>
    <r>
      <t>Providing and fixing factory made solid Wood Polymer Composite (</t>
    </r>
    <r>
      <rPr>
        <b/>
        <sz val="10"/>
        <color indexed="64"/>
        <rFont val="Gadugi"/>
        <family val="2"/>
      </rPr>
      <t>WPC</t>
    </r>
    <r>
      <rPr>
        <sz val="10"/>
        <color indexed="64"/>
        <rFont val="Gadugi"/>
        <family val="2"/>
      </rPr>
      <t>) single extruded Door Frame section of size with encapsulation of 8MM rigid layer on all the six surfaces. The door frame will have a rebat of 32MM. With WPC Shutter 28 -30 MM thick solid Wood Polymer Composite(WPC) single extruded door shutter with 3MM top and bottom rigid layer with an overall density of 750kg/Cum. It will be fixed to the frame using 3 inch /4 inch hinges. A minimum of 4 hinges will be required for fixing the door with the frame with all iron fittings etc complete</t>
    </r>
  </si>
  <si>
    <t>Rmtr</t>
  </si>
  <si>
    <t>WPC Shutter of 28-30mm thick 1.20x2.10</t>
  </si>
  <si>
    <t>Alluminium Butt Hinges 125mm -</t>
  </si>
  <si>
    <t>BMT-G-25</t>
  </si>
  <si>
    <t>Aluminium tower bolts 200mm long</t>
  </si>
  <si>
    <t>BMT-G-09</t>
  </si>
  <si>
    <t>Aluminium tower bolts 150mm long</t>
  </si>
  <si>
    <t>BMT-G-08</t>
  </si>
  <si>
    <t>Aluminium Handles handles 150mm long</t>
  </si>
  <si>
    <t>BMT-G-34</t>
  </si>
  <si>
    <t>Aluminium Handles handles 100mm long</t>
  </si>
  <si>
    <t>BMT-G-32</t>
  </si>
  <si>
    <t>Aluminium aldrops 250mm long</t>
  </si>
  <si>
    <t>BMT-G-41</t>
  </si>
  <si>
    <t>BMT-W-70</t>
  </si>
  <si>
    <t>Labour charge for Shutter</t>
  </si>
  <si>
    <t>Labour charges for Frame 5.40x.0635x.10</t>
  </si>
  <si>
    <t>Door 1.20x2.10</t>
  </si>
  <si>
    <t>BMT N 83C</t>
  </si>
  <si>
    <t>BMT-N 88</t>
  </si>
  <si>
    <t xml:space="preserve">WPC Frame of size 63.50x100mm </t>
  </si>
  <si>
    <t>Door 1.05x2.10</t>
  </si>
  <si>
    <t>Labour charges for Frame 5.25x.0635x.10</t>
  </si>
  <si>
    <t>Bathroom Door 0.75x2.10</t>
  </si>
  <si>
    <t>BMT N 83A</t>
  </si>
  <si>
    <t xml:space="preserve">WPC Frame of size 45x75mm </t>
  </si>
  <si>
    <t>Labour charges for Frame 4.95x.045x.075</t>
  </si>
  <si>
    <t>WPC Shutter of 28-30mm thick 0.75x2.10</t>
  </si>
  <si>
    <t>Cost of Cement Primer BMT-J-02</t>
  </si>
  <si>
    <t>Acrylic  emulsion(@20sqm/lt as per british paint ltd)Exterioir Grade BMT-J41</t>
  </si>
  <si>
    <t>Synthetic Enamel paint (at 20 sqm / litre as per British Paints (I) Ltd. -BMT-J-29</t>
  </si>
  <si>
    <t>Fabrication , transportation and supply of suitable size panel board for single phase submersible motorup to 1.5 HP consisting of relay, Contactor, starting and running capacitors, Voltmeter, Ammeter, indicatorlamps, MCB , on/off switch including supply and fixing of DOL starter of make C&amp;S/LTLK/Seimens/BCH/Crompton. complete.,</t>
  </si>
  <si>
    <t>Elec.5.4.15</t>
  </si>
  <si>
    <t>a) S&amp;F 12.7mm N.P Pillar cock Indian make 3heavy duty  BMW -E28</t>
  </si>
  <si>
    <t>4</t>
  </si>
  <si>
    <t>Supply and Transportation of ……. Single phase Mono block CI body motor pumpset confirms to IS 9079:2002
Makes: Kirloskar / Crompton / Texmo / CRI / KSB/Lubi / Havells Hi-flow V2 / PSG/Aryen Varsha</t>
  </si>
  <si>
    <t>0.50HP-Elec-5.4.11</t>
  </si>
  <si>
    <t xml:space="preserve">Refilling with excavated earth  in trenches, sides of foundations and basement with initial lead in layers  consolidating each deposited layer by watering and ramming including all  labour charges etc., complete for finished item of work </t>
  </si>
  <si>
    <t>Earth filling</t>
  </si>
  <si>
    <r>
      <t>a)</t>
    </r>
    <r>
      <rPr>
        <b/>
        <sz val="9"/>
        <rFont val="Times New Roman"/>
        <family val="1"/>
      </rPr>
      <t>  </t>
    </r>
    <r>
      <rPr>
        <b/>
        <sz val="9"/>
        <rFont val="Arial"/>
        <family val="2"/>
      </rPr>
      <t>Labour</t>
    </r>
  </si>
  <si>
    <t>days</t>
  </si>
  <si>
    <t>Water</t>
  </si>
  <si>
    <t>Rate for 6 cum.</t>
  </si>
  <si>
    <t>Rate per cum = a+b+c+d/6</t>
  </si>
  <si>
    <t>BMT-P80A</t>
  </si>
  <si>
    <t>Door 0.90x2.10</t>
  </si>
  <si>
    <t>Labour charges for Frame 5.10x.0635x.10</t>
  </si>
  <si>
    <t>WPC Shutter of 28-30mm thick 0.90x2.10</t>
  </si>
  <si>
    <t>WPC Shutter of 28-30mm thick 1.05x2.10</t>
  </si>
  <si>
    <t>TOTAL</t>
  </si>
  <si>
    <t>Construction of Grama Sachivalayam</t>
  </si>
  <si>
    <t>Construction of Rythu Bharosa Kendram (RBK)</t>
  </si>
  <si>
    <t>Part-A</t>
  </si>
  <si>
    <t>Part-B</t>
  </si>
  <si>
    <t>Construction of YSR Health Clinic</t>
  </si>
  <si>
    <t>GENERAL ABSTRACT</t>
  </si>
  <si>
    <t>Rs.40.00 Lakhs</t>
  </si>
  <si>
    <t>MGNREGS</t>
  </si>
  <si>
    <t>Est.Cost:- Rs: 40.00 Lakhs</t>
  </si>
  <si>
    <t>Supplying and Fixing of Teak Wood Door Frames With Flush Door Shutters /Powder coated Iron Doors</t>
  </si>
  <si>
    <t>Whiting to new walls and ceiling in two coats with Birla White or equavalent quality for inside of the building</t>
  </si>
  <si>
    <t xml:space="preserve">The balance items like electrification will be takenup in consequent grants avaialble on coarse . </t>
  </si>
  <si>
    <t>Grant : MGNREGS</t>
  </si>
  <si>
    <t>For Lintel Ground Floor</t>
  </si>
  <si>
    <t>Window at stairecase</t>
  </si>
  <si>
    <t>½</t>
  </si>
  <si>
    <t>Deduct Front Door</t>
  </si>
  <si>
    <t>Over front door</t>
  </si>
  <si>
    <t>Deduct Doors</t>
  </si>
  <si>
    <t>Deduct toilet Doors</t>
  </si>
  <si>
    <t>Meeting hall</t>
  </si>
  <si>
    <t>Out side alround toiltet</t>
  </si>
  <si>
    <t>Allround Compound</t>
  </si>
  <si>
    <t>Deduct Door</t>
  </si>
  <si>
    <t xml:space="preserve">Supply and 2 runs of 4.0 sq mm PVC insulated flexible copper cable and 1 run of 2.5 sq.mm flexible PVC insulated copper cable for earthing in the existing conduit pipe for power point including labour charges for 16A sockets.  </t>
  </si>
  <si>
    <t>Supply and run of 4 of 56/0.3mm (4 Sq.mm) FR P.V.C. insulated flexible copper cable in existing pipe for Generator mains including cost of all materials, all taxes, conveyance to site and all labour charges for all operations etc., complete as directed by Engineer in Charge</t>
  </si>
  <si>
    <t xml:space="preserve">SPN to TPN </t>
  </si>
  <si>
    <t>Supply and fixing of 3-Phase Meter Board with 18" x 30" size Peta Board with 3 No. of 100A, 415 V Fuse Unit and 32A Standard make including giving internal connections including cost of all materials, all taxes, conveyance to site and all labour charges for all operations etc., complete as directed by Engineer in Charge.</t>
  </si>
  <si>
    <t>Supply and fixing  TPN  - Vertical type Distribution board with IP -43 Protection  with 125A, 4 Pole 25 kA MCCB as incomer with 4Nos 63A TP MCBs and 9 Nos. 10 kA SPMCBs as outgoing including internal connection and labour charges for  flush mounting etc.</t>
  </si>
  <si>
    <t>Supply of 35 sqmm 3.5 core PVC XLPE armourd cable 1100V Grade with ISI Mark Standard / Solid Alluminium Conductor. Make : Universal/NICCO/Torrent/CCI</t>
  </si>
  <si>
    <t>Second Floor</t>
  </si>
  <si>
    <t>``</t>
  </si>
  <si>
    <t>Suply of 4" (101.6 mm ) Nahany Trap ( Without Jali with inlet)UPVC/SWR Pipe fittings (Prince/ Sudhakar/ Kisan/ Supreme or any ISI Brand)</t>
  </si>
  <si>
    <t>S &amp; F angle stop cock 12.7 mm dia first quality Indian Make heavy duty Seiko/ Senior/ Nice or equivalent</t>
  </si>
  <si>
    <t>Litre</t>
  </si>
  <si>
    <t>Doors - D 1.20x2.10</t>
  </si>
  <si>
    <t>Door - D1-1.05x2.10</t>
  </si>
  <si>
    <t>Steps</t>
  </si>
  <si>
    <r>
      <t>Supplying and fixing NP soap dish</t>
    </r>
    <r>
      <rPr>
        <sz val="10"/>
        <rFont val="Arial"/>
        <family val="2"/>
      </rPr>
      <t xml:space="preserve"> heavy type of approved make ISI quality with NP screws etc., complete including cost and conveyance of all materials, labour charges for fixing , overheads &amp; contractors profit for finished item of work in all floors</t>
    </r>
  </si>
  <si>
    <t>Cost of NP soap dish</t>
  </si>
  <si>
    <t>Rate per Each</t>
  </si>
  <si>
    <r>
      <t>Supplying and fixing TV shape mirror with plastic frame of size 609.6mm x 457.2mm</t>
    </r>
    <r>
      <rPr>
        <sz val="10"/>
        <rFont val="Arial"/>
        <family val="2"/>
      </rPr>
      <t xml:space="preserve"> , plywood back with NP screws 1st quality including cost and conveyance of all materials, labour charges , overheads &amp; contractors profit for finished item of work in all floors.</t>
    </r>
  </si>
  <si>
    <t xml:space="preserve">Rate as per SSR </t>
  </si>
  <si>
    <t>Wiring with run of 2 of 14/0.3mm (1.0 Sq.mm) FR / FRLS PVC insulated flexible ISI mark copper cable of GM / L&amp;T / RPG / Havells / V-Guard / Power Flex / Polycab / Gold Medal / Standard / Milion / Vimal / Sun cab / Paragaon / Fortune Art make in existing  pipe with 6A switch, Ceiling rose and 3mm thick hylam sheet covering to switch control box including cost and conveyance of all material and all labour charges but excluding VAT etc., complete for light, bell, fan and exhaust fan points including cost and conveyance of all material and labour charges but excluding VAT.</t>
  </si>
  <si>
    <t>a) Labour charges :</t>
  </si>
  <si>
    <t>Skilled Electrician (ELEC-8.1.77)</t>
  </si>
  <si>
    <t>Semi Skilled Electrician (ELEC-8.1.78)</t>
  </si>
  <si>
    <t>Helper (Electrical) (ELEC-8.1.85)</t>
  </si>
  <si>
    <t>Labour for 6 Points</t>
  </si>
  <si>
    <t>Labour for 1 Point</t>
  </si>
  <si>
    <t xml:space="preserve"> Total Labour for 1 Point</t>
  </si>
  <si>
    <t>ELEC-1.8.3 d</t>
  </si>
  <si>
    <t>6 module cover frame</t>
  </si>
  <si>
    <t>ELEC-1.8.2 a</t>
  </si>
  <si>
    <t>Supply of 6A 1 Way 1 Module Switch</t>
  </si>
  <si>
    <t>ELEC-1.3.1 d</t>
  </si>
  <si>
    <t>Supply of  Modular Boxes 6 Module box of makes Anchor / Gold Medal Olive / Million Zoom. (ELEC-1.7.13)</t>
  </si>
  <si>
    <t>Supply of 14/0.3mm (1.0 Sqmm) FR / FRLS PVC insulated ISI Copper cable of makes GM / L&amp;T / RPG / Havells / V-Guard / Power Flex / Polycab / Gold Medal / Standard / Milion / Vimal / Sun cab / Paragaon / Fortune Art (ELEC-1.5.1 a)</t>
  </si>
  <si>
    <t>Mtrs</t>
  </si>
  <si>
    <t>Cost of Material for 6 Points</t>
  </si>
  <si>
    <t>Cost of Material Rate per 1 Point</t>
  </si>
  <si>
    <t>Total Cost of Material + Labour Charges</t>
  </si>
  <si>
    <t>ELEC-1.8.3 f</t>
  </si>
  <si>
    <t>12 module cover frame</t>
  </si>
  <si>
    <t>ELEC-1.3.1 f</t>
  </si>
  <si>
    <t>Supply of  Modular Boxes 12 Module box of makes Anchor / Gold Medal Olive / Million Zoom. (ELEC-1.7.13)</t>
  </si>
  <si>
    <t>Cost of Material for 12 Points</t>
  </si>
  <si>
    <t>Labour for 1 No</t>
  </si>
  <si>
    <t>Total Labour for 1 No</t>
  </si>
  <si>
    <t>1.9.17</t>
  </si>
  <si>
    <t>Supply of 6A / 10A 1 Way  1 Module Swich of makes Anchor / Gold Medal Olive / Million Zoom. (ELEC-1.7.1)</t>
  </si>
  <si>
    <t>1.9.20</t>
  </si>
  <si>
    <t>Supply of 6A 3/2 pin modular 2 Module Socket of makes Anchor / Gold Medal Olive / Million Zoom.(ELEC-1.7.4)</t>
  </si>
  <si>
    <t>DATA-5</t>
  </si>
  <si>
    <t>Supply and fixing of Supply and fixing of 16A flush type Switch, Socket, Fuse, Indicator combined (5 in one) of makes Gold Medal Olive / Million Zoom / Anchor Penta Cherry on 20 x 15 cms (8" x6") Decolam sheet covered board with earth connections in surface / consealed wiring including cost and conveyance of all materialsa and labour charges but excluding VAT.</t>
  </si>
  <si>
    <t>ELEC-1.4.25</t>
  </si>
  <si>
    <t>20 x 15 cms (8" x6") Decolam sheet covered board., S.No 136</t>
  </si>
  <si>
    <t>ELEC-1.7.11</t>
  </si>
  <si>
    <t>Supply of 16A flush type Switch, Socket, Fuse, Indicator combined (5 in one) of makes Gold Medal Olive / Million Zoom / Anchor Penta Cherry SNo 203</t>
  </si>
  <si>
    <t>Adding Contractor Profit @ 14%</t>
  </si>
  <si>
    <t>Supply and fixing of 16A/20A 1 way 1 Module switch of makes Anchor / Gold Medal Olive / Million Zoom with 16A/20A  Combi socket of Anchor / Gold Medal Olive / Million Zoom make on a common switch board with earth connections in surface / consealed wiring including cost and conveyance of all materialsa and labour charges but excluding VAT.</t>
  </si>
  <si>
    <t>1.9.24</t>
  </si>
  <si>
    <t>Supply of 16A /20A 1 Way  1 Module Swich of makes Anchor / Gold Medal Olive / Million Zoom. (ELEC-1.7.24)</t>
  </si>
  <si>
    <t>1.9.28</t>
  </si>
  <si>
    <t>Supply of 16A/20A Combi  modular 2 Module Socket of makes Anchor / Gold Medal Olive / Million Zoom.(ELEC-1.7.4)</t>
  </si>
  <si>
    <t>Supply &amp; Fixing of 1 Module Stepped  electronic regulator of makes Anchor / Gold Medal Olive / Million Zoom.including cost and conveyance of all material and labour charges but excluding VAT.</t>
  </si>
  <si>
    <t xml:space="preserve">a) Labour charges  </t>
  </si>
  <si>
    <t xml:space="preserve">b) Material </t>
  </si>
  <si>
    <t>1.9.30</t>
  </si>
  <si>
    <t>1 Module Modular type Electronic step type Fan Regulator</t>
  </si>
  <si>
    <t>Cost of Material for 1 No</t>
  </si>
  <si>
    <t>NOS</t>
  </si>
  <si>
    <t>Wiring with run of 2 of 14/0.3mm (1.0 Sq.mm) FR / FRLS PVC insulated flexible ISI mark copper cable of GM / L&amp;T / RPG / Havells / V-Guard / Power Flex / Polycab / Gold Medal / Standard / Milion / Vimal / Sun cab / Paragaon / Fortune Art make in existing  pipe with 6A switch, Ceiling rose and MODULAR FRAME  covering to switch control box including cost and conveyance of all material and all labour charges but excluding VAT etc., complete for light, bell, fan and exhaust fan points including cost and conveyance of all material and labour charges but excluding VAT.</t>
  </si>
  <si>
    <t>Supply and fixing of 6A ISI mark  MODULAR type switch of makes Anchor / Gold Medal Olive / Million Zoom with 6A 3/2 pin wall plug socket of Anchor / Gold Medal Olive / Million Zoom make on a common switch board with earth connections in surface / consealed wiring including cost and conveyance of all materialsa and labour charges but excluding VAT.</t>
  </si>
  <si>
    <t>Supply and fixing of 16A/20A 1 way 1 Module switch of makes Anchor / Gold Medal Olive / Million Zoom with 16A/20A  Combi socket of Anchor / Gold Medal Olive / Million Zoom make on a common switch board with earth connections in surface / consealed wiring including cost and conveyance of all</t>
  </si>
  <si>
    <t>Est. Cost : Rs. 40.00 lakhs</t>
  </si>
  <si>
    <t>(BLKD-CSTN-2-2)</t>
  </si>
  <si>
    <r>
      <t>Earth work excavation for foundations</t>
    </r>
    <r>
      <rPr>
        <sz val="10"/>
        <rFont val="Arial"/>
        <family val="2"/>
      </rPr>
      <t xml:space="preserve"> </t>
    </r>
    <r>
      <rPr>
        <b/>
        <sz val="10"/>
        <rFont val="Arial"/>
        <family val="2"/>
      </rPr>
      <t xml:space="preserve">(Mechanical Means) for buildings in ordinary soils </t>
    </r>
    <r>
      <rPr>
        <sz val="10"/>
        <rFont val="Arial"/>
        <family val="2"/>
      </rPr>
      <t xml:space="preserve">and depositing on bank for all lifts and with an </t>
    </r>
    <r>
      <rPr>
        <b/>
        <sz val="10"/>
        <rFont val="Arial"/>
        <family val="2"/>
      </rPr>
      <t>initial lead of 10m and up to 3m depth</t>
    </r>
    <r>
      <rPr>
        <sz val="10"/>
        <rFont val="Arial"/>
        <family val="2"/>
      </rPr>
      <t xml:space="preserve">  including all operational,incidental, labour charges such as shoring, sheeting, planking, strutting etc., and overheads &amp; contractors profit complete for finished item of work excluding dewatering charges etc., as per SS 20 B(APSS 308)</t>
    </r>
  </si>
  <si>
    <t>Ordinary Soil - Mechanical Means up to 3m depth</t>
  </si>
  <si>
    <t>Unit : 1 cum</t>
  </si>
  <si>
    <t xml:space="preserve">Taking output : </t>
  </si>
  <si>
    <t>a) Labour</t>
  </si>
  <si>
    <t>Mazdoor ( Unskilled)</t>
  </si>
  <si>
    <t>b) Machinery</t>
  </si>
  <si>
    <t>Shovel 0.85 cum 110hp</t>
  </si>
  <si>
    <t>Crew charges</t>
  </si>
  <si>
    <t>Add MA on crew charges</t>
  </si>
  <si>
    <t xml:space="preserve">c&amp;d) </t>
  </si>
  <si>
    <t>Cost for 240 cum ( a+b+c+d)</t>
  </si>
  <si>
    <r>
      <t>Rate per 1 cum</t>
    </r>
    <r>
      <rPr>
        <sz val="10"/>
        <rFont val="Arial"/>
        <family val="2"/>
      </rPr>
      <t xml:space="preserve"> (a+b+c+d) / 240</t>
    </r>
  </si>
  <si>
    <t>Ornamental Plastering with CM (1:3) 12mm thick including cost and conveyance of all materials and all labour charges etc., complete for superstructure -10Sqm</t>
  </si>
  <si>
    <r>
      <t xml:space="preserve">Painting to New walls with One coat of water proof Cement primer and two coats of </t>
    </r>
    <r>
      <rPr>
        <b/>
        <sz val="10"/>
        <color indexed="64"/>
        <rFont val="Gadugi"/>
        <family val="2"/>
      </rPr>
      <t>Acrylic  Emulsion paint</t>
    </r>
    <r>
      <rPr>
        <sz val="10"/>
        <color indexed="64"/>
        <rFont val="Gadugi"/>
        <family val="2"/>
      </rPr>
      <t xml:space="preserve"> of superior quality of approved brand and shade over base coat of cement primer grade -II making three coats in all to give an even shade after thoroughly brushing the surface to remove all loose powdered materials, including cost and conveyance of all materials, including cost and conveyance of all materials, cost of brushes, water to site, etc., sales &amp; other taxes, all operational, incidental and labour charges such as scaffolding charges, lift charges, curing etc., complete for finished item of work in all floors for Walls.(APSS No. 911) in for exterior walls</t>
    </r>
  </si>
  <si>
    <r>
      <t xml:space="preserve">Painting to New walls with two coats of </t>
    </r>
    <r>
      <rPr>
        <b/>
        <sz val="10"/>
        <color indexed="64"/>
        <rFont val="Gadugi"/>
        <family val="2"/>
      </rPr>
      <t>Plastic Emulsion paint</t>
    </r>
    <r>
      <rPr>
        <sz val="10"/>
        <color indexed="64"/>
        <rFont val="Gadugi"/>
        <family val="2"/>
      </rPr>
      <t xml:space="preserve"> of superior quality of approved brand and shade over base coat of cement primer grade -I making three coats in all to give an even shade after thoroughly brushing the surface to remove all loose powdered materials, including cost and conveyance of all materials, including cost and conveyance of all materials, cost of brushes, water to site, etc., sales &amp; other taxes, all operational, incidental and labour charges such as scaffolding charges, lift charges, curing etc., complete for finished item of work in all floors for Walls.(APSS No. 911) in All Floors for </t>
    </r>
    <r>
      <rPr>
        <b/>
        <sz val="10"/>
        <color indexed="64"/>
        <rFont val="Gadugi"/>
        <family val="2"/>
      </rPr>
      <t>interior</t>
    </r>
    <r>
      <rPr>
        <sz val="10"/>
        <color indexed="64"/>
        <rFont val="Gadugi"/>
        <family val="2"/>
      </rPr>
      <t xml:space="preserve"> walls</t>
    </r>
  </si>
  <si>
    <t xml:space="preserve">Supply and fixing of  Teak Wood    Door Frame   of size 1.20 x 2.10mt with Teak wood Shutter 30 mm thick  with frame made of well seasoned Teakl Wood scantlings of size 100 x 75mm   including cost and conveyance of all materials and labour charges   as per specifications  (APSS NO.1001 &amp; 1002)                                                                                     </t>
  </si>
  <si>
    <t>Teak Wood  door shutter( Single Shutter )</t>
  </si>
  <si>
    <t>Quantity analysis</t>
  </si>
  <si>
    <t xml:space="preserve">Size :  </t>
  </si>
  <si>
    <t>1.20m x 2.10m</t>
  </si>
  <si>
    <t>Verticle</t>
  </si>
  <si>
    <t xml:space="preserve"> 2 x 2.10 </t>
  </si>
  <si>
    <t>= 4.2 RM x 0.12 x 0.035</t>
  </si>
  <si>
    <t>Horizontals</t>
  </si>
  <si>
    <t xml:space="preserve">3 x 1.20 </t>
  </si>
  <si>
    <t>= 3.60 RM x 0.12 x 0.035</t>
  </si>
  <si>
    <t xml:space="preserve">Scantlings </t>
  </si>
  <si>
    <t>Shutter</t>
  </si>
  <si>
    <t>2 x 1.00x0.90x.032</t>
  </si>
  <si>
    <t>Planks</t>
  </si>
  <si>
    <t>Teak Wood  door shutter- Scantlings</t>
  </si>
  <si>
    <t>BMT-E05</t>
  </si>
  <si>
    <t>Teak Wood  door shutter- Planks</t>
  </si>
  <si>
    <t>BMT-E08</t>
  </si>
  <si>
    <t>Labour chagers Item no 913</t>
  </si>
  <si>
    <t>BMW-V-25</t>
  </si>
  <si>
    <t>Frame</t>
  </si>
  <si>
    <t>verticals-2x2.1x0.1x.075=.032</t>
  </si>
  <si>
    <t>horizontals -2x1.2x0.1x.075=.009</t>
  </si>
  <si>
    <t>Cost of Frame and Shutter</t>
  </si>
  <si>
    <t>All fittings for Door</t>
  </si>
  <si>
    <t>Flush door shutter( Double Shutter )</t>
  </si>
  <si>
    <t>Rate for one door of 1.20 x 2.10m</t>
  </si>
  <si>
    <t>Door size 1.20 X 2.10 M (Frame ) -Sal wood</t>
  </si>
  <si>
    <t>frames-BMT-E15</t>
  </si>
  <si>
    <t>Flush door shutter( Single  Shutter )</t>
  </si>
  <si>
    <t>Door size 1.05 X 2.10 M (Frame ) -Sal wood</t>
  </si>
  <si>
    <t>Cost of Frame 1.05m x 2.10m  -Sal wood</t>
  </si>
  <si>
    <t>BMT-P80B</t>
  </si>
  <si>
    <t>Providing and fixing factory made solid Wood Polymer Composite (WPC) single extruded Door Frame section of size with encapsulation of 8MM rigid layer on all the six surfaces. The door frame will have a rebat of 32MM. With WPC Shutter 28 -30 MM thick solid Wood Polymer Composite(WPC) single extruded door shutter with 3MM top and bottom rigid layer with an overall density of 750kg/Cum. It will be fixed to the frame using 3 inch /4 inch hinges. A minimum of 4 hinges will be required for fixing the door with the frame with all iron fittings etc complete</t>
  </si>
  <si>
    <t>Door - D2-0.75x2.10</t>
  </si>
  <si>
    <t>BMT-P-79</t>
  </si>
  <si>
    <r>
      <t>Providing and fixing factory made uPVC white colour fixed glazedwindows / Ventilators comprising of uPVC multi-chambered frame andmullion (where ever required) extruded profiles duly reinforced with 1.60± 0.2 mm thick galvanized mild steel section made from roll forming process of required length (shape &amp; size according to uPVC profile),uPVC extruded glazing beads of appropriate dimension, EPDM gasket,G.I fasteners 100 x 8 mm size for fixing frame to finished wall, plasticpackers, plastic caps and necessary stainless steel screws etc. Profileof frame shall be mitred cut and fusion welded at all corners, mullion (ifrequired) shall be also fusion welded including drilling of holes for fixinghardware's and drainage of water etc. After fixing frame the gap betweenframe and adjacent finished wall shall be filled with weather proof siliconsealant over backer rod of required size and of approved quality, allcomplete as per approved drawing &amp; direction of Engineer-in-Charge inclusive of cost of Single / doubleFixed windows / Ventilators made of (small series) frame 47 x 50mm &amp; mullion 47 x 68 mm both having wall thickness of 1.9 ±0.2 mm and single glazing bead of appropriate</t>
    </r>
    <r>
      <rPr>
        <b/>
        <u/>
        <sz val="10"/>
        <color indexed="64"/>
        <rFont val="Gadugi"/>
        <family val="2"/>
      </rPr>
      <t xml:space="preserve"> For Fixed Windows</t>
    </r>
  </si>
  <si>
    <t>COMPARATIVE STATEMENT</t>
  </si>
  <si>
    <t>SL No</t>
  </si>
  <si>
    <t>As per Original Estimate</t>
  </si>
  <si>
    <t>As per Working Estimate</t>
  </si>
  <si>
    <t>Difference</t>
  </si>
  <si>
    <t>Rate (Rs)</t>
  </si>
  <si>
    <t>Amount (Rs)</t>
  </si>
  <si>
    <t>Excess</t>
  </si>
  <si>
    <t>Less</t>
  </si>
  <si>
    <t>Providing, laying, spreading and compacting graded stone aggregate to wet mix macadam specification including premixing the  material with water at OMC in mechanical mixer (Pug Mill), carriage of mixed material by tipper to site, laying  in uniform layers in sub-base/base course on a well prepared sub-base and compacting with smooth  wheel roller of 80 to 100kN / Vibratory Roller 80-100 kN weight to achieve the desired density including lighting, barricading and maintenance of diversion, etc as per Tables 400.11 &amp; 400.12 and Technical Specification Clause 406 MORD/ MORTH,including overhead charges &amp; Contractor profit, But excluding VAT and seignorage charges.</t>
  </si>
  <si>
    <t>In KM 0/580 - 0/610</t>
  </si>
  <si>
    <t>UNSKILLED LABOUR Charges for Earth work excavation and depositing on bank with initial lead of 10m and initial lift of 2m in Ordinary Soils for Foundation.(APSS No. 308) (RSSR)</t>
  </si>
  <si>
    <t xml:space="preserve">Plain Cement concrete (1:5:10) using 40 mm metal including cost and conveyances of all materials,  labour charges, laying and compacting, curing charges etc. complete </t>
  </si>
  <si>
    <t>R.R.Masonry in C.M. (1:8 ) including cost and conveyances and labour charges etc. complete</t>
  </si>
  <si>
    <t>As per Excess</t>
  </si>
  <si>
    <t>As per Less</t>
  </si>
  <si>
    <t>Superintending Engineer,</t>
  </si>
  <si>
    <t>PanchayatiRaj</t>
  </si>
  <si>
    <t>For levelling site</t>
  </si>
  <si>
    <t>Total per  1 No</t>
  </si>
  <si>
    <t xml:space="preserve">Taking Output = 6 Points- Non Modular </t>
  </si>
  <si>
    <t>Taking Output = each  ( Non Modular)</t>
  </si>
  <si>
    <t>Taking Output = each ( Non Modular)</t>
  </si>
  <si>
    <t xml:space="preserve">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</si>
  <si>
    <t>Allround Room</t>
  </si>
  <si>
    <t>Verendah Walls</t>
  </si>
  <si>
    <t>Ded Door</t>
  </si>
  <si>
    <t>Ded Windows</t>
  </si>
  <si>
    <t xml:space="preserve">RCC Slab </t>
  </si>
  <si>
    <t>Slab</t>
  </si>
  <si>
    <r>
      <t>Dismantling</t>
    </r>
    <r>
      <rPr>
        <sz val="10"/>
        <rFont val="Arial"/>
        <family val="2"/>
      </rPr>
      <t xml:space="preserv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</si>
  <si>
    <t xml:space="preserve">Brick masonry </t>
  </si>
  <si>
    <t xml:space="preserve">(BLD-CSTN-14-9/299) </t>
  </si>
  <si>
    <t>Rate per 1 cum</t>
  </si>
  <si>
    <t xml:space="preserve">Unreinforced cement concrete up to 15cm thickness </t>
  </si>
  <si>
    <t>(BLD-CSTN-14-8/296)</t>
  </si>
  <si>
    <t xml:space="preserve">Unreinforced cement concrete more than 15cm thickness </t>
  </si>
  <si>
    <t>(BLD-CSTN-14-8/297)</t>
  </si>
  <si>
    <t>d)</t>
  </si>
  <si>
    <t xml:space="preserve">Reinforced cement concrete </t>
  </si>
  <si>
    <t>(BLD-CSTN-14-8/298)</t>
  </si>
  <si>
    <r>
      <t xml:space="preserve">for cutting steel bars </t>
    </r>
    <r>
      <rPr>
        <b/>
        <sz val="10"/>
        <rFont val="Arial"/>
        <family val="2"/>
      </rPr>
      <t xml:space="preserve"> (BLD-CSTN-14-10/300)</t>
    </r>
  </si>
  <si>
    <t>Blacksmith 2nd class</t>
  </si>
  <si>
    <t>Mazdoor(Male)</t>
  </si>
  <si>
    <t>Inside basement</t>
  </si>
  <si>
    <t>Est. Rs.79.30 Lakhs</t>
  </si>
  <si>
    <t>VRCC M25 Nominal mix for Footings, Pedastals, Columns, beamas, Lintels and Sunshades</t>
  </si>
  <si>
    <t>Dy.Exe.Engineer</t>
  </si>
  <si>
    <t xml:space="preserve"> @ 30Kgs/Sqm</t>
  </si>
  <si>
    <r>
      <t xml:space="preserve">Flooring with 16 to 18mm thick high polished granite stone slabs other than black and regular colours </t>
    </r>
    <r>
      <rPr>
        <sz val="10"/>
        <rFont val="Arial"/>
        <family val="2"/>
      </rPr>
      <t xml:space="preserve">(i.e. of shades like paradiso / bala flower / copper silk / laka red / lavender blue) with borders and design as per the pattern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polishing charges  and all other taxes on all materials, cost of base coat and overheads &amp; contractors profit complete for finished item of work (S.S.701 &amp; special) </t>
    </r>
  </si>
  <si>
    <t>(BLD-CSTN-9-7)</t>
  </si>
  <si>
    <t>High polished granite slabs other than black 16 to 18mm thick</t>
  </si>
  <si>
    <t>Cement for CM(1:8) for base coat</t>
  </si>
  <si>
    <t>White cement for jointing</t>
  </si>
  <si>
    <t>Rate for 10sqm</t>
  </si>
  <si>
    <t>Rate for other Floors</t>
  </si>
  <si>
    <t>Rate as worked out above</t>
  </si>
  <si>
    <t>Lift charges ( Page 131 of Std. Data )</t>
  </si>
  <si>
    <r>
      <t xml:space="preserve">Providing and fixing factory made uPVC white colour sliding glazed windowupto 1.50 m in height dimension comprising of uPVC multi-chamberedframe with in-built roller track and sash extruded profiles duly reinforcedwith 1.60 ± 0.2 mm thick galvanized mild steel section made from rollforming process of required length (shape &amp; size according to uPVCprofile), appropriate dimension of uPVC extruded glazing beads anduPVC extruded interlocks, EPDM gasket, wool pile, zinc alloy (whitepowder coated) touch locks with hook, zinc alloy body with single nylonrollers (weight bearing capacity to be 40 kg), G.I fasteners 100 x 8 mmsize for fixing frame to finished wall and necessary stainless steel screwsetc. Profile of frame &amp; sash shall be mitred cut and fusion welded at allcorners, including drilling of holes for fixing hardware's and drainage ofwater etc. After fixing frame the gap between frame and adjacent finishedwall shall be filled with weather proof silicon sealent over backer rod ofrequired size and of approved quality, all complete as per approved drawing&amp; direction of Engineer-in-Charge inclusive of cost of Single / double glass panes, wire mesh and silicon sealentTwo track two panels sliding window made of (small series) frame 52 x 44 mm &amp;sash 32 x 60 mm both having wall thickness of 1.9 ± 0.2 mm and single glazing bead of appropriate dimension. </t>
    </r>
    <r>
      <rPr>
        <b/>
        <sz val="9"/>
        <color indexed="64"/>
        <rFont val="Gadugi"/>
        <family val="2"/>
      </rPr>
      <t>TWO TRACK</t>
    </r>
  </si>
  <si>
    <r>
      <t xml:space="preserve">Providing and fixing factory made uPVC white colour sliding glazed windowupto 1.50 m in height dimension comprising of uPVC multi-chamberedframe with in-built roller track and sash extruded profiles duly reinforcedwith 1.60 ± 0.2 mm thick galvanized mild steel section made from rollforming process of required length (shape &amp; size according to uPVCprofile), appropriate dimension of uPVC extruded glazing beads anduPVC extruded interlocks, EPDM gasket, wool pile, zinc alloy (whitepowder coated) touch locks with hook, zinc alloy body with single nylonrollers (weight bearing capacity to be 40 kg), G.I fasteners 100 x 8 mmsize for fixing frame to finished wall and necessary stainless steel screwsetc. Profile of frame &amp; sash shall be mitred cut and fusion welded at allcorners, including drilling of holes for fixing hardware's and drainage ofwater etc. After fixing frame the gap between frame and adjacent finishedwall shall be filled with weather proof silicon sealent over backer rod ofrequired size and of approved quality, all complete as per approved drawing&amp; direction of Engineer-in-Charge inclusive of cost of Single / double glass panes, wire mesh and silicon sealentTwo track two panels sliding window made of (small series) frame 52 x 44 mm &amp;sash 32 x 60 mm both having wall thickness of 1.9 ± 0.2 mm and single glazing bead of appropriate dimension. </t>
    </r>
    <r>
      <rPr>
        <b/>
        <sz val="9"/>
        <color indexed="64"/>
        <rFont val="Gadugi"/>
        <family val="2"/>
      </rPr>
      <t>Three track three panels sliding window with fly proof SS wire mesh (Two nos. glazed &amp; one no. wire mesh panels) made of (small series) frame 92 x 44 mm &amp; sash 32 x 60 mmboth having wall thickness of 1.9 ± 0.2 mm and single glazingbead of appropriate dimension (Area of window upto 1.75 sqm).-THREE TRACK</t>
    </r>
  </si>
  <si>
    <r>
      <t xml:space="preserve"> 1200 mm (48") / 1400 mm (56")  Ceiling Fan  (5.1.1) </t>
    </r>
    <r>
      <rPr>
        <b/>
        <sz val="9"/>
        <color theme="1"/>
        <rFont val="Gadugi"/>
        <family val="2"/>
      </rPr>
      <t xml:space="preserve">ELEC-5.1.4 </t>
    </r>
  </si>
  <si>
    <t>Cost of Frame 1.20m x 2.10m  -Sal wood</t>
  </si>
  <si>
    <t>Construction of Grama Sachivalayam Building</t>
  </si>
  <si>
    <t>Rs.</t>
  </si>
  <si>
    <t>Lakhs</t>
  </si>
  <si>
    <t xml:space="preserve">DETAILED CUM ABSTRACT ESTIMATE </t>
  </si>
  <si>
    <r>
      <t>Providing and fixing factory made solid Wood Polymer Composite (</t>
    </r>
    <r>
      <rPr>
        <b/>
        <sz val="9"/>
        <color indexed="64"/>
        <rFont val="Gadugi"/>
        <family val="2"/>
      </rPr>
      <t>WPC</t>
    </r>
    <r>
      <rPr>
        <sz val="9"/>
        <color indexed="64"/>
        <rFont val="Gadugi"/>
        <family val="2"/>
      </rPr>
      <t>) single extruded Door Frame section of size with encapsulation of 8MM rigid layer on all the six surfaces. The door frame will have a rebat of 32MM. With WPC Shutter 28 -30 MM thick solid Wood Polymer Composite(WPC) single extruded door shutter with 3MM top and bottom rigid layer with an overall density of 750kg/Cum. It will be fixed to the frame using 3 inch /4 inch hinges. A minimum of 4 hinges will be required for fixing the door with the frame with all iron fittings etc complete</t>
    </r>
  </si>
  <si>
    <t>PRI Sub Division, Palamaneru</t>
  </si>
  <si>
    <t>Valasapalle</t>
  </si>
  <si>
    <t>Asst Exe Engineer</t>
  </si>
  <si>
    <t>Asst. Exe Engineer</t>
  </si>
  <si>
    <t>Sankarayalapeta</t>
  </si>
  <si>
    <t>Baireddipalle</t>
  </si>
  <si>
    <t>MPP, Baireddipalle</t>
  </si>
  <si>
    <t>PRI, Baireddipalle</t>
  </si>
  <si>
    <t>Name of Work :: Construction of Grama Sachivalayam, RBK and Wellness Centre at Kadapanatham Of Baireddipalle Mandal</t>
  </si>
  <si>
    <t>Kadapanatham</t>
  </si>
  <si>
    <t>For RR Masonry</t>
  </si>
  <si>
    <t xml:space="preserve">Function Hall </t>
  </si>
  <si>
    <t>Function Hall</t>
  </si>
  <si>
    <t>Over  door</t>
  </si>
  <si>
    <t>For Ground Floor Slab</t>
  </si>
  <si>
    <t>Meeting Hall</t>
  </si>
  <si>
    <t>Inside Meeting Hall</t>
  </si>
  <si>
    <t>Out side - Allround</t>
  </si>
  <si>
    <t>FB1</t>
  </si>
  <si>
    <t>FB2</t>
  </si>
  <si>
    <t>FB5</t>
  </si>
  <si>
    <t>Main Door</t>
  </si>
  <si>
    <t xml:space="preserve"> Door</t>
  </si>
  <si>
    <t xml:space="preserve">                Specification Report to accompany the estimate for the work "Construction of  Meeting Hall  at Kadapanatham of Baireddipalle Mandal"  of Chittoor District.</t>
  </si>
  <si>
    <t xml:space="preserve">             The work " Construction of Sachivalayam Building at Meeting Hall at Kadapanatham of Baireddipalle Mandal" was administratively sanctioned under MGNREGS grant for Rs.40.00 lakhs vide Prgos ROC No.DEE1/Grama Sachivalayam/MGNREGS/Proposals/CTR/2019-, dated 17.06.2020 of the District Collector, Chittoor.  The Detailed Estimate for Construction of Grama Sachivalyam is prepared with Communicate Drawings.</t>
  </si>
  <si>
    <t>For Plinth Beam</t>
  </si>
  <si>
    <t>Name of work :: Construction of Function Hall at Kadapanatham Of Baireddipalle Mandal</t>
  </si>
  <si>
    <t>DETAILED CUM ABSTRACT ESTIMATE</t>
  </si>
  <si>
    <t>Sl No</t>
  </si>
  <si>
    <t>No.s</t>
  </si>
  <si>
    <t xml:space="preserve">Unit </t>
  </si>
  <si>
    <t>Rate /Per</t>
  </si>
  <si>
    <t xml:space="preserve">Earth work excavation and depositing on bank with initial lead of 10m and initial lift of 3m in Loamy &amp; Clayey Soils like BC Soils, Red Earth &amp; OG Soils ( SS 20-B) including all operational incidental l/c such as  shoring, strutting, sheeting, planking and dewatering including cost of hire charges of T &amp; P, labour charges etc., complete for finished item of work including seignerage charges excluding dewatering charges etc., complete for Septic tank soak pit and sump.(APSS No. 308)  </t>
  </si>
  <si>
    <t>Septic Tank</t>
  </si>
  <si>
    <t xml:space="preserve">Plain Cement Concrete M 20 grade nominal mix (cement: fine aggregate: Coarse aggregate) using 20mm size HBG  (SS5) metal from from approved quarry including cost and conveyance of all materials like cement, sand, coarse aggregate, water etc. to site, including seigniorage charges, sales &amp; other taxes on all materials, all operational, incidental and labour charges such as mixing, laying, curing concrete,  etc., complete for finished item of work </t>
  </si>
  <si>
    <t>Brick Masonary for Basement with CM (1:6) proportion using 2nd class traditional bricks of size 23X11X7 cms having minimum crushing strength of 35kg/cm2  including cost and conveyance of all materials like Cement, Sand, Bricks, water etc including seigniorage, sales and other taxes on all materials including all operational, incidental and labour charges such as mixing cement mortar , Scaffolding charges, etc complete for finished item of work (APSS No 501 &amp; 504)</t>
  </si>
  <si>
    <t>Baffel wall</t>
  </si>
  <si>
    <t>Providing impervious coat over RCC roof slab to required slopes with CM (1:3) prop. 20mm thick (average) mixed with water proofing compound manufactured by reputed manufacturers as approved by Engineer-in-charge at 1Kg/bag of cement, laid over roof slab when it is green, finished smooth with a floating coat of neat cement and thread lining at regular intervals of 45X45cm including c/c of all m/l like cement, sand, water proofing compound, water etc., to site,  seigniorage charges, sales &amp; other taxes on all materials, all operational, incidental and labour charges such as mixing mortar, laying, rounding off at junctions of wall and slab, rendering smooth with thread lining, curing, lift charges,  etc., complete for finished item of work (APSS No. 901 &amp; 903).</t>
  </si>
  <si>
    <t>Bottom of tank</t>
  </si>
  <si>
    <t>---</t>
  </si>
  <si>
    <t>Inside alround</t>
  </si>
  <si>
    <t>2 sides of Beffel walls</t>
  </si>
  <si>
    <t>Reinforced Cement Concrete  M-25 Design mix (Cement: Fine aggregates: Coarse aggregates) corresponding Table 9 of IS 456 using 20mm-6mm size graded machine crushed hard granite metal (coarse aggregate) from approved quarry including cost and conveyance of all materials like Cement, fine aggregate( Sand), coarse aggregate, water etc to site and including sales and other taxes on all materials including all operational, incidental and labour charges such as machine mixing, laying concrete, curing etc complete but excluding cost of steel and its fabrication charges for finished item of work, but including centering, shuttering  for finished item of work</t>
  </si>
  <si>
    <t>100 mm thick slab</t>
  </si>
  <si>
    <t>Over tank</t>
  </si>
  <si>
    <r>
      <t xml:space="preserve">Supplying and fixing of </t>
    </r>
    <r>
      <rPr>
        <b/>
        <sz val="11"/>
        <rFont val="Arial"/>
        <family val="2"/>
      </rPr>
      <t>110mm dia</t>
    </r>
    <r>
      <rPr>
        <sz val="11"/>
        <rFont val="Arial"/>
        <family val="2"/>
      </rPr>
      <t xml:space="preserve"> SWR/ PVC pipes (as per ISI standards) 4 Kg/Sq.cm. Prince/sudhakar or any ISI brand and fixing all special such as plain bends, off sets, door bends, single junctions, double junctions as per site requirement, fixing with PVC clamps if necessary with required number of Bombay nails including cost and conveyance of all materials to site, labour charges etc.complete for finished item of work at all floor levels. (APSS No. 1302  1319 &amp; 1326)</t>
    </r>
  </si>
  <si>
    <t>For Tank</t>
  </si>
  <si>
    <t>TOTAL:</t>
  </si>
  <si>
    <t>Septic tank  1.82 x 1.82 M</t>
  </si>
  <si>
    <t>Sump  2.10 x 1.82 M</t>
  </si>
  <si>
    <t>For Toilets</t>
  </si>
  <si>
    <t>Allround</t>
  </si>
  <si>
    <t>Partition Wall</t>
  </si>
  <si>
    <t>Toilets</t>
  </si>
  <si>
    <t>Inside Portion</t>
  </si>
  <si>
    <t>Suppllying and fixing Prince/Sudhakar or equivalent ISI make PVC SWR grade Pipes of type B class and specials like bends, Tee, Y-junction with or without door, Vent cowl, providing and fixing cleaning / rodding eye with endcap wherever required, etc., cutting the pipes, laying or fixing to perfect plumb, with slopes where required, making joints using solvent cement solution or with ring seal couplers of size available pipe of 110mm and 75mm dia., providing 110 dia PVC make up piece with inlet connections, providing and fixing G.I. U clamps to the brackets, Providing and removing necessary scaffolding where required, providing supports for pipes laid in false ceiling using G.I.hangers fixed to R.C.C slab including providing and fixing necessary anchor fastners and clamps, conducting water test for leak proof joints and the materials, etc., complete.</t>
  </si>
  <si>
    <t>110mm dia 4kg/ sq.cm single socket upvc waste pipe</t>
  </si>
  <si>
    <t>90mm dia 4kg/ sq.cm single socket upvc waste pipe</t>
  </si>
  <si>
    <t>Supplying and Fixing European Water Closet of 1st quality conforming to IS:2556-Part-2-1973 of Hindustan / Neycer or Parryware make white glazed with 'P' trap including 10 lit. low level PVC flusihing system of parryware make confirming to IS 7231 with all internal fittings, CI brackets, 32mm dia CP flush pipe, 15mm dia 450mm long PVC connerctor, 15mm dia Cp brass strop cock 300 grams of ISI make, cutting and making good the walls and floors wherever required including cost &amp; conveyance of all material to work site, all labour charges for all operations for fixing, all taxes etc., complete for finished item of work.</t>
  </si>
  <si>
    <t xml:space="preserve">Supplying and fixing Indian make  Flat Back Wash Hand Basin (HSW/Parryware/ Neycer) 1st quality conforming to IS:2556-Part-4:1972 of size 450mm x 300mm with  32 mm nominal size C.P. Fitting with parallel pipe thread conforming to IS:2963-1979 and fitted with 15 mm nominal bore Chromium Plated Pillar Tap of 1st quality Indian make 400 grams Seiko/Senior/Nice or equivalent complete with standard CI brackets including wooden blocks </t>
  </si>
  <si>
    <t>Supplying and fixing of 3" (76.2 mm ) Nahany Trap with Jali - UPVC/SWR Pipe fittings  as per site requirements with standard practice  for all floors including cost and conveyance of all materials to site, labour charges , overheads &amp; contractors profit etc., complete for finished item of work.</t>
  </si>
  <si>
    <t>Supplying and fixing 4" (101.6 mm ) Floor Trap - UPVC/SWR Pipe fittings 1st quality ISI marked with C.P. Grating fixing with white cement as per site requirements with standard practice  for all floors including cost and conveyance of all materials to site, labour charges etc., complete for finished item of work.</t>
  </si>
  <si>
    <t>Supply &amp; fixing of tested NP bib taps at all levels of 12.70mm dia of Indian make 400g first quality including cost &amp; conveyance of all materials, labour charges for finished item of work, and all taxes complete for all floors</t>
  </si>
  <si>
    <t>22mm Pipe</t>
  </si>
  <si>
    <t>1RM</t>
  </si>
</sst>
</file>

<file path=xl/styles.xml><?xml version="1.0" encoding="utf-8"?>
<styleSheet xmlns="http://schemas.openxmlformats.org/spreadsheetml/2006/main">
  <numFmts count="20">
    <numFmt numFmtId="6" formatCode="&quot;$&quot;#,##0_);[Red]\(&quot;$&quot;#,##0\)"/>
    <numFmt numFmtId="44" formatCode="_(&quot;$&quot;* #,##0.00_);_(&quot;$&quot;* \(#,##0.00\);_(&quot;$&quot;* &quot;-&quot;??_);_(@_)"/>
    <numFmt numFmtId="43" formatCode="_(* #,##0.00_);_(* \(#,##0.00\);_(* &quot;-&quot;??_);_(@_)"/>
    <numFmt numFmtId="164" formatCode="0.000"/>
    <numFmt numFmtId="165" formatCode="0.00;[Red]0.00"/>
    <numFmt numFmtId="166" formatCode="0.000;[Red]0.000"/>
    <numFmt numFmtId="167" formatCode="0;[Red]0"/>
    <numFmt numFmtId="168" formatCode="#,##0.0000"/>
    <numFmt numFmtId="169" formatCode="_-* #,##0_-;\-* #,##0_-;_-* &quot;-&quot;_-;_-@_-"/>
    <numFmt numFmtId="170" formatCode="#,##0.000"/>
    <numFmt numFmtId="171" formatCode="0.0000;[Red]0.0000"/>
    <numFmt numFmtId="172" formatCode="0.0"/>
    <numFmt numFmtId="173" formatCode="0.0000"/>
    <numFmt numFmtId="174" formatCode="0.00000"/>
    <numFmt numFmtId="175" formatCode="_([$€-2]* #,##0.00_);_([$€-2]* \(#,##0.00\);_([$€-2]* &quot;-&quot;??_)"/>
    <numFmt numFmtId="176" formatCode="&quot;----&quot;"/>
    <numFmt numFmtId="177" formatCode="&quot;-----&quot;"/>
    <numFmt numFmtId="178" formatCode="0.00_)"/>
    <numFmt numFmtId="179" formatCode="0_ "/>
    <numFmt numFmtId="180" formatCode="0.000000;[Red]0.000000"/>
  </numFmts>
  <fonts count="183">
    <font>
      <sz val="10"/>
      <color indexed="64"/>
      <name val="Arial"/>
    </font>
    <font>
      <sz val="10"/>
      <color indexed="64"/>
      <name val="Arial"/>
      <family val="2"/>
    </font>
    <font>
      <sz val="10"/>
      <color indexed="64"/>
      <name val="Arial"/>
      <family val="2"/>
    </font>
    <font>
      <b/>
      <sz val="12"/>
      <color indexed="64"/>
      <name val="Arial"/>
      <family val="2"/>
    </font>
    <font>
      <sz val="10"/>
      <color indexed="64"/>
      <name val="Arial"/>
      <family val="2"/>
    </font>
    <font>
      <b/>
      <sz val="10"/>
      <color indexed="64"/>
      <name val="Arial"/>
      <family val="2"/>
    </font>
    <font>
      <b/>
      <sz val="10"/>
      <color indexed="64"/>
      <name val="Arial"/>
      <family val="2"/>
    </font>
    <font>
      <b/>
      <sz val="14"/>
      <color indexed="64"/>
      <name val="Arial"/>
      <family val="2"/>
    </font>
    <font>
      <sz val="14"/>
      <color indexed="64"/>
      <name val="Arial"/>
      <family val="2"/>
    </font>
    <font>
      <sz val="11"/>
      <color indexed="64"/>
      <name val="Arial"/>
      <family val="2"/>
    </font>
    <font>
      <sz val="11"/>
      <color indexed="64"/>
      <name val="MS Sans Serif"/>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u/>
      <sz val="12"/>
      <name val="Trebuchet MS"/>
      <family val="2"/>
    </font>
    <font>
      <b/>
      <sz val="11"/>
      <name val="Arial"/>
      <family val="2"/>
    </font>
    <font>
      <b/>
      <sz val="12"/>
      <name val="Trebuchet MS"/>
      <family val="2"/>
    </font>
    <font>
      <sz val="10"/>
      <name val="Arial"/>
      <family val="2"/>
    </font>
    <font>
      <b/>
      <sz val="11"/>
      <name val="Trebuchet MS"/>
      <family val="2"/>
    </font>
    <font>
      <b/>
      <sz val="10"/>
      <name val="Trebuchet MS"/>
      <family val="2"/>
    </font>
    <font>
      <b/>
      <sz val="9"/>
      <name val="Trebuchet MS"/>
      <family val="2"/>
    </font>
    <font>
      <sz val="11"/>
      <name val="Trebuchet MS"/>
      <family val="2"/>
    </font>
    <font>
      <sz val="10"/>
      <name val="Trebuchet MS"/>
      <family val="2"/>
    </font>
    <font>
      <sz val="9"/>
      <name val="Arial"/>
      <family val="2"/>
    </font>
    <font>
      <sz val="9"/>
      <name val="Trebuchet MS"/>
      <family val="2"/>
    </font>
    <font>
      <b/>
      <sz val="10"/>
      <name val="Arial"/>
      <family val="2"/>
    </font>
    <font>
      <b/>
      <sz val="10"/>
      <name val="Bookman Old Style"/>
      <family val="1"/>
    </font>
    <font>
      <sz val="8"/>
      <name val="Trebuchet MS"/>
      <family val="2"/>
    </font>
    <font>
      <sz val="10"/>
      <name val="Helv"/>
      <charset val="204"/>
    </font>
    <font>
      <sz val="11"/>
      <name val="Arial"/>
      <family val="2"/>
    </font>
    <font>
      <sz val="11"/>
      <name val="Times New Roman"/>
      <family val="1"/>
    </font>
    <font>
      <b/>
      <sz val="12"/>
      <name val="Arial"/>
      <family val="2"/>
    </font>
    <font>
      <sz val="16"/>
      <name val="Trebuchet MS"/>
      <family val="2"/>
    </font>
    <font>
      <b/>
      <sz val="11"/>
      <name val="Times New Roman"/>
      <family val="1"/>
    </font>
    <font>
      <sz val="10"/>
      <name val="Times New Roman"/>
      <family val="1"/>
    </font>
    <font>
      <b/>
      <i/>
      <sz val="10"/>
      <name val="Trebuchet MS"/>
      <family val="2"/>
    </font>
    <font>
      <b/>
      <sz val="11"/>
      <name val="Century Gothic"/>
      <family val="2"/>
    </font>
    <font>
      <sz val="10"/>
      <name val="Arial Unicode MS"/>
      <family val="2"/>
    </font>
    <font>
      <sz val="11"/>
      <name val="Comic Sans MS"/>
      <family val="4"/>
    </font>
    <font>
      <sz val="10"/>
      <name val="Bookman Old Style"/>
      <family val="1"/>
    </font>
    <font>
      <sz val="10"/>
      <color indexed="8"/>
      <name val="Arial"/>
      <family val="2"/>
    </font>
    <font>
      <sz val="10"/>
      <name val="MS Serif"/>
      <family val="1"/>
    </font>
    <font>
      <sz val="10"/>
      <color indexed="16"/>
      <name val="MS Serif"/>
      <family val="1"/>
    </font>
    <font>
      <sz val="8"/>
      <name val="Arial"/>
      <family val="2"/>
    </font>
    <font>
      <u/>
      <sz val="10"/>
      <color indexed="12"/>
      <name val="Arial"/>
      <family val="2"/>
    </font>
    <font>
      <b/>
      <sz val="16"/>
      <name val="Arial"/>
      <family val="2"/>
    </font>
    <font>
      <b/>
      <sz val="12"/>
      <name val="Courier New"/>
      <family val="3"/>
    </font>
    <font>
      <b/>
      <sz val="10"/>
      <name val="Times New Roman"/>
      <family val="1"/>
    </font>
    <font>
      <b/>
      <sz val="9"/>
      <name val="Verdana"/>
      <family val="2"/>
    </font>
    <font>
      <sz val="7"/>
      <name val="Small Fonts"/>
      <family val="2"/>
    </font>
    <font>
      <sz val="8"/>
      <name val="Helv"/>
    </font>
    <font>
      <b/>
      <sz val="18"/>
      <color indexed="62"/>
      <name val="Cambria"/>
      <family val="2"/>
    </font>
    <font>
      <b/>
      <sz val="12"/>
      <name val="MS Sans Serif"/>
      <family val="2"/>
    </font>
    <font>
      <sz val="12"/>
      <name val="MS Sans Serif"/>
      <family val="2"/>
    </font>
    <font>
      <u/>
      <sz val="12"/>
      <name val="Verdana"/>
      <family val="2"/>
    </font>
    <font>
      <b/>
      <sz val="8"/>
      <color indexed="8"/>
      <name val="Helv"/>
    </font>
    <font>
      <sz val="12"/>
      <name val="Arial"/>
      <family val="2"/>
    </font>
    <font>
      <sz val="7"/>
      <name val="Trebuchet MS"/>
      <family val="2"/>
    </font>
    <font>
      <b/>
      <sz val="8"/>
      <name val="Arial"/>
      <family val="2"/>
    </font>
    <font>
      <sz val="10"/>
      <color indexed="64"/>
      <name val="Arial"/>
      <family val="2"/>
    </font>
    <font>
      <b/>
      <sz val="11"/>
      <color indexed="8"/>
      <name val="Arial"/>
      <family val="2"/>
    </font>
    <font>
      <b/>
      <sz val="12"/>
      <color indexed="64"/>
      <name val="Arial"/>
      <family val="2"/>
    </font>
    <font>
      <b/>
      <sz val="14"/>
      <name val="Arial"/>
      <family val="2"/>
    </font>
    <font>
      <sz val="14"/>
      <name val="Arial"/>
      <family val="2"/>
    </font>
    <font>
      <b/>
      <sz val="9"/>
      <name val="Arial"/>
      <family val="2"/>
    </font>
    <font>
      <sz val="11.5"/>
      <name val="Times New Roman"/>
      <family val="1"/>
    </font>
    <font>
      <sz val="10"/>
      <name val="Helv"/>
      <family val="2"/>
    </font>
    <font>
      <sz val="10"/>
      <color indexed="10"/>
      <name val="Trebuchet MS"/>
      <family val="2"/>
    </font>
    <font>
      <sz val="10"/>
      <color indexed="10"/>
      <name val="Arial"/>
      <family val="2"/>
    </font>
    <font>
      <vertAlign val="superscript"/>
      <sz val="10"/>
      <name val="Arial"/>
      <family val="2"/>
    </font>
    <font>
      <sz val="12"/>
      <name val="Times New Roman"/>
      <family val="1"/>
    </font>
    <font>
      <sz val="9"/>
      <color indexed="10"/>
      <name val="Arial"/>
      <family val="2"/>
    </font>
    <font>
      <sz val="8"/>
      <color indexed="10"/>
      <name val="Arial"/>
      <family val="2"/>
    </font>
    <font>
      <sz val="10"/>
      <name val="Verdana"/>
      <family val="2"/>
    </font>
    <font>
      <u/>
      <sz val="12"/>
      <name val="Arial"/>
      <family val="2"/>
    </font>
    <font>
      <b/>
      <sz val="11"/>
      <color indexed="64"/>
      <name val="MS Sans Serif"/>
      <family val="2"/>
    </font>
    <font>
      <sz val="11"/>
      <color indexed="64"/>
      <name val="Arial"/>
      <family val="2"/>
    </font>
    <font>
      <sz val="10"/>
      <color indexed="64"/>
      <name val="MS Sans Serif"/>
      <family val="2"/>
    </font>
    <font>
      <b/>
      <sz val="10"/>
      <color indexed="64"/>
      <name val="MS Sans Serif"/>
      <family val="2"/>
    </font>
    <font>
      <sz val="11"/>
      <color indexed="64"/>
      <name val="MS Sans Serif"/>
      <family val="2"/>
    </font>
    <font>
      <b/>
      <sz val="12"/>
      <color indexed="64"/>
      <name val="Times New Roman"/>
      <family val="1"/>
    </font>
    <font>
      <b/>
      <sz val="10"/>
      <name val="Cambria"/>
      <family val="1"/>
    </font>
    <font>
      <sz val="10"/>
      <name val="Cambria"/>
      <family val="1"/>
    </font>
    <font>
      <b/>
      <u/>
      <sz val="14"/>
      <name val="Arial"/>
      <family val="2"/>
    </font>
    <font>
      <sz val="11"/>
      <color theme="1"/>
      <name val="Calibri"/>
      <family val="2"/>
      <scheme val="minor"/>
    </font>
    <font>
      <sz val="11"/>
      <color rgb="FFFF0000"/>
      <name val="Times New Roman"/>
      <family val="1"/>
    </font>
    <font>
      <b/>
      <sz val="11"/>
      <color rgb="FFFF0000"/>
      <name val="Times New Roman"/>
      <family val="1"/>
    </font>
    <font>
      <b/>
      <sz val="9"/>
      <color rgb="FFFF0000"/>
      <name val="Times New Roman"/>
      <family val="1"/>
    </font>
    <font>
      <sz val="10"/>
      <color rgb="FFFF0000"/>
      <name val="Arial Unicode MS"/>
      <family val="2"/>
    </font>
    <font>
      <sz val="10"/>
      <color rgb="FFFF0000"/>
      <name val="Trebuchet MS"/>
      <family val="2"/>
    </font>
    <font>
      <b/>
      <sz val="10"/>
      <color rgb="FFFF0000"/>
      <name val="Trebuchet MS"/>
      <family val="2"/>
    </font>
    <font>
      <sz val="10"/>
      <color rgb="FFFF0000"/>
      <name val="Arial"/>
      <family val="2"/>
    </font>
    <font>
      <sz val="10"/>
      <color theme="1"/>
      <name val="Arial"/>
      <family val="2"/>
    </font>
    <font>
      <sz val="11"/>
      <color theme="1"/>
      <name val="Cambria"/>
      <family val="1"/>
    </font>
    <font>
      <sz val="10"/>
      <color theme="1"/>
      <name val="Cambria"/>
      <family val="1"/>
    </font>
    <font>
      <b/>
      <sz val="11"/>
      <color theme="1"/>
      <name val="Cambria"/>
      <family val="1"/>
    </font>
    <font>
      <b/>
      <sz val="10"/>
      <color theme="1"/>
      <name val="Cambria"/>
      <family val="1"/>
    </font>
    <font>
      <sz val="10"/>
      <color indexed="64"/>
      <name val="Gadugi"/>
      <family val="2"/>
    </font>
    <font>
      <b/>
      <sz val="12"/>
      <color indexed="64"/>
      <name val="Gadugi"/>
      <family val="2"/>
    </font>
    <font>
      <b/>
      <sz val="10"/>
      <color indexed="64"/>
      <name val="Gadugi"/>
      <family val="2"/>
    </font>
    <font>
      <vertAlign val="superscript"/>
      <sz val="10"/>
      <color indexed="64"/>
      <name val="Gadugi"/>
      <family val="2"/>
    </font>
    <font>
      <sz val="10"/>
      <color indexed="10"/>
      <name val="Gadugi"/>
      <family val="2"/>
    </font>
    <font>
      <b/>
      <sz val="10"/>
      <name val="Gadugi"/>
      <family val="2"/>
    </font>
    <font>
      <sz val="10"/>
      <name val="Gadugi"/>
      <family val="2"/>
    </font>
    <font>
      <b/>
      <sz val="10"/>
      <color indexed="10"/>
      <name val="Gadugi"/>
      <family val="2"/>
    </font>
    <font>
      <sz val="9"/>
      <color indexed="10"/>
      <name val="Gadugi"/>
      <family val="2"/>
    </font>
    <font>
      <sz val="9"/>
      <name val="Gadugi"/>
      <family val="2"/>
    </font>
    <font>
      <b/>
      <sz val="8"/>
      <color indexed="64"/>
      <name val="Gadugi"/>
      <family val="2"/>
    </font>
    <font>
      <sz val="8"/>
      <color indexed="64"/>
      <name val="Gadugi"/>
      <family val="2"/>
    </font>
    <font>
      <sz val="11"/>
      <name val="Gadugi"/>
      <family val="2"/>
    </font>
    <font>
      <sz val="10"/>
      <color theme="1"/>
      <name val="Gadugi"/>
      <family val="2"/>
    </font>
    <font>
      <sz val="10"/>
      <color rgb="FFFF0000"/>
      <name val="Gadugi"/>
      <family val="2"/>
    </font>
    <font>
      <vertAlign val="superscript"/>
      <sz val="10"/>
      <name val="Gadugi"/>
      <family val="2"/>
    </font>
    <font>
      <b/>
      <sz val="8"/>
      <name val="Gadugi"/>
      <family val="2"/>
    </font>
    <font>
      <b/>
      <sz val="11"/>
      <name val="Gadugi"/>
      <family val="2"/>
    </font>
    <font>
      <sz val="8"/>
      <name val="Gadugi"/>
      <family val="2"/>
    </font>
    <font>
      <sz val="8"/>
      <color indexed="10"/>
      <name val="Gadugi"/>
      <family val="2"/>
    </font>
    <font>
      <b/>
      <sz val="10"/>
      <color theme="1"/>
      <name val="Gadugi"/>
      <family val="2"/>
    </font>
    <font>
      <b/>
      <u/>
      <sz val="10"/>
      <color theme="1"/>
      <name val="Gadugi"/>
      <family val="2"/>
    </font>
    <font>
      <sz val="10"/>
      <color indexed="8"/>
      <name val="Gadugi"/>
      <family val="2"/>
    </font>
    <font>
      <b/>
      <sz val="10"/>
      <color indexed="8"/>
      <name val="Gadugi"/>
      <family val="2"/>
    </font>
    <font>
      <b/>
      <sz val="8"/>
      <color theme="1"/>
      <name val="Gadugi"/>
      <family val="2"/>
    </font>
    <font>
      <sz val="9"/>
      <color theme="1"/>
      <name val="Gadugi"/>
      <family val="2"/>
    </font>
    <font>
      <sz val="8"/>
      <color theme="1"/>
      <name val="Gadugi"/>
      <family val="2"/>
    </font>
    <font>
      <b/>
      <sz val="9"/>
      <color theme="1"/>
      <name val="Gadugi"/>
      <family val="2"/>
    </font>
    <font>
      <b/>
      <sz val="14"/>
      <name val="Gadugi"/>
      <family val="2"/>
    </font>
    <font>
      <sz val="12"/>
      <color indexed="64"/>
      <name val="Gadugi"/>
      <family val="2"/>
    </font>
    <font>
      <b/>
      <u/>
      <sz val="12"/>
      <color indexed="64"/>
      <name val="Gadugi"/>
      <family val="2"/>
    </font>
    <font>
      <b/>
      <u/>
      <sz val="14"/>
      <name val="Gadugi"/>
      <family val="2"/>
    </font>
    <font>
      <b/>
      <sz val="9"/>
      <color indexed="10"/>
      <name val="Arial"/>
      <family val="2"/>
    </font>
    <font>
      <sz val="10"/>
      <color indexed="64"/>
      <name val="Arial Unicode MS"/>
      <family val="2"/>
    </font>
    <font>
      <sz val="10"/>
      <name val="Calibri"/>
      <family val="2"/>
    </font>
    <font>
      <sz val="11"/>
      <color indexed="64"/>
      <name val="Gadugi"/>
      <family val="2"/>
    </font>
    <font>
      <b/>
      <sz val="11"/>
      <color indexed="64"/>
      <name val="Gadugi"/>
      <family val="2"/>
    </font>
    <font>
      <sz val="11"/>
      <color indexed="8"/>
      <name val="Gadugi"/>
      <family val="2"/>
    </font>
    <font>
      <b/>
      <u/>
      <sz val="12"/>
      <name val="Arial"/>
      <family val="2"/>
    </font>
    <font>
      <sz val="14"/>
      <name val="Gadugi"/>
      <family val="2"/>
    </font>
    <font>
      <b/>
      <u/>
      <sz val="10"/>
      <color indexed="64"/>
      <name val="Gadugi"/>
      <family val="2"/>
    </font>
    <font>
      <sz val="10"/>
      <color theme="1"/>
      <name val="Tahoma"/>
      <family val="2"/>
    </font>
    <font>
      <sz val="10"/>
      <color theme="1"/>
      <name val="Arial Narrow"/>
      <family val="2"/>
    </font>
    <font>
      <b/>
      <sz val="10"/>
      <color theme="1"/>
      <name val="Tahoma"/>
      <family val="2"/>
    </font>
    <font>
      <b/>
      <sz val="9"/>
      <name val="Times New Roman"/>
      <family val="1"/>
    </font>
    <font>
      <sz val="12"/>
      <color rgb="FF00B0F0"/>
      <name val="Arial"/>
      <family val="2"/>
    </font>
    <font>
      <b/>
      <sz val="10"/>
      <color indexed="64"/>
      <name val="Gadugi"/>
      <family val="2"/>
    </font>
    <font>
      <b/>
      <u/>
      <sz val="10"/>
      <name val="Arial"/>
      <family val="2"/>
    </font>
    <font>
      <sz val="16"/>
      <name val="Comic Sans MS"/>
      <family val="4"/>
    </font>
    <font>
      <b/>
      <sz val="16"/>
      <name val="Comic Sans MS"/>
      <family val="4"/>
    </font>
    <font>
      <b/>
      <u/>
      <sz val="12"/>
      <color indexed="64"/>
      <name val="Arial Unicode MS"/>
      <family val="2"/>
    </font>
    <font>
      <b/>
      <u/>
      <sz val="14"/>
      <color indexed="64"/>
      <name val="Gadugi"/>
      <family val="2"/>
    </font>
    <font>
      <b/>
      <sz val="14"/>
      <color indexed="64"/>
      <name val="Gadugi"/>
      <family val="2"/>
    </font>
    <font>
      <b/>
      <sz val="11"/>
      <color theme="1"/>
      <name val="Gadugi"/>
      <family val="2"/>
    </font>
    <font>
      <b/>
      <sz val="14"/>
      <name val="Arial Narrow"/>
      <family val="2"/>
    </font>
    <font>
      <sz val="14"/>
      <name val="Arial Narrow"/>
      <family val="2"/>
    </font>
    <font>
      <sz val="12"/>
      <name val="Comic Sans MS"/>
      <family val="4"/>
    </font>
    <font>
      <sz val="12"/>
      <name val="Arial Narrow"/>
      <family val="2"/>
    </font>
    <font>
      <sz val="12"/>
      <name val="Constantia"/>
      <family val="1"/>
    </font>
    <font>
      <sz val="9"/>
      <color theme="1"/>
      <name val="Arial"/>
      <family val="2"/>
    </font>
    <font>
      <b/>
      <sz val="9"/>
      <color theme="1"/>
      <name val="Arial"/>
      <family val="2"/>
    </font>
    <font>
      <sz val="9"/>
      <color indexed="64"/>
      <name val="Gadugi"/>
      <family val="2"/>
    </font>
    <font>
      <b/>
      <sz val="9"/>
      <color indexed="64"/>
      <name val="Gadugi"/>
      <family val="2"/>
    </font>
    <font>
      <b/>
      <u/>
      <sz val="16"/>
      <name val="Comic Sans MS"/>
      <family val="4"/>
    </font>
    <font>
      <sz val="14"/>
      <name val="Comic Sans MS"/>
      <family val="4"/>
    </font>
    <font>
      <u/>
      <sz val="14"/>
      <name val="Gadugi"/>
      <family val="2"/>
    </font>
    <font>
      <sz val="9"/>
      <color indexed="64"/>
      <name val="Arial"/>
      <family val="2"/>
    </font>
    <font>
      <sz val="16"/>
      <color rgb="FFFF0000"/>
      <name val="Gadugi"/>
      <family val="2"/>
    </font>
    <font>
      <sz val="14"/>
      <color rgb="FFFF0000"/>
      <name val="Gadugi"/>
      <family val="2"/>
    </font>
    <font>
      <sz val="12"/>
      <color rgb="FFFF0000"/>
      <name val="Arial"/>
      <family val="2"/>
    </font>
    <font>
      <b/>
      <sz val="12"/>
      <name val="Gadugi"/>
      <family val="2"/>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31"/>
        <bgColor indexed="31"/>
      </patternFill>
    </fill>
    <fill>
      <patternFill patternType="solid">
        <fgColor indexed="44"/>
        <bgColor indexed="44"/>
      </patternFill>
    </fill>
    <fill>
      <patternFill patternType="solid">
        <fgColor indexed="10"/>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57"/>
      </patternFill>
    </fill>
    <fill>
      <patternFill patternType="solid">
        <fgColor indexed="42"/>
        <bgColor indexed="42"/>
      </patternFill>
    </fill>
    <fill>
      <patternFill patternType="solid">
        <fgColor indexed="27"/>
        <bgColor indexed="27"/>
      </patternFill>
    </fill>
    <fill>
      <patternFill patternType="solid">
        <fgColor indexed="53"/>
      </patternFill>
    </fill>
    <fill>
      <patternFill patternType="solid">
        <fgColor indexed="47"/>
        <bgColor indexed="47"/>
      </patternFill>
    </fill>
    <fill>
      <patternFill patternType="solid">
        <fgColor indexed="22"/>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9"/>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s>
  <borders count="7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right style="thin">
        <color indexed="64"/>
      </right>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right/>
      <top style="hair">
        <color indexed="64"/>
      </top>
      <bottom style="hair">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hair">
        <color indexed="64"/>
      </right>
      <top/>
      <bottom/>
      <diagonal/>
    </border>
    <border>
      <left style="hair">
        <color indexed="64"/>
      </left>
      <right style="hair">
        <color indexed="64"/>
      </right>
      <top style="thin">
        <color indexed="64"/>
      </top>
      <bottom style="medium">
        <color indexed="64"/>
      </bottom>
      <diagonal/>
    </border>
    <border>
      <left style="thin">
        <color indexed="23"/>
      </left>
      <right/>
      <top style="thin">
        <color indexed="23"/>
      </top>
      <bottom style="thin">
        <color indexed="23"/>
      </bottom>
      <diagonal/>
    </border>
    <border>
      <left style="thin">
        <color indexed="64"/>
      </left>
      <right/>
      <top/>
      <bottom/>
      <diagonal/>
    </border>
    <border>
      <left/>
      <right style="thin">
        <color indexed="23"/>
      </right>
      <top style="thin">
        <color indexed="23"/>
      </top>
      <bottom style="thin">
        <color indexed="23"/>
      </bottom>
      <diagonal/>
    </border>
    <border>
      <left style="dashed">
        <color indexed="55"/>
      </left>
      <right style="dashed">
        <color indexed="55"/>
      </right>
      <top style="dashed">
        <color indexed="55"/>
      </top>
      <bottom style="dashed">
        <color indexed="55"/>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dashed">
        <color indexed="55"/>
      </right>
      <top style="dashed">
        <color indexed="55"/>
      </top>
      <bottom style="dashed">
        <color indexed="55"/>
      </bottom>
      <diagonal/>
    </border>
    <border>
      <left/>
      <right style="dashed">
        <color indexed="55"/>
      </right>
      <top/>
      <bottom style="dashed">
        <color indexed="55"/>
      </bottom>
      <diagonal/>
    </border>
    <border>
      <left style="thin">
        <color indexed="64"/>
      </left>
      <right/>
      <top style="thin">
        <color indexed="64"/>
      </top>
      <bottom style="thin">
        <color indexed="64"/>
      </bottom>
      <diagonal/>
    </border>
    <border>
      <left/>
      <right/>
      <top/>
      <bottom style="medium">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top style="thin">
        <color indexed="23"/>
      </top>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dotted">
        <color auto="1"/>
      </left>
      <right/>
      <top style="dotted">
        <color auto="1"/>
      </top>
      <bottom style="dotted">
        <color auto="1"/>
      </bottom>
      <diagonal/>
    </border>
    <border>
      <left style="dotted">
        <color auto="1"/>
      </left>
      <right/>
      <top style="dotted">
        <color auto="1"/>
      </top>
      <bottom/>
      <diagonal/>
    </border>
    <border>
      <left style="thin">
        <color indexed="64"/>
      </left>
      <right/>
      <top style="thin">
        <color indexed="64"/>
      </top>
      <bottom/>
      <diagonal/>
    </border>
    <border>
      <left/>
      <right/>
      <top style="thin">
        <color indexed="64"/>
      </top>
      <bottom/>
      <diagonal/>
    </border>
    <border>
      <left style="thin">
        <color indexed="23"/>
      </left>
      <right/>
      <top style="thin">
        <color indexed="23"/>
      </top>
      <bottom/>
      <diagonal/>
    </border>
    <border>
      <left/>
      <right style="thin">
        <color indexed="23"/>
      </right>
      <top style="thin">
        <color indexed="23"/>
      </top>
      <bottom/>
      <diagonal/>
    </border>
    <border>
      <left style="hair">
        <color indexed="64"/>
      </left>
      <right style="hair">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thin">
        <color indexed="64"/>
      </left>
      <right style="hair">
        <color indexed="64"/>
      </right>
      <top style="double">
        <color indexed="64"/>
      </top>
      <bottom style="double">
        <color indexed="64"/>
      </bottom>
      <diagonal/>
    </border>
    <border>
      <left/>
      <right/>
      <top/>
      <bottom style="double">
        <color indexed="64"/>
      </bottom>
      <diagonal/>
    </border>
    <border>
      <left/>
      <right/>
      <top style="thin">
        <color indexed="64"/>
      </top>
      <bottom style="medium">
        <color indexed="64"/>
      </bottom>
      <diagonal/>
    </border>
    <border>
      <left style="thin">
        <color indexed="23"/>
      </left>
      <right/>
      <top/>
      <bottom style="thin">
        <color indexed="23"/>
      </bottom>
      <diagonal/>
    </border>
    <border>
      <left/>
      <right/>
      <top/>
      <bottom style="thin">
        <color indexed="23"/>
      </bottom>
      <diagonal/>
    </border>
    <border>
      <left/>
      <right style="thin">
        <color indexed="64"/>
      </right>
      <top style="thin">
        <color indexed="64"/>
      </top>
      <bottom/>
      <diagonal/>
    </border>
  </borders>
  <cellStyleXfs count="308">
    <xf numFmtId="0" fontId="0" fillId="0" borderId="0">
      <alignment vertical="center"/>
    </xf>
    <xf numFmtId="0" fontId="11" fillId="2" borderId="0" applyNumberFormat="0" applyBorder="0" applyAlignment="0" applyProtection="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2" fillId="18"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2" fillId="22"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1" fillId="20" borderId="0" applyNumberFormat="0" applyBorder="0" applyAlignment="0" applyProtection="0"/>
    <xf numFmtId="0" fontId="11" fillId="24" borderId="0" applyNumberFormat="0" applyBorder="0" applyAlignment="0" applyProtection="0"/>
    <xf numFmtId="0" fontId="12" fillId="21"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2" fillId="21"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1" fillId="25" borderId="0" applyNumberFormat="0" applyBorder="0" applyAlignment="0" applyProtection="0"/>
    <xf numFmtId="0" fontId="11" fillId="17" borderId="0" applyNumberFormat="0" applyBorder="0" applyAlignment="0" applyProtection="0"/>
    <xf numFmtId="0" fontId="12" fillId="18"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1" fillId="20" borderId="0" applyNumberFormat="0" applyBorder="0" applyAlignment="0" applyProtection="0"/>
    <xf numFmtId="0" fontId="11" fillId="27" borderId="0" applyNumberFormat="0" applyBorder="0" applyAlignment="0" applyProtection="0"/>
    <xf numFmtId="0" fontId="12" fillId="27"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55" fillId="0" borderId="0" applyFill="0" applyBorder="0" applyAlignment="0"/>
    <xf numFmtId="0" fontId="14" fillId="28" borderId="1" applyNumberFormat="0" applyAlignment="0" applyProtection="0"/>
    <xf numFmtId="0" fontId="14" fillId="28" borderId="1" applyNumberFormat="0" applyAlignment="0" applyProtection="0"/>
    <xf numFmtId="0" fontId="15" fillId="29" borderId="2" applyNumberFormat="0" applyAlignment="0" applyProtection="0"/>
    <xf numFmtId="0" fontId="15" fillId="29" borderId="2" applyNumberFormat="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43" fontId="32" fillId="0" borderId="0" applyFont="0" applyFill="0" applyBorder="0" applyAlignment="0" applyProtection="0"/>
    <xf numFmtId="6" fontId="28" fillId="0" borderId="0" applyFont="0" applyFill="0" applyBorder="0" applyAlignment="0" applyProtection="0"/>
    <xf numFmtId="6" fontId="28" fillId="0" borderId="0" applyFont="0" applyFill="0" applyBorder="0" applyAlignment="0" applyProtection="0"/>
    <xf numFmtId="6" fontId="28"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1" fillId="0" borderId="0" applyFont="0" applyFill="0" applyBorder="0" applyAlignment="0" applyProtection="0"/>
    <xf numFmtId="0" fontId="56" fillId="0" borderId="0" applyNumberFormat="0" applyAlignment="0">
      <alignment horizontal="left"/>
    </xf>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26" fillId="30" borderId="0" applyNumberFormat="0" applyBorder="0" applyAlignment="0" applyProtection="0"/>
    <xf numFmtId="0" fontId="26" fillId="31" borderId="0" applyNumberFormat="0" applyBorder="0" applyAlignment="0" applyProtection="0"/>
    <xf numFmtId="0" fontId="26" fillId="32" borderId="0" applyNumberFormat="0" applyBorder="0" applyAlignment="0" applyProtection="0"/>
    <xf numFmtId="0" fontId="57" fillId="0" borderId="0" applyNumberFormat="0" applyAlignment="0">
      <alignment horizontal="left"/>
    </xf>
    <xf numFmtId="175" fontId="32" fillId="0" borderId="0" applyFont="0" applyFill="0" applyBorder="0" applyAlignment="0" applyProtection="0"/>
    <xf numFmtId="0" fontId="11" fillId="0" borderId="0"/>
    <xf numFmtId="0" fontId="16" fillId="0" borderId="0" applyNumberFormat="0" applyFill="0" applyBorder="0" applyAlignment="0" applyProtection="0"/>
    <xf numFmtId="0" fontId="16" fillId="0" borderId="0" applyNumberFormat="0" applyFill="0" applyBorder="0" applyAlignment="0" applyProtection="0"/>
    <xf numFmtId="2" fontId="32" fillId="0" borderId="0" applyFont="0" applyFill="0" applyBorder="0" applyAlignment="0" applyProtection="0"/>
    <xf numFmtId="1" fontId="32" fillId="0" borderId="0"/>
    <xf numFmtId="0" fontId="17" fillId="4" borderId="0" applyNumberFormat="0" applyBorder="0" applyAlignment="0" applyProtection="0"/>
    <xf numFmtId="0" fontId="17" fillId="4" borderId="0" applyNumberFormat="0" applyBorder="0" applyAlignment="0" applyProtection="0"/>
    <xf numFmtId="38" fontId="58" fillId="33" borderId="0" applyNumberFormat="0" applyBorder="0" applyAlignment="0" applyProtection="0"/>
    <xf numFmtId="0" fontId="46" fillId="0" borderId="3" applyNumberFormat="0" applyAlignment="0" applyProtection="0">
      <alignment horizontal="left" vertical="center"/>
    </xf>
    <xf numFmtId="0" fontId="46" fillId="0" borderId="4">
      <alignment horizontal="left" vertical="center"/>
    </xf>
    <xf numFmtId="0" fontId="18" fillId="0" borderId="5"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6" applyNumberFormat="0" applyFill="0" applyAlignment="0" applyProtection="0"/>
    <xf numFmtId="0" fontId="20" fillId="0" borderId="7" applyNumberFormat="0" applyFill="0" applyAlignment="0" applyProtection="0"/>
    <xf numFmtId="0" fontId="20" fillId="0" borderId="7"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59" fillId="0" borderId="0" applyNumberFormat="0" applyFill="0" applyBorder="0" applyAlignment="0" applyProtection="0">
      <alignment vertical="top"/>
      <protection locked="0"/>
    </xf>
    <xf numFmtId="10" fontId="58" fillId="34" borderId="8" applyNumberFormat="0" applyBorder="0" applyAlignment="0" applyProtection="0"/>
    <xf numFmtId="0" fontId="21" fillId="7" borderId="1" applyNumberFormat="0" applyAlignment="0" applyProtection="0"/>
    <xf numFmtId="0" fontId="21" fillId="7" borderId="1" applyNumberFormat="0" applyAlignment="0" applyProtection="0"/>
    <xf numFmtId="0" fontId="22" fillId="0" borderId="9" applyNumberFormat="0" applyFill="0" applyAlignment="0" applyProtection="0"/>
    <xf numFmtId="0" fontId="22" fillId="0" borderId="9" applyNumberFormat="0" applyFill="0" applyAlignment="0" applyProtection="0"/>
    <xf numFmtId="0" fontId="60" fillId="0" borderId="0" applyProtection="0">
      <alignment horizontal="center" vertical="center"/>
    </xf>
    <xf numFmtId="0" fontId="61" fillId="0" borderId="0">
      <alignment vertical="top"/>
    </xf>
    <xf numFmtId="172" fontId="62" fillId="0" borderId="10">
      <alignment horizontal="right"/>
    </xf>
    <xf numFmtId="0" fontId="63" fillId="0" borderId="8">
      <alignment wrapText="1"/>
    </xf>
    <xf numFmtId="0" fontId="23" fillId="35" borderId="0" applyNumberFormat="0" applyBorder="0" applyAlignment="0" applyProtection="0"/>
    <xf numFmtId="0" fontId="23" fillId="35" borderId="0" applyNumberFormat="0" applyBorder="0" applyAlignment="0" applyProtection="0"/>
    <xf numFmtId="37" fontId="64" fillId="0" borderId="0"/>
    <xf numFmtId="0" fontId="28" fillId="0" borderId="0"/>
    <xf numFmtId="0" fontId="32" fillId="0" borderId="0"/>
    <xf numFmtId="0" fontId="32" fillId="0" borderId="0"/>
    <xf numFmtId="0" fontId="32" fillId="0" borderId="0"/>
    <xf numFmtId="0" fontId="28" fillId="0" borderId="0"/>
    <xf numFmtId="0" fontId="32" fillId="0" borderId="0"/>
    <xf numFmtId="0" fontId="32" fillId="0" borderId="0"/>
    <xf numFmtId="0" fontId="32" fillId="0" borderId="0"/>
    <xf numFmtId="0" fontId="32" fillId="0" borderId="0"/>
    <xf numFmtId="0" fontId="45" fillId="0" borderId="0"/>
    <xf numFmtId="0" fontId="32" fillId="0" borderId="0"/>
    <xf numFmtId="0" fontId="49" fillId="0" borderId="0"/>
    <xf numFmtId="0" fontId="49" fillId="0" borderId="0"/>
    <xf numFmtId="0" fontId="45" fillId="0" borderId="0"/>
    <xf numFmtId="0" fontId="32" fillId="0" borderId="0">
      <alignment vertical="center"/>
    </xf>
    <xf numFmtId="0" fontId="49" fillId="0" borderId="0"/>
    <xf numFmtId="0" fontId="49" fillId="0" borderId="0"/>
    <xf numFmtId="0" fontId="99" fillId="0" borderId="0"/>
    <xf numFmtId="0" fontId="32" fillId="0" borderId="0">
      <alignment vertical="center"/>
    </xf>
    <xf numFmtId="0" fontId="99" fillId="0" borderId="0"/>
    <xf numFmtId="0" fontId="45" fillId="0" borderId="0"/>
    <xf numFmtId="0" fontId="28" fillId="0" borderId="0"/>
    <xf numFmtId="0" fontId="32" fillId="0" borderId="0"/>
    <xf numFmtId="0" fontId="28"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9" fillId="0" borderId="0"/>
    <xf numFmtId="0" fontId="28" fillId="0" borderId="0"/>
    <xf numFmtId="0" fontId="49" fillId="0" borderId="0"/>
    <xf numFmtId="0" fontId="45" fillId="0" borderId="0"/>
    <xf numFmtId="0" fontId="45" fillId="0" borderId="0"/>
    <xf numFmtId="0" fontId="49" fillId="0" borderId="0"/>
    <xf numFmtId="0" fontId="32" fillId="0" borderId="0"/>
    <xf numFmtId="0" fontId="45" fillId="0" borderId="0"/>
    <xf numFmtId="0" fontId="45" fillId="0" borderId="0"/>
    <xf numFmtId="0" fontId="45" fillId="0" borderId="0"/>
    <xf numFmtId="0" fontId="45" fillId="0" borderId="0"/>
    <xf numFmtId="0" fontId="45" fillId="0" borderId="0"/>
    <xf numFmtId="0" fontId="45"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9" fillId="0" borderId="0"/>
    <xf numFmtId="0" fontId="32" fillId="0" borderId="0"/>
    <xf numFmtId="0" fontId="49" fillId="0" borderId="0"/>
    <xf numFmtId="0" fontId="45" fillId="0" borderId="0"/>
    <xf numFmtId="0" fontId="11" fillId="0" borderId="0"/>
    <xf numFmtId="0" fontId="11" fillId="0" borderId="0"/>
    <xf numFmtId="0" fontId="11" fillId="0" borderId="0"/>
    <xf numFmtId="0" fontId="11" fillId="0" borderId="0"/>
    <xf numFmtId="0" fontId="11" fillId="0" borderId="0"/>
    <xf numFmtId="0" fontId="2" fillId="0" borderId="0">
      <alignment vertical="center"/>
    </xf>
    <xf numFmtId="0" fontId="80" fillId="0" borderId="0"/>
    <xf numFmtId="0" fontId="49" fillId="0" borderId="0"/>
    <xf numFmtId="0" fontId="32" fillId="0" borderId="0"/>
    <xf numFmtId="0" fontId="2" fillId="0" borderId="0">
      <alignment vertical="center"/>
    </xf>
    <xf numFmtId="0" fontId="45" fillId="0" borderId="0"/>
    <xf numFmtId="0" fontId="28" fillId="0" borderId="0"/>
    <xf numFmtId="0" fontId="32" fillId="0" borderId="0"/>
    <xf numFmtId="0" fontId="32" fillId="0" borderId="0"/>
    <xf numFmtId="0" fontId="45" fillId="0" borderId="0"/>
    <xf numFmtId="0" fontId="49" fillId="0" borderId="0"/>
    <xf numFmtId="0" fontId="49" fillId="0" borderId="0"/>
    <xf numFmtId="0" fontId="49" fillId="0" borderId="0"/>
    <xf numFmtId="0" fontId="49"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9" fillId="0" borderId="0"/>
    <xf numFmtId="0" fontId="28" fillId="0" borderId="0"/>
    <xf numFmtId="0" fontId="45" fillId="0" borderId="0"/>
    <xf numFmtId="0" fontId="45" fillId="0" borderId="0"/>
    <xf numFmtId="0" fontId="43" fillId="0" borderId="0"/>
    <xf numFmtId="0" fontId="45" fillId="0" borderId="0"/>
    <xf numFmtId="0" fontId="28" fillId="0" borderId="0"/>
    <xf numFmtId="0" fontId="32" fillId="36" borderId="11" applyNumberFormat="0" applyFont="0" applyAlignment="0" applyProtection="0"/>
    <xf numFmtId="0" fontId="32" fillId="36" borderId="11" applyNumberFormat="0" applyFont="0" applyAlignment="0" applyProtection="0"/>
    <xf numFmtId="0" fontId="24" fillId="28" borderId="12" applyNumberFormat="0" applyAlignment="0" applyProtection="0"/>
    <xf numFmtId="0" fontId="24" fillId="28" borderId="12" applyNumberFormat="0" applyAlignment="0" applyProtection="0"/>
    <xf numFmtId="10" fontId="28" fillId="0" borderId="0" applyFont="0" applyFill="0" applyBorder="0" applyAlignment="0" applyProtection="0"/>
    <xf numFmtId="9" fontId="32" fillId="0" borderId="0" applyFont="0" applyFill="0" applyBorder="0" applyAlignment="0" applyProtection="0"/>
    <xf numFmtId="9" fontId="1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32" fillId="0" borderId="0" applyFont="0" applyFill="0" applyBorder="0" applyAlignment="0" applyProtection="0"/>
    <xf numFmtId="9" fontId="45" fillId="0" borderId="0" applyFont="0" applyFill="0" applyBorder="0" applyAlignment="0" applyProtection="0"/>
    <xf numFmtId="9" fontId="28" fillId="0" borderId="0" applyFont="0" applyFill="0" applyBorder="0" applyAlignment="0" applyProtection="0"/>
    <xf numFmtId="14" fontId="65" fillId="0" borderId="0" applyNumberFormat="0" applyFill="0" applyBorder="0" applyAlignment="0" applyProtection="0">
      <alignment horizontal="left"/>
    </xf>
    <xf numFmtId="0" fontId="66" fillId="0" borderId="0" applyNumberFormat="0" applyFill="0" applyBorder="0" applyAlignment="0" applyProtection="0"/>
    <xf numFmtId="0" fontId="67" fillId="0" borderId="8">
      <alignment horizontal="center"/>
    </xf>
    <xf numFmtId="0" fontId="43" fillId="0" borderId="0"/>
    <xf numFmtId="0" fontId="81" fillId="0" borderId="0"/>
    <xf numFmtId="0" fontId="81" fillId="0" borderId="0"/>
    <xf numFmtId="0" fontId="67" fillId="0" borderId="8">
      <alignment horizontal="center"/>
    </xf>
    <xf numFmtId="0" fontId="67" fillId="0" borderId="0">
      <alignment horizontal="center" vertical="center"/>
    </xf>
    <xf numFmtId="0" fontId="68" fillId="37" borderId="0" applyNumberFormat="0" applyFill="0">
      <alignment horizontal="left" vertical="center"/>
    </xf>
    <xf numFmtId="0" fontId="69" fillId="0" borderId="8">
      <alignment horizontal="center" vertical="center" wrapText="1"/>
    </xf>
    <xf numFmtId="40" fontId="70" fillId="0" borderId="0" applyBorder="0">
      <alignment horizontal="right"/>
    </xf>
    <xf numFmtId="169" fontId="32" fillId="0" borderId="0" applyFont="0" applyFill="0" applyBorder="0" applyAlignment="0" applyProtection="0"/>
    <xf numFmtId="0" fontId="32" fillId="0" borderId="0"/>
    <xf numFmtId="40" fontId="48" fillId="0" borderId="0"/>
    <xf numFmtId="0" fontId="25" fillId="0" borderId="0" applyNumberFormat="0" applyFill="0" applyBorder="0" applyAlignment="0" applyProtection="0"/>
    <xf numFmtId="0" fontId="25" fillId="0" borderId="0" applyNumberFormat="0" applyFill="0" applyBorder="0" applyAlignment="0" applyProtection="0"/>
    <xf numFmtId="0" fontId="26" fillId="0" borderId="13" applyNumberFormat="0" applyFill="0" applyAlignment="0" applyProtection="0"/>
    <xf numFmtId="0" fontId="26" fillId="0" borderId="13" applyNumberFormat="0" applyFill="0" applyAlignment="0" applyProtection="0"/>
    <xf numFmtId="178" fontId="79" fillId="0" borderId="8">
      <alignment horizontal="center" vertical="center"/>
    </xf>
    <xf numFmtId="178" fontId="79" fillId="0" borderId="8">
      <alignment horizontal="center" vertical="center"/>
    </xf>
    <xf numFmtId="0" fontId="32" fillId="0" borderId="14">
      <alignment horizontal="center"/>
    </xf>
    <xf numFmtId="0" fontId="27" fillId="0" borderId="0" applyNumberFormat="0" applyFill="0" applyBorder="0" applyAlignment="0" applyProtection="0"/>
    <xf numFmtId="0" fontId="27" fillId="0" borderId="0" applyNumberFormat="0" applyFill="0" applyBorder="0" applyAlignment="0" applyProtection="0"/>
    <xf numFmtId="0" fontId="49" fillId="0" borderId="0"/>
    <xf numFmtId="0" fontId="45" fillId="0" borderId="0"/>
    <xf numFmtId="0" fontId="28" fillId="0" borderId="0"/>
    <xf numFmtId="0" fontId="28" fillId="0" borderId="0"/>
    <xf numFmtId="0" fontId="28" fillId="0" borderId="0"/>
    <xf numFmtId="9" fontId="45" fillId="0" borderId="0" applyFont="0" applyFill="0" applyBorder="0" applyAlignment="0" applyProtection="0"/>
    <xf numFmtId="0" fontId="28" fillId="0" borderId="0">
      <alignment vertical="center"/>
    </xf>
    <xf numFmtId="0" fontId="28" fillId="0" borderId="0">
      <alignment vertical="center"/>
    </xf>
    <xf numFmtId="0" fontId="28" fillId="0" borderId="0"/>
    <xf numFmtId="0" fontId="1" fillId="0" borderId="0">
      <alignment vertical="center"/>
    </xf>
    <xf numFmtId="0" fontId="28" fillId="0" borderId="0"/>
    <xf numFmtId="0" fontId="28" fillId="0" borderId="0"/>
    <xf numFmtId="0" fontId="45" fillId="0" borderId="0"/>
    <xf numFmtId="0" fontId="49" fillId="0" borderId="0"/>
    <xf numFmtId="0" fontId="28" fillId="0" borderId="0"/>
    <xf numFmtId="0" fontId="28" fillId="0" borderId="8">
      <alignment vertical="center" wrapText="1" shrinkToFit="1"/>
    </xf>
  </cellStyleXfs>
  <cellXfs count="2305">
    <xf numFmtId="0" fontId="0" fillId="0" borderId="0" xfId="0" applyAlignment="1"/>
    <xf numFmtId="0" fontId="1" fillId="0" borderId="0" xfId="0" applyFont="1" applyAlignment="1"/>
    <xf numFmtId="0" fontId="4" fillId="0" borderId="0" xfId="0" applyFont="1" applyAlignment="1"/>
    <xf numFmtId="0" fontId="6" fillId="0" borderId="0" xfId="0" applyFont="1" applyAlignment="1">
      <alignment horizontal="center" vertical="center" wrapText="1"/>
    </xf>
    <xf numFmtId="0" fontId="1" fillId="0" borderId="0" xfId="0" applyFont="1" applyAlignment="1">
      <alignment horizontal="center" vertical="center" wrapText="1"/>
    </xf>
    <xf numFmtId="49" fontId="1" fillId="0" borderId="0" xfId="0" applyNumberFormat="1" applyFont="1" applyAlignment="1">
      <alignment horizontal="left" vertical="center" wrapText="1"/>
    </xf>
    <xf numFmtId="0" fontId="1" fillId="0" borderId="0" xfId="0" applyFont="1" applyAlignment="1">
      <alignment vertical="center" wrapText="1"/>
    </xf>
    <xf numFmtId="0" fontId="4" fillId="0" borderId="8" xfId="0" applyFont="1" applyBorder="1" applyAlignment="1">
      <alignment horizontal="center" vertical="center" wrapText="1"/>
    </xf>
    <xf numFmtId="49" fontId="4" fillId="0" borderId="8" xfId="0" applyNumberFormat="1" applyFont="1" applyBorder="1" applyAlignment="1">
      <alignment horizontal="left" vertical="center" wrapText="1"/>
    </xf>
    <xf numFmtId="0" fontId="4" fillId="0" borderId="0" xfId="0" applyFont="1" applyAlignment="1">
      <alignment horizontal="center" vertical="center" wrapText="1"/>
    </xf>
    <xf numFmtId="49" fontId="3" fillId="0" borderId="0" xfId="0" applyNumberFormat="1" applyFont="1" applyAlignment="1">
      <alignment horizontal="center" vertical="center" wrapText="1"/>
    </xf>
    <xf numFmtId="0" fontId="0" fillId="0" borderId="0" xfId="0" applyAlignment="1">
      <alignment vertical="center" wrapText="1"/>
    </xf>
    <xf numFmtId="2" fontId="4" fillId="0" borderId="8" xfId="0" applyNumberFormat="1" applyFont="1" applyBorder="1" applyAlignment="1">
      <alignment horizontal="center" vertical="center" wrapText="1"/>
    </xf>
    <xf numFmtId="165" fontId="4" fillId="0" borderId="8" xfId="0" applyNumberFormat="1" applyFont="1" applyBorder="1" applyAlignment="1">
      <alignment horizontal="justify" vertical="top" wrapText="1"/>
    </xf>
    <xf numFmtId="0" fontId="4" fillId="0" borderId="1" xfId="0" applyFont="1" applyBorder="1" applyAlignment="1"/>
    <xf numFmtId="49" fontId="8" fillId="0" borderId="8" xfId="0" applyNumberFormat="1" applyFont="1" applyBorder="1" applyAlignment="1">
      <alignment horizontal="center" vertical="center" wrapText="1"/>
    </xf>
    <xf numFmtId="0" fontId="0" fillId="0" borderId="0" xfId="0" applyAlignment="1">
      <alignment horizontal="center"/>
    </xf>
    <xf numFmtId="2" fontId="0" fillId="0" borderId="0" xfId="0" applyNumberFormat="1" applyAlignment="1">
      <alignment horizontal="center"/>
    </xf>
    <xf numFmtId="2" fontId="5" fillId="0" borderId="8" xfId="0" applyNumberFormat="1" applyFont="1" applyBorder="1" applyAlignment="1">
      <alignment horizontal="center" vertical="center" wrapText="1"/>
    </xf>
    <xf numFmtId="49" fontId="0" fillId="0" borderId="8" xfId="0" applyNumberFormat="1" applyBorder="1" applyAlignment="1">
      <alignment horizontal="left" vertical="center" wrapText="1"/>
    </xf>
    <xf numFmtId="0" fontId="0" fillId="0" borderId="0" xfId="0" applyAlignment="1">
      <alignment horizontal="center" vertical="center" wrapText="1"/>
    </xf>
    <xf numFmtId="2" fontId="9" fillId="0" borderId="0" xfId="0" applyNumberFormat="1" applyFont="1" applyAlignment="1"/>
    <xf numFmtId="164" fontId="10" fillId="0" borderId="0" xfId="0" applyNumberFormat="1" applyFont="1" applyAlignment="1">
      <alignment horizontal="center"/>
    </xf>
    <xf numFmtId="0" fontId="5" fillId="0" borderId="0" xfId="0" applyFont="1" applyAlignment="1">
      <alignment horizontal="center" vertical="center" wrapText="1"/>
    </xf>
    <xf numFmtId="49" fontId="5" fillId="0" borderId="8" xfId="0" applyNumberFormat="1" applyFont="1" applyBorder="1" applyAlignment="1">
      <alignment horizontal="left" vertical="center" wrapText="1"/>
    </xf>
    <xf numFmtId="0" fontId="4" fillId="0" borderId="8" xfId="0" applyFont="1" applyBorder="1" applyAlignment="1">
      <alignment horizontal="left" vertical="center" wrapText="1"/>
    </xf>
    <xf numFmtId="0" fontId="5" fillId="0" borderId="8" xfId="0" applyFont="1" applyBorder="1" applyAlignment="1">
      <alignment horizontal="center" vertical="center" wrapText="1"/>
    </xf>
    <xf numFmtId="49" fontId="5" fillId="0" borderId="8" xfId="0" applyNumberFormat="1" applyFont="1" applyBorder="1" applyAlignment="1">
      <alignment horizontal="center" vertical="center" wrapText="1"/>
    </xf>
    <xf numFmtId="0" fontId="4" fillId="0" borderId="8" xfId="0" applyFont="1" applyBorder="1" applyAlignment="1">
      <alignment wrapText="1"/>
    </xf>
    <xf numFmtId="2" fontId="5" fillId="0" borderId="0" xfId="0" applyNumberFormat="1" applyFont="1" applyAlignment="1">
      <alignment horizontal="center" vertical="center" wrapText="1"/>
    </xf>
    <xf numFmtId="2" fontId="0" fillId="0" borderId="8" xfId="0" applyNumberFormat="1" applyBorder="1" applyAlignment="1">
      <alignment horizontal="center"/>
    </xf>
    <xf numFmtId="0" fontId="2" fillId="0" borderId="0" xfId="0" applyFont="1" applyFill="1" applyAlignment="1">
      <alignment horizontal="center" vertical="center" wrapText="1"/>
    </xf>
    <xf numFmtId="0" fontId="4" fillId="0" borderId="8" xfId="0" applyFont="1" applyFill="1" applyBorder="1" applyAlignment="1">
      <alignment horizontal="center" vertical="center" wrapText="1"/>
    </xf>
    <xf numFmtId="0" fontId="2" fillId="0" borderId="8" xfId="0" applyFont="1" applyFill="1" applyBorder="1" applyAlignment="1">
      <alignment horizontal="center" vertical="center" wrapText="1"/>
    </xf>
    <xf numFmtId="165" fontId="0" fillId="0" borderId="8" xfId="0" applyNumberFormat="1" applyFill="1" applyBorder="1" applyAlignment="1">
      <alignment horizontal="justify" vertical="top" wrapText="1"/>
    </xf>
    <xf numFmtId="0" fontId="0" fillId="0" borderId="8" xfId="0" applyBorder="1" applyAlignment="1">
      <alignment horizontal="center" vertical="center" wrapText="1"/>
    </xf>
    <xf numFmtId="0" fontId="0" fillId="0" borderId="1" xfId="0" applyBorder="1" applyAlignment="1">
      <alignment vertical="top" wrapText="1"/>
    </xf>
    <xf numFmtId="0" fontId="4" fillId="0" borderId="0" xfId="0" applyFont="1" applyFill="1" applyAlignment="1">
      <alignment horizontal="center" vertical="center" wrapText="1"/>
    </xf>
    <xf numFmtId="2" fontId="2" fillId="0" borderId="8" xfId="0" applyNumberFormat="1" applyFont="1" applyBorder="1" applyAlignment="1">
      <alignment horizontal="center" vertical="center" wrapText="1"/>
    </xf>
    <xf numFmtId="2" fontId="2" fillId="0" borderId="8" xfId="0" applyNumberFormat="1" applyFont="1" applyFill="1" applyBorder="1" applyAlignment="1">
      <alignment horizontal="center" vertical="center" wrapText="1"/>
    </xf>
    <xf numFmtId="166" fontId="2" fillId="0" borderId="8" xfId="0" applyNumberFormat="1" applyFont="1" applyBorder="1" applyAlignment="1">
      <alignment horizontal="center" vertical="top" wrapText="1"/>
    </xf>
    <xf numFmtId="165" fontId="2" fillId="0" borderId="8" xfId="0" applyNumberFormat="1" applyFont="1" applyBorder="1" applyAlignment="1">
      <alignment horizontal="center" vertical="top" wrapText="1"/>
    </xf>
    <xf numFmtId="0" fontId="2" fillId="0" borderId="8" xfId="0" applyFont="1" applyBorder="1" applyAlignment="1">
      <alignment vertical="center" wrapText="1"/>
    </xf>
    <xf numFmtId="0" fontId="0" fillId="0" borderId="8" xfId="0" applyFill="1" applyBorder="1" applyAlignment="1">
      <alignment horizontal="center" vertical="center" wrapText="1"/>
    </xf>
    <xf numFmtId="49" fontId="0" fillId="0" borderId="8" xfId="0" applyNumberFormat="1" applyFill="1" applyBorder="1" applyAlignment="1">
      <alignment horizontal="left" vertical="center" wrapText="1"/>
    </xf>
    <xf numFmtId="0" fontId="1" fillId="0" borderId="0" xfId="0" applyFont="1" applyFill="1" applyAlignment="1">
      <alignment horizontal="center" vertical="center" wrapText="1"/>
    </xf>
    <xf numFmtId="0" fontId="30" fillId="0" borderId="0" xfId="155" applyFont="1" applyFill="1" applyBorder="1" applyAlignment="1"/>
    <xf numFmtId="0" fontId="28" fillId="0" borderId="0" xfId="155" applyFill="1"/>
    <xf numFmtId="0" fontId="32" fillId="0" borderId="0" xfId="155" applyFont="1" applyFill="1"/>
    <xf numFmtId="0" fontId="34" fillId="0" borderId="8" xfId="155" applyFont="1" applyFill="1" applyBorder="1" applyAlignment="1">
      <alignment horizontal="center" vertical="center"/>
    </xf>
    <xf numFmtId="0" fontId="35" fillId="0" borderId="8" xfId="155" applyFont="1" applyFill="1" applyBorder="1" applyAlignment="1">
      <alignment horizontal="center" vertical="center"/>
    </xf>
    <xf numFmtId="0" fontId="32" fillId="0" borderId="0" xfId="155" applyFont="1" applyFill="1" applyAlignment="1">
      <alignment vertical="center"/>
    </xf>
    <xf numFmtId="0" fontId="36" fillId="0" borderId="16" xfId="155" applyFont="1" applyFill="1" applyBorder="1" applyAlignment="1">
      <alignment horizontal="center" vertical="top"/>
    </xf>
    <xf numFmtId="0" fontId="33" fillId="0" borderId="16" xfId="155" applyFont="1" applyFill="1" applyBorder="1" applyAlignment="1">
      <alignment horizontal="center" vertical="top"/>
    </xf>
    <xf numFmtId="0" fontId="35" fillId="0" borderId="16" xfId="155" applyFont="1" applyFill="1" applyBorder="1" applyAlignment="1">
      <alignment horizontal="center" vertical="top"/>
    </xf>
    <xf numFmtId="0" fontId="37" fillId="0" borderId="16" xfId="155" applyFont="1" applyFill="1" applyBorder="1" applyAlignment="1">
      <alignment vertical="top"/>
    </xf>
    <xf numFmtId="0" fontId="28" fillId="0" borderId="0" xfId="155" applyFill="1" applyAlignment="1">
      <alignment vertical="top"/>
    </xf>
    <xf numFmtId="0" fontId="33" fillId="0" borderId="17" xfId="155" applyFont="1" applyFill="1" applyBorder="1" applyAlignment="1">
      <alignment horizontal="center" vertical="top"/>
    </xf>
    <xf numFmtId="0" fontId="37" fillId="0" borderId="17" xfId="155" applyFont="1" applyFill="1" applyBorder="1" applyAlignment="1">
      <alignment horizontal="left" vertical="center" wrapText="1"/>
    </xf>
    <xf numFmtId="0" fontId="37" fillId="0" borderId="17" xfId="155" applyFont="1" applyFill="1" applyBorder="1" applyAlignment="1">
      <alignment horizontal="center" vertical="center" wrapText="1"/>
    </xf>
    <xf numFmtId="2" fontId="37" fillId="0" borderId="17" xfId="155" applyNumberFormat="1" applyFont="1" applyFill="1" applyBorder="1" applyAlignment="1">
      <alignment horizontal="center" vertical="center" wrapText="1"/>
    </xf>
    <xf numFmtId="2" fontId="37" fillId="0" borderId="18" xfId="155" applyNumberFormat="1" applyFont="1" applyFill="1" applyBorder="1" applyAlignment="1">
      <alignment horizontal="center" vertical="center"/>
    </xf>
    <xf numFmtId="2" fontId="37" fillId="0" borderId="19" xfId="155" applyNumberFormat="1" applyFont="1" applyFill="1" applyBorder="1" applyAlignment="1">
      <alignment horizontal="center" vertical="center"/>
    </xf>
    <xf numFmtId="0" fontId="33" fillId="0" borderId="17" xfId="155" applyFont="1" applyFill="1" applyBorder="1" applyAlignment="1">
      <alignment horizontal="center" vertical="center"/>
    </xf>
    <xf numFmtId="0" fontId="35" fillId="0" borderId="17" xfId="155" applyFont="1" applyFill="1" applyBorder="1" applyAlignment="1">
      <alignment horizontal="center" vertical="center"/>
    </xf>
    <xf numFmtId="0" fontId="37" fillId="0" borderId="17" xfId="155" applyFont="1" applyFill="1" applyBorder="1" applyAlignment="1">
      <alignment vertical="center"/>
    </xf>
    <xf numFmtId="0" fontId="28" fillId="0" borderId="0" xfId="155" applyFill="1" applyAlignment="1">
      <alignment vertical="center"/>
    </xf>
    <xf numFmtId="0" fontId="37" fillId="0" borderId="17" xfId="155" applyFont="1" applyFill="1" applyBorder="1" applyAlignment="1">
      <alignment horizontal="left" wrapText="1"/>
    </xf>
    <xf numFmtId="0" fontId="37" fillId="0" borderId="17" xfId="155" applyFont="1" applyFill="1" applyBorder="1" applyAlignment="1">
      <alignment horizontal="center" wrapText="1"/>
    </xf>
    <xf numFmtId="0" fontId="37" fillId="0" borderId="20" xfId="155" applyFont="1" applyFill="1" applyBorder="1" applyAlignment="1">
      <alignment horizontal="center" wrapText="1"/>
    </xf>
    <xf numFmtId="2" fontId="34" fillId="0" borderId="21" xfId="155" applyNumberFormat="1" applyFont="1" applyFill="1" applyBorder="1" applyAlignment="1">
      <alignment horizontal="center"/>
    </xf>
    <xf numFmtId="2" fontId="37" fillId="0" borderId="19" xfId="155" applyNumberFormat="1" applyFont="1" applyFill="1" applyBorder="1" applyAlignment="1">
      <alignment horizontal="center"/>
    </xf>
    <xf numFmtId="2" fontId="36" fillId="0" borderId="17" xfId="155" applyNumberFormat="1" applyFont="1" applyFill="1" applyBorder="1" applyAlignment="1">
      <alignment horizontal="center"/>
    </xf>
    <xf numFmtId="0" fontId="35" fillId="0" borderId="17" xfId="155" applyFont="1" applyFill="1" applyBorder="1" applyAlignment="1">
      <alignment horizontal="center"/>
    </xf>
    <xf numFmtId="1" fontId="34" fillId="0" borderId="17" xfId="155" applyNumberFormat="1" applyFont="1" applyFill="1" applyBorder="1"/>
    <xf numFmtId="0" fontId="36" fillId="0" borderId="17" xfId="155" applyFont="1" applyFill="1" applyBorder="1" applyAlignment="1">
      <alignment horizontal="center" vertical="top"/>
    </xf>
    <xf numFmtId="0" fontId="37" fillId="0" borderId="20" xfId="155" applyFont="1" applyFill="1" applyBorder="1" applyAlignment="1">
      <alignment horizontal="left" wrapText="1"/>
    </xf>
    <xf numFmtId="0" fontId="37" fillId="0" borderId="22" xfId="155" applyFont="1" applyFill="1" applyBorder="1" applyAlignment="1">
      <alignment horizontal="left" wrapText="1"/>
    </xf>
    <xf numFmtId="2" fontId="34" fillId="0" borderId="0" xfId="155" applyNumberFormat="1" applyFont="1" applyFill="1" applyBorder="1" applyAlignment="1">
      <alignment horizontal="center"/>
    </xf>
    <xf numFmtId="0" fontId="38" fillId="0" borderId="0" xfId="155" applyFont="1" applyFill="1"/>
    <xf numFmtId="0" fontId="37" fillId="0" borderId="17" xfId="155" applyFont="1" applyFill="1" applyBorder="1" applyAlignment="1">
      <alignment horizontal="left" vertical="top" wrapText="1"/>
    </xf>
    <xf numFmtId="2" fontId="37" fillId="0" borderId="17" xfId="155" applyNumberFormat="1" applyFont="1" applyFill="1" applyBorder="1"/>
    <xf numFmtId="2" fontId="37" fillId="0" borderId="0" xfId="155" applyNumberFormat="1" applyFont="1" applyFill="1" applyBorder="1"/>
    <xf numFmtId="0" fontId="37" fillId="0" borderId="17" xfId="155" applyFont="1" applyFill="1" applyBorder="1" applyAlignment="1">
      <alignment vertical="top"/>
    </xf>
    <xf numFmtId="0" fontId="39" fillId="0" borderId="17" xfId="155" applyFont="1" applyFill="1" applyBorder="1" applyAlignment="1">
      <alignment vertical="top"/>
    </xf>
    <xf numFmtId="1" fontId="37" fillId="0" borderId="17" xfId="155" applyNumberFormat="1" applyFont="1" applyFill="1" applyBorder="1" applyAlignment="1">
      <alignment vertical="top"/>
    </xf>
    <xf numFmtId="0" fontId="37" fillId="0" borderId="23" xfId="155" applyFont="1" applyFill="1" applyBorder="1" applyAlignment="1">
      <alignment horizontal="left" wrapText="1"/>
    </xf>
    <xf numFmtId="0" fontId="37" fillId="0" borderId="24" xfId="155" applyFont="1" applyFill="1" applyBorder="1" applyAlignment="1">
      <alignment horizontal="center" vertical="center" wrapText="1"/>
    </xf>
    <xf numFmtId="2" fontId="37" fillId="0" borderId="24" xfId="155" applyNumberFormat="1" applyFont="1" applyFill="1" applyBorder="1" applyAlignment="1">
      <alignment horizontal="center" vertical="center" wrapText="1"/>
    </xf>
    <xf numFmtId="2" fontId="37" fillId="0" borderId="25" xfId="155" applyNumberFormat="1" applyFont="1" applyFill="1" applyBorder="1" applyAlignment="1">
      <alignment horizontal="center" vertical="center" wrapText="1"/>
    </xf>
    <xf numFmtId="2" fontId="37" fillId="0" borderId="26" xfId="155" applyNumberFormat="1" applyFont="1" applyFill="1" applyBorder="1" applyAlignment="1">
      <alignment horizontal="center" vertical="center"/>
    </xf>
    <xf numFmtId="2" fontId="37" fillId="0" borderId="17" xfId="155" applyNumberFormat="1" applyFont="1" applyFill="1" applyBorder="1" applyAlignment="1">
      <alignment horizontal="center" vertical="center"/>
    </xf>
    <xf numFmtId="0" fontId="39" fillId="0" borderId="17" xfId="155" applyFont="1" applyFill="1" applyBorder="1" applyAlignment="1">
      <alignment vertical="center"/>
    </xf>
    <xf numFmtId="1" fontId="37" fillId="0" borderId="17" xfId="155" applyNumberFormat="1" applyFont="1" applyFill="1" applyBorder="1" applyAlignment="1">
      <alignment vertical="center"/>
    </xf>
    <xf numFmtId="2" fontId="37" fillId="0" borderId="16" xfId="155" applyNumberFormat="1" applyFont="1" applyFill="1" applyBorder="1" applyAlignment="1">
      <alignment vertical="top"/>
    </xf>
    <xf numFmtId="2" fontId="37" fillId="0" borderId="17" xfId="155" applyNumberFormat="1" applyFont="1" applyFill="1" applyBorder="1" applyAlignment="1">
      <alignment vertical="top"/>
    </xf>
    <xf numFmtId="2" fontId="39" fillId="0" borderId="17" xfId="155" applyNumberFormat="1" applyFont="1" applyFill="1" applyBorder="1" applyAlignment="1">
      <alignment vertical="top"/>
    </xf>
    <xf numFmtId="2" fontId="28" fillId="0" borderId="0" xfId="155" applyNumberFormat="1" applyFill="1" applyBorder="1" applyAlignment="1">
      <alignment vertical="top"/>
    </xf>
    <xf numFmtId="2" fontId="37" fillId="0" borderId="17" xfId="155" applyNumberFormat="1" applyFont="1" applyFill="1" applyBorder="1" applyAlignment="1">
      <alignment horizontal="center" wrapText="1"/>
    </xf>
    <xf numFmtId="2" fontId="34" fillId="0" borderId="27" xfId="155" applyNumberFormat="1" applyFont="1" applyFill="1" applyBorder="1" applyAlignment="1">
      <alignment horizontal="center"/>
    </xf>
    <xf numFmtId="2" fontId="37" fillId="0" borderId="17" xfId="155" applyNumberFormat="1" applyFont="1" applyFill="1" applyBorder="1" applyAlignment="1">
      <alignment horizontal="center"/>
    </xf>
    <xf numFmtId="0" fontId="33" fillId="0" borderId="17" xfId="155" applyFont="1" applyFill="1" applyBorder="1" applyAlignment="1">
      <alignment horizontal="center"/>
    </xf>
    <xf numFmtId="0" fontId="37" fillId="0" borderId="17" xfId="155" applyFont="1" applyFill="1" applyBorder="1"/>
    <xf numFmtId="0" fontId="34" fillId="0" borderId="17" xfId="155" applyFont="1" applyFill="1" applyBorder="1" applyAlignment="1">
      <alignment horizontal="left" wrapText="1"/>
    </xf>
    <xf numFmtId="2" fontId="37" fillId="0" borderId="16" xfId="155" applyNumberFormat="1" applyFont="1" applyFill="1" applyBorder="1" applyAlignment="1">
      <alignment horizontal="center"/>
    </xf>
    <xf numFmtId="2" fontId="39" fillId="0" borderId="17" xfId="155" applyNumberFormat="1" applyFont="1" applyFill="1" applyBorder="1"/>
    <xf numFmtId="1" fontId="37" fillId="0" borderId="17" xfId="155" applyNumberFormat="1" applyFont="1" applyFill="1" applyBorder="1"/>
    <xf numFmtId="2" fontId="28" fillId="0" borderId="0" xfId="155" applyNumberFormat="1" applyFill="1" applyBorder="1"/>
    <xf numFmtId="2" fontId="37" fillId="0" borderId="20" xfId="155" applyNumberFormat="1" applyFont="1" applyFill="1" applyBorder="1" applyAlignment="1">
      <alignment horizontal="center" wrapText="1"/>
    </xf>
    <xf numFmtId="2" fontId="37" fillId="0" borderId="0" xfId="155" applyNumberFormat="1" applyFont="1" applyFill="1" applyBorder="1" applyAlignment="1">
      <alignment horizontal="center"/>
    </xf>
    <xf numFmtId="0" fontId="39" fillId="0" borderId="17" xfId="155" applyFont="1" applyFill="1" applyBorder="1"/>
    <xf numFmtId="0" fontId="32" fillId="0" borderId="0" xfId="155" applyFont="1" applyFill="1" applyAlignment="1">
      <alignment vertical="top"/>
    </xf>
    <xf numFmtId="0" fontId="37" fillId="0" borderId="17" xfId="155" applyFont="1" applyFill="1" applyBorder="1" applyAlignment="1">
      <alignment horizontal="center" vertical="top" wrapText="1"/>
    </xf>
    <xf numFmtId="2" fontId="37" fillId="0" borderId="17" xfId="155" applyNumberFormat="1" applyFont="1" applyFill="1" applyBorder="1" applyAlignment="1">
      <alignment horizontal="center" vertical="top" wrapText="1"/>
    </xf>
    <xf numFmtId="2" fontId="37" fillId="0" borderId="18" xfId="155" applyNumberFormat="1" applyFont="1" applyFill="1" applyBorder="1" applyAlignment="1">
      <alignment horizontal="center" vertical="top"/>
    </xf>
    <xf numFmtId="2" fontId="37" fillId="0" borderId="17" xfId="155" applyNumberFormat="1" applyFont="1" applyFill="1" applyBorder="1" applyAlignment="1">
      <alignment horizontal="center" vertical="top"/>
    </xf>
    <xf numFmtId="0" fontId="35" fillId="0" borderId="17" xfId="155" applyFont="1" applyFill="1" applyBorder="1" applyAlignment="1">
      <alignment horizontal="center" vertical="top"/>
    </xf>
    <xf numFmtId="2" fontId="37" fillId="39" borderId="17" xfId="155" applyNumberFormat="1" applyFont="1" applyFill="1" applyBorder="1"/>
    <xf numFmtId="0" fontId="39" fillId="0" borderId="17" xfId="155" applyFont="1" applyFill="1" applyBorder="1" applyAlignment="1">
      <alignment horizontal="center"/>
    </xf>
    <xf numFmtId="0" fontId="37" fillId="0" borderId="22" xfId="155" applyFont="1" applyFill="1" applyBorder="1" applyAlignment="1">
      <alignment horizontal="left" vertical="top" wrapText="1"/>
    </xf>
    <xf numFmtId="0" fontId="37" fillId="0" borderId="22" xfId="155" applyFont="1" applyFill="1" applyBorder="1" applyAlignment="1">
      <alignment horizontal="center" vertical="top" wrapText="1"/>
    </xf>
    <xf numFmtId="2" fontId="37" fillId="0" borderId="22" xfId="155" applyNumberFormat="1" applyFont="1" applyFill="1" applyBorder="1" applyAlignment="1">
      <alignment horizontal="center" vertical="top" wrapText="1"/>
    </xf>
    <xf numFmtId="2" fontId="37" fillId="0" borderId="19" xfId="155" applyNumberFormat="1" applyFont="1" applyFill="1" applyBorder="1" applyAlignment="1">
      <alignment horizontal="center" vertical="top" wrapText="1"/>
    </xf>
    <xf numFmtId="2" fontId="37" fillId="0" borderId="26" xfId="155" applyNumberFormat="1" applyFont="1" applyFill="1" applyBorder="1" applyAlignment="1">
      <alignment horizontal="center" vertical="top"/>
    </xf>
    <xf numFmtId="0" fontId="37" fillId="0" borderId="20" xfId="155" applyFont="1" applyFill="1" applyBorder="1" applyAlignment="1">
      <alignment horizontal="left" vertical="top" wrapText="1"/>
    </xf>
    <xf numFmtId="2" fontId="37" fillId="0" borderId="20" xfId="155" applyNumberFormat="1" applyFont="1" applyFill="1" applyBorder="1" applyAlignment="1">
      <alignment horizontal="center" vertical="center" wrapText="1"/>
    </xf>
    <xf numFmtId="2" fontId="37" fillId="0" borderId="0" xfId="155" applyNumberFormat="1" applyFont="1" applyFill="1" applyBorder="1" applyAlignment="1">
      <alignment horizontal="center" vertical="center"/>
    </xf>
    <xf numFmtId="2" fontId="37" fillId="0" borderId="16" xfId="155" applyNumberFormat="1" applyFont="1" applyFill="1" applyBorder="1" applyAlignment="1">
      <alignment horizontal="center" vertical="top"/>
    </xf>
    <xf numFmtId="173" fontId="37" fillId="0" borderId="17" xfId="155" applyNumberFormat="1" applyFont="1" applyFill="1" applyBorder="1" applyAlignment="1">
      <alignment horizontal="center" vertical="center" wrapText="1"/>
    </xf>
    <xf numFmtId="2" fontId="34" fillId="0" borderId="19" xfId="155" applyNumberFormat="1" applyFont="1" applyFill="1" applyBorder="1" applyAlignment="1">
      <alignment horizontal="center"/>
    </xf>
    <xf numFmtId="2" fontId="28" fillId="0" borderId="0" xfId="155" applyNumberFormat="1" applyFill="1"/>
    <xf numFmtId="164" fontId="37" fillId="0" borderId="17" xfId="155" applyNumberFormat="1" applyFont="1" applyFill="1" applyBorder="1" applyAlignment="1">
      <alignment horizontal="center" vertical="top" wrapText="1"/>
    </xf>
    <xf numFmtId="2" fontId="37" fillId="0" borderId="20" xfId="155" applyNumberFormat="1" applyFont="1" applyFill="1" applyBorder="1" applyAlignment="1">
      <alignment horizontal="center" vertical="top" wrapText="1"/>
    </xf>
    <xf numFmtId="2" fontId="37" fillId="0" borderId="0" xfId="155" applyNumberFormat="1" applyFont="1" applyFill="1" applyBorder="1" applyAlignment="1">
      <alignment horizontal="center" vertical="top"/>
    </xf>
    <xf numFmtId="2" fontId="34" fillId="0" borderId="17" xfId="155" applyNumberFormat="1" applyFont="1" applyFill="1" applyBorder="1" applyAlignment="1">
      <alignment horizontal="center"/>
    </xf>
    <xf numFmtId="2" fontId="34" fillId="0" borderId="17" xfId="155" applyNumberFormat="1" applyFont="1" applyFill="1" applyBorder="1" applyAlignment="1">
      <alignment horizontal="center" vertical="top"/>
    </xf>
    <xf numFmtId="1" fontId="34" fillId="0" borderId="17" xfId="155" applyNumberFormat="1" applyFont="1" applyFill="1" applyBorder="1" applyAlignment="1">
      <alignment vertical="top"/>
    </xf>
    <xf numFmtId="1" fontId="34" fillId="0" borderId="17" xfId="155" applyNumberFormat="1" applyFont="1" applyFill="1" applyBorder="1" applyAlignment="1">
      <alignment horizontal="center"/>
    </xf>
    <xf numFmtId="0" fontId="28" fillId="0" borderId="0" xfId="155" applyFill="1" applyAlignment="1">
      <alignment horizontal="center"/>
    </xf>
    <xf numFmtId="2" fontId="28" fillId="0" borderId="0" xfId="155" applyNumberFormat="1" applyFill="1" applyBorder="1" applyAlignment="1">
      <alignment horizontal="center"/>
    </xf>
    <xf numFmtId="0" fontId="42" fillId="0" borderId="17" xfId="155" applyFont="1" applyFill="1" applyBorder="1" applyAlignment="1">
      <alignment horizontal="left" vertical="top" wrapText="1"/>
    </xf>
    <xf numFmtId="0" fontId="30" fillId="0" borderId="17" xfId="233" applyFont="1" applyFill="1" applyBorder="1" applyAlignment="1">
      <alignment horizontal="left" vertical="center" wrapText="1"/>
    </xf>
    <xf numFmtId="0" fontId="44" fillId="0" borderId="17" xfId="233" applyFont="1" applyFill="1" applyBorder="1" applyAlignment="1">
      <alignment horizontal="center" vertical="center" wrapText="1"/>
    </xf>
    <xf numFmtId="4" fontId="44" fillId="0" borderId="17" xfId="233" applyNumberFormat="1" applyFont="1" applyFill="1" applyBorder="1" applyAlignment="1">
      <alignment horizontal="center" vertical="center" wrapText="1"/>
    </xf>
    <xf numFmtId="2" fontId="37" fillId="0" borderId="17" xfId="155" applyNumberFormat="1" applyFont="1" applyFill="1" applyBorder="1" applyAlignment="1">
      <alignment vertical="center"/>
    </xf>
    <xf numFmtId="2" fontId="39" fillId="0" borderId="17" xfId="155" applyNumberFormat="1" applyFont="1" applyFill="1" applyBorder="1" applyAlignment="1">
      <alignment vertical="center"/>
    </xf>
    <xf numFmtId="2" fontId="28" fillId="0" borderId="0" xfId="155" applyNumberFormat="1" applyFill="1" applyBorder="1" applyAlignment="1">
      <alignment vertical="center"/>
    </xf>
    <xf numFmtId="2" fontId="34" fillId="0" borderId="18" xfId="155" applyNumberFormat="1" applyFont="1" applyFill="1" applyBorder="1" applyAlignment="1">
      <alignment horizontal="center" vertical="top"/>
    </xf>
    <xf numFmtId="0" fontId="37" fillId="0" borderId="20" xfId="155" applyFont="1" applyFill="1" applyBorder="1"/>
    <xf numFmtId="2" fontId="37" fillId="0" borderId="21" xfId="155" applyNumberFormat="1" applyFont="1" applyFill="1" applyBorder="1" applyAlignment="1">
      <alignment horizontal="center"/>
    </xf>
    <xf numFmtId="0" fontId="37" fillId="0" borderId="16" xfId="155" applyFont="1" applyFill="1" applyBorder="1" applyAlignment="1">
      <alignment vertical="top" wrapText="1"/>
    </xf>
    <xf numFmtId="0" fontId="37" fillId="0" borderId="17" xfId="155" applyFont="1" applyFill="1" applyBorder="1" applyAlignment="1">
      <alignment vertical="top" wrapText="1"/>
    </xf>
    <xf numFmtId="0" fontId="39" fillId="0" borderId="17" xfId="155" applyFont="1" applyFill="1" applyBorder="1" applyAlignment="1">
      <alignment vertical="top" wrapText="1"/>
    </xf>
    <xf numFmtId="170" fontId="44" fillId="0" borderId="17" xfId="233" applyNumberFormat="1" applyFont="1" applyFill="1" applyBorder="1" applyAlignment="1">
      <alignment horizontal="center" vertical="center" wrapText="1"/>
    </xf>
    <xf numFmtId="4" fontId="30" fillId="0" borderId="17" xfId="233" applyNumberFormat="1" applyFont="1" applyFill="1" applyBorder="1" applyAlignment="1">
      <alignment horizontal="center" vertical="center" wrapText="1"/>
    </xf>
    <xf numFmtId="0" fontId="37" fillId="0" borderId="17" xfId="155" applyFont="1" applyFill="1" applyBorder="1" applyAlignment="1">
      <alignment wrapText="1"/>
    </xf>
    <xf numFmtId="0" fontId="39" fillId="0" borderId="17" xfId="155" applyFont="1" applyFill="1" applyBorder="1" applyAlignment="1">
      <alignment wrapText="1"/>
    </xf>
    <xf numFmtId="173" fontId="37" fillId="0" borderId="18" xfId="155" applyNumberFormat="1" applyFont="1" applyFill="1" applyBorder="1" applyAlignment="1">
      <alignment horizontal="center" vertical="top"/>
    </xf>
    <xf numFmtId="2" fontId="45" fillId="0" borderId="17" xfId="233" applyNumberFormat="1" applyFont="1" applyFill="1" applyBorder="1" applyAlignment="1">
      <alignment horizontal="center" vertical="center" wrapText="1"/>
    </xf>
    <xf numFmtId="2" fontId="45" fillId="0" borderId="16" xfId="233" applyNumberFormat="1" applyFont="1" applyFill="1" applyBorder="1" applyAlignment="1">
      <alignment horizontal="center" vertical="center" wrapText="1"/>
    </xf>
    <xf numFmtId="0" fontId="36" fillId="0" borderId="17" xfId="155" applyFont="1" applyFill="1" applyBorder="1" applyAlignment="1">
      <alignment vertical="top"/>
    </xf>
    <xf numFmtId="0" fontId="37" fillId="0" borderId="17" xfId="155" applyFont="1" applyFill="1" applyBorder="1" applyAlignment="1">
      <alignment vertical="center" wrapText="1"/>
    </xf>
    <xf numFmtId="1" fontId="34" fillId="0" borderId="17" xfId="155" applyNumberFormat="1" applyFont="1" applyFill="1" applyBorder="1" applyAlignment="1">
      <alignment vertical="center"/>
    </xf>
    <xf numFmtId="2" fontId="37" fillId="0" borderId="0" xfId="155" applyNumberFormat="1" applyFont="1" applyFill="1" applyBorder="1" applyAlignment="1">
      <alignment vertical="center"/>
    </xf>
    <xf numFmtId="2" fontId="37" fillId="0" borderId="16" xfId="155" applyNumberFormat="1" applyFont="1" applyFill="1" applyBorder="1" applyAlignment="1">
      <alignment vertical="center"/>
    </xf>
    <xf numFmtId="0" fontId="46" fillId="0" borderId="17" xfId="155" applyFont="1" applyFill="1" applyBorder="1" applyAlignment="1">
      <alignment horizontal="left" vertical="center" wrapText="1"/>
    </xf>
    <xf numFmtId="0" fontId="37" fillId="0" borderId="17" xfId="233" applyFont="1" applyFill="1" applyBorder="1" applyAlignment="1">
      <alignment horizontal="center" vertical="center" wrapText="1"/>
    </xf>
    <xf numFmtId="2" fontId="44" fillId="0" borderId="17" xfId="233" applyNumberFormat="1" applyFont="1" applyFill="1" applyBorder="1" applyAlignment="1">
      <alignment horizontal="center" vertical="center" wrapText="1"/>
    </xf>
    <xf numFmtId="1" fontId="28" fillId="0" borderId="0" xfId="155" applyNumberFormat="1" applyFill="1" applyAlignment="1">
      <alignment vertical="center"/>
    </xf>
    <xf numFmtId="2" fontId="39" fillId="0" borderId="17" xfId="155" applyNumberFormat="1" applyFont="1" applyFill="1" applyBorder="1" applyAlignment="1">
      <alignment horizontal="left" wrapText="1"/>
    </xf>
    <xf numFmtId="2" fontId="37" fillId="0" borderId="17" xfId="155" applyNumberFormat="1" applyFont="1" applyFill="1" applyBorder="1" applyAlignment="1">
      <alignment horizontal="left" wrapText="1"/>
    </xf>
    <xf numFmtId="0" fontId="44" fillId="0" borderId="17" xfId="233" applyFont="1" applyFill="1" applyBorder="1" applyAlignment="1">
      <alignment horizontal="left" vertical="center" wrapText="1"/>
    </xf>
    <xf numFmtId="0" fontId="37" fillId="0" borderId="17" xfId="155" applyFont="1" applyFill="1" applyBorder="1" applyAlignment="1">
      <alignment horizontal="center"/>
    </xf>
    <xf numFmtId="1" fontId="28" fillId="0" borderId="0" xfId="155" applyNumberFormat="1" applyFill="1"/>
    <xf numFmtId="0" fontId="37" fillId="0" borderId="17" xfId="155" applyNumberFormat="1" applyFont="1" applyFill="1" applyBorder="1" applyAlignment="1">
      <alignment horizontal="left" vertical="center" wrapText="1"/>
    </xf>
    <xf numFmtId="2" fontId="37" fillId="0" borderId="17" xfId="155" applyNumberFormat="1" applyFont="1" applyFill="1" applyBorder="1" applyAlignment="1">
      <alignment horizontal="left" vertical="center" wrapText="1"/>
    </xf>
    <xf numFmtId="0" fontId="48" fillId="0" borderId="17" xfId="155" applyFont="1" applyFill="1" applyBorder="1" applyAlignment="1">
      <alignment horizontal="center" vertical="top"/>
    </xf>
    <xf numFmtId="164" fontId="100" fillId="0" borderId="17" xfId="155" applyNumberFormat="1" applyFont="1" applyFill="1" applyBorder="1" applyAlignment="1">
      <alignment horizontal="right" vertical="top" wrapText="1"/>
    </xf>
    <xf numFmtId="2" fontId="101" fillId="0" borderId="17" xfId="155" applyNumberFormat="1" applyFont="1" applyFill="1" applyBorder="1" applyAlignment="1">
      <alignment horizontal="right" wrapText="1"/>
    </xf>
    <xf numFmtId="0" fontId="102" fillId="0" borderId="17" xfId="155" applyFont="1" applyFill="1" applyBorder="1" applyAlignment="1">
      <alignment horizontal="right"/>
    </xf>
    <xf numFmtId="0" fontId="103" fillId="0" borderId="0" xfId="155" applyFont="1" applyFill="1"/>
    <xf numFmtId="1" fontId="34" fillId="0" borderId="26" xfId="155" applyNumberFormat="1" applyFont="1" applyFill="1" applyBorder="1"/>
    <xf numFmtId="167" fontId="37" fillId="0" borderId="17" xfId="155" applyNumberFormat="1" applyFont="1" applyFill="1" applyBorder="1" applyAlignment="1">
      <alignment horizontal="center" vertical="center" wrapText="1"/>
    </xf>
    <xf numFmtId="167" fontId="42" fillId="0" borderId="17" xfId="155" applyNumberFormat="1" applyFont="1" applyFill="1" applyBorder="1" applyAlignment="1">
      <alignment horizontal="center" vertical="center" wrapText="1"/>
    </xf>
    <xf numFmtId="165" fontId="37" fillId="0" borderId="17" xfId="155" applyNumberFormat="1" applyFont="1" applyFill="1" applyBorder="1" applyAlignment="1">
      <alignment horizontal="center" vertical="center" wrapText="1"/>
    </xf>
    <xf numFmtId="1" fontId="34" fillId="0" borderId="18" xfId="155" applyNumberFormat="1" applyFont="1" applyFill="1" applyBorder="1"/>
    <xf numFmtId="0" fontId="36" fillId="0" borderId="20" xfId="155" applyFont="1" applyFill="1" applyBorder="1" applyAlignment="1">
      <alignment horizontal="center" vertical="top"/>
    </xf>
    <xf numFmtId="2" fontId="37" fillId="0" borderId="25" xfId="155" applyNumberFormat="1" applyFont="1" applyFill="1" applyBorder="1"/>
    <xf numFmtId="2" fontId="37" fillId="0" borderId="16" xfId="155" applyNumberFormat="1" applyFont="1" applyFill="1" applyBorder="1"/>
    <xf numFmtId="0" fontId="37" fillId="0" borderId="16" xfId="155" applyFont="1" applyFill="1" applyBorder="1" applyAlignment="1">
      <alignment horizontal="center" vertical="center"/>
    </xf>
    <xf numFmtId="1" fontId="37" fillId="0" borderId="26" xfId="155" applyNumberFormat="1" applyFont="1" applyFill="1" applyBorder="1" applyAlignment="1">
      <alignment horizontal="right" vertical="center"/>
    </xf>
    <xf numFmtId="1" fontId="28" fillId="0" borderId="0" xfId="155" applyNumberFormat="1" applyFill="1" applyAlignment="1">
      <alignment horizontal="center" vertical="center"/>
    </xf>
    <xf numFmtId="0" fontId="28" fillId="0" borderId="0" xfId="155" applyFill="1" applyAlignment="1">
      <alignment horizontal="center" vertical="center"/>
    </xf>
    <xf numFmtId="0" fontId="39" fillId="0" borderId="23" xfId="155" applyFont="1" applyFill="1" applyBorder="1" applyAlignment="1">
      <alignment horizontal="center" vertical="center"/>
    </xf>
    <xf numFmtId="1" fontId="37" fillId="0" borderId="0" xfId="155" applyNumberFormat="1" applyFont="1" applyFill="1" applyBorder="1" applyAlignment="1">
      <alignment horizontal="right" vertical="center"/>
    </xf>
    <xf numFmtId="0" fontId="50" fillId="0" borderId="17" xfId="155" applyFont="1" applyFill="1" applyBorder="1"/>
    <xf numFmtId="0" fontId="39" fillId="0" borderId="20" xfId="155" applyFont="1" applyFill="1" applyBorder="1"/>
    <xf numFmtId="1" fontId="31" fillId="0" borderId="21" xfId="155" applyNumberFormat="1" applyFont="1" applyFill="1" applyBorder="1"/>
    <xf numFmtId="0" fontId="36" fillId="0" borderId="0" xfId="155" applyFont="1" applyFill="1" applyBorder="1" applyAlignment="1">
      <alignment horizontal="center" vertical="top"/>
    </xf>
    <xf numFmtId="0" fontId="36" fillId="0" borderId="0" xfId="155" applyFont="1" applyFill="1" applyBorder="1" applyAlignment="1">
      <alignment horizontal="center" vertical="center"/>
    </xf>
    <xf numFmtId="0" fontId="37" fillId="0" borderId="0" xfId="155" applyFont="1" applyFill="1" applyBorder="1"/>
    <xf numFmtId="0" fontId="50" fillId="0" borderId="0" xfId="155" applyFont="1" applyFill="1" applyBorder="1"/>
    <xf numFmtId="0" fontId="39" fillId="0" borderId="0" xfId="155" applyFont="1" applyFill="1" applyBorder="1"/>
    <xf numFmtId="1" fontId="31" fillId="0" borderId="0" xfId="155" applyNumberFormat="1" applyFont="1" applyFill="1" applyBorder="1"/>
    <xf numFmtId="0" fontId="32" fillId="0" borderId="0" xfId="230" applyFont="1" applyFill="1" applyBorder="1" applyAlignment="1">
      <alignment horizontal="center"/>
    </xf>
    <xf numFmtId="0" fontId="51" fillId="0" borderId="0" xfId="230" applyFont="1" applyFill="1" applyBorder="1" applyAlignment="1">
      <alignment vertical="center"/>
    </xf>
    <xf numFmtId="0" fontId="52" fillId="0" borderId="0" xfId="230" applyFont="1" applyFill="1" applyBorder="1"/>
    <xf numFmtId="0" fontId="32" fillId="0" borderId="0" xfId="155" applyFont="1" applyFill="1" applyAlignment="1"/>
    <xf numFmtId="0" fontId="51" fillId="0" borderId="0" xfId="155" applyFont="1" applyFill="1" applyAlignment="1"/>
    <xf numFmtId="0" fontId="38" fillId="0" borderId="0" xfId="230" applyFont="1" applyFill="1" applyBorder="1" applyAlignment="1"/>
    <xf numFmtId="0" fontId="40" fillId="0" borderId="0" xfId="230" applyFont="1" applyFill="1" applyBorder="1"/>
    <xf numFmtId="0" fontId="51" fillId="0" borderId="0" xfId="230" applyFont="1" applyFill="1" applyBorder="1" applyAlignment="1"/>
    <xf numFmtId="0" fontId="32" fillId="0" borderId="0" xfId="230" applyFont="1" applyFill="1" applyBorder="1" applyAlignment="1"/>
    <xf numFmtId="0" fontId="52" fillId="0" borderId="0" xfId="155" applyFont="1" applyFill="1" applyBorder="1" applyAlignment="1">
      <alignment horizontal="center"/>
    </xf>
    <xf numFmtId="0" fontId="52" fillId="0" borderId="0" xfId="155" applyFont="1" applyFill="1"/>
    <xf numFmtId="0" fontId="53" fillId="0" borderId="0" xfId="230" applyFont="1" applyFill="1" applyBorder="1" applyAlignment="1">
      <alignment horizontal="center"/>
    </xf>
    <xf numFmtId="0" fontId="53" fillId="0" borderId="0" xfId="230" applyFont="1" applyFill="1" applyBorder="1" applyAlignment="1"/>
    <xf numFmtId="0" fontId="52" fillId="0" borderId="0" xfId="155" applyFont="1" applyFill="1" applyBorder="1"/>
    <xf numFmtId="0" fontId="28" fillId="0" borderId="0" xfId="155" applyFill="1" applyBorder="1"/>
    <xf numFmtId="0" fontId="36" fillId="0" borderId="0" xfId="155" applyFont="1" applyFill="1" applyBorder="1"/>
    <xf numFmtId="0" fontId="44" fillId="0" borderId="0" xfId="155" applyFont="1" applyFill="1" applyAlignment="1">
      <alignment horizontal="center" vertical="center"/>
    </xf>
    <xf numFmtId="0" fontId="54" fillId="0" borderId="0" xfId="155" applyFont="1" applyFill="1"/>
    <xf numFmtId="2" fontId="37" fillId="39" borderId="17" xfId="155" applyNumberFormat="1" applyFont="1" applyFill="1" applyBorder="1" applyAlignment="1">
      <alignment vertical="center"/>
    </xf>
    <xf numFmtId="0" fontId="36" fillId="0" borderId="17" xfId="0" applyFont="1" applyFill="1" applyBorder="1" applyAlignment="1">
      <alignment horizontal="center" vertical="top"/>
    </xf>
    <xf numFmtId="2" fontId="37" fillId="0" borderId="16" xfId="0" applyNumberFormat="1" applyFont="1" applyFill="1" applyBorder="1" applyAlignment="1">
      <alignment horizontal="center"/>
    </xf>
    <xf numFmtId="2" fontId="37" fillId="0" borderId="17" xfId="0" applyNumberFormat="1" applyFont="1" applyFill="1" applyBorder="1" applyAlignment="1">
      <alignment horizontal="center"/>
    </xf>
    <xf numFmtId="1" fontId="37" fillId="0" borderId="17" xfId="0" applyNumberFormat="1" applyFont="1" applyFill="1" applyBorder="1" applyAlignment="1"/>
    <xf numFmtId="2" fontId="37" fillId="0" borderId="17" xfId="0" applyNumberFormat="1" applyFont="1" applyFill="1" applyBorder="1" applyAlignment="1"/>
    <xf numFmtId="1" fontId="34" fillId="0" borderId="17" xfId="0" applyNumberFormat="1" applyFont="1" applyFill="1" applyBorder="1" applyAlignment="1"/>
    <xf numFmtId="0" fontId="0" fillId="0" borderId="0" xfId="0" applyFill="1" applyAlignment="1">
      <alignment vertical="center"/>
    </xf>
    <xf numFmtId="2" fontId="32" fillId="0" borderId="0" xfId="0" applyNumberFormat="1" applyFont="1" applyFill="1" applyBorder="1" applyAlignment="1">
      <alignment vertical="center"/>
    </xf>
    <xf numFmtId="0" fontId="0" fillId="0" borderId="0" xfId="0" applyFill="1" applyAlignment="1"/>
    <xf numFmtId="165" fontId="37" fillId="0" borderId="17" xfId="0" applyNumberFormat="1" applyFont="1" applyFill="1" applyBorder="1" applyAlignment="1">
      <alignment horizontal="left" vertical="top" wrapText="1"/>
    </xf>
    <xf numFmtId="0" fontId="37" fillId="0" borderId="17" xfId="0" applyFont="1" applyFill="1" applyBorder="1" applyAlignment="1">
      <alignment vertical="center" wrapText="1"/>
    </xf>
    <xf numFmtId="0" fontId="37" fillId="0" borderId="17" xfId="0" applyFont="1" applyFill="1" applyBorder="1" applyAlignment="1">
      <alignment vertical="top" wrapText="1"/>
    </xf>
    <xf numFmtId="0" fontId="37" fillId="0" borderId="17" xfId="0" applyFont="1" applyFill="1" applyBorder="1" applyAlignment="1">
      <alignment horizontal="left" vertical="top" wrapText="1"/>
    </xf>
    <xf numFmtId="2" fontId="37" fillId="0" borderId="17" xfId="0" applyNumberFormat="1" applyFont="1" applyFill="1" applyBorder="1" applyAlignment="1">
      <alignment horizontal="center" vertical="top"/>
    </xf>
    <xf numFmtId="2" fontId="104" fillId="0" borderId="17" xfId="0" applyNumberFormat="1" applyFont="1" applyFill="1" applyBorder="1" applyAlignment="1">
      <alignment vertical="top"/>
    </xf>
    <xf numFmtId="1" fontId="105" fillId="0" borderId="17" xfId="0" applyNumberFormat="1" applyFont="1" applyFill="1" applyBorder="1" applyAlignment="1">
      <alignment vertical="top"/>
    </xf>
    <xf numFmtId="165" fontId="72" fillId="0" borderId="17" xfId="0" applyNumberFormat="1" applyFont="1" applyFill="1" applyBorder="1" applyAlignment="1">
      <alignment horizontal="center" vertical="center" wrapText="1"/>
    </xf>
    <xf numFmtId="0" fontId="37" fillId="0" borderId="17" xfId="0" applyFont="1" applyFill="1" applyBorder="1" applyAlignment="1">
      <alignment horizontal="center" vertical="top" wrapText="1"/>
    </xf>
    <xf numFmtId="165" fontId="37" fillId="0" borderId="17" xfId="0" applyNumberFormat="1" applyFont="1" applyFill="1" applyBorder="1" applyAlignment="1">
      <alignment horizontal="center" vertical="top" wrapText="1"/>
    </xf>
    <xf numFmtId="2" fontId="104" fillId="0" borderId="17" xfId="0" applyNumberFormat="1" applyFont="1" applyFill="1" applyBorder="1" applyAlignment="1">
      <alignment horizontal="center" vertical="top"/>
    </xf>
    <xf numFmtId="1" fontId="105" fillId="0" borderId="17" xfId="0" applyNumberFormat="1" applyFont="1" applyFill="1" applyBorder="1" applyAlignment="1">
      <alignment horizontal="center" vertical="top"/>
    </xf>
    <xf numFmtId="0" fontId="0" fillId="0" borderId="0" xfId="0" applyFill="1" applyAlignment="1">
      <alignment horizontal="center"/>
    </xf>
    <xf numFmtId="0" fontId="36" fillId="0" borderId="17" xfId="0" applyFont="1" applyFill="1" applyBorder="1" applyAlignment="1">
      <alignment vertical="top"/>
    </xf>
    <xf numFmtId="165" fontId="37" fillId="0" borderId="17" xfId="0" applyNumberFormat="1" applyFont="1" applyFill="1" applyBorder="1" applyAlignment="1">
      <alignment wrapText="1"/>
    </xf>
    <xf numFmtId="0" fontId="37" fillId="0" borderId="17" xfId="0" applyFont="1" applyFill="1" applyBorder="1" applyAlignment="1">
      <alignment wrapText="1"/>
    </xf>
    <xf numFmtId="0" fontId="33" fillId="0" borderId="17" xfId="0" applyFont="1" applyFill="1" applyBorder="1" applyAlignment="1">
      <alignment horizontal="center"/>
    </xf>
    <xf numFmtId="165" fontId="37" fillId="0" borderId="17" xfId="0" applyNumberFormat="1" applyFont="1" applyFill="1" applyBorder="1" applyAlignment="1">
      <alignment vertical="top" wrapText="1"/>
    </xf>
    <xf numFmtId="2" fontId="37" fillId="0" borderId="17" xfId="0" applyNumberFormat="1" applyFont="1" applyFill="1" applyBorder="1" applyAlignment="1">
      <alignment vertical="top"/>
    </xf>
    <xf numFmtId="1" fontId="34" fillId="0" borderId="17" xfId="0" applyNumberFormat="1" applyFont="1" applyFill="1" applyBorder="1" applyAlignment="1">
      <alignment vertical="top"/>
    </xf>
    <xf numFmtId="1" fontId="32" fillId="0" borderId="0" xfId="0" applyNumberFormat="1" applyFont="1" applyFill="1" applyBorder="1" applyAlignment="1">
      <alignment vertical="center"/>
    </xf>
    <xf numFmtId="165" fontId="37" fillId="0" borderId="17" xfId="0" applyNumberFormat="1" applyFont="1" applyFill="1" applyBorder="1" applyAlignment="1">
      <alignment vertical="center" wrapText="1"/>
    </xf>
    <xf numFmtId="2" fontId="37" fillId="0" borderId="17" xfId="0" applyNumberFormat="1" applyFont="1" applyFill="1" applyBorder="1" applyAlignment="1">
      <alignment vertical="center"/>
    </xf>
    <xf numFmtId="2" fontId="37" fillId="0" borderId="17" xfId="0" applyNumberFormat="1" applyFont="1" applyFill="1" applyBorder="1" applyAlignment="1">
      <alignment horizontal="center" vertical="top" wrapText="1"/>
    </xf>
    <xf numFmtId="2" fontId="37" fillId="0" borderId="18" xfId="0" applyNumberFormat="1" applyFont="1" applyFill="1" applyBorder="1" applyAlignment="1">
      <alignment horizontal="center" vertical="top"/>
    </xf>
    <xf numFmtId="2" fontId="0" fillId="0" borderId="0" xfId="0" applyNumberFormat="1" applyFill="1" applyBorder="1" applyAlignment="1"/>
    <xf numFmtId="2" fontId="37" fillId="0" borderId="18" xfId="0" applyNumberFormat="1" applyFont="1" applyFill="1" applyBorder="1" applyAlignment="1">
      <alignment horizontal="center" vertical="center"/>
    </xf>
    <xf numFmtId="0" fontId="37" fillId="0" borderId="17" xfId="0" applyFont="1" applyFill="1" applyBorder="1" applyAlignment="1">
      <alignment horizontal="left" vertical="center" wrapText="1"/>
    </xf>
    <xf numFmtId="0" fontId="37" fillId="0" borderId="17" xfId="0" applyFont="1" applyFill="1" applyBorder="1" applyAlignment="1">
      <alignment horizontal="center" vertical="center" wrapText="1"/>
    </xf>
    <xf numFmtId="2" fontId="37" fillId="0" borderId="17" xfId="0" applyNumberFormat="1" applyFont="1" applyFill="1" applyBorder="1" applyAlignment="1">
      <alignment horizontal="center" vertical="center" wrapText="1"/>
    </xf>
    <xf numFmtId="2" fontId="39" fillId="0" borderId="17" xfId="0" applyNumberFormat="1" applyFont="1" applyFill="1" applyBorder="1" applyAlignment="1"/>
    <xf numFmtId="2" fontId="37" fillId="0" borderId="19" xfId="0" applyNumberFormat="1" applyFont="1" applyFill="1" applyBorder="1" applyAlignment="1">
      <alignment horizontal="center"/>
    </xf>
    <xf numFmtId="2" fontId="0" fillId="0" borderId="0" xfId="0" applyNumberFormat="1" applyFill="1" applyAlignment="1"/>
    <xf numFmtId="0" fontId="37" fillId="0" borderId="17" xfId="0" applyFont="1" applyFill="1" applyBorder="1" applyAlignment="1">
      <alignment horizontal="left" wrapText="1"/>
    </xf>
    <xf numFmtId="0" fontId="32" fillId="0" borderId="0" xfId="0" applyFont="1" applyFill="1" applyAlignment="1">
      <alignment vertical="top"/>
    </xf>
    <xf numFmtId="1" fontId="106" fillId="0" borderId="0" xfId="0" applyNumberFormat="1" applyFont="1" applyFill="1" applyAlignment="1">
      <alignment horizontal="center" vertical="top"/>
    </xf>
    <xf numFmtId="1" fontId="32" fillId="0" borderId="0" xfId="0" applyNumberFormat="1" applyFont="1" applyFill="1" applyAlignment="1">
      <alignment horizontal="center" vertical="top"/>
    </xf>
    <xf numFmtId="0" fontId="32" fillId="0" borderId="0" xfId="0" applyFont="1" applyFill="1" applyAlignment="1">
      <alignment horizontal="center"/>
    </xf>
    <xf numFmtId="176" fontId="32" fillId="0" borderId="0" xfId="0" applyNumberFormat="1" applyFont="1" applyFill="1" applyAlignment="1">
      <alignment horizontal="center"/>
    </xf>
    <xf numFmtId="0" fontId="37" fillId="0" borderId="18" xfId="233" applyFont="1" applyFill="1" applyBorder="1" applyAlignment="1">
      <alignment horizontal="center" vertical="center" wrapText="1"/>
    </xf>
    <xf numFmtId="0" fontId="37" fillId="0" borderId="17" xfId="0" applyFont="1" applyFill="1" applyBorder="1" applyAlignment="1"/>
    <xf numFmtId="0" fontId="32" fillId="0" borderId="0" xfId="0" applyFont="1" applyFill="1" applyAlignment="1">
      <alignment vertical="top" wrapText="1"/>
    </xf>
    <xf numFmtId="2" fontId="32" fillId="0" borderId="0" xfId="0" applyNumberFormat="1" applyFont="1" applyFill="1" applyBorder="1" applyAlignment="1">
      <alignment horizontal="center"/>
    </xf>
    <xf numFmtId="2" fontId="32" fillId="0" borderId="0" xfId="0" applyNumberFormat="1" applyFont="1" applyFill="1" applyAlignment="1">
      <alignment horizontal="center" vertical="top"/>
    </xf>
    <xf numFmtId="177" fontId="32" fillId="0" borderId="17" xfId="0" applyNumberFormat="1" applyFont="1" applyFill="1" applyBorder="1" applyAlignment="1">
      <alignment horizontal="center" vertical="top" wrapText="1"/>
    </xf>
    <xf numFmtId="2" fontId="104" fillId="39" borderId="17" xfId="0" applyNumberFormat="1" applyFont="1" applyFill="1" applyBorder="1" applyAlignment="1">
      <alignment vertical="top"/>
    </xf>
    <xf numFmtId="0" fontId="42" fillId="0" borderId="17" xfId="155" applyFont="1" applyFill="1" applyBorder="1" applyAlignment="1">
      <alignment horizontal="center" vertical="top" wrapText="1"/>
    </xf>
    <xf numFmtId="2" fontId="42" fillId="0" borderId="17" xfId="155" applyNumberFormat="1" applyFont="1" applyFill="1" applyBorder="1" applyAlignment="1">
      <alignment horizontal="center" vertical="top" wrapText="1"/>
    </xf>
    <xf numFmtId="0" fontId="42" fillId="0" borderId="17" xfId="155" applyFont="1" applyFill="1" applyBorder="1" applyAlignment="1">
      <alignment horizontal="left" wrapText="1"/>
    </xf>
    <xf numFmtId="0" fontId="42" fillId="0" borderId="20" xfId="155" applyFont="1" applyFill="1" applyBorder="1" applyAlignment="1">
      <alignment horizontal="left" wrapText="1"/>
    </xf>
    <xf numFmtId="0" fontId="73" fillId="0" borderId="1" xfId="155" applyFont="1" applyFill="1" applyBorder="1" applyAlignment="1">
      <alignment horizontal="left" vertical="center" wrapText="1"/>
    </xf>
    <xf numFmtId="0" fontId="42" fillId="0" borderId="22" xfId="155" applyFont="1" applyFill="1" applyBorder="1" applyAlignment="1">
      <alignment horizontal="left" vertical="top" wrapText="1"/>
    </xf>
    <xf numFmtId="0" fontId="42" fillId="0" borderId="22" xfId="155" applyFont="1" applyFill="1" applyBorder="1" applyAlignment="1">
      <alignment horizontal="center" vertical="top" wrapText="1"/>
    </xf>
    <xf numFmtId="2" fontId="42" fillId="0" borderId="22" xfId="155" applyNumberFormat="1" applyFont="1" applyFill="1" applyBorder="1" applyAlignment="1">
      <alignment horizontal="center" vertical="top" wrapText="1"/>
    </xf>
    <xf numFmtId="2" fontId="42" fillId="0" borderId="19" xfId="155" applyNumberFormat="1" applyFont="1" applyFill="1" applyBorder="1" applyAlignment="1">
      <alignment horizontal="center" vertical="top" wrapText="1"/>
    </xf>
    <xf numFmtId="0" fontId="36" fillId="0" borderId="17" xfId="155" applyFont="1" applyFill="1" applyBorder="1" applyAlignment="1">
      <alignment horizontal="center"/>
    </xf>
    <xf numFmtId="2" fontId="37" fillId="39" borderId="17" xfId="0" applyNumberFormat="1" applyFont="1" applyFill="1" applyBorder="1" applyAlignment="1">
      <alignment vertical="top"/>
    </xf>
    <xf numFmtId="0" fontId="44" fillId="0" borderId="0" xfId="229" applyFont="1" applyBorder="1" applyAlignment="1">
      <alignment horizontal="center" vertical="center" wrapText="1"/>
    </xf>
    <xf numFmtId="0" fontId="49" fillId="0" borderId="0" xfId="229" applyAlignment="1">
      <alignment vertical="center" wrapText="1"/>
    </xf>
    <xf numFmtId="0" fontId="71" fillId="0" borderId="0" xfId="134" applyFont="1" applyAlignment="1">
      <alignment vertical="center"/>
    </xf>
    <xf numFmtId="0" fontId="44" fillId="0" borderId="0" xfId="229" applyFont="1" applyBorder="1" applyAlignment="1">
      <alignment vertical="center" wrapText="1"/>
    </xf>
    <xf numFmtId="0" fontId="44" fillId="0" borderId="0" xfId="229" applyFont="1" applyBorder="1" applyAlignment="1">
      <alignment horizontal="left" vertical="center" wrapText="1"/>
    </xf>
    <xf numFmtId="0" fontId="30" fillId="0" borderId="0" xfId="229" applyFont="1" applyBorder="1" applyAlignment="1">
      <alignment vertical="center" wrapText="1"/>
    </xf>
    <xf numFmtId="0" fontId="38" fillId="0" borderId="0" xfId="229" applyFont="1" applyBorder="1" applyAlignment="1">
      <alignment horizontal="left" vertical="center" wrapText="1"/>
    </xf>
    <xf numFmtId="1" fontId="44" fillId="0" borderId="0" xfId="229" applyNumberFormat="1" applyFont="1" applyBorder="1" applyAlignment="1">
      <alignment horizontal="center" vertical="center" wrapText="1"/>
    </xf>
    <xf numFmtId="1" fontId="30" fillId="0" borderId="0" xfId="229" applyNumberFormat="1" applyFont="1" applyBorder="1" applyAlignment="1">
      <alignment horizontal="center" vertical="center" wrapText="1"/>
    </xf>
    <xf numFmtId="0" fontId="32" fillId="0" borderId="0" xfId="229" applyFont="1" applyBorder="1" applyAlignment="1">
      <alignment horizontal="center" vertical="center" wrapText="1"/>
    </xf>
    <xf numFmtId="2" fontId="44" fillId="0" borderId="0" xfId="229" applyNumberFormat="1" applyFont="1" applyBorder="1" applyAlignment="1">
      <alignment horizontal="center" vertical="center" wrapText="1"/>
    </xf>
    <xf numFmtId="2" fontId="32" fillId="0" borderId="0" xfId="134" applyNumberFormat="1" applyFont="1" applyBorder="1" applyAlignment="1">
      <alignment horizontal="center" vertical="top" wrapText="1"/>
    </xf>
    <xf numFmtId="2" fontId="40" fillId="0" borderId="0" xfId="134" applyNumberFormat="1" applyFont="1" applyFill="1" applyBorder="1" applyAlignment="1">
      <alignment horizontal="center" vertical="top" wrapText="1"/>
    </xf>
    <xf numFmtId="0" fontId="40" fillId="0" borderId="0" xfId="229" applyFont="1" applyBorder="1" applyAlignment="1">
      <alignment horizontal="justify" vertical="center" wrapText="1"/>
    </xf>
    <xf numFmtId="0" fontId="30" fillId="0" borderId="0" xfId="229" applyFont="1" applyBorder="1" applyAlignment="1">
      <alignment horizontal="left" vertical="center" wrapText="1"/>
    </xf>
    <xf numFmtId="1" fontId="40" fillId="0" borderId="8" xfId="134" applyNumberFormat="1" applyFont="1" applyFill="1" applyBorder="1" applyAlignment="1">
      <alignment horizontal="center" vertical="top" wrapText="1"/>
    </xf>
    <xf numFmtId="0" fontId="49" fillId="0" borderId="0" xfId="229" applyAlignment="1">
      <alignment horizontal="center" vertical="center" wrapText="1"/>
    </xf>
    <xf numFmtId="0" fontId="48" fillId="0" borderId="0" xfId="229" applyFont="1" applyAlignment="1">
      <alignment horizontal="center" vertical="center" wrapText="1"/>
    </xf>
    <xf numFmtId="0" fontId="49" fillId="0" borderId="0" xfId="229" applyAlignment="1">
      <alignment horizontal="left" vertical="center" wrapText="1"/>
    </xf>
    <xf numFmtId="0" fontId="28" fillId="0" borderId="0" xfId="134"/>
    <xf numFmtId="0" fontId="40" fillId="0" borderId="8" xfId="134" applyFont="1" applyBorder="1"/>
    <xf numFmtId="0" fontId="28" fillId="0" borderId="8" xfId="134" applyBorder="1"/>
    <xf numFmtId="0" fontId="28" fillId="0" borderId="15" xfId="134" applyBorder="1"/>
    <xf numFmtId="4" fontId="28" fillId="0" borderId="8" xfId="134" applyNumberFormat="1" applyBorder="1"/>
    <xf numFmtId="2" fontId="28" fillId="0" borderId="8" xfId="134" applyNumberFormat="1" applyBorder="1"/>
    <xf numFmtId="0" fontId="32" fillId="0" borderId="8" xfId="134" applyFont="1" applyBorder="1"/>
    <xf numFmtId="164" fontId="28" fillId="0" borderId="0" xfId="134" applyNumberFormat="1"/>
    <xf numFmtId="0" fontId="28" fillId="0" borderId="8" xfId="134" applyBorder="1" applyAlignment="1">
      <alignment horizontal="center"/>
    </xf>
    <xf numFmtId="0" fontId="28" fillId="0" borderId="8" xfId="134" applyBorder="1" applyAlignment="1">
      <alignment vertical="top" wrapText="1"/>
    </xf>
    <xf numFmtId="0" fontId="32" fillId="40" borderId="0" xfId="134" applyFont="1" applyFill="1" applyBorder="1" applyAlignment="1">
      <alignment horizontal="center" vertical="top"/>
    </xf>
    <xf numFmtId="0" fontId="32" fillId="0" borderId="0" xfId="0" applyFont="1" applyFill="1" applyAlignment="1">
      <alignment horizontal="left" vertical="top" wrapText="1"/>
    </xf>
    <xf numFmtId="1" fontId="32" fillId="40" borderId="0" xfId="0" applyNumberFormat="1" applyFont="1" applyFill="1" applyAlignment="1">
      <alignment horizontal="center" vertical="top"/>
    </xf>
    <xf numFmtId="0" fontId="32" fillId="40" borderId="0" xfId="0" applyFont="1" applyFill="1" applyAlignment="1"/>
    <xf numFmtId="176" fontId="32" fillId="40" borderId="0" xfId="0" applyNumberFormat="1" applyFont="1" applyFill="1" applyAlignment="1">
      <alignment horizontal="center"/>
    </xf>
    <xf numFmtId="2" fontId="32" fillId="40" borderId="0" xfId="0" applyNumberFormat="1" applyFont="1" applyFill="1" applyAlignment="1">
      <alignment horizontal="center"/>
    </xf>
    <xf numFmtId="2" fontId="37" fillId="0" borderId="16" xfId="0" applyNumberFormat="1" applyFont="1" applyFill="1" applyBorder="1" applyAlignment="1">
      <alignment vertical="center"/>
    </xf>
    <xf numFmtId="1" fontId="34" fillId="0" borderId="17" xfId="0" applyNumberFormat="1" applyFont="1" applyFill="1" applyBorder="1" applyAlignment="1">
      <alignment vertical="center"/>
    </xf>
    <xf numFmtId="2" fontId="0" fillId="0" borderId="0" xfId="0" applyNumberFormat="1" applyFill="1" applyBorder="1" applyAlignment="1">
      <alignment vertical="center"/>
    </xf>
    <xf numFmtId="1" fontId="32" fillId="0" borderId="17" xfId="0" applyNumberFormat="1" applyFont="1" applyFill="1" applyBorder="1" applyAlignment="1">
      <alignment horizontal="center" vertical="top" wrapText="1"/>
    </xf>
    <xf numFmtId="2" fontId="32" fillId="0" borderId="17" xfId="0" applyNumberFormat="1" applyFont="1" applyFill="1" applyBorder="1" applyAlignment="1">
      <alignment horizontal="center" vertical="top" wrapText="1"/>
    </xf>
    <xf numFmtId="0" fontId="46" fillId="0" borderId="17" xfId="0" applyFont="1" applyFill="1" applyBorder="1" applyAlignment="1">
      <alignment horizontal="left" vertical="center" wrapText="1"/>
    </xf>
    <xf numFmtId="0" fontId="37" fillId="0" borderId="20" xfId="155" applyFont="1" applyFill="1" applyBorder="1" applyAlignment="1">
      <alignment horizontal="left" vertical="center" wrapText="1"/>
    </xf>
    <xf numFmtId="0" fontId="32" fillId="0" borderId="0" xfId="136" applyAlignment="1">
      <alignment horizontal="center"/>
    </xf>
    <xf numFmtId="0" fontId="71" fillId="0" borderId="0" xfId="136" applyFont="1" applyAlignment="1">
      <alignment horizontal="justify" vertical="justify" wrapText="1"/>
    </xf>
    <xf numFmtId="0" fontId="30" fillId="0" borderId="0" xfId="136" applyFont="1" applyAlignment="1">
      <alignment horizontal="justify" vertical="justify" wrapText="1"/>
    </xf>
    <xf numFmtId="0" fontId="32" fillId="0" borderId="0" xfId="136"/>
    <xf numFmtId="0" fontId="44" fillId="0" borderId="0" xfId="136" applyFont="1"/>
    <xf numFmtId="0" fontId="32" fillId="0" borderId="0" xfId="136" applyAlignment="1">
      <alignment horizontal="justify" vertical="justify"/>
    </xf>
    <xf numFmtId="0" fontId="44" fillId="0" borderId="0" xfId="136" applyFont="1" applyAlignment="1">
      <alignment horizontal="center" vertical="top" wrapText="1"/>
    </xf>
    <xf numFmtId="0" fontId="44" fillId="0" borderId="0" xfId="136" applyFont="1" applyAlignment="1">
      <alignment horizontal="left" vertical="top" wrapText="1"/>
    </xf>
    <xf numFmtId="0" fontId="44" fillId="0" borderId="0" xfId="136" applyFont="1" applyAlignment="1">
      <alignment vertical="top" wrapText="1"/>
    </xf>
    <xf numFmtId="0" fontId="32" fillId="0" borderId="0" xfId="136" applyAlignment="1">
      <alignment horizontal="center" vertical="top" wrapText="1"/>
    </xf>
    <xf numFmtId="0" fontId="32" fillId="0" borderId="0" xfId="136" applyAlignment="1">
      <alignment vertical="top" wrapText="1"/>
    </xf>
    <xf numFmtId="0" fontId="32" fillId="0" borderId="0" xfId="136" applyAlignment="1">
      <alignment horizontal="center" vertical="top"/>
    </xf>
    <xf numFmtId="0" fontId="42" fillId="0" borderId="17" xfId="0" applyFont="1" applyFill="1" applyBorder="1" applyAlignment="1">
      <alignment horizontal="left" vertical="top" wrapText="1"/>
    </xf>
    <xf numFmtId="2" fontId="2" fillId="39" borderId="8" xfId="0" applyNumberFormat="1" applyFont="1" applyFill="1" applyBorder="1" applyAlignment="1">
      <alignment horizontal="center" vertical="center" wrapText="1"/>
    </xf>
    <xf numFmtId="0" fontId="2" fillId="0" borderId="0" xfId="0" applyFont="1" applyAlignment="1"/>
    <xf numFmtId="0" fontId="2" fillId="0" borderId="0" xfId="0" applyFont="1" applyAlignment="1">
      <alignment horizontal="center" vertical="center" wrapText="1"/>
    </xf>
    <xf numFmtId="0" fontId="2" fillId="0" borderId="8" xfId="0" applyFont="1" applyBorder="1" applyAlignment="1">
      <alignment horizontal="center" vertical="center" wrapText="1"/>
    </xf>
    <xf numFmtId="49" fontId="2" fillId="0" borderId="8" xfId="0" applyNumberFormat="1" applyFont="1" applyBorder="1" applyAlignment="1">
      <alignment horizontal="left" vertical="center" wrapText="1"/>
    </xf>
    <xf numFmtId="2" fontId="2" fillId="0" borderId="8" xfId="0" applyNumberFormat="1" applyFont="1" applyBorder="1" applyAlignment="1">
      <alignment horizontal="right" vertical="center" wrapText="1"/>
    </xf>
    <xf numFmtId="2" fontId="2" fillId="0" borderId="0" xfId="0" applyNumberFormat="1" applyFont="1" applyAlignment="1">
      <alignment vertical="center" wrapText="1"/>
    </xf>
    <xf numFmtId="2" fontId="2" fillId="0" borderId="8" xfId="0" applyNumberFormat="1" applyFont="1" applyBorder="1" applyAlignment="1">
      <alignment vertical="center" wrapText="1"/>
    </xf>
    <xf numFmtId="49" fontId="2" fillId="0" borderId="0" xfId="0" applyNumberFormat="1" applyFont="1" applyAlignment="1">
      <alignment horizontal="left" vertical="center" wrapText="1"/>
    </xf>
    <xf numFmtId="2" fontId="2" fillId="0" borderId="0" xfId="0" applyNumberFormat="1" applyFont="1" applyAlignment="1">
      <alignment horizontal="right" vertical="center" wrapText="1"/>
    </xf>
    <xf numFmtId="0" fontId="2" fillId="0" borderId="0" xfId="0" applyFont="1" applyAlignment="1">
      <alignment vertical="center" wrapText="1"/>
    </xf>
    <xf numFmtId="0" fontId="77" fillId="0" borderId="0" xfId="0" applyFont="1" applyBorder="1" applyAlignment="1">
      <alignment horizontal="center" vertical="center"/>
    </xf>
    <xf numFmtId="0" fontId="44" fillId="0" borderId="8" xfId="0" applyFont="1" applyBorder="1" applyAlignment="1">
      <alignment horizontal="center" vertical="center" wrapText="1"/>
    </xf>
    <xf numFmtId="0" fontId="44" fillId="0" borderId="32" xfId="0" applyFont="1" applyBorder="1" applyAlignment="1">
      <alignment horizontal="center" vertical="center" wrapText="1"/>
    </xf>
    <xf numFmtId="0" fontId="44" fillId="0" borderId="8" xfId="0" applyFont="1" applyBorder="1" applyAlignment="1">
      <alignment horizontal="center"/>
    </xf>
    <xf numFmtId="165" fontId="74" fillId="0" borderId="32" xfId="0" applyNumberFormat="1" applyFont="1" applyBorder="1" applyAlignment="1">
      <alignment horizontal="center" vertical="top" wrapText="1"/>
    </xf>
    <xf numFmtId="2" fontId="74" fillId="0" borderId="8" xfId="0" applyNumberFormat="1" applyFont="1" applyBorder="1" applyAlignment="1">
      <alignment horizontal="center" vertical="center" wrapText="1"/>
    </xf>
    <xf numFmtId="2" fontId="0" fillId="0" borderId="0" xfId="0" applyNumberFormat="1" applyBorder="1" applyAlignment="1">
      <alignment horizontal="center"/>
    </xf>
    <xf numFmtId="165" fontId="74" fillId="0" borderId="8" xfId="0" applyNumberFormat="1" applyFont="1" applyBorder="1" applyAlignment="1">
      <alignment horizontal="center" vertical="top" wrapText="1"/>
    </xf>
    <xf numFmtId="2" fontId="0" fillId="0" borderId="0" xfId="0" applyNumberFormat="1" applyFill="1" applyBorder="1" applyAlignment="1">
      <alignment horizontal="center"/>
    </xf>
    <xf numFmtId="0" fontId="74" fillId="0" borderId="0" xfId="0" applyFont="1" applyFill="1" applyBorder="1" applyAlignment="1">
      <alignment horizontal="center" vertical="top" wrapText="1"/>
    </xf>
    <xf numFmtId="165" fontId="74" fillId="0" borderId="33" xfId="0" applyNumberFormat="1" applyFont="1" applyFill="1" applyBorder="1" applyAlignment="1">
      <alignment horizontal="center" vertical="top" wrapText="1"/>
    </xf>
    <xf numFmtId="0" fontId="4" fillId="39" borderId="0" xfId="0" applyFont="1" applyFill="1" applyAlignment="1">
      <alignment horizontal="center" vertical="center" wrapText="1"/>
    </xf>
    <xf numFmtId="0" fontId="4" fillId="39" borderId="8" xfId="0" applyFont="1" applyFill="1" applyBorder="1" applyAlignment="1">
      <alignment horizontal="center" vertical="center" wrapText="1"/>
    </xf>
    <xf numFmtId="2" fontId="0" fillId="39" borderId="0" xfId="0" applyNumberFormat="1" applyFill="1" applyBorder="1" applyAlignment="1">
      <alignment horizontal="center"/>
    </xf>
    <xf numFmtId="165" fontId="74" fillId="39" borderId="33" xfId="0" applyNumberFormat="1" applyFont="1" applyFill="1" applyBorder="1" applyAlignment="1">
      <alignment horizontal="center" vertical="top" wrapText="1"/>
    </xf>
    <xf numFmtId="0" fontId="0" fillId="39" borderId="8" xfId="0" applyFill="1" applyBorder="1" applyAlignment="1">
      <alignment horizontal="center" vertical="center" wrapText="1"/>
    </xf>
    <xf numFmtId="164" fontId="0" fillId="0" borderId="0" xfId="0" applyNumberFormat="1" applyAlignment="1"/>
    <xf numFmtId="0" fontId="1" fillId="39" borderId="0" xfId="0" applyFont="1" applyFill="1" applyAlignment="1">
      <alignment horizontal="center" vertical="center" wrapText="1"/>
    </xf>
    <xf numFmtId="49" fontId="0" fillId="39" borderId="8" xfId="0" applyNumberFormat="1" applyFill="1" applyBorder="1" applyAlignment="1">
      <alignment horizontal="left" vertical="center" wrapText="1"/>
    </xf>
    <xf numFmtId="2" fontId="32" fillId="0" borderId="0" xfId="0" applyNumberFormat="1" applyFont="1" applyFill="1" applyAlignment="1">
      <alignment horizontal="center"/>
    </xf>
    <xf numFmtId="2" fontId="32" fillId="40" borderId="0" xfId="0" applyNumberFormat="1" applyFont="1" applyFill="1" applyAlignment="1"/>
    <xf numFmtId="2" fontId="37" fillId="0" borderId="18" xfId="233" applyNumberFormat="1" applyFont="1" applyFill="1" applyBorder="1" applyAlignment="1">
      <alignment horizontal="center" vertical="center" wrapText="1"/>
    </xf>
    <xf numFmtId="2" fontId="104" fillId="39" borderId="17" xfId="0" applyNumberFormat="1" applyFont="1" applyFill="1" applyBorder="1" applyAlignment="1">
      <alignment horizontal="center" vertical="top"/>
    </xf>
    <xf numFmtId="2" fontId="37" fillId="0" borderId="20" xfId="155" applyNumberFormat="1" applyFont="1" applyFill="1" applyBorder="1"/>
    <xf numFmtId="2" fontId="37" fillId="0" borderId="22" xfId="155" applyNumberFormat="1" applyFont="1" applyFill="1" applyBorder="1"/>
    <xf numFmtId="2" fontId="37" fillId="0" borderId="19" xfId="155" applyNumberFormat="1" applyFont="1" applyFill="1" applyBorder="1"/>
    <xf numFmtId="0" fontId="32" fillId="40" borderId="0" xfId="134" applyFont="1" applyFill="1" applyBorder="1" applyAlignment="1">
      <alignment horizontal="center" vertical="top"/>
    </xf>
    <xf numFmtId="0" fontId="32" fillId="40" borderId="0" xfId="148" applyFont="1" applyFill="1" applyAlignment="1"/>
    <xf numFmtId="0" fontId="32" fillId="40" borderId="57" xfId="173" applyFont="1" applyFill="1" applyBorder="1" applyAlignment="1">
      <alignment horizontal="center" vertical="top" wrapText="1"/>
    </xf>
    <xf numFmtId="0" fontId="32" fillId="40" borderId="57" xfId="173" applyFont="1" applyFill="1" applyBorder="1" applyAlignment="1">
      <alignment horizontal="center" vertical="center" wrapText="1"/>
    </xf>
    <xf numFmtId="2" fontId="32" fillId="40" borderId="57" xfId="173" applyNumberFormat="1" applyFont="1" applyFill="1" applyBorder="1" applyAlignment="1">
      <alignment horizontal="center" vertical="top" wrapText="1"/>
    </xf>
    <xf numFmtId="1" fontId="32" fillId="40" borderId="57" xfId="173" applyNumberFormat="1" applyFont="1" applyFill="1" applyBorder="1" applyAlignment="1">
      <alignment horizontal="center" vertical="top" wrapText="1"/>
    </xf>
    <xf numFmtId="0" fontId="32" fillId="40" borderId="57" xfId="152" applyFont="1" applyFill="1" applyBorder="1" applyAlignment="1">
      <alignment horizontal="center" vertical="center"/>
    </xf>
    <xf numFmtId="2" fontId="40" fillId="40" borderId="57" xfId="152" applyNumberFormat="1" applyFont="1" applyFill="1" applyBorder="1" applyAlignment="1">
      <alignment vertical="top"/>
    </xf>
    <xf numFmtId="0" fontId="40" fillId="40" borderId="57" xfId="152" applyFont="1" applyFill="1" applyBorder="1" applyAlignment="1">
      <alignment vertical="top"/>
    </xf>
    <xf numFmtId="2" fontId="32" fillId="40" borderId="57" xfId="152" applyNumberFormat="1" applyFont="1" applyFill="1" applyBorder="1" applyAlignment="1">
      <alignment vertical="top" wrapText="1"/>
    </xf>
    <xf numFmtId="0" fontId="32" fillId="40" borderId="57" xfId="152" applyFont="1" applyFill="1" applyBorder="1" applyAlignment="1">
      <alignment vertical="top" wrapText="1"/>
    </xf>
    <xf numFmtId="0" fontId="32" fillId="40" borderId="57" xfId="152" applyFont="1" applyFill="1" applyBorder="1" applyAlignment="1">
      <alignment horizontal="center" vertical="top"/>
    </xf>
    <xf numFmtId="0" fontId="32" fillId="40" borderId="0" xfId="152" applyFont="1" applyFill="1" applyBorder="1" applyAlignment="1">
      <alignment horizontal="center" vertical="center"/>
    </xf>
    <xf numFmtId="0" fontId="32" fillId="40" borderId="0" xfId="152" applyFont="1" applyFill="1" applyBorder="1" applyAlignment="1">
      <alignment vertical="top" wrapText="1"/>
    </xf>
    <xf numFmtId="0" fontId="32" fillId="40" borderId="0" xfId="152" applyFont="1" applyFill="1" applyBorder="1" applyAlignment="1">
      <alignment horizontal="center" vertical="top"/>
    </xf>
    <xf numFmtId="2" fontId="32" fillId="40" borderId="0" xfId="152" applyNumberFormat="1" applyFont="1" applyFill="1" applyBorder="1" applyAlignment="1">
      <alignment vertical="top" wrapText="1"/>
    </xf>
    <xf numFmtId="2" fontId="40" fillId="40" borderId="0" xfId="152" applyNumberFormat="1" applyFont="1" applyFill="1" applyBorder="1" applyAlignment="1">
      <alignment vertical="top"/>
    </xf>
    <xf numFmtId="0" fontId="40" fillId="40" borderId="0" xfId="152" applyFont="1" applyFill="1" applyBorder="1" applyAlignment="1">
      <alignment vertical="top"/>
    </xf>
    <xf numFmtId="0" fontId="32" fillId="40" borderId="0" xfId="148" applyFill="1" applyAlignment="1"/>
    <xf numFmtId="179" fontId="32" fillId="40" borderId="57" xfId="173" applyNumberFormat="1" applyFont="1" applyFill="1" applyBorder="1" applyAlignment="1">
      <alignment horizontal="center" vertical="top" wrapText="1"/>
    </xf>
    <xf numFmtId="0" fontId="32" fillId="40" borderId="58" xfId="173" applyFont="1" applyFill="1" applyBorder="1" applyAlignment="1">
      <alignment horizontal="left" vertical="top" wrapText="1"/>
    </xf>
    <xf numFmtId="0" fontId="32" fillId="40" borderId="59" xfId="173" applyFont="1" applyFill="1" applyBorder="1" applyAlignment="1">
      <alignment horizontal="left" vertical="top" wrapText="1"/>
    </xf>
    <xf numFmtId="0" fontId="32" fillId="40" borderId="60" xfId="173" applyFont="1" applyFill="1" applyBorder="1" applyAlignment="1">
      <alignment horizontal="left" vertical="top" wrapText="1"/>
    </xf>
    <xf numFmtId="179" fontId="32" fillId="40" borderId="57" xfId="152" applyNumberFormat="1" applyFont="1" applyFill="1" applyBorder="1" applyAlignment="1">
      <alignment vertical="top"/>
    </xf>
    <xf numFmtId="0" fontId="46" fillId="40" borderId="57" xfId="152" applyFont="1" applyFill="1" applyBorder="1" applyAlignment="1">
      <alignment horizontal="center" vertical="top"/>
    </xf>
    <xf numFmtId="0" fontId="32" fillId="40" borderId="0" xfId="148" applyFill="1" applyAlignment="1">
      <alignment horizontal="center" vertical="center"/>
    </xf>
    <xf numFmtId="0" fontId="71" fillId="0" borderId="0" xfId="148" applyFont="1" applyAlignment="1">
      <alignment horizontal="center"/>
    </xf>
    <xf numFmtId="9" fontId="32" fillId="40" borderId="0" xfId="148" applyNumberFormat="1" applyFont="1" applyFill="1" applyAlignment="1"/>
    <xf numFmtId="0" fontId="32" fillId="40" borderId="61" xfId="148" applyFont="1" applyFill="1" applyBorder="1" applyAlignment="1"/>
    <xf numFmtId="0" fontId="38" fillId="40" borderId="61" xfId="148" applyFont="1" applyFill="1" applyBorder="1" applyAlignment="1">
      <alignment horizontal="center" vertical="center" wrapText="1"/>
    </xf>
    <xf numFmtId="0" fontId="32" fillId="40" borderId="61" xfId="148" applyFont="1" applyFill="1" applyBorder="1" applyAlignment="1">
      <alignment horizontal="center" vertical="center" wrapText="1"/>
    </xf>
    <xf numFmtId="165" fontId="32" fillId="40" borderId="61" xfId="148" applyNumberFormat="1" applyFont="1" applyFill="1" applyBorder="1" applyAlignment="1">
      <alignment horizontal="center" vertical="center" wrapText="1"/>
    </xf>
    <xf numFmtId="167" fontId="32" fillId="40" borderId="61" xfId="148" applyNumberFormat="1" applyFont="1" applyFill="1" applyBorder="1" applyAlignment="1">
      <alignment horizontal="center" vertical="center" wrapText="1"/>
    </xf>
    <xf numFmtId="0" fontId="32" fillId="40" borderId="61" xfId="148" applyFont="1" applyFill="1" applyBorder="1" applyAlignment="1">
      <alignment wrapText="1"/>
    </xf>
    <xf numFmtId="0" fontId="32" fillId="40" borderId="61" xfId="148" applyFont="1" applyFill="1" applyBorder="1" applyAlignment="1">
      <alignment horizontal="center" wrapText="1"/>
    </xf>
    <xf numFmtId="165" fontId="32" fillId="40" borderId="61" xfId="148" applyNumberFormat="1" applyFont="1" applyFill="1" applyBorder="1" applyAlignment="1">
      <alignment wrapText="1"/>
    </xf>
    <xf numFmtId="0" fontId="58" fillId="40" borderId="61" xfId="148" applyFont="1" applyFill="1" applyBorder="1" applyAlignment="1">
      <alignment horizontal="center" vertical="top" wrapText="1"/>
    </xf>
    <xf numFmtId="0" fontId="58" fillId="40" borderId="61" xfId="148" applyFont="1" applyFill="1" applyBorder="1" applyAlignment="1">
      <alignment horizontal="center" wrapText="1"/>
    </xf>
    <xf numFmtId="165" fontId="58" fillId="40" borderId="61" xfId="148" applyNumberFormat="1" applyFont="1" applyFill="1" applyBorder="1" applyAlignment="1">
      <alignment horizontal="center" wrapText="1"/>
    </xf>
    <xf numFmtId="0" fontId="32" fillId="40" borderId="61" xfId="148" applyFont="1" applyFill="1" applyBorder="1" applyAlignment="1">
      <alignment horizontal="center" vertical="top" wrapText="1"/>
    </xf>
    <xf numFmtId="167" fontId="32" fillId="40" borderId="61" xfId="148" applyNumberFormat="1" applyFont="1" applyFill="1" applyBorder="1" applyAlignment="1">
      <alignment horizontal="center" vertical="top" wrapText="1"/>
    </xf>
    <xf numFmtId="165" fontId="71" fillId="40" borderId="61" xfId="148" applyNumberFormat="1" applyFont="1" applyFill="1" applyBorder="1" applyAlignment="1">
      <alignment horizontal="center" wrapText="1"/>
    </xf>
    <xf numFmtId="0" fontId="32" fillId="40" borderId="61" xfId="148" applyFont="1" applyFill="1" applyBorder="1" applyAlignment="1">
      <alignment horizontal="center" vertical="center"/>
    </xf>
    <xf numFmtId="165" fontId="32" fillId="40" borderId="61" xfId="148" applyNumberFormat="1" applyFont="1" applyFill="1" applyBorder="1" applyAlignment="1">
      <alignment horizontal="justify" wrapText="1"/>
    </xf>
    <xf numFmtId="165" fontId="32" fillId="40" borderId="61" xfId="148" applyNumberFormat="1" applyFont="1" applyFill="1" applyBorder="1" applyAlignment="1">
      <alignment horizontal="center" wrapText="1"/>
    </xf>
    <xf numFmtId="165" fontId="32" fillId="40" borderId="61" xfId="148" applyNumberFormat="1" applyFont="1" applyFill="1" applyBorder="1" applyAlignment="1">
      <alignment horizontal="center" vertical="top" wrapText="1"/>
    </xf>
    <xf numFmtId="9" fontId="32" fillId="40" borderId="61" xfId="148" applyNumberFormat="1" applyFont="1" applyFill="1" applyBorder="1" applyAlignment="1">
      <alignment horizontal="center" vertical="top" wrapText="1"/>
    </xf>
    <xf numFmtId="0" fontId="32" fillId="40" borderId="61" xfId="148" applyFont="1" applyFill="1" applyBorder="1" applyAlignment="1">
      <alignment horizontal="center"/>
    </xf>
    <xf numFmtId="167" fontId="32" fillId="40" borderId="61" xfId="148" applyNumberFormat="1" applyFont="1" applyFill="1" applyBorder="1" applyAlignment="1">
      <alignment horizontal="center" wrapText="1"/>
    </xf>
    <xf numFmtId="4" fontId="32" fillId="40" borderId="61" xfId="148" applyNumberFormat="1" applyFont="1" applyFill="1" applyBorder="1" applyAlignment="1">
      <alignment horizontal="center" wrapText="1"/>
    </xf>
    <xf numFmtId="168" fontId="32" fillId="40" borderId="61" xfId="148" applyNumberFormat="1" applyFont="1" applyFill="1" applyBorder="1" applyAlignment="1">
      <alignment horizontal="center" wrapText="1"/>
    </xf>
    <xf numFmtId="2" fontId="32" fillId="40" borderId="61" xfId="148" applyNumberFormat="1" applyFont="1" applyFill="1" applyBorder="1" applyAlignment="1">
      <alignment horizontal="center" wrapText="1" shrinkToFit="1" readingOrder="1"/>
    </xf>
    <xf numFmtId="165" fontId="32" fillId="40" borderId="61" xfId="148" applyNumberFormat="1" applyFont="1" applyFill="1" applyBorder="1" applyAlignment="1"/>
    <xf numFmtId="2" fontId="32" fillId="40" borderId="61" xfId="148" applyNumberFormat="1" applyFont="1" applyFill="1" applyBorder="1" applyAlignment="1">
      <alignment horizontal="center"/>
    </xf>
    <xf numFmtId="0" fontId="32" fillId="40" borderId="61" xfId="148" applyFont="1" applyFill="1" applyBorder="1" applyAlignment="1">
      <alignment vertical="top" wrapText="1"/>
    </xf>
    <xf numFmtId="2" fontId="32" fillId="40" borderId="61" xfId="148" applyNumberFormat="1" applyFont="1" applyFill="1" applyBorder="1" applyAlignment="1"/>
    <xf numFmtId="49" fontId="32" fillId="40" borderId="61" xfId="148" applyNumberFormat="1" applyFont="1" applyFill="1" applyBorder="1" applyAlignment="1">
      <alignment horizontal="left" vertical="center" wrapText="1"/>
    </xf>
    <xf numFmtId="2" fontId="32" fillId="40" borderId="61" xfId="148" applyNumberFormat="1" applyFont="1" applyFill="1" applyBorder="1" applyAlignment="1">
      <alignment horizontal="center" vertical="center" wrapText="1"/>
    </xf>
    <xf numFmtId="0" fontId="32" fillId="40" borderId="0" xfId="148" applyFont="1" applyFill="1" applyAlignment="1">
      <alignment horizontal="center" vertical="center" wrapText="1"/>
    </xf>
    <xf numFmtId="165" fontId="32" fillId="40" borderId="61" xfId="148" applyNumberFormat="1" applyFont="1" applyFill="1" applyBorder="1" applyAlignment="1">
      <alignment horizontal="justify" vertical="top" wrapText="1"/>
    </xf>
    <xf numFmtId="9" fontId="32" fillId="40" borderId="61" xfId="148" applyNumberFormat="1" applyFont="1" applyFill="1" applyBorder="1" applyAlignment="1">
      <alignment horizontal="center"/>
    </xf>
    <xf numFmtId="165" fontId="32" fillId="40" borderId="61" xfId="148" applyNumberFormat="1" applyFont="1" applyFill="1" applyBorder="1" applyAlignment="1">
      <alignment horizontal="center"/>
    </xf>
    <xf numFmtId="164" fontId="32" fillId="40" borderId="61" xfId="148" applyNumberFormat="1" applyFont="1" applyFill="1" applyBorder="1" applyAlignment="1">
      <alignment horizontal="center" wrapText="1" shrinkToFit="1" readingOrder="1"/>
    </xf>
    <xf numFmtId="2" fontId="37" fillId="40" borderId="61" xfId="148" applyNumberFormat="1" applyFont="1" applyFill="1" applyBorder="1" applyAlignment="1">
      <alignment horizontal="center" vertical="top" wrapText="1"/>
    </xf>
    <xf numFmtId="2" fontId="37" fillId="40" borderId="61" xfId="148" applyNumberFormat="1" applyFont="1" applyFill="1" applyBorder="1" applyAlignment="1">
      <alignment vertical="top" wrapText="1"/>
    </xf>
    <xf numFmtId="0" fontId="85" fillId="40" borderId="61" xfId="148" applyFont="1" applyFill="1" applyBorder="1" applyAlignment="1"/>
    <xf numFmtId="165" fontId="32" fillId="40" borderId="61" xfId="148" applyNumberFormat="1" applyFont="1" applyFill="1" applyBorder="1" applyAlignment="1">
      <alignment horizontal="left"/>
    </xf>
    <xf numFmtId="0" fontId="32" fillId="40" borderId="61" xfId="148" applyFont="1" applyFill="1" applyBorder="1" applyAlignment="1">
      <alignment horizontal="justify" vertical="top" wrapText="1"/>
    </xf>
    <xf numFmtId="0" fontId="44" fillId="40" borderId="61" xfId="148" applyFont="1" applyFill="1" applyBorder="1" applyAlignment="1">
      <alignment horizontal="justify" vertical="top" wrapText="1"/>
    </xf>
    <xf numFmtId="0" fontId="38" fillId="40" borderId="61" xfId="148" applyFont="1" applyFill="1" applyBorder="1" applyAlignment="1">
      <alignment horizontal="justify" vertical="top" wrapText="1"/>
    </xf>
    <xf numFmtId="165" fontId="32" fillId="40" borderId="34" xfId="148" applyNumberFormat="1" applyFont="1" applyFill="1" applyBorder="1" applyAlignment="1">
      <alignment horizontal="center" wrapText="1"/>
    </xf>
    <xf numFmtId="0" fontId="38" fillId="40" borderId="8" xfId="148" applyFont="1" applyFill="1" applyBorder="1" applyAlignment="1">
      <alignment horizontal="justify" vertical="top" wrapText="1"/>
    </xf>
    <xf numFmtId="165" fontId="32" fillId="40" borderId="34" xfId="148" applyNumberFormat="1" applyFont="1" applyFill="1" applyBorder="1" applyAlignment="1">
      <alignment horizontal="center"/>
    </xf>
    <xf numFmtId="165" fontId="32" fillId="40" borderId="0" xfId="148" applyNumberFormat="1" applyFont="1" applyFill="1" applyAlignment="1">
      <alignment horizontal="center"/>
    </xf>
    <xf numFmtId="165" fontId="32" fillId="40" borderId="60" xfId="148" applyNumberFormat="1" applyFont="1" applyFill="1" applyBorder="1" applyAlignment="1">
      <alignment horizontal="center"/>
    </xf>
    <xf numFmtId="0" fontId="32" fillId="40" borderId="34" xfId="148" applyFont="1" applyFill="1" applyBorder="1" applyAlignment="1">
      <alignment horizontal="center"/>
    </xf>
    <xf numFmtId="0" fontId="32" fillId="40" borderId="0" xfId="148" applyFont="1" applyFill="1" applyAlignment="1">
      <alignment horizontal="center"/>
    </xf>
    <xf numFmtId="165" fontId="71" fillId="40" borderId="34" xfId="148" applyNumberFormat="1" applyFont="1" applyFill="1" applyBorder="1" applyAlignment="1">
      <alignment horizontal="center" wrapText="1"/>
    </xf>
    <xf numFmtId="165" fontId="71" fillId="40" borderId="8" xfId="148" applyNumberFormat="1" applyFont="1" applyFill="1" applyBorder="1" applyAlignment="1">
      <alignment horizontal="center" wrapText="1"/>
    </xf>
    <xf numFmtId="165" fontId="71" fillId="40" borderId="0" xfId="148" applyNumberFormat="1" applyFont="1" applyFill="1" applyAlignment="1">
      <alignment horizontal="center" wrapText="1"/>
    </xf>
    <xf numFmtId="2" fontId="32" fillId="40" borderId="34" xfId="148" applyNumberFormat="1" applyFont="1" applyFill="1" applyBorder="1" applyAlignment="1">
      <alignment horizontal="center"/>
    </xf>
    <xf numFmtId="165" fontId="32" fillId="40" borderId="60" xfId="148" applyNumberFormat="1" applyFont="1" applyFill="1" applyBorder="1" applyAlignment="1">
      <alignment horizontal="center" wrapText="1"/>
    </xf>
    <xf numFmtId="0" fontId="32" fillId="40" borderId="34" xfId="148" applyFont="1" applyFill="1" applyBorder="1" applyAlignment="1"/>
    <xf numFmtId="9" fontId="32" fillId="40" borderId="61" xfId="148" applyNumberFormat="1" applyFont="1" applyFill="1" applyBorder="1" applyAlignment="1">
      <alignment horizontal="center" wrapText="1"/>
    </xf>
    <xf numFmtId="165" fontId="32" fillId="40" borderId="61" xfId="148" applyNumberFormat="1" applyFont="1" applyFill="1" applyBorder="1" applyAlignment="1">
      <alignment horizontal="right"/>
    </xf>
    <xf numFmtId="166" fontId="32" fillId="40" borderId="61" xfId="148" applyNumberFormat="1" applyFont="1" applyFill="1" applyBorder="1" applyAlignment="1">
      <alignment horizontal="center" wrapText="1"/>
    </xf>
    <xf numFmtId="165" fontId="71" fillId="40" borderId="61" xfId="148" applyNumberFormat="1" applyFont="1" applyFill="1" applyBorder="1" applyAlignment="1">
      <alignment wrapText="1"/>
    </xf>
    <xf numFmtId="43" fontId="32" fillId="40" borderId="61" xfId="148" applyNumberFormat="1" applyFont="1" applyFill="1" applyBorder="1" applyAlignment="1">
      <alignment horizontal="center" vertical="center"/>
    </xf>
    <xf numFmtId="43" fontId="32" fillId="40" borderId="61" xfId="148" applyNumberFormat="1" applyFont="1" applyFill="1" applyBorder="1" applyAlignment="1">
      <alignment horizontal="center" vertical="top" wrapText="1"/>
    </xf>
    <xf numFmtId="43" fontId="32" fillId="40" borderId="61" xfId="148" applyNumberFormat="1" applyFont="1" applyFill="1" applyBorder="1" applyAlignment="1">
      <alignment horizontal="justify" wrapText="1"/>
    </xf>
    <xf numFmtId="43" fontId="32" fillId="40" borderId="61" xfId="148" applyNumberFormat="1" applyFont="1" applyFill="1" applyBorder="1" applyAlignment="1">
      <alignment horizontal="center" wrapText="1" shrinkToFit="1" readingOrder="1"/>
    </xf>
    <xf numFmtId="43" fontId="32" fillId="40" borderId="61" xfId="148" applyNumberFormat="1" applyFont="1" applyFill="1" applyBorder="1" applyAlignment="1">
      <alignment horizontal="center" wrapText="1"/>
    </xf>
    <xf numFmtId="43" fontId="32" fillId="40" borderId="61" xfId="148" applyNumberFormat="1" applyFont="1" applyFill="1" applyBorder="1" applyAlignment="1">
      <alignment horizontal="right"/>
    </xf>
    <xf numFmtId="43" fontId="32" fillId="40" borderId="61" xfId="148" applyNumberFormat="1" applyFont="1" applyFill="1" applyBorder="1" applyAlignment="1">
      <alignment horizontal="center"/>
    </xf>
    <xf numFmtId="43" fontId="32" fillId="40" borderId="61" xfId="148" applyNumberFormat="1" applyFont="1" applyFill="1" applyBorder="1" applyAlignment="1">
      <alignment horizontal="left"/>
    </xf>
    <xf numFmtId="43" fontId="32" fillId="40" borderId="34" xfId="148" applyNumberFormat="1" applyFont="1" applyFill="1" applyBorder="1" applyAlignment="1">
      <alignment horizontal="left"/>
    </xf>
    <xf numFmtId="43" fontId="32" fillId="40" borderId="8" xfId="148" applyNumberFormat="1" applyFont="1" applyFill="1" applyBorder="1" applyAlignment="1">
      <alignment horizontal="center"/>
    </xf>
    <xf numFmtId="43" fontId="32" fillId="40" borderId="0" xfId="148" applyNumberFormat="1" applyFont="1" applyFill="1" applyAlignment="1"/>
    <xf numFmtId="165" fontId="32" fillId="40" borderId="30" xfId="148" applyNumberFormat="1" applyFont="1" applyFill="1" applyBorder="1" applyAlignment="1">
      <alignment horizontal="center"/>
    </xf>
    <xf numFmtId="165" fontId="71" fillId="40" borderId="30" xfId="148" applyNumberFormat="1" applyFont="1" applyFill="1" applyBorder="1" applyAlignment="1">
      <alignment horizontal="center" wrapText="1"/>
    </xf>
    <xf numFmtId="165" fontId="71" fillId="40" borderId="57" xfId="148" applyNumberFormat="1" applyFont="1" applyFill="1" applyBorder="1" applyAlignment="1">
      <alignment horizontal="center" wrapText="1"/>
    </xf>
    <xf numFmtId="165" fontId="32" fillId="40" borderId="30" xfId="148" applyNumberFormat="1" applyFont="1" applyFill="1" applyBorder="1" applyAlignment="1">
      <alignment horizontal="center" wrapText="1"/>
    </xf>
    <xf numFmtId="165" fontId="32" fillId="40" borderId="61" xfId="148" applyNumberFormat="1" applyFont="1" applyFill="1" applyBorder="1" applyAlignment="1">
      <alignment vertical="top" wrapText="1"/>
    </xf>
    <xf numFmtId="0" fontId="32" fillId="40" borderId="34" xfId="148" applyFont="1" applyFill="1" applyBorder="1" applyAlignment="1">
      <alignment horizontal="center" vertical="top" wrapText="1"/>
    </xf>
    <xf numFmtId="2" fontId="32" fillId="40" borderId="60" xfId="148" applyNumberFormat="1" applyFont="1" applyFill="1" applyBorder="1" applyAlignment="1">
      <alignment horizontal="center"/>
    </xf>
    <xf numFmtId="165" fontId="71" fillId="40" borderId="60" xfId="148" applyNumberFormat="1" applyFont="1" applyFill="1" applyBorder="1" applyAlignment="1">
      <alignment horizontal="center" wrapText="1"/>
    </xf>
    <xf numFmtId="2" fontId="32" fillId="40" borderId="61" xfId="148" applyNumberFormat="1" applyFont="1" applyFill="1" applyBorder="1" applyAlignment="1">
      <alignment horizontal="center" vertical="top" wrapText="1"/>
    </xf>
    <xf numFmtId="165" fontId="32" fillId="40" borderId="61" xfId="148" applyNumberFormat="1" applyFont="1" applyFill="1" applyBorder="1" applyAlignment="1">
      <alignment horizontal="left" vertical="top" wrapText="1"/>
    </xf>
    <xf numFmtId="0" fontId="32" fillId="40" borderId="61" xfId="148" applyFont="1" applyFill="1" applyBorder="1" applyAlignment="1">
      <alignment horizontal="left" vertical="top" wrapText="1"/>
    </xf>
    <xf numFmtId="2" fontId="32" fillId="40" borderId="61" xfId="148" applyNumberFormat="1" applyFont="1" applyFill="1" applyBorder="1" applyAlignment="1">
      <alignment horizontal="right" vertical="center" wrapText="1"/>
    </xf>
    <xf numFmtId="49" fontId="32" fillId="40" borderId="61" xfId="148" applyNumberFormat="1" applyFont="1" applyFill="1" applyBorder="1" applyAlignment="1">
      <alignment horizontal="center" vertical="center" wrapText="1"/>
    </xf>
    <xf numFmtId="165" fontId="86" fillId="40" borderId="61" xfId="148" applyNumberFormat="1" applyFont="1" applyFill="1" applyBorder="1" applyAlignment="1">
      <alignment horizontal="justify" vertical="top" wrapText="1"/>
    </xf>
    <xf numFmtId="0" fontId="32" fillId="40" borderId="34" xfId="148" applyFont="1" applyFill="1" applyBorder="1" applyAlignment="1">
      <alignment horizontal="center" vertical="center" wrapText="1"/>
    </xf>
    <xf numFmtId="2" fontId="32" fillId="40" borderId="61" xfId="148" applyNumberFormat="1" applyFont="1" applyFill="1" applyBorder="1" applyAlignment="1">
      <alignment horizontal="center" wrapText="1"/>
    </xf>
    <xf numFmtId="164" fontId="32" fillId="40" borderId="61" xfId="148" applyNumberFormat="1" applyFont="1" applyFill="1" applyBorder="1" applyAlignment="1">
      <alignment horizontal="center" vertical="top" wrapText="1"/>
    </xf>
    <xf numFmtId="0" fontId="32" fillId="40" borderId="0" xfId="148" applyFont="1" applyFill="1" applyAlignment="1">
      <alignment vertical="top" wrapText="1"/>
    </xf>
    <xf numFmtId="165" fontId="32" fillId="40" borderId="61" xfId="148" applyNumberFormat="1" applyFont="1" applyFill="1" applyBorder="1" applyAlignment="1">
      <alignment horizontal="right" wrapText="1"/>
    </xf>
    <xf numFmtId="165" fontId="71" fillId="40" borderId="61" xfId="148" applyNumberFormat="1" applyFont="1" applyFill="1" applyBorder="1" applyAlignment="1">
      <alignment horizontal="right" wrapText="1"/>
    </xf>
    <xf numFmtId="0" fontId="83" fillId="40" borderId="61" xfId="148" applyFont="1" applyFill="1" applyBorder="1" applyAlignment="1">
      <alignment horizontal="center" vertical="top" wrapText="1"/>
    </xf>
    <xf numFmtId="2" fontId="32" fillId="40" borderId="61" xfId="148" applyNumberFormat="1" applyFont="1" applyFill="1" applyBorder="1" applyAlignment="1">
      <alignment horizontal="right"/>
    </xf>
    <xf numFmtId="0" fontId="32" fillId="40" borderId="0" xfId="148" applyFont="1" applyFill="1" applyBorder="1" applyAlignment="1"/>
    <xf numFmtId="0" fontId="32" fillId="40" borderId="0" xfId="148" applyFont="1" applyFill="1" applyBorder="1" applyAlignment="1">
      <alignment horizontal="center" vertical="center" wrapText="1"/>
    </xf>
    <xf numFmtId="0" fontId="32" fillId="40" borderId="0" xfId="148" applyFont="1" applyFill="1" applyBorder="1" applyAlignment="1">
      <alignment vertical="top" wrapText="1"/>
    </xf>
    <xf numFmtId="0" fontId="32" fillId="40" borderId="35" xfId="148" applyFont="1" applyFill="1" applyBorder="1" applyAlignment="1"/>
    <xf numFmtId="0" fontId="32" fillId="40" borderId="31" xfId="148" applyFont="1" applyFill="1" applyBorder="1" applyAlignment="1"/>
    <xf numFmtId="165" fontId="58" fillId="40" borderId="61" xfId="148" applyNumberFormat="1" applyFont="1" applyFill="1" applyBorder="1" applyAlignment="1">
      <alignment horizontal="center" vertical="top" wrapText="1"/>
    </xf>
    <xf numFmtId="0" fontId="83" fillId="40" borderId="61" xfId="148" applyFont="1" applyFill="1" applyBorder="1" applyAlignment="1">
      <alignment horizontal="center" vertical="center"/>
    </xf>
    <xf numFmtId="165" fontId="87" fillId="40" borderId="61" xfId="148" applyNumberFormat="1" applyFont="1" applyFill="1" applyBorder="1" applyAlignment="1">
      <alignment horizontal="center" vertical="top" wrapText="1"/>
    </xf>
    <xf numFmtId="0" fontId="82" fillId="40" borderId="61" xfId="148" applyFont="1" applyFill="1" applyBorder="1" applyAlignment="1">
      <alignment vertical="top" wrapText="1"/>
    </xf>
    <xf numFmtId="0" fontId="82" fillId="40" borderId="35" xfId="148" applyFont="1" applyFill="1" applyBorder="1" applyAlignment="1">
      <alignment vertical="top" wrapText="1"/>
    </xf>
    <xf numFmtId="0" fontId="82" fillId="40" borderId="31" xfId="148" applyFont="1" applyFill="1" applyBorder="1" applyAlignment="1">
      <alignment vertical="top" wrapText="1"/>
    </xf>
    <xf numFmtId="0" fontId="83" fillId="40" borderId="0" xfId="148" applyFont="1" applyFill="1" applyAlignment="1">
      <alignment vertical="top" wrapText="1"/>
    </xf>
    <xf numFmtId="166" fontId="32" fillId="40" borderId="61" xfId="148" applyNumberFormat="1" applyFont="1" applyFill="1" applyBorder="1" applyAlignment="1">
      <alignment wrapText="1"/>
    </xf>
    <xf numFmtId="165" fontId="59" fillId="40" borderId="61" xfId="148" applyNumberFormat="1" applyFont="1" applyFill="1" applyBorder="1" applyAlignment="1">
      <alignment wrapText="1"/>
    </xf>
    <xf numFmtId="2" fontId="32" fillId="40" borderId="61" xfId="148" applyNumberFormat="1" applyFont="1" applyFill="1" applyBorder="1" applyAlignment="1">
      <alignment wrapText="1"/>
    </xf>
    <xf numFmtId="10" fontId="32" fillId="40" borderId="61" xfId="148" applyNumberFormat="1" applyFont="1" applyFill="1" applyBorder="1" applyAlignment="1">
      <alignment wrapText="1"/>
    </xf>
    <xf numFmtId="2" fontId="71" fillId="40" borderId="61" xfId="148" applyNumberFormat="1" applyFont="1" applyFill="1" applyBorder="1" applyAlignment="1">
      <alignment horizontal="center"/>
    </xf>
    <xf numFmtId="0" fontId="82" fillId="40" borderId="36" xfId="148" applyFont="1" applyFill="1" applyBorder="1" applyAlignment="1">
      <alignment vertical="top" wrapText="1"/>
    </xf>
    <xf numFmtId="164" fontId="32" fillId="40" borderId="61" xfId="148" applyNumberFormat="1" applyFont="1" applyFill="1" applyBorder="1" applyAlignment="1"/>
    <xf numFmtId="164" fontId="32" fillId="40" borderId="61" xfId="148" applyNumberFormat="1" applyFont="1" applyFill="1" applyBorder="1" applyAlignment="1">
      <alignment horizontal="center"/>
    </xf>
    <xf numFmtId="164" fontId="83" fillId="40" borderId="61" xfId="148" applyNumberFormat="1" applyFont="1" applyFill="1" applyBorder="1" applyAlignment="1">
      <alignment horizontal="center"/>
    </xf>
    <xf numFmtId="2" fontId="32" fillId="40" borderId="61" xfId="148" applyNumberFormat="1" applyFont="1" applyFill="1" applyBorder="1" applyAlignment="1">
      <alignment vertical="top" wrapText="1"/>
    </xf>
    <xf numFmtId="2" fontId="32" fillId="40" borderId="61" xfId="148" applyNumberFormat="1" applyFont="1" applyFill="1" applyBorder="1" applyAlignment="1">
      <alignment horizontal="right" vertical="top" wrapText="1"/>
    </xf>
    <xf numFmtId="166" fontId="32" fillId="40" borderId="61" xfId="148" applyNumberFormat="1" applyFont="1" applyFill="1" applyBorder="1" applyAlignment="1">
      <alignment horizontal="center" vertical="top" wrapText="1"/>
    </xf>
    <xf numFmtId="10" fontId="32" fillId="40" borderId="61" xfId="148" applyNumberFormat="1" applyFont="1" applyFill="1" applyBorder="1" applyAlignment="1">
      <alignment horizontal="center" wrapText="1"/>
    </xf>
    <xf numFmtId="165" fontId="32" fillId="40" borderId="61" xfId="148" applyNumberFormat="1" applyFont="1" applyFill="1" applyBorder="1" applyAlignment="1">
      <alignment horizontal="left" vertical="center" wrapText="1"/>
    </xf>
    <xf numFmtId="2" fontId="32" fillId="40" borderId="35" xfId="148" applyNumberFormat="1" applyFont="1" applyFill="1" applyBorder="1" applyAlignment="1"/>
    <xf numFmtId="0" fontId="32" fillId="40" borderId="35" xfId="148" applyFont="1" applyFill="1" applyBorder="1" applyAlignment="1">
      <alignment wrapText="1"/>
    </xf>
    <xf numFmtId="2" fontId="32" fillId="40" borderId="35" xfId="148" applyNumberFormat="1" applyFont="1" applyFill="1" applyBorder="1" applyAlignment="1">
      <alignment wrapText="1"/>
    </xf>
    <xf numFmtId="2" fontId="32" fillId="40" borderId="31" xfId="148" applyNumberFormat="1" applyFont="1" applyFill="1" applyBorder="1" applyAlignment="1"/>
    <xf numFmtId="0" fontId="32" fillId="40" borderId="35" xfId="148" applyFont="1" applyFill="1" applyBorder="1" applyAlignment="1">
      <alignment horizontal="center"/>
    </xf>
    <xf numFmtId="2" fontId="32" fillId="40" borderId="61" xfId="148" applyNumberFormat="1" applyFont="1" applyFill="1" applyBorder="1" applyAlignment="1">
      <alignment horizontal="center" vertical="top" shrinkToFit="1" readingOrder="1"/>
    </xf>
    <xf numFmtId="165" fontId="32" fillId="40" borderId="35" xfId="148" applyNumberFormat="1" applyFont="1" applyFill="1" applyBorder="1" applyAlignment="1">
      <alignment wrapText="1"/>
    </xf>
    <xf numFmtId="2" fontId="71" fillId="40" borderId="61" xfId="148" applyNumberFormat="1" applyFont="1" applyFill="1" applyBorder="1" applyAlignment="1">
      <alignment horizontal="center" wrapText="1"/>
    </xf>
    <xf numFmtId="2" fontId="32" fillId="40" borderId="0" xfId="148" applyNumberFormat="1" applyFont="1" applyFill="1" applyAlignment="1"/>
    <xf numFmtId="165" fontId="38" fillId="40" borderId="61" xfId="148" applyNumberFormat="1" applyFont="1" applyFill="1" applyBorder="1" applyAlignment="1">
      <alignment horizontal="justify" vertical="top" wrapText="1"/>
    </xf>
    <xf numFmtId="0" fontId="87" fillId="40" borderId="61" xfId="148" applyFont="1" applyFill="1" applyBorder="1" applyAlignment="1">
      <alignment horizontal="center" vertical="top" wrapText="1"/>
    </xf>
    <xf numFmtId="10" fontId="32" fillId="40" borderId="61" xfId="148" applyNumberFormat="1" applyFont="1" applyFill="1" applyBorder="1" applyAlignment="1">
      <alignment horizontal="center" vertical="top" wrapText="1"/>
    </xf>
    <xf numFmtId="166" fontId="87" fillId="40" borderId="61" xfId="148" applyNumberFormat="1" applyFont="1" applyFill="1" applyBorder="1" applyAlignment="1">
      <alignment horizontal="center" vertical="top" wrapText="1"/>
    </xf>
    <xf numFmtId="0" fontId="38" fillId="40" borderId="61" xfId="148" applyFont="1" applyFill="1" applyBorder="1" applyAlignment="1">
      <alignment wrapText="1"/>
    </xf>
    <xf numFmtId="2" fontId="44" fillId="40" borderId="61" xfId="148" applyNumberFormat="1" applyFont="1" applyFill="1" applyBorder="1" applyAlignment="1">
      <alignment horizontal="center"/>
    </xf>
    <xf numFmtId="0" fontId="83" fillId="40" borderId="61" xfId="148" applyFont="1" applyFill="1" applyBorder="1" applyAlignment="1">
      <alignment vertical="top" wrapText="1"/>
    </xf>
    <xf numFmtId="2" fontId="83" fillId="40" borderId="61" xfId="148" applyNumberFormat="1" applyFont="1" applyFill="1" applyBorder="1" applyAlignment="1">
      <alignment horizontal="right" vertical="center" wrapText="1"/>
    </xf>
    <xf numFmtId="0" fontId="32" fillId="40" borderId="61" xfId="148" applyFont="1" applyFill="1" applyBorder="1" applyAlignment="1">
      <alignment horizontal="right" wrapText="1"/>
    </xf>
    <xf numFmtId="0" fontId="38" fillId="40" borderId="61" xfId="148" applyFont="1" applyFill="1" applyBorder="1" applyAlignment="1"/>
    <xf numFmtId="0" fontId="32" fillId="40" borderId="61" xfId="148" applyFont="1" applyFill="1" applyBorder="1" applyAlignment="1">
      <alignment horizontal="left" vertical="center" wrapText="1"/>
    </xf>
    <xf numFmtId="167" fontId="32" fillId="40" borderId="61" xfId="148" applyNumberFormat="1" applyFont="1" applyFill="1" applyBorder="1" applyAlignment="1">
      <alignment wrapText="1"/>
    </xf>
    <xf numFmtId="0" fontId="78" fillId="40" borderId="61" xfId="148" applyFont="1" applyFill="1" applyBorder="1" applyAlignment="1">
      <alignment wrapText="1"/>
    </xf>
    <xf numFmtId="2" fontId="44" fillId="40" borderId="61" xfId="148" applyNumberFormat="1" applyFont="1" applyFill="1" applyBorder="1" applyAlignment="1">
      <alignment horizontal="center" vertical="top" wrapText="1"/>
    </xf>
    <xf numFmtId="0" fontId="44" fillId="40" borderId="61" xfId="148" applyFont="1" applyFill="1" applyBorder="1" applyAlignment="1">
      <alignment horizontal="center" wrapText="1"/>
    </xf>
    <xf numFmtId="0" fontId="38" fillId="40" borderId="61" xfId="148" applyFont="1" applyFill="1" applyBorder="1" applyAlignment="1">
      <alignment horizontal="left" wrapText="1"/>
    </xf>
    <xf numFmtId="0" fontId="32" fillId="40" borderId="61" xfId="148" applyFont="1" applyFill="1" applyBorder="1" applyAlignment="1">
      <alignment horizontal="left" wrapText="1"/>
    </xf>
    <xf numFmtId="0" fontId="37" fillId="40" borderId="61" xfId="148" applyFont="1" applyFill="1" applyBorder="1" applyAlignment="1">
      <alignment horizontal="center" vertical="top" shrinkToFit="1" readingOrder="1"/>
    </xf>
    <xf numFmtId="0" fontId="37" fillId="40" borderId="61" xfId="148" applyFont="1" applyFill="1" applyBorder="1" applyAlignment="1">
      <alignment vertical="top" wrapText="1"/>
    </xf>
    <xf numFmtId="0" fontId="37" fillId="40" borderId="61" xfId="148" applyFont="1" applyFill="1" applyBorder="1" applyAlignment="1">
      <alignment vertical="top"/>
    </xf>
    <xf numFmtId="0" fontId="37" fillId="40" borderId="0" xfId="148" applyFont="1" applyFill="1" applyAlignment="1">
      <alignment vertical="top"/>
    </xf>
    <xf numFmtId="0" fontId="42" fillId="40" borderId="61" xfId="148" applyFont="1" applyFill="1" applyBorder="1" applyAlignment="1">
      <alignment horizontal="left" vertical="top" wrapText="1"/>
    </xf>
    <xf numFmtId="167" fontId="37" fillId="40" borderId="61" xfId="148" applyNumberFormat="1" applyFont="1" applyFill="1" applyBorder="1" applyAlignment="1">
      <alignment horizontal="center" vertical="top" shrinkToFit="1" readingOrder="1"/>
    </xf>
    <xf numFmtId="0" fontId="37" fillId="40" borderId="61" xfId="148" applyFont="1" applyFill="1" applyBorder="1" applyAlignment="1">
      <alignment horizontal="justify" vertical="top" wrapText="1"/>
    </xf>
    <xf numFmtId="0" fontId="37" fillId="40" borderId="61" xfId="148" applyFont="1" applyFill="1" applyBorder="1" applyAlignment="1">
      <alignment horizontal="justify" vertical="top" shrinkToFit="1" readingOrder="1"/>
    </xf>
    <xf numFmtId="2" fontId="37" fillId="40" borderId="61" xfId="148" applyNumberFormat="1" applyFont="1" applyFill="1" applyBorder="1" applyAlignment="1">
      <alignment horizontal="right" vertical="top" shrinkToFit="1" readingOrder="1"/>
    </xf>
    <xf numFmtId="164" fontId="37" fillId="40" borderId="61" xfId="148" applyNumberFormat="1" applyFont="1" applyFill="1" applyBorder="1" applyAlignment="1">
      <alignment horizontal="center" vertical="top" shrinkToFit="1" readingOrder="1"/>
    </xf>
    <xf numFmtId="164" fontId="37" fillId="40" borderId="61" xfId="148" applyNumberFormat="1" applyFont="1" applyFill="1" applyBorder="1" applyAlignment="1">
      <alignment horizontal="right" vertical="top" shrinkToFit="1" readingOrder="1"/>
    </xf>
    <xf numFmtId="2" fontId="37" fillId="40" borderId="61" xfId="148" applyNumberFormat="1" applyFont="1" applyFill="1" applyBorder="1" applyAlignment="1">
      <alignment horizontal="center" vertical="top" shrinkToFit="1" readingOrder="1"/>
    </xf>
    <xf numFmtId="167" fontId="37" fillId="40" borderId="61" xfId="148" applyNumberFormat="1" applyFont="1" applyFill="1" applyBorder="1" applyAlignment="1">
      <alignment horizontal="center" vertical="top" wrapText="1"/>
    </xf>
    <xf numFmtId="167" fontId="37" fillId="40" borderId="0" xfId="148" applyNumberFormat="1" applyFont="1" applyFill="1" applyAlignment="1">
      <alignment horizontal="center" vertical="top" wrapText="1"/>
    </xf>
    <xf numFmtId="165" fontId="37" fillId="40" borderId="61" xfId="148" applyNumberFormat="1" applyFont="1" applyFill="1" applyBorder="1" applyAlignment="1">
      <alignment horizontal="center" vertical="top" wrapText="1"/>
    </xf>
    <xf numFmtId="0" fontId="32" fillId="40" borderId="61" xfId="148" applyFont="1" applyFill="1" applyBorder="1" applyAlignment="1">
      <alignment vertical="top"/>
    </xf>
    <xf numFmtId="9" fontId="72" fillId="40" borderId="61" xfId="148" applyNumberFormat="1" applyFont="1" applyFill="1" applyBorder="1" applyAlignment="1">
      <alignment horizontal="center" vertical="top" shrinkToFit="1" readingOrder="1"/>
    </xf>
    <xf numFmtId="164" fontId="42" fillId="40" borderId="61" xfId="148" applyNumberFormat="1" applyFont="1" applyFill="1" applyBorder="1" applyAlignment="1">
      <alignment horizontal="left" vertical="top" wrapText="1"/>
    </xf>
    <xf numFmtId="0" fontId="32" fillId="40" borderId="0" xfId="148" applyFont="1" applyFill="1" applyAlignment="1">
      <alignment wrapText="1"/>
    </xf>
    <xf numFmtId="166" fontId="32" fillId="40" borderId="0" xfId="148" applyNumberFormat="1" applyFont="1" applyFill="1" applyAlignment="1">
      <alignment horizontal="center" wrapText="1"/>
    </xf>
    <xf numFmtId="0" fontId="32" fillId="40" borderId="0" xfId="148" applyFont="1" applyFill="1" applyAlignment="1">
      <alignment horizontal="center" wrapText="1"/>
    </xf>
    <xf numFmtId="2" fontId="71" fillId="40" borderId="0" xfId="148" applyNumberFormat="1" applyFont="1" applyFill="1" applyAlignment="1">
      <alignment horizontal="center"/>
    </xf>
    <xf numFmtId="174" fontId="37" fillId="40" borderId="61" xfId="148" applyNumberFormat="1" applyFont="1" applyFill="1" applyBorder="1" applyAlignment="1">
      <alignment horizontal="right" vertical="top" shrinkToFit="1" readingOrder="1"/>
    </xf>
    <xf numFmtId="0" fontId="32" fillId="40" borderId="61" xfId="148" applyFont="1" applyFill="1" applyBorder="1" applyAlignment="1">
      <alignment horizontal="left"/>
    </xf>
    <xf numFmtId="0" fontId="32" fillId="40" borderId="0" xfId="148" applyFont="1" applyFill="1" applyAlignment="1">
      <alignment horizontal="left"/>
    </xf>
    <xf numFmtId="0" fontId="38" fillId="40" borderId="61" xfId="148" applyFont="1" applyFill="1" applyBorder="1" applyAlignment="1">
      <alignment horizontal="center" vertical="top" wrapText="1"/>
    </xf>
    <xf numFmtId="0" fontId="38" fillId="40" borderId="61" xfId="148" applyFont="1" applyFill="1" applyBorder="1" applyAlignment="1">
      <alignment vertical="top"/>
    </xf>
    <xf numFmtId="0" fontId="38" fillId="40" borderId="61" xfId="148" applyNumberFormat="1" applyFont="1" applyFill="1" applyBorder="1" applyAlignment="1">
      <alignment horizontal="justify" vertical="top" wrapText="1"/>
    </xf>
    <xf numFmtId="165" fontId="38" fillId="40" borderId="61" xfId="148" applyNumberFormat="1" applyFont="1" applyFill="1" applyBorder="1" applyAlignment="1">
      <alignment vertical="top" wrapText="1"/>
    </xf>
    <xf numFmtId="2" fontId="38" fillId="40" borderId="61" xfId="148" applyNumberFormat="1" applyFont="1" applyFill="1" applyBorder="1" applyAlignment="1">
      <alignment vertical="top" wrapText="1"/>
    </xf>
    <xf numFmtId="0" fontId="38" fillId="40" borderId="0" xfId="148" applyFont="1" applyFill="1" applyBorder="1" applyAlignment="1">
      <alignment vertical="top"/>
    </xf>
    <xf numFmtId="0" fontId="38" fillId="40" borderId="61" xfId="148" applyFont="1" applyFill="1" applyBorder="1" applyAlignment="1">
      <alignment horizontal="center" vertical="top"/>
    </xf>
    <xf numFmtId="165" fontId="38" fillId="40" borderId="61" xfId="148" applyNumberFormat="1" applyFont="1" applyFill="1" applyBorder="1" applyAlignment="1">
      <alignment horizontal="center" vertical="top" wrapText="1"/>
    </xf>
    <xf numFmtId="171" fontId="38" fillId="40" borderId="61" xfId="148" applyNumberFormat="1" applyFont="1" applyFill="1" applyBorder="1" applyAlignment="1">
      <alignment vertical="top" wrapText="1"/>
    </xf>
    <xf numFmtId="180" fontId="38" fillId="40" borderId="61" xfId="148" applyNumberFormat="1" applyFont="1" applyFill="1" applyBorder="1" applyAlignment="1">
      <alignment vertical="top" wrapText="1"/>
    </xf>
    <xf numFmtId="0" fontId="32" fillId="40" borderId="0" xfId="148" applyFill="1" applyAlignment="1">
      <alignment horizontal="center"/>
    </xf>
    <xf numFmtId="0" fontId="32" fillId="40" borderId="0" xfId="134" applyFont="1" applyFill="1" applyBorder="1" applyAlignment="1">
      <alignment horizontal="center" vertical="top"/>
    </xf>
    <xf numFmtId="2" fontId="40" fillId="40" borderId="61" xfId="148" applyNumberFormat="1" applyFont="1" applyFill="1" applyBorder="1" applyAlignment="1">
      <alignment horizontal="center" wrapText="1"/>
    </xf>
    <xf numFmtId="0" fontId="40" fillId="0" borderId="0" xfId="134" applyFont="1"/>
    <xf numFmtId="0" fontId="32" fillId="0" borderId="0" xfId="135" applyAlignment="1">
      <alignment horizontal="center" vertical="center"/>
    </xf>
    <xf numFmtId="0" fontId="40" fillId="0" borderId="0" xfId="135" applyFont="1" applyAlignment="1">
      <alignment horizontal="center" vertical="center"/>
    </xf>
    <xf numFmtId="0" fontId="32" fillId="0" borderId="0" xfId="135" applyAlignment="1">
      <alignment horizontal="right" vertical="center"/>
    </xf>
    <xf numFmtId="0" fontId="32" fillId="0" borderId="0" xfId="135" applyAlignment="1">
      <alignment horizontal="left" vertical="center"/>
    </xf>
    <xf numFmtId="0" fontId="0" fillId="0" borderId="0" xfId="135" applyFont="1" applyBorder="1" applyAlignment="1">
      <alignment horizontal="left" vertical="center"/>
    </xf>
    <xf numFmtId="0" fontId="0" fillId="0" borderId="0" xfId="135" applyFont="1" applyBorder="1" applyAlignment="1">
      <alignment horizontal="center" vertical="center" wrapText="1"/>
    </xf>
    <xf numFmtId="2" fontId="0" fillId="0" borderId="0" xfId="228" applyNumberFormat="1" applyFont="1" applyBorder="1" applyAlignment="1">
      <alignment horizontal="center" vertical="center"/>
    </xf>
    <xf numFmtId="0" fontId="0" fillId="0" borderId="0" xfId="228" applyFont="1" applyBorder="1" applyAlignment="1">
      <alignment horizontal="center" vertical="center"/>
    </xf>
    <xf numFmtId="0" fontId="0" fillId="0" borderId="0" xfId="135" applyFont="1" applyBorder="1" applyAlignment="1">
      <alignment horizontal="center" vertical="center"/>
    </xf>
    <xf numFmtId="0" fontId="0" fillId="0" borderId="0" xfId="135" applyFont="1" applyAlignment="1">
      <alignment horizontal="center" vertical="center"/>
    </xf>
    <xf numFmtId="0" fontId="0" fillId="0" borderId="0" xfId="156" applyFont="1" applyAlignment="1">
      <alignment horizontal="center" vertical="center"/>
    </xf>
    <xf numFmtId="0" fontId="38" fillId="40" borderId="0" xfId="156" applyFont="1" applyFill="1" applyAlignment="1">
      <alignment horizontal="center" vertical="center"/>
    </xf>
    <xf numFmtId="2" fontId="32" fillId="40" borderId="0" xfId="228" applyNumberFormat="1" applyFont="1" applyFill="1" applyBorder="1" applyAlignment="1">
      <alignment horizontal="center" vertical="center"/>
    </xf>
    <xf numFmtId="0" fontId="32" fillId="40" borderId="0" xfId="228" applyFont="1" applyFill="1" applyBorder="1" applyAlignment="1">
      <alignment horizontal="center" vertical="center"/>
    </xf>
    <xf numFmtId="0" fontId="0" fillId="0" borderId="0" xfId="135" applyFont="1" applyFill="1" applyBorder="1" applyAlignment="1">
      <alignment horizontal="center" vertical="center"/>
    </xf>
    <xf numFmtId="2" fontId="0" fillId="0" borderId="0" xfId="228" applyNumberFormat="1" applyFont="1" applyFill="1" applyBorder="1" applyAlignment="1">
      <alignment horizontal="center" vertical="center"/>
    </xf>
    <xf numFmtId="0" fontId="74" fillId="0" borderId="0" xfId="135" applyFont="1" applyBorder="1" applyAlignment="1">
      <alignment horizontal="left" vertical="center"/>
    </xf>
    <xf numFmtId="0" fontId="74" fillId="0" borderId="0" xfId="156" applyFont="1" applyAlignment="1">
      <alignment horizontal="center" vertical="center"/>
    </xf>
    <xf numFmtId="2" fontId="40" fillId="0" borderId="0" xfId="134" applyNumberFormat="1" applyFont="1"/>
    <xf numFmtId="2" fontId="1" fillId="0" borderId="0" xfId="0" applyNumberFormat="1" applyFont="1" applyAlignment="1">
      <alignment horizontal="center" vertical="center" wrapText="1"/>
    </xf>
    <xf numFmtId="2" fontId="4" fillId="0" borderId="0" xfId="0" applyNumberFormat="1" applyFont="1" applyAlignment="1">
      <alignment horizontal="center" vertical="center" wrapText="1"/>
    </xf>
    <xf numFmtId="2" fontId="1" fillId="0" borderId="0" xfId="0" applyNumberFormat="1" applyFont="1" applyFill="1" applyAlignment="1">
      <alignment horizontal="center" vertical="center" wrapText="1"/>
    </xf>
    <xf numFmtId="2" fontId="2" fillId="0" borderId="0" xfId="0" applyNumberFormat="1" applyFont="1" applyFill="1" applyAlignment="1">
      <alignment horizontal="center" vertical="center" wrapText="1"/>
    </xf>
    <xf numFmtId="2" fontId="4" fillId="0" borderId="0" xfId="0" applyNumberFormat="1" applyFont="1" applyAlignment="1"/>
    <xf numFmtId="2" fontId="6" fillId="0" borderId="0" xfId="0" applyNumberFormat="1" applyFont="1" applyAlignment="1">
      <alignment horizontal="center" vertical="center" wrapText="1"/>
    </xf>
    <xf numFmtId="2" fontId="4" fillId="0" borderId="0" xfId="0" applyNumberFormat="1" applyFont="1" applyFill="1" applyAlignment="1">
      <alignment horizontal="center" vertical="center" wrapText="1"/>
    </xf>
    <xf numFmtId="2" fontId="4" fillId="39" borderId="0" xfId="0" applyNumberFormat="1" applyFont="1" applyFill="1" applyAlignment="1">
      <alignment horizontal="center" vertical="center" wrapText="1"/>
    </xf>
    <xf numFmtId="2" fontId="1" fillId="39" borderId="0" xfId="0" applyNumberFormat="1" applyFont="1" applyFill="1" applyAlignment="1">
      <alignment horizontal="center" vertical="center" wrapText="1"/>
    </xf>
    <xf numFmtId="0" fontId="0" fillId="0" borderId="8" xfId="0" applyBorder="1" applyAlignment="1">
      <alignment wrapText="1"/>
    </xf>
    <xf numFmtId="49" fontId="2" fillId="0" borderId="0" xfId="0" applyNumberFormat="1" applyFont="1" applyBorder="1" applyAlignment="1">
      <alignment horizontal="left" vertical="center" wrapText="1"/>
    </xf>
    <xf numFmtId="2" fontId="2" fillId="0" borderId="0" xfId="0" applyNumberFormat="1" applyFont="1" applyBorder="1" applyAlignment="1">
      <alignment horizontal="center" vertical="center" wrapText="1"/>
    </xf>
    <xf numFmtId="2" fontId="2" fillId="0" borderId="0" xfId="0" applyNumberFormat="1" applyFont="1" applyFill="1" applyBorder="1" applyAlignment="1">
      <alignment horizontal="center" vertical="center" wrapText="1"/>
    </xf>
    <xf numFmtId="0" fontId="2" fillId="0" borderId="0" xfId="0" applyFont="1" applyBorder="1" applyAlignment="1">
      <alignment wrapText="1"/>
    </xf>
    <xf numFmtId="0" fontId="91" fillId="0" borderId="0" xfId="0" applyFont="1" applyAlignment="1"/>
    <xf numFmtId="0" fontId="92" fillId="0" borderId="0" xfId="0" applyFont="1" applyAlignment="1">
      <alignment vertical="center" wrapText="1"/>
    </xf>
    <xf numFmtId="0" fontId="92" fillId="0" borderId="0" xfId="0" applyFont="1" applyAlignment="1"/>
    <xf numFmtId="0" fontId="92" fillId="0" borderId="0" xfId="0" applyFont="1" applyAlignment="1">
      <alignment horizontal="center" vertical="center" textRotation="90" wrapText="1"/>
    </xf>
    <xf numFmtId="2" fontId="93" fillId="0" borderId="0" xfId="0" applyNumberFormat="1" applyFont="1" applyAlignment="1">
      <alignment vertical="top" wrapText="1"/>
    </xf>
    <xf numFmtId="0" fontId="92" fillId="0" borderId="0" xfId="0" applyFont="1" applyAlignment="1">
      <alignment horizontal="center" vertical="top" wrapText="1"/>
    </xf>
    <xf numFmtId="2" fontId="93" fillId="0" borderId="0" xfId="0" applyNumberFormat="1" applyFont="1" applyAlignment="1">
      <alignment horizontal="center" vertical="top" wrapText="1"/>
    </xf>
    <xf numFmtId="0" fontId="93" fillId="0" borderId="0" xfId="0" applyFont="1" applyAlignment="1">
      <alignment horizontal="center" vertical="center" textRotation="90" wrapText="1"/>
    </xf>
    <xf numFmtId="0" fontId="92" fillId="0" borderId="38" xfId="0" applyFont="1" applyBorder="1" applyAlignment="1">
      <alignment horizontal="center" vertical="top" wrapText="1"/>
    </xf>
    <xf numFmtId="2" fontId="93" fillId="0" borderId="38" xfId="0" applyNumberFormat="1" applyFont="1" applyBorder="1" applyAlignment="1">
      <alignment horizontal="center" vertical="top" wrapText="1"/>
    </xf>
    <xf numFmtId="0" fontId="93" fillId="0" borderId="38" xfId="0" applyFont="1" applyBorder="1" applyAlignment="1">
      <alignment horizontal="center" vertical="center" textRotation="90" wrapText="1"/>
    </xf>
    <xf numFmtId="2" fontId="93" fillId="0" borderId="38" xfId="0" applyNumberFormat="1" applyFont="1" applyBorder="1" applyAlignment="1">
      <alignment vertical="top" wrapText="1"/>
    </xf>
    <xf numFmtId="0" fontId="92" fillId="0" borderId="0" xfId="0" applyFont="1" applyAlignment="1">
      <alignment horizontal="center"/>
    </xf>
    <xf numFmtId="164" fontId="94" fillId="0" borderId="0" xfId="0" applyNumberFormat="1" applyFont="1" applyAlignment="1">
      <alignment horizontal="center"/>
    </xf>
    <xf numFmtId="164" fontId="92" fillId="0" borderId="0" xfId="0" applyNumberFormat="1" applyFont="1" applyAlignment="1">
      <alignment horizontal="right"/>
    </xf>
    <xf numFmtId="2" fontId="92" fillId="0" borderId="0" xfId="0" applyNumberFormat="1" applyFont="1" applyAlignment="1">
      <alignment horizontal="right"/>
    </xf>
    <xf numFmtId="2" fontId="92" fillId="0" borderId="0" xfId="0" applyNumberFormat="1" applyFont="1" applyAlignment="1"/>
    <xf numFmtId="164" fontId="92" fillId="0" borderId="0" xfId="0" applyNumberFormat="1" applyFont="1" applyAlignment="1">
      <alignment horizontal="center"/>
    </xf>
    <xf numFmtId="2" fontId="92" fillId="0" borderId="0" xfId="0" applyNumberFormat="1" applyFont="1" applyAlignment="1">
      <alignment horizontal="center"/>
    </xf>
    <xf numFmtId="0" fontId="95" fillId="0" borderId="0" xfId="0" applyFont="1" applyAlignment="1">
      <alignment horizontal="left"/>
    </xf>
    <xf numFmtId="0" fontId="2" fillId="0" borderId="8" xfId="0" applyFont="1" applyBorder="1" applyAlignment="1">
      <alignment wrapText="1"/>
    </xf>
    <xf numFmtId="0" fontId="107" fillId="0" borderId="0" xfId="134" applyFont="1" applyBorder="1" applyAlignment="1">
      <alignment horizontal="justify" vertical="top" wrapText="1"/>
    </xf>
    <xf numFmtId="0" fontId="2" fillId="0" borderId="0" xfId="204" applyFont="1" applyAlignment="1"/>
    <xf numFmtId="0" fontId="77" fillId="0" borderId="0" xfId="204" applyFont="1" applyBorder="1" applyAlignment="1">
      <alignment horizontal="center" vertical="center"/>
    </xf>
    <xf numFmtId="0" fontId="5" fillId="0" borderId="8" xfId="204" applyFont="1" applyBorder="1" applyAlignment="1">
      <alignment horizontal="center" vertical="center" wrapText="1"/>
    </xf>
    <xf numFmtId="49" fontId="5" fillId="0" borderId="8" xfId="204" applyNumberFormat="1" applyFont="1" applyBorder="1" applyAlignment="1">
      <alignment horizontal="center" vertical="center" wrapText="1"/>
    </xf>
    <xf numFmtId="2" fontId="5" fillId="0" borderId="8" xfId="204" applyNumberFormat="1" applyFont="1" applyBorder="1" applyAlignment="1">
      <alignment horizontal="center" vertical="center" wrapText="1"/>
    </xf>
    <xf numFmtId="0" fontId="5" fillId="0" borderId="0" xfId="204" applyFont="1" applyAlignment="1">
      <alignment horizontal="center" vertical="center" wrapText="1"/>
    </xf>
    <xf numFmtId="0" fontId="44" fillId="0" borderId="8" xfId="204" applyFont="1" applyBorder="1" applyAlignment="1">
      <alignment horizontal="center" vertical="center" wrapText="1"/>
    </xf>
    <xf numFmtId="0" fontId="44" fillId="0" borderId="32" xfId="204" applyFont="1" applyBorder="1" applyAlignment="1">
      <alignment horizontal="center" vertical="center" wrapText="1"/>
    </xf>
    <xf numFmtId="0" fontId="44" fillId="0" borderId="8" xfId="204" applyFont="1" applyBorder="1" applyAlignment="1">
      <alignment horizontal="center"/>
    </xf>
    <xf numFmtId="165" fontId="2" fillId="0" borderId="32" xfId="204" applyNumberFormat="1" applyFont="1" applyBorder="1" applyAlignment="1">
      <alignment horizontal="center" vertical="top" wrapText="1"/>
    </xf>
    <xf numFmtId="0" fontId="2" fillId="0" borderId="8" xfId="204" applyFont="1" applyBorder="1" applyAlignment="1">
      <alignment horizontal="center" vertical="center" wrapText="1"/>
    </xf>
    <xf numFmtId="49" fontId="2" fillId="0" borderId="8" xfId="204" applyNumberFormat="1" applyFont="1" applyBorder="1" applyAlignment="1">
      <alignment horizontal="left" vertical="center" wrapText="1"/>
    </xf>
    <xf numFmtId="2" fontId="2" fillId="0" borderId="8" xfId="204" applyNumberFormat="1" applyFont="1" applyBorder="1" applyAlignment="1">
      <alignment horizontal="center" vertical="center" wrapText="1"/>
    </xf>
    <xf numFmtId="2" fontId="2" fillId="0" borderId="0" xfId="204" applyNumberFormat="1" applyFont="1" applyAlignment="1">
      <alignment horizontal="center" vertical="center" wrapText="1"/>
    </xf>
    <xf numFmtId="165" fontId="2" fillId="0" borderId="8" xfId="204" applyNumberFormat="1" applyFont="1" applyBorder="1" applyAlignment="1">
      <alignment horizontal="center" vertical="top" wrapText="1"/>
    </xf>
    <xf numFmtId="0" fontId="2" fillId="0" borderId="0" xfId="204" applyFont="1" applyAlignment="1">
      <alignment horizontal="center" vertical="center" wrapText="1"/>
    </xf>
    <xf numFmtId="2" fontId="2" fillId="0" borderId="8" xfId="204" applyNumberFormat="1" applyFont="1" applyFill="1" applyBorder="1" applyAlignment="1">
      <alignment horizontal="center" vertical="center" wrapText="1"/>
    </xf>
    <xf numFmtId="2" fontId="2" fillId="0" borderId="0" xfId="204" applyNumberFormat="1" applyFill="1" applyBorder="1" applyAlignment="1">
      <alignment horizontal="center"/>
    </xf>
    <xf numFmtId="165" fontId="2" fillId="0" borderId="33" xfId="204" applyNumberFormat="1" applyFont="1" applyFill="1" applyBorder="1" applyAlignment="1">
      <alignment horizontal="center" vertical="top" wrapText="1"/>
    </xf>
    <xf numFmtId="0" fontId="2" fillId="0" borderId="0" xfId="204" applyAlignment="1">
      <alignment horizontal="center" vertical="center" wrapText="1"/>
    </xf>
    <xf numFmtId="0" fontId="2" fillId="0" borderId="0" xfId="204" applyFont="1" applyBorder="1" applyAlignment="1">
      <alignment horizontal="center" vertical="center" wrapText="1"/>
    </xf>
    <xf numFmtId="0" fontId="2" fillId="0" borderId="0" xfId="204" applyFill="1" applyBorder="1" applyAlignment="1">
      <alignment horizontal="center" vertical="center" wrapText="1"/>
    </xf>
    <xf numFmtId="0" fontId="2" fillId="0" borderId="0" xfId="204" applyFont="1" applyBorder="1" applyAlignment="1">
      <alignment horizontal="left" vertical="center" wrapText="1"/>
    </xf>
    <xf numFmtId="0" fontId="2" fillId="39" borderId="0" xfId="204" applyFill="1" applyBorder="1" applyAlignment="1">
      <alignment horizontal="center" vertical="center" wrapText="1"/>
    </xf>
    <xf numFmtId="49" fontId="2" fillId="0" borderId="0" xfId="204" applyNumberFormat="1" applyFont="1" applyAlignment="1">
      <alignment horizontal="left" vertical="center" wrapText="1"/>
    </xf>
    <xf numFmtId="49" fontId="8" fillId="0" borderId="8" xfId="204" applyNumberFormat="1" applyFont="1" applyBorder="1" applyAlignment="1">
      <alignment horizontal="center" vertical="center" wrapText="1"/>
    </xf>
    <xf numFmtId="2" fontId="2" fillId="0" borderId="0" xfId="204" applyNumberFormat="1" applyFont="1" applyBorder="1" applyAlignment="1">
      <alignment horizontal="center" vertical="center" wrapText="1"/>
    </xf>
    <xf numFmtId="2" fontId="2" fillId="0" borderId="0" xfId="204" applyNumberFormat="1" applyFont="1" applyFill="1" applyBorder="1" applyAlignment="1">
      <alignment horizontal="center" vertical="center" wrapText="1"/>
    </xf>
    <xf numFmtId="0" fontId="2" fillId="0" borderId="0" xfId="204" applyAlignment="1"/>
    <xf numFmtId="0" fontId="2" fillId="0" borderId="8" xfId="204" applyFont="1" applyBorder="1" applyAlignment="1">
      <alignment wrapText="1"/>
    </xf>
    <xf numFmtId="0" fontId="2" fillId="0" borderId="8" xfId="204" applyBorder="1" applyAlignment="1">
      <alignment wrapText="1"/>
    </xf>
    <xf numFmtId="165" fontId="2" fillId="0" borderId="8" xfId="204" applyNumberFormat="1" applyFont="1" applyBorder="1" applyAlignment="1">
      <alignment horizontal="justify" vertical="top" wrapText="1"/>
    </xf>
    <xf numFmtId="166" fontId="2" fillId="0" borderId="8" xfId="204" applyNumberFormat="1" applyFont="1" applyBorder="1" applyAlignment="1">
      <alignment horizontal="center" vertical="top" wrapText="1"/>
    </xf>
    <xf numFmtId="0" fontId="2" fillId="0" borderId="8" xfId="204" applyFont="1" applyBorder="1" applyAlignment="1">
      <alignment vertical="center" wrapText="1"/>
    </xf>
    <xf numFmtId="0" fontId="2" fillId="0" borderId="0" xfId="204" applyFont="1" applyAlignment="1">
      <alignment vertical="center" wrapText="1"/>
    </xf>
    <xf numFmtId="0" fontId="108" fillId="0" borderId="0" xfId="134" applyFont="1" applyBorder="1"/>
    <xf numFmtId="0" fontId="97" fillId="0" borderId="0" xfId="134" applyFont="1" applyBorder="1"/>
    <xf numFmtId="0" fontId="110" fillId="0" borderId="8" xfId="134" applyFont="1" applyBorder="1" applyAlignment="1">
      <alignment horizontal="center" vertical="center" wrapText="1"/>
    </xf>
    <xf numFmtId="0" fontId="110" fillId="0" borderId="0" xfId="134" applyFont="1" applyBorder="1" applyAlignment="1">
      <alignment vertical="justify" wrapText="1"/>
    </xf>
    <xf numFmtId="0" fontId="108" fillId="0" borderId="8" xfId="134" applyFont="1" applyBorder="1" applyAlignment="1">
      <alignment horizontal="right" vertical="top" wrapText="1"/>
    </xf>
    <xf numFmtId="0" fontId="110" fillId="0" borderId="8" xfId="134" applyFont="1" applyBorder="1" applyAlignment="1">
      <alignment horizontal="center" vertical="top" wrapText="1"/>
    </xf>
    <xf numFmtId="1" fontId="110" fillId="0" borderId="8" xfId="134" applyNumberFormat="1" applyFont="1" applyBorder="1" applyAlignment="1">
      <alignment horizontal="center" vertical="top" wrapText="1"/>
    </xf>
    <xf numFmtId="0" fontId="109" fillId="0" borderId="39" xfId="134" applyFont="1" applyBorder="1" applyAlignment="1">
      <alignment horizontal="right" vertical="top"/>
    </xf>
    <xf numFmtId="0" fontId="109" fillId="0" borderId="17" xfId="134" applyFont="1" applyBorder="1" applyAlignment="1">
      <alignment vertical="center"/>
    </xf>
    <xf numFmtId="0" fontId="111" fillId="0" borderId="17" xfId="134" applyFont="1" applyBorder="1" applyAlignment="1">
      <alignment horizontal="left" vertical="center" wrapText="1"/>
    </xf>
    <xf numFmtId="1" fontId="111" fillId="0" borderId="17" xfId="134" applyNumberFormat="1" applyFont="1" applyBorder="1" applyAlignment="1">
      <alignment horizontal="center" vertical="center"/>
    </xf>
    <xf numFmtId="2" fontId="111" fillId="0" borderId="17" xfId="134" applyNumberFormat="1" applyFont="1" applyBorder="1" applyAlignment="1">
      <alignment horizontal="center" vertical="center"/>
    </xf>
    <xf numFmtId="1" fontId="111" fillId="0" borderId="40" xfId="134" applyNumberFormat="1" applyFont="1" applyBorder="1" applyAlignment="1">
      <alignment horizontal="right" vertical="center"/>
    </xf>
    <xf numFmtId="0" fontId="109" fillId="0" borderId="0" xfId="134" applyFont="1" applyBorder="1" applyAlignment="1">
      <alignment vertical="center"/>
    </xf>
    <xf numFmtId="0" fontId="111" fillId="0" borderId="17" xfId="134" applyFont="1" applyBorder="1" applyAlignment="1">
      <alignment vertical="center"/>
    </xf>
    <xf numFmtId="0" fontId="111" fillId="0" borderId="17" xfId="231" applyFont="1" applyFill="1" applyBorder="1" applyAlignment="1">
      <alignment vertical="center" wrapText="1"/>
    </xf>
    <xf numFmtId="0" fontId="109" fillId="0" borderId="17" xfId="231" applyFont="1" applyFill="1" applyBorder="1" applyAlignment="1">
      <alignment vertical="center" wrapText="1"/>
    </xf>
    <xf numFmtId="0" fontId="109" fillId="0" borderId="17" xfId="134" applyFont="1" applyBorder="1" applyAlignment="1">
      <alignment horizontal="center" vertical="center"/>
    </xf>
    <xf numFmtId="2" fontId="109" fillId="0" borderId="17" xfId="134" applyNumberFormat="1" applyFont="1" applyBorder="1" applyAlignment="1">
      <alignment horizontal="center" vertical="center"/>
    </xf>
    <xf numFmtId="164" fontId="109" fillId="0" borderId="17" xfId="134" applyNumberFormat="1" applyFont="1" applyBorder="1" applyAlignment="1">
      <alignment horizontal="center" vertical="center"/>
    </xf>
    <xf numFmtId="1" fontId="109" fillId="0" borderId="17" xfId="134" applyNumberFormat="1" applyFont="1" applyBorder="1" applyAlignment="1">
      <alignment horizontal="center" vertical="center"/>
    </xf>
    <xf numFmtId="0" fontId="111" fillId="0" borderId="17" xfId="134" applyFont="1" applyBorder="1" applyAlignment="1">
      <alignment horizontal="center" vertical="center"/>
    </xf>
    <xf numFmtId="0" fontId="108" fillId="0" borderId="0" xfId="134" applyFont="1" applyBorder="1" applyAlignment="1">
      <alignment horizontal="right" vertical="top"/>
    </xf>
    <xf numFmtId="0" fontId="108" fillId="0" borderId="0" xfId="134" applyFont="1" applyBorder="1" applyAlignment="1">
      <alignment horizontal="center" vertical="center"/>
    </xf>
    <xf numFmtId="0" fontId="108" fillId="0" borderId="0" xfId="134" applyFont="1" applyBorder="1" applyAlignment="1">
      <alignment horizontal="center"/>
    </xf>
    <xf numFmtId="0" fontId="108" fillId="0" borderId="0" xfId="134" applyFont="1" applyBorder="1" applyAlignment="1">
      <alignment vertical="top"/>
    </xf>
    <xf numFmtId="0" fontId="110" fillId="0" borderId="0" xfId="134" applyFont="1" applyBorder="1"/>
    <xf numFmtId="2" fontId="110" fillId="0" borderId="0" xfId="134" applyNumberFormat="1" applyFont="1" applyBorder="1" applyAlignment="1">
      <alignment horizontal="right"/>
    </xf>
    <xf numFmtId="1" fontId="109" fillId="0" borderId="0" xfId="134" applyNumberFormat="1" applyFont="1" applyBorder="1" applyAlignment="1">
      <alignment vertical="center"/>
    </xf>
    <xf numFmtId="0" fontId="109" fillId="0" borderId="0" xfId="231" applyFont="1" applyFill="1" applyBorder="1" applyAlignment="1">
      <alignment vertical="center" wrapText="1"/>
    </xf>
    <xf numFmtId="0" fontId="2" fillId="0" borderId="8" xfId="0" applyFont="1" applyBorder="1" applyAlignment="1">
      <alignment horizontal="left" vertical="center" wrapText="1"/>
    </xf>
    <xf numFmtId="0" fontId="0" fillId="0" borderId="0" xfId="138" applyFont="1" applyFill="1" applyAlignment="1">
      <alignment vertical="top" wrapText="1"/>
    </xf>
    <xf numFmtId="0" fontId="44" fillId="0" borderId="0" xfId="138" applyFont="1" applyFill="1" applyAlignment="1">
      <alignment vertical="center" wrapText="1"/>
    </xf>
    <xf numFmtId="1" fontId="30" fillId="0" borderId="8" xfId="138" applyNumberFormat="1" applyFont="1" applyFill="1" applyBorder="1" applyAlignment="1">
      <alignment horizontal="center" vertical="top" wrapText="1"/>
    </xf>
    <xf numFmtId="0" fontId="44" fillId="0" borderId="0" xfId="138" applyFont="1" applyFill="1" applyAlignment="1">
      <alignment vertical="top" wrapText="1"/>
    </xf>
    <xf numFmtId="0" fontId="0" fillId="0" borderId="0" xfId="138" applyFont="1" applyFill="1" applyAlignment="1">
      <alignment horizontal="center" vertical="top" wrapText="1"/>
    </xf>
    <xf numFmtId="0" fontId="0" fillId="0" borderId="0" xfId="138" applyFont="1" applyFill="1" applyBorder="1" applyAlignment="1">
      <alignment horizontal="center" vertical="top" wrapText="1"/>
    </xf>
    <xf numFmtId="0" fontId="0" fillId="0" borderId="0" xfId="138" applyFont="1" applyFill="1" applyAlignment="1">
      <alignment horizontal="right" vertical="top" wrapText="1"/>
    </xf>
    <xf numFmtId="0" fontId="0" fillId="0" borderId="0" xfId="138" applyFont="1" applyFill="1" applyAlignment="1">
      <alignment horizontal="left" vertical="top" wrapText="1"/>
    </xf>
    <xf numFmtId="2" fontId="0" fillId="0" borderId="0" xfId="138" applyNumberFormat="1" applyFont="1" applyFill="1" applyAlignment="1">
      <alignment vertical="top" wrapText="1"/>
    </xf>
    <xf numFmtId="0" fontId="112" fillId="0" borderId="0" xfId="0" applyFont="1" applyFill="1" applyAlignment="1"/>
    <xf numFmtId="9" fontId="112" fillId="0" borderId="0" xfId="0" applyNumberFormat="1" applyFont="1" applyFill="1" applyAlignment="1"/>
    <xf numFmtId="0" fontId="112" fillId="0" borderId="17" xfId="0" applyFont="1" applyFill="1" applyBorder="1" applyAlignment="1">
      <alignment horizontal="center" vertical="center" wrapText="1"/>
    </xf>
    <xf numFmtId="165" fontId="112" fillId="0" borderId="17" xfId="0" applyNumberFormat="1" applyFont="1" applyFill="1" applyBorder="1" applyAlignment="1">
      <alignment horizontal="center" vertical="center" wrapText="1"/>
    </xf>
    <xf numFmtId="0" fontId="112" fillId="0" borderId="17" xfId="0" applyFont="1" applyFill="1" applyBorder="1" applyAlignment="1"/>
    <xf numFmtId="0" fontId="114" fillId="0" borderId="17" xfId="0" applyFont="1" applyFill="1" applyBorder="1" applyAlignment="1">
      <alignment wrapText="1"/>
    </xf>
    <xf numFmtId="0" fontId="114" fillId="0" borderId="17" xfId="0" applyFont="1" applyFill="1" applyBorder="1" applyAlignment="1">
      <alignment horizontal="center" wrapText="1"/>
    </xf>
    <xf numFmtId="165" fontId="114" fillId="0" borderId="17" xfId="0" applyNumberFormat="1" applyFont="1" applyFill="1" applyBorder="1" applyAlignment="1">
      <alignment wrapText="1"/>
    </xf>
    <xf numFmtId="0" fontId="112" fillId="0" borderId="17" xfId="0" applyFont="1" applyFill="1" applyBorder="1" applyAlignment="1">
      <alignment horizontal="center" vertical="top" wrapText="1"/>
    </xf>
    <xf numFmtId="0" fontId="112" fillId="0" borderId="17" xfId="0" applyFont="1" applyFill="1" applyBorder="1" applyAlignment="1">
      <alignment horizontal="center" wrapText="1"/>
    </xf>
    <xf numFmtId="165" fontId="112" fillId="0" borderId="17" xfId="0" applyNumberFormat="1" applyFont="1" applyFill="1" applyBorder="1" applyAlignment="1">
      <alignment horizontal="center" wrapText="1"/>
    </xf>
    <xf numFmtId="167" fontId="112" fillId="0" borderId="17" xfId="0" applyNumberFormat="1" applyFont="1" applyFill="1" applyBorder="1" applyAlignment="1">
      <alignment horizontal="center" vertical="top" wrapText="1"/>
    </xf>
    <xf numFmtId="165" fontId="114" fillId="0" borderId="17" xfId="0" applyNumberFormat="1" applyFont="1" applyFill="1" applyBorder="1" applyAlignment="1">
      <alignment horizontal="center" wrapText="1"/>
    </xf>
    <xf numFmtId="165" fontId="112" fillId="0" borderId="17" xfId="0" applyNumberFormat="1" applyFont="1" applyFill="1" applyBorder="1" applyAlignment="1">
      <alignment horizontal="justify" wrapText="1"/>
    </xf>
    <xf numFmtId="165" fontId="112" fillId="0" borderId="17" xfId="0" applyNumberFormat="1" applyFont="1" applyFill="1" applyBorder="1" applyAlignment="1">
      <alignment horizontal="center" vertical="top" wrapText="1"/>
    </xf>
    <xf numFmtId="9" fontId="112" fillId="0" borderId="17" xfId="0" applyNumberFormat="1" applyFont="1" applyFill="1" applyBorder="1" applyAlignment="1">
      <alignment horizontal="center" vertical="top" wrapText="1"/>
    </xf>
    <xf numFmtId="0" fontId="114" fillId="0" borderId="17" xfId="0" applyFont="1" applyFill="1" applyBorder="1" applyAlignment="1">
      <alignment horizontal="center"/>
    </xf>
    <xf numFmtId="167" fontId="114" fillId="0" borderId="17" xfId="0" applyNumberFormat="1" applyFont="1" applyFill="1" applyBorder="1" applyAlignment="1">
      <alignment horizontal="center" vertical="top" wrapText="1"/>
    </xf>
    <xf numFmtId="167" fontId="114" fillId="0" borderId="17" xfId="0" applyNumberFormat="1" applyFont="1" applyFill="1" applyBorder="1" applyAlignment="1">
      <alignment horizontal="center" wrapText="1"/>
    </xf>
    <xf numFmtId="4" fontId="112" fillId="0" borderId="17" xfId="0" applyNumberFormat="1" applyFont="1" applyFill="1" applyBorder="1" applyAlignment="1">
      <alignment horizontal="center" wrapText="1"/>
    </xf>
    <xf numFmtId="168" fontId="112" fillId="0" borderId="17" xfId="0" applyNumberFormat="1" applyFont="1" applyFill="1" applyBorder="1" applyAlignment="1">
      <alignment horizontal="center" wrapText="1"/>
    </xf>
    <xf numFmtId="2" fontId="112" fillId="0" borderId="17" xfId="0" applyNumberFormat="1" applyFont="1" applyFill="1" applyBorder="1" applyAlignment="1">
      <alignment horizontal="center" wrapText="1" shrinkToFit="1" readingOrder="1"/>
    </xf>
    <xf numFmtId="165" fontId="112" fillId="0" borderId="17" xfId="0" applyNumberFormat="1" applyFont="1" applyFill="1" applyBorder="1" applyAlignment="1"/>
    <xf numFmtId="165" fontId="112" fillId="0" borderId="17" xfId="0" applyNumberFormat="1" applyFont="1" applyFill="1" applyBorder="1" applyAlignment="1">
      <alignment wrapText="1"/>
    </xf>
    <xf numFmtId="0" fontId="114" fillId="0" borderId="17" xfId="0" applyFont="1" applyFill="1" applyBorder="1" applyAlignment="1">
      <alignment vertical="top" wrapText="1"/>
    </xf>
    <xf numFmtId="2" fontId="112" fillId="0" borderId="17" xfId="0" applyNumberFormat="1" applyFont="1" applyFill="1" applyBorder="1" applyAlignment="1"/>
    <xf numFmtId="0" fontId="114" fillId="0" borderId="17" xfId="0" applyFont="1" applyFill="1" applyBorder="1" applyAlignment="1">
      <alignment horizontal="center" vertical="center" wrapText="1"/>
    </xf>
    <xf numFmtId="49" fontId="114" fillId="0" borderId="17" xfId="0" applyNumberFormat="1" applyFont="1" applyFill="1" applyBorder="1" applyAlignment="1">
      <alignment horizontal="left" vertical="center" wrapText="1"/>
    </xf>
    <xf numFmtId="2" fontId="114" fillId="0" borderId="17" xfId="0" applyNumberFormat="1" applyFont="1" applyFill="1" applyBorder="1" applyAlignment="1">
      <alignment horizontal="center" vertical="center" wrapText="1"/>
    </xf>
    <xf numFmtId="0" fontId="114" fillId="0" borderId="0" xfId="0" applyFont="1" applyFill="1" applyAlignment="1">
      <alignment horizontal="center" vertical="center" wrapText="1"/>
    </xf>
    <xf numFmtId="0" fontId="112" fillId="0" borderId="17" xfId="0" applyFont="1" applyFill="1" applyBorder="1" applyAlignment="1">
      <alignment horizontal="center"/>
    </xf>
    <xf numFmtId="165" fontId="114" fillId="0" borderId="17" xfId="0" applyNumberFormat="1" applyFont="1" applyFill="1" applyBorder="1" applyAlignment="1">
      <alignment horizontal="justify" vertical="top" wrapText="1"/>
    </xf>
    <xf numFmtId="9" fontId="112" fillId="0" borderId="17" xfId="0" applyNumberFormat="1" applyFont="1" applyFill="1" applyBorder="1" applyAlignment="1">
      <alignment horizontal="center"/>
    </xf>
    <xf numFmtId="165" fontId="112" fillId="0" borderId="17" xfId="0" applyNumberFormat="1" applyFont="1" applyFill="1" applyBorder="1" applyAlignment="1">
      <alignment horizontal="center"/>
    </xf>
    <xf numFmtId="165" fontId="114" fillId="0" borderId="17" xfId="0" applyNumberFormat="1" applyFont="1" applyFill="1" applyBorder="1" applyAlignment="1">
      <alignment horizontal="justify" wrapText="1"/>
    </xf>
    <xf numFmtId="2" fontId="112" fillId="0" borderId="17" xfId="0" applyNumberFormat="1" applyFont="1" applyFill="1" applyBorder="1" applyAlignment="1">
      <alignment horizontal="center"/>
    </xf>
    <xf numFmtId="2" fontId="112" fillId="0" borderId="17" xfId="0" applyNumberFormat="1" applyFont="1" applyFill="1" applyBorder="1" applyAlignment="1">
      <alignment horizontal="center" vertical="center" wrapText="1"/>
    </xf>
    <xf numFmtId="49" fontId="112" fillId="0" borderId="17" xfId="0" applyNumberFormat="1" applyFont="1" applyFill="1" applyBorder="1" applyAlignment="1">
      <alignment horizontal="left" vertical="center" wrapText="1"/>
    </xf>
    <xf numFmtId="164" fontId="112" fillId="0" borderId="17" xfId="0" applyNumberFormat="1" applyFont="1" applyFill="1" applyBorder="1" applyAlignment="1">
      <alignment horizontal="center" wrapText="1" shrinkToFit="1" readingOrder="1"/>
    </xf>
    <xf numFmtId="0" fontId="117" fillId="0" borderId="17" xfId="0" applyFont="1" applyBorder="1" applyAlignment="1">
      <alignment horizontal="center" vertical="center" wrapText="1"/>
    </xf>
    <xf numFmtId="165" fontId="117" fillId="0" borderId="17" xfId="0" applyNumberFormat="1" applyFont="1" applyBorder="1" applyAlignment="1">
      <alignment horizontal="justify" vertical="center" wrapText="1"/>
    </xf>
    <xf numFmtId="165" fontId="118" fillId="0" borderId="17" xfId="0" applyNumberFormat="1" applyFont="1" applyBorder="1" applyAlignment="1">
      <alignment horizontal="center" vertical="center" wrapText="1"/>
    </xf>
    <xf numFmtId="165" fontId="116" fillId="0" borderId="17" xfId="0" applyNumberFormat="1" applyFont="1" applyBorder="1" applyAlignment="1">
      <alignment horizontal="center" vertical="center" wrapText="1"/>
    </xf>
    <xf numFmtId="0" fontId="116" fillId="0" borderId="17" xfId="0" applyFont="1" applyBorder="1" applyAlignment="1">
      <alignment vertical="center"/>
    </xf>
    <xf numFmtId="0" fontId="117" fillId="0" borderId="17" xfId="0" applyFont="1" applyBorder="1" applyAlignment="1">
      <alignment vertical="top" wrapText="1"/>
    </xf>
    <xf numFmtId="0" fontId="118" fillId="0" borderId="17" xfId="0" applyFont="1" applyBorder="1" applyAlignment="1">
      <alignment vertical="top" wrapText="1"/>
    </xf>
    <xf numFmtId="0" fontId="118" fillId="0" borderId="17" xfId="0" applyFont="1" applyBorder="1" applyAlignment="1">
      <alignment horizontal="center" vertical="top" wrapText="1"/>
    </xf>
    <xf numFmtId="2" fontId="118" fillId="0" borderId="17" xfId="0" applyNumberFormat="1" applyFont="1" applyBorder="1" applyAlignment="1">
      <alignment horizontal="center" vertical="top" wrapText="1"/>
    </xf>
    <xf numFmtId="2" fontId="116" fillId="0" borderId="17" xfId="0" applyNumberFormat="1" applyFont="1" applyBorder="1" applyAlignment="1">
      <alignment vertical="center"/>
    </xf>
    <xf numFmtId="0" fontId="118" fillId="0" borderId="17" xfId="0" applyFont="1" applyBorder="1" applyAlignment="1">
      <alignment horizontal="center" vertical="center" wrapText="1"/>
    </xf>
    <xf numFmtId="0" fontId="117" fillId="0" borderId="17" xfId="0" applyFont="1" applyBorder="1" applyAlignment="1">
      <alignment horizontal="center" vertical="top" wrapText="1"/>
    </xf>
    <xf numFmtId="165" fontId="118" fillId="0" borderId="17" xfId="0" applyNumberFormat="1" applyFont="1" applyBorder="1" applyAlignment="1">
      <alignment horizontal="justify" vertical="top" wrapText="1"/>
    </xf>
    <xf numFmtId="165" fontId="118" fillId="0" borderId="17" xfId="0" applyNumberFormat="1" applyFont="1" applyBorder="1" applyAlignment="1">
      <alignment horizontal="center" vertical="top" wrapText="1"/>
    </xf>
    <xf numFmtId="0" fontId="118" fillId="0" borderId="17" xfId="0" applyFont="1" applyBorder="1" applyAlignment="1"/>
    <xf numFmtId="165" fontId="119" fillId="0" borderId="17" xfId="0" applyNumberFormat="1" applyFont="1" applyBorder="1" applyAlignment="1">
      <alignment horizontal="justify" vertical="center" wrapText="1"/>
    </xf>
    <xf numFmtId="0" fontId="112" fillId="0" borderId="0" xfId="0" applyFont="1" applyFill="1" applyAlignment="1">
      <alignment horizontal="center" vertical="center" wrapText="1"/>
    </xf>
    <xf numFmtId="2" fontId="112" fillId="0" borderId="17" xfId="0" applyNumberFormat="1" applyFont="1" applyFill="1" applyBorder="1" applyAlignment="1">
      <alignment horizontal="center" vertical="top" wrapText="1"/>
    </xf>
    <xf numFmtId="2" fontId="112" fillId="0" borderId="17" xfId="0" applyNumberFormat="1" applyFont="1" applyFill="1" applyBorder="1" applyAlignment="1">
      <alignment vertical="top" wrapText="1"/>
    </xf>
    <xf numFmtId="165" fontId="114" fillId="0" borderId="17" xfId="0" applyNumberFormat="1" applyFont="1" applyFill="1" applyBorder="1" applyAlignment="1">
      <alignment horizontal="center" vertical="top" wrapText="1"/>
    </xf>
    <xf numFmtId="165" fontId="114" fillId="0" borderId="17" xfId="0" applyNumberFormat="1" applyFont="1" applyFill="1" applyBorder="1" applyAlignment="1">
      <alignment horizontal="left"/>
    </xf>
    <xf numFmtId="0" fontId="114" fillId="0" borderId="17" xfId="0" applyFont="1" applyFill="1" applyBorder="1" applyAlignment="1">
      <alignment horizontal="justify" vertical="top" wrapText="1"/>
    </xf>
    <xf numFmtId="0" fontId="122" fillId="0" borderId="17" xfId="0" applyFont="1" applyFill="1" applyBorder="1" applyAlignment="1">
      <alignment horizontal="justify" vertical="top" wrapText="1"/>
    </xf>
    <xf numFmtId="165" fontId="123" fillId="0" borderId="17" xfId="0" applyNumberFormat="1" applyFont="1" applyFill="1" applyBorder="1" applyAlignment="1">
      <alignment horizontal="center" vertical="top" wrapText="1"/>
    </xf>
    <xf numFmtId="165" fontId="123" fillId="0" borderId="17" xfId="0" applyNumberFormat="1" applyFont="1" applyFill="1" applyBorder="1" applyAlignment="1">
      <alignment horizontal="center" wrapText="1"/>
    </xf>
    <xf numFmtId="165" fontId="122" fillId="0" borderId="17" xfId="0" applyNumberFormat="1" applyFont="1" applyFill="1" applyBorder="1" applyAlignment="1">
      <alignment horizontal="justify" vertical="top" wrapText="1"/>
    </xf>
    <xf numFmtId="0" fontId="122" fillId="0" borderId="17" xfId="0" applyFont="1" applyFill="1" applyBorder="1" applyAlignment="1">
      <alignment horizontal="center" vertical="center" textRotation="90" wrapText="1"/>
    </xf>
    <xf numFmtId="165" fontId="114" fillId="39" borderId="17" xfId="0" applyNumberFormat="1" applyFont="1" applyFill="1" applyBorder="1" applyAlignment="1">
      <alignment horizontal="center" shrinkToFit="1"/>
    </xf>
    <xf numFmtId="165" fontId="114" fillId="0" borderId="17" xfId="0" applyNumberFormat="1" applyFont="1" applyFill="1" applyBorder="1" applyAlignment="1">
      <alignment horizontal="center" shrinkToFit="1"/>
    </xf>
    <xf numFmtId="165" fontId="114" fillId="0" borderId="17" xfId="0" applyNumberFormat="1" applyFont="1" applyFill="1" applyBorder="1" applyAlignment="1">
      <alignment horizontal="center"/>
    </xf>
    <xf numFmtId="0" fontId="112" fillId="0" borderId="17" xfId="0" applyFont="1" applyFill="1" applyBorder="1" applyAlignment="1">
      <alignment shrinkToFit="1"/>
    </xf>
    <xf numFmtId="165" fontId="112" fillId="0" borderId="17" xfId="0" applyNumberFormat="1" applyFont="1" applyFill="1" applyBorder="1" applyAlignment="1">
      <alignment horizontal="center" shrinkToFit="1"/>
    </xf>
    <xf numFmtId="9" fontId="112" fillId="0" borderId="17" xfId="0" applyNumberFormat="1" applyFont="1" applyFill="1" applyBorder="1" applyAlignment="1">
      <alignment horizontal="center" wrapText="1"/>
    </xf>
    <xf numFmtId="2" fontId="114" fillId="0" borderId="17" xfId="0" applyNumberFormat="1" applyFont="1" applyFill="1" applyBorder="1" applyAlignment="1">
      <alignment horizontal="center" wrapText="1"/>
    </xf>
    <xf numFmtId="166" fontId="112" fillId="0" borderId="17" xfId="0" applyNumberFormat="1" applyFont="1" applyFill="1" applyBorder="1" applyAlignment="1">
      <alignment horizontal="center" wrapText="1"/>
    </xf>
    <xf numFmtId="0" fontId="112" fillId="0" borderId="17" xfId="0" applyFont="1" applyFill="1" applyBorder="1" applyAlignment="1">
      <alignment horizontal="justify" vertical="top" wrapText="1"/>
    </xf>
    <xf numFmtId="0" fontId="118" fillId="0" borderId="17" xfId="0" applyFont="1" applyFill="1" applyBorder="1" applyAlignment="1">
      <alignment horizontal="center" vertical="center" wrapText="1"/>
    </xf>
    <xf numFmtId="0" fontId="117" fillId="0" borderId="17" xfId="0" applyFont="1" applyFill="1" applyBorder="1" applyAlignment="1">
      <alignment horizontal="center" vertical="center" wrapText="1"/>
    </xf>
    <xf numFmtId="0" fontId="117" fillId="0" borderId="17" xfId="0" applyFont="1" applyFill="1" applyBorder="1" applyAlignment="1">
      <alignment horizontal="left" vertical="center" wrapText="1"/>
    </xf>
    <xf numFmtId="165" fontId="118" fillId="0" borderId="17" xfId="0" applyNumberFormat="1" applyFont="1" applyFill="1" applyBorder="1" applyAlignment="1">
      <alignment horizontal="center" vertical="center" wrapText="1"/>
    </xf>
    <xf numFmtId="165" fontId="117" fillId="0" borderId="17" xfId="0" applyNumberFormat="1" applyFont="1" applyFill="1" applyBorder="1" applyAlignment="1">
      <alignment horizontal="center" vertical="center" wrapText="1"/>
    </xf>
    <xf numFmtId="0" fontId="118" fillId="0" borderId="0" xfId="0" applyFont="1" applyFill="1" applyAlignment="1">
      <alignment horizontal="center" vertical="center" wrapText="1"/>
    </xf>
    <xf numFmtId="49" fontId="118" fillId="0" borderId="17" xfId="0" applyNumberFormat="1" applyFont="1" applyFill="1" applyBorder="1" applyAlignment="1">
      <alignment horizontal="left" vertical="center" wrapText="1"/>
    </xf>
    <xf numFmtId="166" fontId="118" fillId="0" borderId="17" xfId="0" applyNumberFormat="1" applyFont="1" applyFill="1" applyBorder="1" applyAlignment="1">
      <alignment horizontal="center" vertical="center" wrapText="1"/>
    </xf>
    <xf numFmtId="0" fontId="118" fillId="0" borderId="17" xfId="0" applyFont="1" applyFill="1" applyBorder="1" applyAlignment="1">
      <alignment horizontal="left" vertical="center" wrapText="1"/>
    </xf>
    <xf numFmtId="165" fontId="117" fillId="0" borderId="17" xfId="0" applyNumberFormat="1" applyFont="1" applyFill="1" applyBorder="1" applyAlignment="1">
      <alignment horizontal="left" vertical="center" wrapText="1"/>
    </xf>
    <xf numFmtId="165" fontId="114" fillId="39" borderId="17" xfId="0" applyNumberFormat="1" applyFont="1" applyFill="1" applyBorder="1" applyAlignment="1">
      <alignment horizontal="center" wrapText="1"/>
    </xf>
    <xf numFmtId="0" fontId="114" fillId="0" borderId="17" xfId="0" applyFont="1" applyFill="1" applyBorder="1" applyAlignment="1"/>
    <xf numFmtId="43" fontId="112" fillId="0" borderId="17" xfId="0" applyNumberFormat="1" applyFont="1" applyFill="1" applyBorder="1" applyAlignment="1">
      <alignment horizontal="center" wrapText="1" shrinkToFit="1" readingOrder="1"/>
    </xf>
    <xf numFmtId="0" fontId="112" fillId="0" borderId="17" xfId="0" applyFont="1" applyFill="1" applyBorder="1" applyAlignment="1">
      <alignment horizontal="center" vertical="top"/>
    </xf>
    <xf numFmtId="165" fontId="114" fillId="0" borderId="17" xfId="0" applyNumberFormat="1" applyFont="1" applyFill="1" applyBorder="1" applyAlignment="1">
      <alignment vertical="top" wrapText="1"/>
    </xf>
    <xf numFmtId="165" fontId="112" fillId="0" borderId="17" xfId="0" applyNumberFormat="1" applyFont="1" applyFill="1" applyBorder="1" applyAlignment="1">
      <alignment vertical="top" wrapText="1"/>
    </xf>
    <xf numFmtId="0" fontId="112" fillId="0" borderId="17" xfId="0" applyFont="1" applyFill="1" applyBorder="1" applyAlignment="1">
      <alignment vertical="top" wrapText="1"/>
    </xf>
    <xf numFmtId="2" fontId="114" fillId="0" borderId="17" xfId="0" applyNumberFormat="1" applyFont="1" applyFill="1" applyBorder="1" applyAlignment="1">
      <alignment horizontal="center" vertical="top" wrapText="1"/>
    </xf>
    <xf numFmtId="0" fontId="112" fillId="0" borderId="17" xfId="0" applyFont="1" applyBorder="1" applyAlignment="1">
      <alignment horizontal="center" vertical="top"/>
    </xf>
    <xf numFmtId="0" fontId="112" fillId="0" borderId="17" xfId="0" applyFont="1" applyBorder="1" applyAlignment="1"/>
    <xf numFmtId="0" fontId="112" fillId="0" borderId="0" xfId="0" applyFont="1" applyAlignment="1"/>
    <xf numFmtId="0" fontId="112" fillId="0" borderId="17" xfId="0" applyFont="1" applyBorder="1" applyAlignment="1">
      <alignment horizontal="center"/>
    </xf>
    <xf numFmtId="0" fontId="112" fillId="0" borderId="17" xfId="0" applyFont="1" applyBorder="1" applyAlignment="1">
      <alignment vertical="top" wrapText="1"/>
    </xf>
    <xf numFmtId="0" fontId="112" fillId="0" borderId="17" xfId="0" applyFont="1" applyBorder="1" applyAlignment="1">
      <alignment horizontal="center" vertical="top" wrapText="1"/>
    </xf>
    <xf numFmtId="2" fontId="112" fillId="0" borderId="17" xfId="0" applyNumberFormat="1" applyFont="1" applyBorder="1" applyAlignment="1">
      <alignment horizontal="center" vertical="top" wrapText="1"/>
    </xf>
    <xf numFmtId="0" fontId="114" fillId="0" borderId="17" xfId="0" applyFont="1" applyBorder="1" applyAlignment="1">
      <alignment horizontal="center" wrapText="1"/>
    </xf>
    <xf numFmtId="0" fontId="114" fillId="0" borderId="17" xfId="0" applyFont="1" applyBorder="1" applyAlignment="1">
      <alignment horizontal="center" vertical="top" wrapText="1"/>
    </xf>
    <xf numFmtId="2" fontId="112" fillId="0" borderId="17" xfId="0" applyNumberFormat="1" applyFont="1" applyBorder="1" applyAlignment="1">
      <alignment horizontal="center"/>
    </xf>
    <xf numFmtId="165" fontId="112" fillId="0" borderId="17" xfId="0" applyNumberFormat="1" applyFont="1" applyBorder="1" applyAlignment="1">
      <alignment horizontal="center" wrapText="1"/>
    </xf>
    <xf numFmtId="167" fontId="112" fillId="0" borderId="17" xfId="0" applyNumberFormat="1" applyFont="1" applyBorder="1" applyAlignment="1">
      <alignment horizontal="center" vertical="top" wrapText="1"/>
    </xf>
    <xf numFmtId="165" fontId="112" fillId="0" borderId="17" xfId="0" applyNumberFormat="1" applyFont="1" applyBorder="1" applyAlignment="1">
      <alignment horizontal="justify" wrapText="1"/>
    </xf>
    <xf numFmtId="9" fontId="112" fillId="0" borderId="17" xfId="0" applyNumberFormat="1" applyFont="1" applyBorder="1" applyAlignment="1">
      <alignment horizontal="center" vertical="top" wrapText="1"/>
    </xf>
    <xf numFmtId="0" fontId="112" fillId="0" borderId="17" xfId="0" applyFont="1" applyBorder="1" applyAlignment="1">
      <alignment horizontal="center" wrapText="1"/>
    </xf>
    <xf numFmtId="165" fontId="112" fillId="0" borderId="17" xfId="0" applyNumberFormat="1" applyFont="1" applyBorder="1" applyAlignment="1">
      <alignment horizontal="center"/>
    </xf>
    <xf numFmtId="2" fontId="114" fillId="0" borderId="17" xfId="0" applyNumberFormat="1" applyFont="1" applyBorder="1" applyAlignment="1">
      <alignment horizontal="center" vertical="top" wrapText="1"/>
    </xf>
    <xf numFmtId="165" fontId="114" fillId="0" borderId="17" xfId="0" applyNumberFormat="1" applyFont="1" applyBorder="1" applyAlignment="1">
      <alignment horizontal="center" wrapText="1"/>
    </xf>
    <xf numFmtId="165" fontId="114" fillId="0" borderId="17" xfId="0" applyNumberFormat="1" applyFont="1" applyBorder="1" applyAlignment="1">
      <alignment wrapText="1"/>
    </xf>
    <xf numFmtId="165" fontId="112" fillId="0" borderId="17" xfId="0" applyNumberFormat="1" applyFont="1" applyBorder="1" applyAlignment="1">
      <alignment wrapText="1"/>
    </xf>
    <xf numFmtId="2" fontId="112" fillId="0" borderId="17" xfId="0" applyNumberFormat="1" applyFont="1" applyBorder="1" applyAlignment="1"/>
    <xf numFmtId="2" fontId="112" fillId="0" borderId="17" xfId="0" applyNumberFormat="1" applyFont="1" applyFill="1" applyBorder="1" applyAlignment="1">
      <alignment horizontal="right" vertical="center" wrapText="1"/>
    </xf>
    <xf numFmtId="49" fontId="114" fillId="0" borderId="17" xfId="0" applyNumberFormat="1" applyFont="1" applyFill="1" applyBorder="1" applyAlignment="1">
      <alignment horizontal="center" vertical="center" wrapText="1"/>
    </xf>
    <xf numFmtId="165" fontId="119" fillId="0" borderId="17" xfId="0" applyNumberFormat="1" applyFont="1" applyFill="1" applyBorder="1" applyAlignment="1">
      <alignment horizontal="justify" vertical="top" wrapText="1"/>
    </xf>
    <xf numFmtId="2" fontId="114" fillId="0" borderId="17" xfId="0" applyNumberFormat="1" applyFont="1" applyFill="1" applyBorder="1" applyAlignment="1">
      <alignment horizontal="right" vertical="center" wrapText="1"/>
    </xf>
    <xf numFmtId="2" fontId="112" fillId="0" borderId="17" xfId="0" applyNumberFormat="1" applyFont="1" applyFill="1" applyBorder="1" applyAlignment="1">
      <alignment horizontal="center" wrapText="1"/>
    </xf>
    <xf numFmtId="165" fontId="112" fillId="0" borderId="17" xfId="0" applyNumberFormat="1" applyFont="1" applyFill="1" applyBorder="1" applyAlignment="1">
      <alignment horizontal="right"/>
    </xf>
    <xf numFmtId="164" fontId="112" fillId="0" borderId="17" xfId="0" applyNumberFormat="1" applyFont="1" applyFill="1" applyBorder="1" applyAlignment="1">
      <alignment horizontal="center" vertical="top" wrapText="1"/>
    </xf>
    <xf numFmtId="0" fontId="112" fillId="0" borderId="0" xfId="0" applyFont="1" applyFill="1" applyAlignment="1">
      <alignment vertical="top" wrapText="1"/>
    </xf>
    <xf numFmtId="165" fontId="112" fillId="0" borderId="17" xfId="0" applyNumberFormat="1" applyFont="1" applyFill="1" applyBorder="1" applyAlignment="1">
      <alignment horizontal="right" wrapText="1"/>
    </xf>
    <xf numFmtId="165" fontId="114" fillId="0" borderId="17" xfId="0" applyNumberFormat="1" applyFont="1" applyFill="1" applyBorder="1" applyAlignment="1">
      <alignment horizontal="right" wrapText="1"/>
    </xf>
    <xf numFmtId="0" fontId="116" fillId="0" borderId="17" xfId="0" applyFont="1" applyFill="1" applyBorder="1" applyAlignment="1">
      <alignment horizontal="center" vertical="top" wrapText="1"/>
    </xf>
    <xf numFmtId="165" fontId="116" fillId="0" borderId="17" xfId="0" applyNumberFormat="1" applyFont="1" applyFill="1" applyBorder="1" applyAlignment="1">
      <alignment horizontal="center" vertical="top" wrapText="1"/>
    </xf>
    <xf numFmtId="165" fontId="119" fillId="0" borderId="17" xfId="0" applyNumberFormat="1" applyFont="1" applyFill="1" applyBorder="1" applyAlignment="1">
      <alignment horizontal="center" vertical="top" wrapText="1"/>
    </xf>
    <xf numFmtId="0" fontId="116" fillId="0" borderId="17" xfId="0" applyFont="1" applyFill="1" applyBorder="1" applyAlignment="1">
      <alignment vertical="top" wrapText="1"/>
    </xf>
    <xf numFmtId="166" fontId="112" fillId="0" borderId="17" xfId="0" applyNumberFormat="1" applyFont="1" applyFill="1" applyBorder="1" applyAlignment="1">
      <alignment wrapText="1"/>
    </xf>
    <xf numFmtId="0" fontId="112" fillId="0" borderId="17" xfId="0" applyFont="1" applyBorder="1">
      <alignment vertical="center"/>
    </xf>
    <xf numFmtId="2" fontId="112" fillId="0" borderId="17" xfId="0" applyNumberFormat="1" applyFont="1" applyFill="1" applyBorder="1" applyAlignment="1">
      <alignment wrapText="1"/>
    </xf>
    <xf numFmtId="10" fontId="112" fillId="0" borderId="17" xfId="0" applyNumberFormat="1" applyFont="1" applyFill="1" applyBorder="1" applyAlignment="1">
      <alignment wrapText="1"/>
    </xf>
    <xf numFmtId="2" fontId="112" fillId="0" borderId="17" xfId="0" applyNumberFormat="1" applyFont="1" applyFill="1" applyBorder="1" applyAlignment="1">
      <alignment horizontal="right"/>
    </xf>
    <xf numFmtId="0" fontId="112" fillId="0" borderId="17" xfId="0" applyFont="1" applyFill="1" applyBorder="1" applyAlignment="1">
      <alignment vertical="top"/>
    </xf>
    <xf numFmtId="0" fontId="114" fillId="0" borderId="17" xfId="0" applyFont="1" applyFill="1" applyBorder="1" applyAlignment="1">
      <alignment horizontal="left" vertical="top" wrapText="1"/>
    </xf>
    <xf numFmtId="164" fontId="112" fillId="0" borderId="17" xfId="0" applyNumberFormat="1" applyFont="1" applyFill="1" applyBorder="1" applyAlignment="1"/>
    <xf numFmtId="164" fontId="112" fillId="0" borderId="17" xfId="0" applyNumberFormat="1" applyFont="1" applyFill="1" applyBorder="1" applyAlignment="1">
      <alignment horizontal="center"/>
    </xf>
    <xf numFmtId="164" fontId="118" fillId="0" borderId="17" xfId="0" applyNumberFormat="1" applyFont="1" applyFill="1" applyBorder="1" applyAlignment="1">
      <alignment horizontal="center" vertical="center" wrapText="1"/>
    </xf>
    <xf numFmtId="2" fontId="118" fillId="0" borderId="17" xfId="0" applyNumberFormat="1" applyFont="1" applyFill="1" applyBorder="1" applyAlignment="1">
      <alignment horizontal="center" vertical="center" wrapText="1"/>
    </xf>
    <xf numFmtId="165" fontId="117" fillId="39" borderId="17" xfId="0" applyNumberFormat="1" applyFont="1" applyFill="1" applyBorder="1" applyAlignment="1">
      <alignment horizontal="center" vertical="center" wrapText="1"/>
    </xf>
    <xf numFmtId="164" fontId="116" fillId="0" borderId="17" xfId="0" applyNumberFormat="1" applyFont="1" applyFill="1" applyBorder="1" applyAlignment="1">
      <alignment horizontal="center"/>
    </xf>
    <xf numFmtId="0" fontId="114" fillId="0" borderId="0" xfId="0" applyFont="1" applyFill="1" applyAlignment="1">
      <alignment vertical="top" wrapText="1"/>
    </xf>
    <xf numFmtId="0" fontId="118" fillId="0" borderId="17" xfId="0" applyFont="1" applyFill="1" applyBorder="1" applyAlignment="1">
      <alignment horizontal="center" vertical="top" wrapText="1" shrinkToFit="1"/>
    </xf>
    <xf numFmtId="0" fontId="117" fillId="0" borderId="17" xfId="234" applyFont="1" applyFill="1" applyBorder="1" applyAlignment="1">
      <alignment horizontal="center" vertical="top" wrapText="1"/>
    </xf>
    <xf numFmtId="0" fontId="124" fillId="0" borderId="0" xfId="0" applyFont="1" applyFill="1" applyAlignment="1">
      <alignment vertical="top" wrapText="1"/>
    </xf>
    <xf numFmtId="2" fontId="118" fillId="0" borderId="17" xfId="0" applyNumberFormat="1" applyFont="1" applyFill="1" applyBorder="1" applyAlignment="1">
      <alignment horizontal="center" vertical="top" wrapText="1" shrinkToFit="1"/>
    </xf>
    <xf numFmtId="1" fontId="118" fillId="0" borderId="17" xfId="0" applyNumberFormat="1" applyFont="1" applyFill="1" applyBorder="1" applyAlignment="1">
      <alignment horizontal="center" vertical="top" wrapText="1" shrinkToFit="1"/>
    </xf>
    <xf numFmtId="0" fontId="117" fillId="0" borderId="17" xfId="0" applyFont="1" applyFill="1" applyBorder="1" applyAlignment="1">
      <alignment horizontal="center" vertical="top" wrapText="1" shrinkToFit="1"/>
    </xf>
    <xf numFmtId="2" fontId="117" fillId="0" borderId="17" xfId="0" applyNumberFormat="1" applyFont="1" applyFill="1" applyBorder="1" applyAlignment="1">
      <alignment vertical="top" wrapText="1" shrinkToFit="1"/>
    </xf>
    <xf numFmtId="2" fontId="118" fillId="0" borderId="17" xfId="0" applyNumberFormat="1" applyFont="1" applyFill="1" applyBorder="1" applyAlignment="1">
      <alignment horizontal="right" vertical="top" wrapText="1"/>
    </xf>
    <xf numFmtId="0" fontId="117" fillId="0" borderId="17" xfId="0" applyFont="1" applyFill="1" applyBorder="1" applyAlignment="1">
      <alignment horizontal="justify" vertical="top" wrapText="1"/>
    </xf>
    <xf numFmtId="0" fontId="118" fillId="0" borderId="17" xfId="0" applyFont="1" applyFill="1" applyBorder="1" applyAlignment="1">
      <alignment horizontal="center" vertical="top" wrapText="1"/>
    </xf>
    <xf numFmtId="2" fontId="117" fillId="0" borderId="17" xfId="0" applyNumberFormat="1" applyFont="1" applyFill="1" applyBorder="1" applyAlignment="1">
      <alignment vertical="top" wrapText="1"/>
    </xf>
    <xf numFmtId="2" fontId="117" fillId="0" borderId="17" xfId="0" applyNumberFormat="1" applyFont="1" applyFill="1" applyBorder="1" applyAlignment="1">
      <alignment horizontal="center" vertical="top" wrapText="1" shrinkToFit="1"/>
    </xf>
    <xf numFmtId="166" fontId="112" fillId="0" borderId="17" xfId="0" applyNumberFormat="1" applyFont="1" applyFill="1" applyBorder="1" applyAlignment="1">
      <alignment horizontal="center" vertical="top" wrapText="1"/>
    </xf>
    <xf numFmtId="10" fontId="112" fillId="0" borderId="17" xfId="0" applyNumberFormat="1" applyFont="1" applyFill="1" applyBorder="1" applyAlignment="1">
      <alignment horizontal="center" wrapText="1"/>
    </xf>
    <xf numFmtId="165" fontId="114" fillId="0" borderId="17" xfId="0" applyNumberFormat="1" applyFont="1" applyFill="1" applyBorder="1" applyAlignment="1">
      <alignment horizontal="left" vertical="center" wrapText="1"/>
    </xf>
    <xf numFmtId="165" fontId="112" fillId="0" borderId="17" xfId="0" applyNumberFormat="1" applyFont="1" applyFill="1" applyBorder="1" applyAlignment="1">
      <alignment horizontal="left" vertical="center" wrapText="1"/>
    </xf>
    <xf numFmtId="165" fontId="114" fillId="0" borderId="17" xfId="0" applyNumberFormat="1" applyFont="1" applyFill="1" applyBorder="1" applyAlignment="1">
      <alignment horizontal="center" vertical="center" wrapText="1"/>
    </xf>
    <xf numFmtId="2" fontId="114" fillId="0" borderId="17" xfId="0" applyNumberFormat="1" applyFont="1" applyFill="1" applyBorder="1" applyAlignment="1">
      <alignment horizontal="center"/>
    </xf>
    <xf numFmtId="0" fontId="114" fillId="0" borderId="0" xfId="0" applyFont="1" applyFill="1" applyAlignment="1"/>
    <xf numFmtId="2" fontId="112" fillId="0" borderId="17" xfId="0" applyNumberFormat="1" applyFont="1" applyFill="1" applyBorder="1" applyAlignment="1">
      <alignment horizontal="center" vertical="top" shrinkToFit="1" readingOrder="1"/>
    </xf>
    <xf numFmtId="10" fontId="112" fillId="0" borderId="17" xfId="0" applyNumberFormat="1" applyFont="1" applyFill="1" applyBorder="1" applyAlignment="1">
      <alignment horizontal="center" vertical="top" wrapText="1"/>
    </xf>
    <xf numFmtId="166" fontId="116" fillId="0" borderId="17" xfId="0" applyNumberFormat="1" applyFont="1" applyFill="1" applyBorder="1" applyAlignment="1">
      <alignment horizontal="center" vertical="top" wrapText="1"/>
    </xf>
    <xf numFmtId="167" fontId="112" fillId="0" borderId="17" xfId="0" applyNumberFormat="1" applyFont="1" applyFill="1" applyBorder="1" applyAlignment="1">
      <alignment horizontal="center" wrapText="1"/>
    </xf>
    <xf numFmtId="0" fontId="119" fillId="0" borderId="17" xfId="0" applyFont="1" applyFill="1" applyBorder="1" applyAlignment="1">
      <alignment vertical="top" wrapText="1"/>
    </xf>
    <xf numFmtId="167" fontId="112" fillId="0" borderId="17" xfId="0" applyNumberFormat="1" applyFont="1" applyBorder="1" applyAlignment="1">
      <alignment horizontal="center" wrapText="1"/>
    </xf>
    <xf numFmtId="2" fontId="112" fillId="0" borderId="17" xfId="0" applyNumberFormat="1" applyFont="1" applyBorder="1" applyAlignment="1">
      <alignment horizontal="right" vertical="center" wrapText="1"/>
    </xf>
    <xf numFmtId="2" fontId="116" fillId="0" borderId="17" xfId="0" applyNumberFormat="1" applyFont="1" applyBorder="1" applyAlignment="1">
      <alignment horizontal="right" vertical="center" wrapText="1"/>
    </xf>
    <xf numFmtId="0" fontId="112" fillId="0" borderId="17" xfId="0" applyFont="1" applyFill="1" applyBorder="1" applyAlignment="1">
      <alignment horizontal="right" wrapText="1"/>
    </xf>
    <xf numFmtId="0" fontId="123" fillId="0" borderId="17" xfId="0" applyFont="1" applyFill="1" applyBorder="1" applyAlignment="1">
      <alignment wrapText="1"/>
    </xf>
    <xf numFmtId="164" fontId="112" fillId="0" borderId="17" xfId="0" applyNumberFormat="1" applyFont="1" applyFill="1" applyBorder="1" applyAlignment="1">
      <alignment wrapText="1"/>
    </xf>
    <xf numFmtId="167" fontId="112" fillId="0" borderId="17" xfId="0" applyNumberFormat="1" applyFont="1" applyFill="1" applyBorder="1" applyAlignment="1">
      <alignment wrapText="1"/>
    </xf>
    <xf numFmtId="0" fontId="114" fillId="0" borderId="17" xfId="0" applyFont="1" applyBorder="1" applyAlignment="1">
      <alignment horizontal="center" vertical="top" shrinkToFit="1" readingOrder="1"/>
    </xf>
    <xf numFmtId="0" fontId="112" fillId="0" borderId="17" xfId="0" applyFont="1" applyBorder="1" applyAlignment="1">
      <alignment horizontal="center" vertical="top" shrinkToFit="1" readingOrder="1"/>
    </xf>
    <xf numFmtId="0" fontId="112" fillId="0" borderId="17" xfId="0" applyFont="1" applyBorder="1" applyAlignment="1">
      <alignment vertical="top"/>
    </xf>
    <xf numFmtId="0" fontId="112" fillId="0" borderId="0" xfId="0" applyFont="1" applyAlignment="1">
      <alignment vertical="top"/>
    </xf>
    <xf numFmtId="167" fontId="114" fillId="0" borderId="17" xfId="0" applyNumberFormat="1" applyFont="1" applyBorder="1" applyAlignment="1">
      <alignment horizontal="center" vertical="top" shrinkToFit="1" readingOrder="1"/>
    </xf>
    <xf numFmtId="0" fontId="114" fillId="0" borderId="17" xfId="0" applyFont="1" applyBorder="1" applyAlignment="1">
      <alignment horizontal="justify" vertical="top" wrapText="1"/>
    </xf>
    <xf numFmtId="0" fontId="114" fillId="0" borderId="17" xfId="0" applyFont="1" applyBorder="1" applyAlignment="1">
      <alignment horizontal="justify" vertical="top" shrinkToFit="1" readingOrder="1"/>
    </xf>
    <xf numFmtId="2" fontId="114" fillId="0" borderId="17" xfId="0" applyNumberFormat="1" applyFont="1" applyBorder="1" applyAlignment="1">
      <alignment horizontal="right" vertical="top" shrinkToFit="1" readingOrder="1"/>
    </xf>
    <xf numFmtId="164" fontId="114" fillId="0" borderId="17" xfId="0" applyNumberFormat="1" applyFont="1" applyBorder="1" applyAlignment="1">
      <alignment horizontal="center" vertical="top" shrinkToFit="1" readingOrder="1"/>
    </xf>
    <xf numFmtId="164" fontId="114" fillId="0" borderId="17" xfId="0" applyNumberFormat="1" applyFont="1" applyBorder="1" applyAlignment="1">
      <alignment horizontal="right" vertical="top" shrinkToFit="1" readingOrder="1"/>
    </xf>
    <xf numFmtId="2" fontId="114" fillId="0" borderId="17" xfId="0" applyNumberFormat="1" applyFont="1" applyBorder="1" applyAlignment="1">
      <alignment horizontal="center" vertical="top" shrinkToFit="1" readingOrder="1"/>
    </xf>
    <xf numFmtId="167" fontId="114" fillId="0" borderId="17" xfId="0" applyNumberFormat="1" applyFont="1" applyBorder="1" applyAlignment="1">
      <alignment horizontal="center" vertical="top" wrapText="1"/>
    </xf>
    <xf numFmtId="167" fontId="114" fillId="0" borderId="0" xfId="0" applyNumberFormat="1" applyFont="1" applyAlignment="1">
      <alignment horizontal="center" vertical="top" wrapText="1"/>
    </xf>
    <xf numFmtId="164" fontId="112" fillId="0" borderId="17" xfId="0" applyNumberFormat="1" applyFont="1" applyBorder="1" applyAlignment="1">
      <alignment horizontal="center" vertical="top" shrinkToFit="1" readingOrder="1"/>
    </xf>
    <xf numFmtId="9" fontId="112" fillId="0" borderId="17" xfId="0" applyNumberFormat="1" applyFont="1" applyBorder="1" applyAlignment="1">
      <alignment horizontal="center" vertical="top" shrinkToFit="1" readingOrder="1"/>
    </xf>
    <xf numFmtId="0" fontId="114" fillId="0" borderId="17" xfId="0" applyFont="1" applyBorder="1" applyAlignment="1">
      <alignment vertical="top"/>
    </xf>
    <xf numFmtId="0" fontId="114" fillId="0" borderId="0" xfId="0" applyFont="1" applyAlignment="1">
      <alignment vertical="top"/>
    </xf>
    <xf numFmtId="2" fontId="112" fillId="0" borderId="17" xfId="0" applyNumberFormat="1" applyFont="1" applyBorder="1" applyAlignment="1">
      <alignment horizontal="center" vertical="top" shrinkToFit="1" readingOrder="1"/>
    </xf>
    <xf numFmtId="0" fontId="112" fillId="0" borderId="17" xfId="0" applyFont="1" applyBorder="1" applyAlignment="1">
      <alignment horizontal="justify" vertical="top" wrapText="1"/>
    </xf>
    <xf numFmtId="2" fontId="112" fillId="0" borderId="17" xfId="0" applyNumberFormat="1" applyFont="1" applyBorder="1" applyAlignment="1">
      <alignment horizontal="right" vertical="top" shrinkToFit="1" readingOrder="1"/>
    </xf>
    <xf numFmtId="164" fontId="112" fillId="0" borderId="17" xfId="0" applyNumberFormat="1" applyFont="1" applyBorder="1" applyAlignment="1">
      <alignment horizontal="right" vertical="top" shrinkToFit="1" readingOrder="1"/>
    </xf>
    <xf numFmtId="0" fontId="118" fillId="0" borderId="17" xfId="0" applyFont="1" applyFill="1" applyBorder="1" applyAlignment="1">
      <alignment wrapText="1"/>
    </xf>
    <xf numFmtId="2" fontId="118" fillId="0" borderId="17" xfId="0" applyNumberFormat="1" applyFont="1" applyFill="1" applyBorder="1" applyAlignment="1">
      <alignment wrapText="1"/>
    </xf>
    <xf numFmtId="2" fontId="118" fillId="39" borderId="17" xfId="0" applyNumberFormat="1" applyFont="1" applyFill="1" applyBorder="1" applyAlignment="1">
      <alignment wrapText="1"/>
    </xf>
    <xf numFmtId="165" fontId="118" fillId="0" borderId="17" xfId="0" applyNumberFormat="1" applyFont="1" applyFill="1" applyBorder="1" applyAlignment="1">
      <alignment wrapText="1"/>
    </xf>
    <xf numFmtId="0" fontId="118" fillId="0" borderId="17" xfId="0" applyFont="1" applyFill="1" applyBorder="1" applyAlignment="1"/>
    <xf numFmtId="2" fontId="118" fillId="0" borderId="17" xfId="0" applyNumberFormat="1" applyFont="1" applyBorder="1" applyAlignment="1"/>
    <xf numFmtId="2" fontId="118" fillId="0" borderId="17" xfId="0" applyNumberFormat="1" applyFont="1" applyFill="1" applyBorder="1" applyAlignment="1"/>
    <xf numFmtId="166" fontId="118" fillId="0" borderId="17" xfId="0" applyNumberFormat="1" applyFont="1" applyFill="1" applyBorder="1" applyAlignment="1">
      <alignment wrapText="1"/>
    </xf>
    <xf numFmtId="2" fontId="117" fillId="0" borderId="17" xfId="0" applyNumberFormat="1" applyFont="1" applyFill="1" applyBorder="1" applyAlignment="1"/>
    <xf numFmtId="165" fontId="117" fillId="0" borderId="17" xfId="0" applyNumberFormat="1" applyFont="1" applyFill="1" applyBorder="1" applyAlignment="1">
      <alignment horizontal="justify" wrapText="1"/>
    </xf>
    <xf numFmtId="0" fontId="118" fillId="0" borderId="0" xfId="0" applyFont="1" applyFill="1" applyBorder="1" applyAlignment="1"/>
    <xf numFmtId="0" fontId="118" fillId="39" borderId="17" xfId="0" applyFont="1" applyFill="1" applyBorder="1" applyAlignment="1">
      <alignment horizontal="center" vertical="center" wrapText="1"/>
    </xf>
    <xf numFmtId="2" fontId="117" fillId="0" borderId="17" xfId="0" applyNumberFormat="1" applyFont="1" applyFill="1" applyBorder="1" applyAlignment="1">
      <alignment horizontal="center" vertical="center" wrapText="1"/>
    </xf>
    <xf numFmtId="0" fontId="112" fillId="0" borderId="17" xfId="0" applyFont="1" applyBorder="1" applyAlignment="1">
      <alignment horizontal="left"/>
    </xf>
    <xf numFmtId="0" fontId="118" fillId="0" borderId="17" xfId="0" applyFont="1" applyBorder="1" applyAlignment="1">
      <alignment vertical="center"/>
    </xf>
    <xf numFmtId="165" fontId="117" fillId="0" borderId="17" xfId="0" applyNumberFormat="1" applyFont="1" applyFill="1" applyBorder="1" applyAlignment="1">
      <alignment horizontal="justify" vertical="center" wrapText="1"/>
    </xf>
    <xf numFmtId="165" fontId="117" fillId="0" borderId="17" xfId="0" applyNumberFormat="1" applyFont="1" applyBorder="1" applyAlignment="1">
      <alignment horizontal="center" vertical="center" wrapText="1"/>
    </xf>
    <xf numFmtId="0" fontId="117" fillId="0" borderId="17" xfId="0" applyFont="1" applyBorder="1" applyAlignment="1">
      <alignment horizontal="justify" vertical="center" wrapText="1"/>
    </xf>
    <xf numFmtId="0" fontId="118" fillId="0" borderId="17" xfId="0" applyFont="1" applyBorder="1" applyAlignment="1">
      <alignment vertical="center" wrapText="1"/>
    </xf>
    <xf numFmtId="0" fontId="118" fillId="0" borderId="17" xfId="0" applyFont="1" applyFill="1" applyBorder="1" applyAlignment="1">
      <alignment horizontal="justify" vertical="center" wrapText="1"/>
    </xf>
    <xf numFmtId="0" fontId="118" fillId="0" borderId="17" xfId="0" applyFont="1" applyFill="1" applyBorder="1" applyAlignment="1">
      <alignment vertical="center" wrapText="1"/>
    </xf>
    <xf numFmtId="0" fontId="118" fillId="0" borderId="17" xfId="0" applyFont="1" applyFill="1" applyBorder="1" applyAlignment="1">
      <alignment vertical="center"/>
    </xf>
    <xf numFmtId="0" fontId="116" fillId="0" borderId="17" xfId="0" applyFont="1" applyBorder="1" applyAlignment="1">
      <alignment vertical="center" wrapText="1"/>
    </xf>
    <xf numFmtId="0" fontId="117" fillId="0" borderId="17" xfId="0" applyFont="1" applyFill="1" applyBorder="1" applyAlignment="1">
      <alignment horizontal="center" vertical="top" textRotation="90" wrapText="1"/>
    </xf>
    <xf numFmtId="165" fontId="117" fillId="0" borderId="17" xfId="0" applyNumberFormat="1" applyFont="1" applyFill="1" applyBorder="1" applyAlignment="1">
      <alignment horizontal="justify" vertical="top" wrapText="1"/>
    </xf>
    <xf numFmtId="165" fontId="118" fillId="0" borderId="17" xfId="0" applyNumberFormat="1" applyFont="1" applyFill="1" applyBorder="1" applyAlignment="1">
      <alignment horizontal="justify" vertical="top" wrapText="1"/>
    </xf>
    <xf numFmtId="9" fontId="118" fillId="0" borderId="17" xfId="0" applyNumberFormat="1" applyFont="1" applyFill="1" applyBorder="1" applyAlignment="1">
      <alignment vertical="top" wrapText="1"/>
    </xf>
    <xf numFmtId="165" fontId="118" fillId="0" borderId="17" xfId="0" applyNumberFormat="1" applyFont="1" applyFill="1" applyBorder="1" applyAlignment="1">
      <alignment horizontal="right" vertical="top" wrapText="1"/>
    </xf>
    <xf numFmtId="0" fontId="118" fillId="0" borderId="17" xfId="0" applyFont="1" applyFill="1" applyBorder="1" applyAlignment="1">
      <alignment horizontal="left" vertical="top" wrapText="1"/>
    </xf>
    <xf numFmtId="2" fontId="117" fillId="0" borderId="17" xfId="0" applyNumberFormat="1" applyFont="1" applyFill="1" applyBorder="1" applyAlignment="1">
      <alignment horizontal="right" vertical="top" wrapText="1"/>
    </xf>
    <xf numFmtId="0" fontId="117" fillId="0" borderId="17" xfId="0" applyFont="1" applyFill="1" applyBorder="1" applyAlignment="1">
      <alignment vertical="top" wrapText="1"/>
    </xf>
    <xf numFmtId="0" fontId="124" fillId="0" borderId="32" xfId="0" applyFont="1" applyFill="1" applyBorder="1" applyAlignment="1">
      <alignment horizontal="center" vertical="top" wrapText="1" shrinkToFit="1"/>
    </xf>
    <xf numFmtId="0" fontId="129" fillId="0" borderId="32" xfId="0" applyFont="1" applyFill="1" applyBorder="1" applyAlignment="1">
      <alignment horizontal="center" vertical="top" wrapText="1"/>
    </xf>
    <xf numFmtId="0" fontId="124" fillId="0" borderId="8" xfId="0" applyFont="1" applyFill="1" applyBorder="1" applyAlignment="1">
      <alignment horizontal="center" vertical="top" wrapText="1" shrinkToFit="1"/>
    </xf>
    <xf numFmtId="0" fontId="124" fillId="0" borderId="8" xfId="0" applyFont="1" applyFill="1" applyBorder="1" applyAlignment="1">
      <alignment horizontal="justify" vertical="top" wrapText="1"/>
    </xf>
    <xf numFmtId="0" fontId="124" fillId="0" borderId="8" xfId="0" applyFont="1" applyFill="1" applyBorder="1" applyAlignment="1">
      <alignment horizontal="center" vertical="top" wrapText="1"/>
    </xf>
    <xf numFmtId="0" fontId="129" fillId="0" borderId="8" xfId="0" applyFont="1" applyFill="1" applyBorder="1" applyAlignment="1">
      <alignment horizontal="justify" vertical="top" wrapText="1"/>
    </xf>
    <xf numFmtId="2" fontId="124" fillId="0" borderId="8" xfId="0" applyNumberFormat="1" applyFont="1" applyFill="1" applyBorder="1" applyAlignment="1">
      <alignment horizontal="center" vertical="top" wrapText="1"/>
    </xf>
    <xf numFmtId="1" fontId="124" fillId="0" borderId="8" xfId="0" applyNumberFormat="1" applyFont="1" applyFill="1" applyBorder="1" applyAlignment="1">
      <alignment horizontal="center" vertical="top" wrapText="1"/>
    </xf>
    <xf numFmtId="2" fontId="124" fillId="0" borderId="8" xfId="0" applyNumberFormat="1" applyFont="1" applyFill="1" applyBorder="1" applyAlignment="1">
      <alignment horizontal="right" vertical="top" wrapText="1"/>
    </xf>
    <xf numFmtId="165" fontId="124" fillId="0" borderId="8" xfId="0" applyNumberFormat="1" applyFont="1" applyFill="1" applyBorder="1" applyAlignment="1">
      <alignment horizontal="right" vertical="top" wrapText="1"/>
    </xf>
    <xf numFmtId="2" fontId="129" fillId="0" borderId="8" xfId="0" applyNumberFormat="1" applyFont="1" applyFill="1" applyBorder="1" applyAlignment="1">
      <alignment horizontal="center" vertical="top" wrapText="1" shrinkToFit="1"/>
    </xf>
    <xf numFmtId="2" fontId="129" fillId="0" borderId="8" xfId="0" applyNumberFormat="1" applyFont="1" applyFill="1" applyBorder="1" applyAlignment="1">
      <alignment vertical="top" wrapText="1" shrinkToFit="1"/>
    </xf>
    <xf numFmtId="2" fontId="124" fillId="0" borderId="8" xfId="268" applyNumberFormat="1" applyFont="1" applyFill="1" applyBorder="1" applyAlignment="1">
      <alignment horizontal="center" vertical="top" wrapText="1" shrinkToFit="1"/>
    </xf>
    <xf numFmtId="0" fontId="129" fillId="0" borderId="8" xfId="234" applyFont="1" applyFill="1" applyBorder="1" applyAlignment="1">
      <alignment horizontal="center" vertical="top" wrapText="1"/>
    </xf>
    <xf numFmtId="2" fontId="124" fillId="0" borderId="8" xfId="0" applyNumberFormat="1" applyFont="1" applyFill="1" applyBorder="1" applyAlignment="1">
      <alignment horizontal="center" vertical="top" wrapText="1" shrinkToFit="1"/>
    </xf>
    <xf numFmtId="1" fontId="124" fillId="0" borderId="8" xfId="0" applyNumberFormat="1" applyFont="1" applyFill="1" applyBorder="1" applyAlignment="1">
      <alignment horizontal="center" vertical="top" wrapText="1" shrinkToFit="1"/>
    </xf>
    <xf numFmtId="0" fontId="129" fillId="0" borderId="8" xfId="0" applyFont="1" applyFill="1" applyBorder="1" applyAlignment="1">
      <alignment horizontal="center" vertical="top" wrapText="1" shrinkToFit="1"/>
    </xf>
    <xf numFmtId="165" fontId="130" fillId="0" borderId="8" xfId="0" applyNumberFormat="1" applyFont="1" applyFill="1" applyBorder="1" applyAlignment="1">
      <alignment horizontal="center" vertical="top" wrapText="1"/>
    </xf>
    <xf numFmtId="0" fontId="112" fillId="0" borderId="0" xfId="0" applyFont="1" applyFill="1" applyAlignment="1">
      <alignment horizontal="center"/>
    </xf>
    <xf numFmtId="167" fontId="114" fillId="0" borderId="17" xfId="0" applyNumberFormat="1" applyFont="1" applyFill="1" applyBorder="1" applyAlignment="1">
      <alignment horizontal="center" vertical="center" wrapText="1"/>
    </xf>
    <xf numFmtId="0" fontId="122" fillId="0" borderId="17" xfId="0" applyFont="1" applyFill="1" applyBorder="1" applyAlignment="1">
      <alignment horizontal="center" vertical="center" wrapText="1"/>
    </xf>
    <xf numFmtId="167" fontId="122" fillId="0" borderId="17" xfId="0" applyNumberFormat="1" applyFont="1" applyFill="1" applyBorder="1" applyAlignment="1">
      <alignment horizontal="center" vertical="center" wrapText="1"/>
    </xf>
    <xf numFmtId="0" fontId="122" fillId="0" borderId="17" xfId="0" applyFont="1" applyFill="1" applyBorder="1" applyAlignment="1">
      <alignment wrapText="1"/>
    </xf>
    <xf numFmtId="0" fontId="123" fillId="0" borderId="17" xfId="0" applyFont="1" applyFill="1" applyBorder="1" applyAlignment="1">
      <alignment horizontal="center" vertical="center"/>
    </xf>
    <xf numFmtId="0" fontId="122" fillId="0" borderId="17" xfId="0" applyFont="1" applyFill="1" applyBorder="1" applyAlignment="1">
      <alignment vertical="top" wrapText="1"/>
    </xf>
    <xf numFmtId="0" fontId="123" fillId="0" borderId="17" xfId="0" applyFont="1" applyFill="1" applyBorder="1" applyAlignment="1"/>
    <xf numFmtId="0" fontId="131" fillId="0" borderId="17" xfId="0" applyFont="1" applyBorder="1" applyAlignment="1">
      <alignment horizontal="center" vertical="center" wrapText="1"/>
    </xf>
    <xf numFmtId="0" fontId="130" fillId="0" borderId="17" xfId="0" applyFont="1" applyBorder="1" applyAlignment="1">
      <alignment horizontal="center" vertical="center" wrapText="1"/>
    </xf>
    <xf numFmtId="0" fontId="123" fillId="0" borderId="17" xfId="0" applyFont="1" applyFill="1" applyBorder="1" applyAlignment="1">
      <alignment horizontal="center" vertical="center" wrapText="1"/>
    </xf>
    <xf numFmtId="0" fontId="130" fillId="0" borderId="17" xfId="0" applyFont="1" applyFill="1" applyBorder="1" applyAlignment="1">
      <alignment horizontal="center" vertical="center" wrapText="1"/>
    </xf>
    <xf numFmtId="0" fontId="122" fillId="0" borderId="17" xfId="0" applyFont="1" applyBorder="1" applyAlignment="1">
      <alignment vertical="top" wrapText="1"/>
    </xf>
    <xf numFmtId="0" fontId="123" fillId="0" borderId="17" xfId="0" applyFont="1" applyBorder="1" applyAlignment="1"/>
    <xf numFmtId="0" fontId="123" fillId="0" borderId="17" xfId="0" applyFont="1" applyBorder="1" applyAlignment="1">
      <alignment horizontal="center" vertical="center"/>
    </xf>
    <xf numFmtId="0" fontId="123" fillId="0" borderId="17" xfId="0" applyFont="1" applyFill="1" applyBorder="1" applyAlignment="1">
      <alignment vertical="top" wrapText="1"/>
    </xf>
    <xf numFmtId="0" fontId="131" fillId="0" borderId="17" xfId="0" applyFont="1" applyFill="1" applyBorder="1" applyAlignment="1">
      <alignment horizontal="center" vertical="center"/>
    </xf>
    <xf numFmtId="0" fontId="130" fillId="0" borderId="17" xfId="0" applyFont="1" applyFill="1" applyBorder="1" applyAlignment="1">
      <alignment horizontal="center" vertical="top" wrapText="1" shrinkToFit="1"/>
    </xf>
    <xf numFmtId="0" fontId="122" fillId="0" borderId="17" xfId="0" applyFont="1" applyFill="1" applyBorder="1" applyAlignment="1"/>
    <xf numFmtId="0" fontId="122" fillId="0" borderId="17" xfId="0" applyFont="1" applyBorder="1" applyAlignment="1">
      <alignment horizontal="center" vertical="top" shrinkToFit="1" readingOrder="1"/>
    </xf>
    <xf numFmtId="0" fontId="123" fillId="0" borderId="17" xfId="0" applyFont="1" applyBorder="1" applyAlignment="1">
      <alignment horizontal="left" vertical="top" wrapText="1"/>
    </xf>
    <xf numFmtId="164" fontId="123" fillId="0" borderId="17" xfId="0" applyNumberFormat="1" applyFont="1" applyBorder="1" applyAlignment="1">
      <alignment horizontal="left" vertical="top" wrapText="1"/>
    </xf>
    <xf numFmtId="0" fontId="123" fillId="0" borderId="17" xfId="0" applyFont="1" applyBorder="1" applyAlignment="1">
      <alignment horizontal="center" vertical="top" shrinkToFit="1" readingOrder="1"/>
    </xf>
    <xf numFmtId="0" fontId="130" fillId="0" borderId="17" xfId="0" applyFont="1" applyFill="1" applyBorder="1" applyAlignment="1"/>
    <xf numFmtId="0" fontId="128" fillId="0" borderId="17" xfId="0" applyFont="1" applyBorder="1" applyAlignment="1">
      <alignment horizontal="center" vertical="top" wrapText="1"/>
    </xf>
    <xf numFmtId="0" fontId="130" fillId="0" borderId="17" xfId="0" applyFont="1" applyFill="1" applyBorder="1" applyAlignment="1">
      <alignment horizontal="center" vertical="top" wrapText="1"/>
    </xf>
    <xf numFmtId="165" fontId="112" fillId="0" borderId="17" xfId="0" applyNumberFormat="1" applyFont="1" applyFill="1" applyBorder="1" applyAlignment="1">
      <alignment horizontal="right" vertical="top" wrapText="1"/>
    </xf>
    <xf numFmtId="165" fontId="119" fillId="0" borderId="17" xfId="0" applyNumberFormat="1" applyFont="1" applyBorder="1" applyAlignment="1">
      <alignment horizontal="right" vertical="center" wrapText="1"/>
    </xf>
    <xf numFmtId="2" fontId="118" fillId="0" borderId="17" xfId="0" applyNumberFormat="1" applyFont="1" applyBorder="1" applyAlignment="1">
      <alignment horizontal="right" vertical="top" wrapText="1"/>
    </xf>
    <xf numFmtId="165" fontId="118" fillId="0" borderId="17" xfId="0" applyNumberFormat="1" applyFont="1" applyBorder="1" applyAlignment="1">
      <alignment horizontal="right" vertical="top" wrapText="1"/>
    </xf>
    <xf numFmtId="2" fontId="117" fillId="0" borderId="17" xfId="0" applyNumberFormat="1" applyFont="1" applyBorder="1" applyAlignment="1">
      <alignment horizontal="right" vertical="top" wrapText="1"/>
    </xf>
    <xf numFmtId="165" fontId="114" fillId="0" borderId="17" xfId="0" applyNumberFormat="1" applyFont="1" applyFill="1" applyBorder="1" applyAlignment="1">
      <alignment horizontal="right" vertical="top" wrapText="1"/>
    </xf>
    <xf numFmtId="0" fontId="112" fillId="0" borderId="17" xfId="0" applyFont="1" applyFill="1" applyBorder="1" applyAlignment="1">
      <alignment horizontal="right"/>
    </xf>
    <xf numFmtId="0" fontId="123" fillId="0" borderId="17" xfId="0" applyFont="1" applyFill="1" applyBorder="1" applyAlignment="1">
      <alignment textRotation="90" wrapText="1"/>
    </xf>
    <xf numFmtId="0" fontId="125" fillId="0" borderId="0" xfId="134" applyFont="1" applyBorder="1" applyAlignment="1">
      <alignment horizontal="center" vertical="center"/>
    </xf>
    <xf numFmtId="0" fontId="125" fillId="0" borderId="0" xfId="134" applyFont="1" applyBorder="1"/>
    <xf numFmtId="0" fontId="132" fillId="0" borderId="0" xfId="134" applyFont="1" applyBorder="1" applyAlignment="1">
      <alignment horizontal="center" vertical="top" wrapText="1"/>
    </xf>
    <xf numFmtId="0" fontId="125" fillId="0" borderId="0" xfId="134" applyFont="1" applyBorder="1" applyAlignment="1">
      <alignment horizontal="center" vertical="center" wrapText="1"/>
    </xf>
    <xf numFmtId="0" fontId="132" fillId="0" borderId="0" xfId="134" applyFont="1" applyBorder="1" applyAlignment="1">
      <alignment horizontal="justify" vertical="top" wrapText="1"/>
    </xf>
    <xf numFmtId="0" fontId="125" fillId="0" borderId="0" xfId="134" applyFont="1" applyBorder="1" applyAlignment="1">
      <alignment horizontal="center" vertical="top" wrapText="1"/>
    </xf>
    <xf numFmtId="0" fontId="125" fillId="0" borderId="0" xfId="134" applyNumberFormat="1" applyFont="1" applyBorder="1" applyAlignment="1">
      <alignment horizontal="justify" vertical="top" wrapText="1"/>
    </xf>
    <xf numFmtId="0" fontId="132" fillId="0" borderId="0" xfId="134" applyNumberFormat="1" applyFont="1" applyBorder="1" applyAlignment="1">
      <alignment horizontal="justify" vertical="top" wrapText="1"/>
    </xf>
    <xf numFmtId="4" fontId="125" fillId="0" borderId="0" xfId="134" applyNumberFormat="1" applyFont="1" applyBorder="1" applyAlignment="1">
      <alignment horizontal="center" vertical="top" wrapText="1"/>
    </xf>
    <xf numFmtId="2" fontId="125" fillId="0" borderId="0" xfId="134" applyNumberFormat="1" applyFont="1" applyBorder="1"/>
    <xf numFmtId="2" fontId="125" fillId="0" borderId="0" xfId="134" applyNumberFormat="1" applyFont="1" applyFill="1" applyBorder="1"/>
    <xf numFmtId="0" fontId="125" fillId="0" borderId="0" xfId="134" applyFont="1" applyBorder="1" applyAlignment="1">
      <alignment horizontal="right" vertical="top" wrapText="1"/>
    </xf>
    <xf numFmtId="0" fontId="133" fillId="0" borderId="0" xfId="134" applyFont="1" applyBorder="1" applyAlignment="1">
      <alignment horizontal="justify" vertical="top" wrapText="1"/>
    </xf>
    <xf numFmtId="0" fontId="132" fillId="0" borderId="0" xfId="134" applyFont="1" applyFill="1" applyBorder="1" applyAlignment="1">
      <alignment horizontal="center" vertical="center"/>
    </xf>
    <xf numFmtId="0" fontId="125" fillId="0" borderId="0" xfId="134" applyFont="1" applyFill="1" applyBorder="1"/>
    <xf numFmtId="0" fontId="132" fillId="0" borderId="0" xfId="134" applyFont="1" applyBorder="1" applyAlignment="1">
      <alignment horizontal="center" vertical="center"/>
    </xf>
    <xf numFmtId="0" fontId="136" fillId="0" borderId="0" xfId="134" applyFont="1" applyBorder="1" applyAlignment="1">
      <alignment horizontal="center" vertical="center"/>
    </xf>
    <xf numFmtId="0" fontId="137" fillId="0" borderId="0" xfId="134" applyFont="1" applyBorder="1"/>
    <xf numFmtId="0" fontId="137" fillId="0" borderId="0" xfId="134" applyFont="1" applyBorder="1" applyAlignment="1">
      <alignment horizontal="center" vertical="center"/>
    </xf>
    <xf numFmtId="0" fontId="136" fillId="0" borderId="0" xfId="134" applyFont="1" applyFill="1" applyBorder="1" applyAlignment="1">
      <alignment horizontal="center" vertical="center"/>
    </xf>
    <xf numFmtId="0" fontId="137" fillId="0" borderId="0" xfId="134" applyFont="1" applyFill="1" applyBorder="1"/>
    <xf numFmtId="0" fontId="125" fillId="0" borderId="0" xfId="134" applyFont="1" applyFill="1" applyBorder="1" applyAlignment="1">
      <alignment horizontal="center" vertical="center"/>
    </xf>
    <xf numFmtId="0" fontId="112" fillId="0" borderId="0" xfId="134" applyFont="1" applyFill="1" applyAlignment="1"/>
    <xf numFmtId="0" fontId="125" fillId="0" borderId="0" xfId="138" applyFont="1"/>
    <xf numFmtId="0" fontId="125" fillId="0" borderId="8" xfId="232" applyFont="1" applyFill="1" applyBorder="1" applyAlignment="1">
      <alignment horizontal="right" vertical="top"/>
    </xf>
    <xf numFmtId="49" fontId="132" fillId="0" borderId="8" xfId="232" applyNumberFormat="1" applyFont="1" applyFill="1" applyBorder="1" applyAlignment="1">
      <alignment horizontal="center"/>
    </xf>
    <xf numFmtId="0" fontId="132" fillId="40" borderId="8" xfId="232" applyNumberFormat="1" applyFont="1" applyFill="1" applyBorder="1" applyAlignment="1">
      <alignment horizontal="center"/>
    </xf>
    <xf numFmtId="9" fontId="132" fillId="40" borderId="8" xfId="232" applyNumberFormat="1" applyFont="1" applyFill="1" applyBorder="1" applyAlignment="1">
      <alignment horizontal="center" vertical="center"/>
    </xf>
    <xf numFmtId="49" fontId="132" fillId="0" borderId="8" xfId="232" applyNumberFormat="1" applyFont="1" applyFill="1" applyBorder="1" applyAlignment="1">
      <alignment horizontal="center" vertical="center"/>
    </xf>
    <xf numFmtId="0" fontId="125" fillId="0" borderId="8" xfId="138" applyFont="1" applyFill="1" applyBorder="1" applyAlignment="1">
      <alignment horizontal="right" vertical="top"/>
    </xf>
    <xf numFmtId="0" fontId="132" fillId="0" borderId="8" xfId="138" applyFont="1" applyFill="1" applyBorder="1" applyAlignment="1"/>
    <xf numFmtId="0" fontId="132" fillId="0" borderId="8" xfId="138" applyFont="1" applyFill="1" applyBorder="1" applyAlignment="1">
      <alignment horizontal="center"/>
    </xf>
    <xf numFmtId="0" fontId="132" fillId="0" borderId="8" xfId="138" applyFont="1" applyFill="1" applyBorder="1" applyAlignment="1">
      <alignment horizontal="center" vertical="center"/>
    </xf>
    <xf numFmtId="0" fontId="125" fillId="0" borderId="8" xfId="138" applyFont="1" applyFill="1" applyBorder="1" applyAlignment="1">
      <alignment horizontal="right" vertical="top" wrapText="1"/>
    </xf>
    <xf numFmtId="0" fontId="132" fillId="0" borderId="8" xfId="138" applyFont="1" applyFill="1" applyBorder="1" applyAlignment="1">
      <alignment horizontal="center" vertical="center" wrapText="1"/>
    </xf>
    <xf numFmtId="165" fontId="132" fillId="0" borderId="8" xfId="138" applyNumberFormat="1" applyFont="1" applyFill="1" applyBorder="1" applyAlignment="1">
      <alignment horizontal="center" vertical="center" wrapText="1"/>
    </xf>
    <xf numFmtId="49" fontId="125" fillId="0" borderId="8" xfId="232" applyNumberFormat="1" applyFont="1" applyFill="1" applyBorder="1" applyAlignment="1">
      <alignment horizontal="center" vertical="center"/>
    </xf>
    <xf numFmtId="167" fontId="125" fillId="0" borderId="8" xfId="138" applyNumberFormat="1" applyFont="1" applyFill="1" applyBorder="1" applyAlignment="1">
      <alignment horizontal="right" vertical="top" wrapText="1"/>
    </xf>
    <xf numFmtId="167" fontId="132" fillId="0" borderId="8" xfId="138" applyNumberFormat="1" applyFont="1" applyFill="1" applyBorder="1" applyAlignment="1">
      <alignment horizontal="center" vertical="center" wrapText="1"/>
    </xf>
    <xf numFmtId="0" fontId="125" fillId="0" borderId="8" xfId="232" applyFont="1" applyFill="1" applyBorder="1" applyAlignment="1">
      <alignment horizontal="right" vertical="top" wrapText="1"/>
    </xf>
    <xf numFmtId="0" fontId="125" fillId="0" borderId="8" xfId="232" applyFont="1" applyFill="1" applyBorder="1"/>
    <xf numFmtId="49" fontId="125" fillId="0" borderId="8" xfId="232" applyNumberFormat="1" applyFont="1" applyFill="1" applyBorder="1" applyAlignment="1">
      <alignment vertical="top" wrapText="1"/>
    </xf>
    <xf numFmtId="0" fontId="125" fillId="0" borderId="8" xfId="232" applyFont="1" applyFill="1" applyBorder="1" applyAlignment="1">
      <alignment horizontal="justify" vertical="top" wrapText="1"/>
    </xf>
    <xf numFmtId="2" fontId="125" fillId="0" borderId="8" xfId="232" applyNumberFormat="1" applyFont="1" applyFill="1" applyBorder="1" applyAlignment="1">
      <alignment horizontal="center" vertical="center"/>
    </xf>
    <xf numFmtId="164" fontId="125" fillId="0" borderId="8" xfId="232" applyNumberFormat="1" applyFont="1" applyFill="1" applyBorder="1" applyAlignment="1">
      <alignment horizontal="center" vertical="center"/>
    </xf>
    <xf numFmtId="0" fontId="125" fillId="0" borderId="8" xfId="232" applyFont="1" applyFill="1" applyBorder="1" applyAlignment="1">
      <alignment vertical="top" wrapText="1"/>
    </xf>
    <xf numFmtId="0" fontId="125" fillId="0" borderId="8" xfId="232" applyFont="1" applyFill="1" applyBorder="1" applyAlignment="1">
      <alignment horizontal="center" vertical="center"/>
    </xf>
    <xf numFmtId="0" fontId="125" fillId="0" borderId="8" xfId="232" applyFont="1" applyFill="1" applyBorder="1" applyAlignment="1">
      <alignment vertical="top"/>
    </xf>
    <xf numFmtId="165" fontId="125" fillId="0" borderId="8" xfId="138" applyNumberFormat="1" applyFont="1" applyFill="1" applyBorder="1" applyAlignment="1">
      <alignment horizontal="justify" vertical="top" wrapText="1"/>
    </xf>
    <xf numFmtId="9" fontId="125" fillId="0" borderId="8" xfId="265" applyFont="1" applyFill="1" applyBorder="1" applyAlignment="1">
      <alignment horizontal="center" vertical="center" wrapText="1"/>
    </xf>
    <xf numFmtId="165" fontId="125" fillId="0" borderId="8" xfId="138" applyNumberFormat="1" applyFont="1" applyFill="1" applyBorder="1" applyAlignment="1">
      <alignment horizontal="center" vertical="center" wrapText="1"/>
    </xf>
    <xf numFmtId="0" fontId="125" fillId="0" borderId="8" xfId="138" applyFont="1" applyFill="1" applyBorder="1" applyAlignment="1">
      <alignment vertical="top" shrinkToFit="1"/>
    </xf>
    <xf numFmtId="0" fontId="125" fillId="0" borderId="8" xfId="138" applyFont="1" applyFill="1" applyBorder="1" applyAlignment="1">
      <alignment horizontal="justify" wrapText="1"/>
    </xf>
    <xf numFmtId="0" fontId="125" fillId="0" borderId="8" xfId="138" applyFont="1" applyFill="1" applyBorder="1" applyAlignment="1">
      <alignment horizontal="center" vertical="center" wrapText="1"/>
    </xf>
    <xf numFmtId="2" fontId="125" fillId="0" borderId="8" xfId="138" applyNumberFormat="1" applyFont="1" applyFill="1" applyBorder="1" applyAlignment="1">
      <alignment horizontal="center" vertical="center" wrapText="1"/>
    </xf>
    <xf numFmtId="165" fontId="125" fillId="0" borderId="8" xfId="138" applyNumberFormat="1" applyFont="1" applyFill="1" applyBorder="1" applyAlignment="1">
      <alignment horizontal="center" vertical="center"/>
    </xf>
    <xf numFmtId="0" fontId="125" fillId="0" borderId="0" xfId="138" applyFont="1" applyAlignment="1">
      <alignment horizontal="right" vertical="top"/>
    </xf>
    <xf numFmtId="0" fontId="125" fillId="0" borderId="0" xfId="138" applyFont="1" applyAlignment="1">
      <alignment horizontal="center" vertical="center"/>
    </xf>
    <xf numFmtId="49" fontId="125" fillId="0" borderId="8" xfId="232" applyNumberFormat="1" applyFont="1" applyFill="1" applyBorder="1"/>
    <xf numFmtId="174" fontId="125" fillId="0" borderId="8" xfId="232" applyNumberFormat="1" applyFont="1" applyFill="1" applyBorder="1" applyAlignment="1">
      <alignment horizontal="center" vertical="center"/>
    </xf>
    <xf numFmtId="1" fontId="125" fillId="0" borderId="8" xfId="232" applyNumberFormat="1" applyFont="1" applyFill="1" applyBorder="1" applyAlignment="1">
      <alignment horizontal="center" vertical="center"/>
    </xf>
    <xf numFmtId="2" fontId="132" fillId="0" borderId="8" xfId="232" applyNumberFormat="1" applyFont="1" applyFill="1" applyBorder="1" applyAlignment="1">
      <alignment horizontal="center" vertical="center"/>
    </xf>
    <xf numFmtId="0" fontId="125" fillId="0" borderId="62" xfId="232" applyFont="1" applyFill="1" applyBorder="1"/>
    <xf numFmtId="49" fontId="125" fillId="0" borderId="17" xfId="232" applyNumberFormat="1" applyFont="1" applyFill="1" applyBorder="1" applyAlignment="1">
      <alignment vertical="top" wrapText="1"/>
    </xf>
    <xf numFmtId="0" fontId="125" fillId="0" borderId="17" xfId="232" applyFont="1" applyFill="1" applyBorder="1" applyAlignment="1">
      <alignment horizontal="justify" wrapText="1"/>
    </xf>
    <xf numFmtId="49" fontId="125" fillId="0" borderId="17" xfId="232" applyNumberFormat="1" applyFont="1" applyFill="1" applyBorder="1" applyAlignment="1">
      <alignment horizontal="center" vertical="center"/>
    </xf>
    <xf numFmtId="2" fontId="125" fillId="0" borderId="17" xfId="232" applyNumberFormat="1" applyFont="1" applyFill="1" applyBorder="1" applyAlignment="1">
      <alignment horizontal="center" vertical="center"/>
    </xf>
    <xf numFmtId="164" fontId="125" fillId="0" borderId="17" xfId="232" applyNumberFormat="1" applyFont="1" applyFill="1" applyBorder="1" applyAlignment="1">
      <alignment horizontal="center" vertical="center"/>
    </xf>
    <xf numFmtId="0" fontId="125" fillId="0" borderId="17" xfId="232" applyFont="1" applyFill="1" applyBorder="1" applyAlignment="1">
      <alignment vertical="top" wrapText="1"/>
    </xf>
    <xf numFmtId="0" fontId="125" fillId="0" borderId="17" xfId="232" applyFont="1" applyFill="1" applyBorder="1" applyAlignment="1">
      <alignment horizontal="center" vertical="center"/>
    </xf>
    <xf numFmtId="0" fontId="125" fillId="0" borderId="17" xfId="232" applyFont="1" applyFill="1" applyBorder="1" applyAlignment="1">
      <alignment vertical="top"/>
    </xf>
    <xf numFmtId="165" fontId="125" fillId="0" borderId="17" xfId="138" applyNumberFormat="1" applyFont="1" applyFill="1" applyBorder="1" applyAlignment="1">
      <alignment horizontal="justify" vertical="top" wrapText="1"/>
    </xf>
    <xf numFmtId="165" fontId="125" fillId="0" borderId="17" xfId="138" applyNumberFormat="1" applyFont="1" applyFill="1" applyBorder="1" applyAlignment="1">
      <alignment horizontal="center" vertical="center" wrapText="1"/>
    </xf>
    <xf numFmtId="49" fontId="125" fillId="0" borderId="17" xfId="232" applyNumberFormat="1" applyFont="1" applyFill="1" applyBorder="1"/>
    <xf numFmtId="9" fontId="125" fillId="0" borderId="17" xfId="265" applyFont="1" applyFill="1" applyBorder="1" applyAlignment="1">
      <alignment horizontal="center" vertical="center" wrapText="1"/>
    </xf>
    <xf numFmtId="0" fontId="125" fillId="0" borderId="17" xfId="232" applyFont="1" applyFill="1" applyBorder="1"/>
    <xf numFmtId="0" fontId="125" fillId="0" borderId="17" xfId="138" applyFont="1" applyBorder="1"/>
    <xf numFmtId="1" fontId="125" fillId="0" borderId="17" xfId="232" applyNumberFormat="1" applyFont="1" applyFill="1" applyBorder="1" applyAlignment="1">
      <alignment horizontal="center" vertical="center"/>
    </xf>
    <xf numFmtId="2" fontId="132" fillId="0" borderId="17" xfId="232" applyNumberFormat="1" applyFont="1" applyFill="1" applyBorder="1" applyAlignment="1">
      <alignment horizontal="center" vertical="center"/>
    </xf>
    <xf numFmtId="49" fontId="125" fillId="0" borderId="17" xfId="232" applyNumberFormat="1" applyFont="1" applyFill="1" applyBorder="1" applyAlignment="1">
      <alignment vertical="center" shrinkToFit="1"/>
    </xf>
    <xf numFmtId="49" fontId="125" fillId="0" borderId="17" xfId="232" applyNumberFormat="1" applyFont="1" applyFill="1" applyBorder="1" applyAlignment="1">
      <alignment shrinkToFit="1"/>
    </xf>
    <xf numFmtId="9" fontId="125" fillId="0" borderId="17" xfId="265" applyFont="1" applyFill="1" applyBorder="1" applyAlignment="1">
      <alignment horizontal="center" vertical="center"/>
    </xf>
    <xf numFmtId="0" fontId="125" fillId="0" borderId="17" xfId="232" applyFont="1" applyFill="1" applyBorder="1" applyAlignment="1">
      <alignment horizontal="right"/>
    </xf>
    <xf numFmtId="49" fontId="125" fillId="0" borderId="17" xfId="232" applyNumberFormat="1" applyFont="1" applyFill="1" applyBorder="1" applyAlignment="1">
      <alignment horizontal="justify" wrapText="1"/>
    </xf>
    <xf numFmtId="49" fontId="125" fillId="0" borderId="17" xfId="232" applyNumberFormat="1" applyFont="1" applyFill="1" applyBorder="1" applyAlignment="1">
      <alignment horizontal="center" vertical="center" wrapText="1"/>
    </xf>
    <xf numFmtId="2" fontId="125" fillId="0" borderId="17" xfId="232" applyNumberFormat="1" applyFont="1" applyFill="1" applyBorder="1" applyAlignment="1">
      <alignment horizontal="center" vertical="center" wrapText="1"/>
    </xf>
    <xf numFmtId="164" fontId="125" fillId="0" borderId="17" xfId="232" applyNumberFormat="1" applyFont="1" applyFill="1" applyBorder="1" applyAlignment="1">
      <alignment horizontal="center" vertical="center" wrapText="1"/>
    </xf>
    <xf numFmtId="0" fontId="125" fillId="0" borderId="17" xfId="138" applyFont="1" applyFill="1" applyBorder="1" applyAlignment="1">
      <alignment vertical="top" shrinkToFit="1"/>
    </xf>
    <xf numFmtId="0" fontId="125" fillId="0" borderId="17" xfId="138" applyFont="1" applyFill="1" applyBorder="1" applyAlignment="1">
      <alignment horizontal="center" vertical="center"/>
    </xf>
    <xf numFmtId="2" fontId="125" fillId="0" borderId="17" xfId="138" applyNumberFormat="1" applyFont="1" applyFill="1" applyBorder="1" applyAlignment="1">
      <alignment horizontal="center" vertical="center"/>
    </xf>
    <xf numFmtId="0" fontId="125" fillId="0" borderId="17" xfId="138" applyFont="1" applyFill="1" applyBorder="1" applyAlignment="1">
      <alignment vertical="top"/>
    </xf>
    <xf numFmtId="172" fontId="125" fillId="0" borderId="17" xfId="138" applyNumberFormat="1" applyFont="1" applyFill="1" applyBorder="1" applyAlignment="1">
      <alignment horizontal="center" vertical="center"/>
    </xf>
    <xf numFmtId="49" fontId="125" fillId="0" borderId="17" xfId="232" applyNumberFormat="1" applyFont="1" applyFill="1" applyBorder="1" applyAlignment="1">
      <alignment horizontal="justify" vertical="top" wrapText="1"/>
    </xf>
    <xf numFmtId="1" fontId="125" fillId="0" borderId="17" xfId="232" applyNumberFormat="1" applyFont="1" applyFill="1" applyBorder="1" applyAlignment="1">
      <alignment horizontal="center" vertical="center" wrapText="1"/>
    </xf>
    <xf numFmtId="0" fontId="132" fillId="0" borderId="17" xfId="232" applyFont="1" applyFill="1" applyBorder="1" applyAlignment="1">
      <alignment horizontal="center" vertical="center"/>
    </xf>
    <xf numFmtId="0" fontId="125" fillId="0" borderId="17" xfId="138" applyFont="1" applyFill="1" applyBorder="1" applyAlignment="1">
      <alignment horizontal="justify" wrapText="1"/>
    </xf>
    <xf numFmtId="165" fontId="125" fillId="0" borderId="17" xfId="138" applyNumberFormat="1" applyFont="1" applyFill="1" applyBorder="1" applyAlignment="1">
      <alignment horizontal="center" vertical="center"/>
    </xf>
    <xf numFmtId="165" fontId="132" fillId="0" borderId="17" xfId="138" applyNumberFormat="1" applyFont="1" applyFill="1" applyBorder="1" applyAlignment="1">
      <alignment horizontal="center" vertical="center" wrapText="1"/>
    </xf>
    <xf numFmtId="165" fontId="132" fillId="0" borderId="17" xfId="138" applyNumberFormat="1" applyFont="1" applyFill="1" applyBorder="1" applyAlignment="1">
      <alignment horizontal="justify" wrapText="1"/>
    </xf>
    <xf numFmtId="0" fontId="132" fillId="0" borderId="17" xfId="138" applyFont="1" applyFill="1" applyBorder="1" applyAlignment="1">
      <alignment horizontal="justify" vertical="top" wrapText="1"/>
    </xf>
    <xf numFmtId="165" fontId="132" fillId="0" borderId="17" xfId="138" applyNumberFormat="1" applyFont="1" applyFill="1" applyBorder="1" applyAlignment="1">
      <alignment horizontal="justify" vertical="top" wrapText="1"/>
    </xf>
    <xf numFmtId="2" fontId="125" fillId="0" borderId="17" xfId="138" applyNumberFormat="1" applyFont="1" applyBorder="1" applyAlignment="1">
      <alignment horizontal="center" vertical="center"/>
    </xf>
    <xf numFmtId="2" fontId="125" fillId="0" borderId="17" xfId="138" applyNumberFormat="1" applyFont="1" applyFill="1" applyBorder="1" applyAlignment="1">
      <alignment horizontal="center" vertical="top"/>
    </xf>
    <xf numFmtId="1" fontId="125" fillId="0" borderId="17" xfId="138" applyNumberFormat="1" applyFont="1" applyFill="1" applyBorder="1" applyAlignment="1">
      <alignment horizontal="center" vertical="center"/>
    </xf>
    <xf numFmtId="49" fontId="125" fillId="0" borderId="17" xfId="232" applyNumberFormat="1" applyFont="1" applyFill="1" applyBorder="1" applyAlignment="1">
      <alignment horizontal="center"/>
    </xf>
    <xf numFmtId="49" fontId="125" fillId="0" borderId="17" xfId="232" applyNumberFormat="1" applyFont="1" applyFill="1" applyBorder="1" applyAlignment="1">
      <alignment vertical="top" wrapText="1" shrinkToFit="1"/>
    </xf>
    <xf numFmtId="0" fontId="125" fillId="0" borderId="17" xfId="232" applyFont="1" applyFill="1" applyBorder="1" applyAlignment="1">
      <alignment wrapText="1"/>
    </xf>
    <xf numFmtId="0" fontId="125" fillId="0" borderId="63" xfId="232" applyFont="1" applyFill="1" applyBorder="1"/>
    <xf numFmtId="49" fontId="125" fillId="0" borderId="63" xfId="232" applyNumberFormat="1" applyFont="1" applyFill="1" applyBorder="1"/>
    <xf numFmtId="0" fontId="125" fillId="0" borderId="63" xfId="232" applyFont="1" applyFill="1" applyBorder="1" applyAlignment="1">
      <alignment horizontal="center" vertical="center"/>
    </xf>
    <xf numFmtId="2" fontId="125" fillId="0" borderId="63" xfId="232" applyNumberFormat="1" applyFont="1" applyFill="1" applyBorder="1" applyAlignment="1">
      <alignment horizontal="center" vertical="center"/>
    </xf>
    <xf numFmtId="1" fontId="125" fillId="0" borderId="63" xfId="232" applyNumberFormat="1" applyFont="1" applyFill="1" applyBorder="1" applyAlignment="1">
      <alignment horizontal="center" vertical="center"/>
    </xf>
    <xf numFmtId="2" fontId="132" fillId="0" borderId="63" xfId="232" applyNumberFormat="1" applyFont="1" applyFill="1" applyBorder="1" applyAlignment="1">
      <alignment horizontal="center" vertical="center"/>
    </xf>
    <xf numFmtId="0" fontId="125" fillId="0" borderId="16" xfId="138" applyFont="1" applyBorder="1"/>
    <xf numFmtId="0" fontId="125" fillId="0" borderId="18" xfId="138" applyFont="1" applyBorder="1"/>
    <xf numFmtId="0" fontId="124" fillId="0" borderId="0" xfId="205" applyFont="1" applyAlignment="1">
      <alignment vertical="top" wrapText="1"/>
    </xf>
    <xf numFmtId="0" fontId="141" fillId="0" borderId="0" xfId="0" applyFont="1" applyBorder="1" applyAlignment="1">
      <alignment vertical="center"/>
    </xf>
    <xf numFmtId="0" fontId="141" fillId="0" borderId="0" xfId="0" applyFont="1" applyBorder="1" applyAlignment="1"/>
    <xf numFmtId="0" fontId="141" fillId="0" borderId="0" xfId="0" applyFont="1" applyBorder="1">
      <alignment vertical="center"/>
    </xf>
    <xf numFmtId="0" fontId="141" fillId="0" borderId="0" xfId="0" applyFont="1" applyAlignment="1">
      <alignment horizontal="center" vertical="center"/>
    </xf>
    <xf numFmtId="0" fontId="112" fillId="0" borderId="0" xfId="0" applyFont="1" applyAlignment="1">
      <alignment vertical="center" wrapText="1" shrinkToFit="1" readingOrder="1"/>
    </xf>
    <xf numFmtId="0" fontId="141" fillId="0" borderId="0" xfId="0" applyFont="1">
      <alignment vertical="center"/>
    </xf>
    <xf numFmtId="2" fontId="141" fillId="0" borderId="0" xfId="0" applyNumberFormat="1" applyFont="1" applyAlignment="1">
      <alignment horizontal="center" vertical="center"/>
    </xf>
    <xf numFmtId="2" fontId="141" fillId="0" borderId="0" xfId="0" applyNumberFormat="1" applyFont="1" applyAlignment="1">
      <alignment horizontal="center"/>
    </xf>
    <xf numFmtId="0" fontId="141" fillId="0" borderId="0" xfId="0" applyFont="1" applyAlignment="1">
      <alignment horizontal="center"/>
    </xf>
    <xf numFmtId="0" fontId="142" fillId="0" borderId="0" xfId="0" applyFont="1" applyAlignment="1"/>
    <xf numFmtId="0" fontId="141" fillId="0" borderId="0" xfId="0" applyFont="1" applyAlignment="1"/>
    <xf numFmtId="49" fontId="141" fillId="0" borderId="0" xfId="0" applyNumberFormat="1" applyFont="1" applyAlignment="1">
      <alignment horizontal="center" vertical="top" wrapText="1"/>
    </xf>
    <xf numFmtId="0" fontId="141" fillId="0" borderId="0" xfId="0" applyFont="1" applyBorder="1" applyAlignment="1">
      <alignment vertical="top" wrapText="1"/>
    </xf>
    <xf numFmtId="1" fontId="118" fillId="0" borderId="17" xfId="182" applyNumberFormat="1" applyFont="1" applyFill="1" applyBorder="1" applyAlignment="1">
      <alignment horizontal="center" vertical="top" wrapText="1"/>
    </xf>
    <xf numFmtId="2" fontId="118" fillId="0" borderId="17" xfId="182" applyNumberFormat="1" applyFont="1" applyFill="1" applyBorder="1" applyAlignment="1">
      <alignment horizontal="center" vertical="top" wrapText="1"/>
    </xf>
    <xf numFmtId="2" fontId="113" fillId="0" borderId="0" xfId="0" applyNumberFormat="1" applyFont="1" applyFill="1" applyBorder="1" applyAlignment="1">
      <alignment vertical="top" wrapText="1"/>
    </xf>
    <xf numFmtId="0" fontId="112" fillId="0" borderId="0" xfId="138" applyFont="1" applyFill="1" applyAlignment="1">
      <alignment horizontal="left" vertical="top"/>
    </xf>
    <xf numFmtId="0" fontId="141" fillId="0" borderId="0" xfId="0" applyFont="1" applyAlignment="1">
      <alignment horizontal="left" vertical="top"/>
    </xf>
    <xf numFmtId="0" fontId="28" fillId="0" borderId="17" xfId="182" applyFont="1" applyFill="1" applyBorder="1" applyAlignment="1">
      <alignment horizontal="center" vertical="top" wrapText="1"/>
    </xf>
    <xf numFmtId="2" fontId="28" fillId="0" borderId="17" xfId="138" applyNumberFormat="1" applyFont="1" applyFill="1" applyBorder="1" applyAlignment="1">
      <alignment horizontal="left" vertical="top" wrapText="1"/>
    </xf>
    <xf numFmtId="2" fontId="40" fillId="0" borderId="17" xfId="138" applyNumberFormat="1" applyFont="1" applyFill="1" applyBorder="1" applyAlignment="1">
      <alignment horizontal="left" vertical="top" wrapText="1"/>
    </xf>
    <xf numFmtId="0" fontId="28" fillId="0" borderId="17" xfId="138" applyFont="1" applyFill="1" applyBorder="1" applyAlignment="1">
      <alignment horizontal="left" vertical="top" wrapText="1"/>
    </xf>
    <xf numFmtId="0" fontId="40" fillId="0" borderId="17" xfId="182" applyFont="1" applyFill="1" applyBorder="1" applyAlignment="1">
      <alignment horizontal="center" vertical="top" wrapText="1"/>
    </xf>
    <xf numFmtId="2" fontId="28" fillId="0" borderId="17" xfId="182" applyNumberFormat="1" applyFont="1" applyFill="1" applyBorder="1" applyAlignment="1">
      <alignment horizontal="right" vertical="top" wrapText="1"/>
    </xf>
    <xf numFmtId="2" fontId="28" fillId="0" borderId="17" xfId="171" applyNumberFormat="1" applyFont="1" applyFill="1" applyBorder="1" applyAlignment="1">
      <alignment horizontal="left" vertical="top" wrapText="1"/>
    </xf>
    <xf numFmtId="2" fontId="40" fillId="0" borderId="17" xfId="138" applyNumberFormat="1" applyFont="1" applyFill="1" applyBorder="1" applyAlignment="1">
      <alignment horizontal="right" vertical="top" wrapText="1"/>
    </xf>
    <xf numFmtId="0" fontId="28" fillId="0" borderId="17" xfId="180" applyFont="1" applyFill="1" applyBorder="1" applyAlignment="1">
      <alignment horizontal="center" vertical="top" wrapText="1"/>
    </xf>
    <xf numFmtId="171" fontId="112" fillId="0" borderId="17" xfId="0" applyNumberFormat="1" applyFont="1" applyFill="1" applyBorder="1" applyAlignment="1">
      <alignment horizontal="center" wrapText="1"/>
    </xf>
    <xf numFmtId="0" fontId="38" fillId="0" borderId="0" xfId="0" applyFont="1" applyBorder="1" applyAlignment="1">
      <alignment vertical="top" wrapText="1"/>
    </xf>
    <xf numFmtId="0" fontId="86" fillId="0" borderId="0" xfId="0" applyFont="1" applyBorder="1" applyAlignment="1">
      <alignment vertical="center"/>
    </xf>
    <xf numFmtId="0" fontId="86" fillId="0" borderId="0" xfId="0" applyFont="1" applyFill="1" applyBorder="1" applyAlignment="1">
      <alignment vertical="center"/>
    </xf>
    <xf numFmtId="0" fontId="38" fillId="0" borderId="0" xfId="0" applyFont="1" applyBorder="1" applyAlignment="1">
      <alignment vertical="center"/>
    </xf>
    <xf numFmtId="0" fontId="145" fillId="0" borderId="0" xfId="0" applyFont="1" applyAlignment="1"/>
    <xf numFmtId="0" fontId="145" fillId="0" borderId="0" xfId="0" applyFont="1" applyAlignment="1">
      <alignment vertical="center"/>
    </xf>
    <xf numFmtId="0" fontId="145" fillId="0" borderId="0" xfId="0" applyFont="1" applyAlignment="1">
      <alignment vertical="top"/>
    </xf>
    <xf numFmtId="0" fontId="145" fillId="0" borderId="0" xfId="0" applyFont="1" applyAlignment="1">
      <alignment horizontal="center"/>
    </xf>
    <xf numFmtId="0" fontId="125" fillId="0" borderId="0" xfId="134" applyFont="1" applyBorder="1" applyAlignment="1">
      <alignment horizontal="justify" vertical="top" wrapText="1"/>
    </xf>
    <xf numFmtId="0" fontId="145" fillId="0" borderId="0" xfId="0" applyFont="1" applyAlignment="1">
      <alignment horizontal="center" vertical="top"/>
    </xf>
    <xf numFmtId="49" fontId="1" fillId="0" borderId="0" xfId="204" applyNumberFormat="1" applyFont="1" applyAlignment="1">
      <alignment horizontal="left" vertical="center" wrapText="1"/>
    </xf>
    <xf numFmtId="0" fontId="132" fillId="0" borderId="8" xfId="134" applyFont="1" applyBorder="1" applyAlignment="1">
      <alignment horizontal="center" vertical="top" wrapText="1"/>
    </xf>
    <xf numFmtId="0" fontId="132" fillId="0" borderId="8" xfId="134" applyFont="1" applyBorder="1" applyAlignment="1">
      <alignment horizontal="center" vertical="center" wrapText="1"/>
    </xf>
    <xf numFmtId="165" fontId="132" fillId="0" borderId="8" xfId="134" applyNumberFormat="1" applyFont="1" applyBorder="1" applyAlignment="1">
      <alignment horizontal="center" vertical="center" wrapText="1"/>
    </xf>
    <xf numFmtId="0" fontId="114" fillId="0" borderId="28" xfId="134" applyFont="1" applyFill="1" applyBorder="1" applyAlignment="1">
      <alignment horizontal="center" vertical="top" wrapText="1"/>
    </xf>
    <xf numFmtId="0" fontId="132" fillId="0" borderId="17" xfId="134" applyFont="1" applyBorder="1" applyAlignment="1">
      <alignment horizontal="center" vertical="top" wrapText="1"/>
    </xf>
    <xf numFmtId="0" fontId="125" fillId="0" borderId="17" xfId="134" applyFont="1" applyBorder="1"/>
    <xf numFmtId="0" fontId="125" fillId="0" borderId="17" xfId="134" applyNumberFormat="1" applyFont="1" applyBorder="1" applyAlignment="1">
      <alignment horizontal="justify" vertical="top" wrapText="1"/>
    </xf>
    <xf numFmtId="0" fontId="125" fillId="0" borderId="17" xfId="134" applyFont="1" applyBorder="1" applyAlignment="1">
      <alignment horizontal="center" vertical="top" wrapText="1"/>
    </xf>
    <xf numFmtId="0" fontId="132" fillId="0" borderId="17" xfId="134" applyNumberFormat="1" applyFont="1" applyBorder="1" applyAlignment="1">
      <alignment horizontal="justify" vertical="top" wrapText="1"/>
    </xf>
    <xf numFmtId="4" fontId="125" fillId="0" borderId="17" xfId="134" applyNumberFormat="1" applyFont="1" applyBorder="1" applyAlignment="1">
      <alignment horizontal="center" vertical="top" wrapText="1"/>
    </xf>
    <xf numFmtId="2" fontId="125" fillId="0" borderId="17" xfId="134" applyNumberFormat="1" applyFont="1" applyBorder="1"/>
    <xf numFmtId="0" fontId="125" fillId="0" borderId="17" xfId="134" quotePrefix="1" applyFont="1" applyBorder="1" applyAlignment="1">
      <alignment horizontal="justify" vertical="top" wrapText="1"/>
    </xf>
    <xf numFmtId="2" fontId="125" fillId="0" borderId="17" xfId="134" applyNumberFormat="1" applyFont="1" applyFill="1" applyBorder="1"/>
    <xf numFmtId="0" fontId="132" fillId="0" borderId="17" xfId="134" applyFont="1" applyBorder="1" applyAlignment="1">
      <alignment horizontal="center" vertical="top"/>
    </xf>
    <xf numFmtId="0" fontId="132" fillId="0" borderId="17" xfId="134" applyFont="1" applyFill="1" applyBorder="1" applyAlignment="1">
      <alignment horizontal="center" vertical="top" wrapText="1"/>
    </xf>
    <xf numFmtId="0" fontId="132" fillId="0" borderId="17" xfId="134" applyFont="1" applyFill="1" applyBorder="1" applyAlignment="1">
      <alignment horizontal="justify" vertical="top" wrapText="1"/>
    </xf>
    <xf numFmtId="0" fontId="125" fillId="0" borderId="17" xfId="134" applyFont="1" applyFill="1" applyBorder="1"/>
    <xf numFmtId="0" fontId="125" fillId="0" borderId="17" xfId="134" applyFont="1" applyBorder="1" applyAlignment="1">
      <alignment horizontal="right" vertical="top" wrapText="1"/>
    </xf>
    <xf numFmtId="0" fontId="125" fillId="0" borderId="17" xfId="134" applyFont="1" applyFill="1" applyBorder="1" applyAlignment="1">
      <alignment horizontal="center" vertical="top" wrapText="1"/>
    </xf>
    <xf numFmtId="0" fontId="125" fillId="0" borderId="17" xfId="134" applyFont="1" applyBorder="1" applyAlignment="1">
      <alignment horizontal="center" vertical="center" wrapText="1"/>
    </xf>
    <xf numFmtId="2" fontId="125" fillId="0" borderId="17" xfId="134" applyNumberFormat="1" applyFont="1" applyBorder="1" applyAlignment="1">
      <alignment vertical="center"/>
    </xf>
    <xf numFmtId="0" fontId="136" fillId="0" borderId="17" xfId="134" applyFont="1" applyBorder="1" applyAlignment="1">
      <alignment horizontal="center" vertical="top" wrapText="1"/>
    </xf>
    <xf numFmtId="0" fontId="137" fillId="0" borderId="17" xfId="134" applyFont="1" applyBorder="1"/>
    <xf numFmtId="0" fontId="137" fillId="0" borderId="17" xfId="134" applyNumberFormat="1" applyFont="1" applyBorder="1" applyAlignment="1">
      <alignment horizontal="justify" vertical="top" wrapText="1"/>
    </xf>
    <xf numFmtId="0" fontId="138" fillId="0" borderId="17" xfId="134" applyFont="1" applyBorder="1" applyAlignment="1">
      <alignment horizontal="center" vertical="top" wrapText="1"/>
    </xf>
    <xf numFmtId="0" fontId="139" fillId="0" borderId="17" xfId="134" applyNumberFormat="1" applyFont="1" applyBorder="1" applyAlignment="1">
      <alignment horizontal="justify" vertical="top" wrapText="1"/>
    </xf>
    <xf numFmtId="0" fontId="137" fillId="0" borderId="17" xfId="134" applyFont="1" applyBorder="1" applyAlignment="1">
      <alignment horizontal="justify" vertical="top" wrapText="1"/>
    </xf>
    <xf numFmtId="2" fontId="138" fillId="0" borderId="17" xfId="134" applyNumberFormat="1" applyFont="1" applyBorder="1" applyAlignment="1">
      <alignment horizontal="center" vertical="top" wrapText="1"/>
    </xf>
    <xf numFmtId="2" fontId="137" fillId="0" borderId="17" xfId="134" applyNumberFormat="1" applyFont="1" applyBorder="1"/>
    <xf numFmtId="0" fontId="139" fillId="0" borderId="17" xfId="134" applyFont="1" applyBorder="1" applyAlignment="1">
      <alignment horizontal="justify" vertical="top" wrapText="1"/>
    </xf>
    <xf numFmtId="4" fontId="138" fillId="0" borderId="17" xfId="134" applyNumberFormat="1" applyFont="1" applyBorder="1" applyAlignment="1">
      <alignment horizontal="center" vertical="top" wrapText="1"/>
    </xf>
    <xf numFmtId="1" fontId="138" fillId="0" borderId="17" xfId="134" applyNumberFormat="1" applyFont="1" applyBorder="1" applyAlignment="1">
      <alignment horizontal="center" vertical="top" wrapText="1"/>
    </xf>
    <xf numFmtId="0" fontId="136" fillId="0" borderId="17" xfId="134" applyFont="1" applyFill="1" applyBorder="1" applyAlignment="1">
      <alignment horizontal="center" vertical="top" wrapText="1"/>
    </xf>
    <xf numFmtId="0" fontId="139" fillId="0" borderId="17" xfId="134" applyFont="1" applyFill="1" applyBorder="1" applyAlignment="1">
      <alignment horizontal="justify" vertical="top" wrapText="1"/>
    </xf>
    <xf numFmtId="0" fontId="138" fillId="0" borderId="17" xfId="134" applyFont="1" applyFill="1" applyBorder="1" applyAlignment="1">
      <alignment horizontal="center" vertical="top" wrapText="1"/>
    </xf>
    <xf numFmtId="0" fontId="137" fillId="0" borderId="17" xfId="134" applyFont="1" applyFill="1" applyBorder="1"/>
    <xf numFmtId="0" fontId="138" fillId="0" borderId="17" xfId="134" applyFont="1" applyBorder="1" applyAlignment="1">
      <alignment horizontal="center" vertical="center" wrapText="1"/>
    </xf>
    <xf numFmtId="2" fontId="137" fillId="0" borderId="17" xfId="134" applyNumberFormat="1" applyFont="1" applyBorder="1" applyAlignment="1">
      <alignment vertical="center"/>
    </xf>
    <xf numFmtId="0" fontId="138" fillId="0" borderId="17" xfId="134" applyFont="1" applyBorder="1" applyAlignment="1">
      <alignment horizontal="justify" vertical="top" wrapText="1"/>
    </xf>
    <xf numFmtId="0" fontId="133" fillId="0" borderId="17" xfId="134" applyFont="1" applyFill="1" applyBorder="1" applyAlignment="1">
      <alignment horizontal="justify" vertical="top" wrapText="1"/>
    </xf>
    <xf numFmtId="2" fontId="125" fillId="0" borderId="17" xfId="134" applyNumberFormat="1" applyFont="1" applyBorder="1" applyAlignment="1">
      <alignment vertical="top"/>
    </xf>
    <xf numFmtId="0" fontId="132" fillId="0" borderId="17" xfId="134" applyNumberFormat="1" applyFont="1" applyFill="1" applyBorder="1" applyAlignment="1">
      <alignment horizontal="justify" vertical="top" wrapText="1"/>
    </xf>
    <xf numFmtId="2" fontId="125" fillId="0" borderId="17" xfId="134" applyNumberFormat="1" applyFont="1" applyBorder="1" applyAlignment="1">
      <alignment horizontal="center" vertical="top" wrapText="1"/>
    </xf>
    <xf numFmtId="9" fontId="125" fillId="0" borderId="17" xfId="268" applyFont="1" applyBorder="1" applyAlignment="1">
      <alignment horizontal="center" vertical="top" wrapText="1"/>
    </xf>
    <xf numFmtId="0" fontId="137" fillId="0" borderId="17" xfId="134" applyFont="1" applyFill="1" applyBorder="1" applyAlignment="1">
      <alignment horizontal="justify" vertical="top" wrapText="1"/>
    </xf>
    <xf numFmtId="0" fontId="139" fillId="0" borderId="17" xfId="134" applyNumberFormat="1" applyFont="1" applyFill="1" applyBorder="1" applyAlignment="1">
      <alignment horizontal="justify" vertical="top" wrapText="1"/>
    </xf>
    <xf numFmtId="2" fontId="132" fillId="0" borderId="17" xfId="134" applyNumberFormat="1" applyFont="1" applyBorder="1"/>
    <xf numFmtId="0" fontId="125" fillId="0" borderId="17" xfId="134" applyFont="1" applyFill="1" applyBorder="1" applyAlignment="1">
      <alignment horizontal="justify" vertical="top" wrapText="1"/>
    </xf>
    <xf numFmtId="167" fontId="112" fillId="0" borderId="17" xfId="134" applyNumberFormat="1" applyFont="1" applyFill="1" applyBorder="1" applyAlignment="1">
      <alignment horizontal="center" vertical="top" wrapText="1"/>
    </xf>
    <xf numFmtId="165" fontId="113" fillId="0" borderId="17" xfId="134" applyNumberFormat="1" applyFont="1" applyFill="1" applyBorder="1" applyAlignment="1">
      <alignment horizontal="center" wrapText="1"/>
    </xf>
    <xf numFmtId="9" fontId="125" fillId="0" borderId="17" xfId="134" applyNumberFormat="1" applyFont="1" applyBorder="1" applyAlignment="1">
      <alignment horizontal="center" vertical="top" wrapText="1"/>
    </xf>
    <xf numFmtId="0" fontId="125" fillId="0" borderId="0" xfId="138" applyFont="1" applyAlignment="1">
      <alignment wrapText="1"/>
    </xf>
    <xf numFmtId="0" fontId="125" fillId="0" borderId="0" xfId="138" applyFont="1" applyAlignment="1"/>
    <xf numFmtId="0" fontId="125" fillId="0" borderId="62" xfId="232" applyFont="1" applyFill="1" applyBorder="1" applyAlignment="1">
      <alignment horizontal="center" vertical="top" wrapText="1"/>
    </xf>
    <xf numFmtId="0" fontId="125" fillId="0" borderId="17" xfId="232" applyFont="1" applyFill="1" applyBorder="1" applyAlignment="1">
      <alignment horizontal="center" vertical="top"/>
    </xf>
    <xf numFmtId="0" fontId="125" fillId="0" borderId="17" xfId="232" applyFont="1" applyFill="1" applyBorder="1" applyAlignment="1">
      <alignment horizontal="center" vertical="top" wrapText="1"/>
    </xf>
    <xf numFmtId="0" fontId="125" fillId="0" borderId="63" xfId="232" applyFont="1" applyFill="1" applyBorder="1" applyAlignment="1">
      <alignment horizontal="center" vertical="top"/>
    </xf>
    <xf numFmtId="0" fontId="118" fillId="0" borderId="17" xfId="232" applyFont="1" applyFill="1" applyBorder="1" applyAlignment="1">
      <alignment horizontal="center" vertical="top" wrapText="1"/>
    </xf>
    <xf numFmtId="0" fontId="118" fillId="0" borderId="17" xfId="232" applyFont="1" applyFill="1" applyBorder="1" applyAlignment="1">
      <alignment horizontal="center" vertical="top"/>
    </xf>
    <xf numFmtId="0" fontId="28" fillId="0" borderId="0" xfId="138" applyFont="1" applyAlignment="1">
      <alignment vertical="center" wrapText="1"/>
    </xf>
    <xf numFmtId="0" fontId="44" fillId="0" borderId="62" xfId="157" applyFont="1" applyFill="1" applyBorder="1" applyAlignment="1">
      <alignment horizontal="center" vertical="top"/>
    </xf>
    <xf numFmtId="0" fontId="30" fillId="0" borderId="62" xfId="138" applyFont="1" applyBorder="1" applyAlignment="1">
      <alignment horizontal="center" vertical="center" wrapText="1"/>
    </xf>
    <xf numFmtId="0" fontId="44" fillId="0" borderId="0" xfId="157" applyFont="1" applyFill="1" applyBorder="1" applyAlignment="1">
      <alignment vertical="top"/>
    </xf>
    <xf numFmtId="0" fontId="30" fillId="0" borderId="17" xfId="138" applyFont="1" applyBorder="1" applyAlignment="1">
      <alignment horizontal="center" vertical="center" wrapText="1"/>
    </xf>
    <xf numFmtId="2" fontId="30" fillId="0" borderId="17" xfId="157" applyNumberFormat="1" applyFont="1" applyFill="1" applyBorder="1" applyAlignment="1">
      <alignment horizontal="right" vertical="top"/>
    </xf>
    <xf numFmtId="2" fontId="30" fillId="0" borderId="17" xfId="157" applyNumberFormat="1" applyFont="1" applyFill="1" applyBorder="1" applyAlignment="1">
      <alignment vertical="top"/>
    </xf>
    <xf numFmtId="2" fontId="44" fillId="0" borderId="17" xfId="157" applyNumberFormat="1" applyFont="1" applyFill="1" applyBorder="1" applyAlignment="1">
      <alignment horizontal="center" vertical="top"/>
    </xf>
    <xf numFmtId="0" fontId="44" fillId="0" borderId="17" xfId="138" applyFont="1" applyBorder="1" applyAlignment="1">
      <alignment vertical="top" wrapText="1"/>
    </xf>
    <xf numFmtId="0" fontId="44" fillId="0" borderId="17" xfId="157" applyFont="1" applyFill="1" applyBorder="1" applyAlignment="1">
      <alignment horizontal="center" vertical="top"/>
    </xf>
    <xf numFmtId="2" fontId="44" fillId="0" borderId="17" xfId="157" applyNumberFormat="1" applyFont="1" applyFill="1" applyBorder="1" applyAlignment="1">
      <alignment vertical="top"/>
    </xf>
    <xf numFmtId="0" fontId="44" fillId="0" borderId="17" xfId="157" applyFont="1" applyFill="1" applyBorder="1" applyAlignment="1">
      <alignment vertical="top"/>
    </xf>
    <xf numFmtId="0" fontId="44" fillId="0" borderId="17" xfId="175" applyFont="1" applyFill="1" applyBorder="1" applyAlignment="1">
      <alignment horizontal="center" vertical="top" wrapText="1"/>
    </xf>
    <xf numFmtId="2" fontId="30" fillId="0" borderId="17" xfId="175" applyNumberFormat="1" applyFont="1" applyFill="1" applyBorder="1" applyAlignment="1">
      <alignment horizontal="right" vertical="top" wrapText="1"/>
    </xf>
    <xf numFmtId="0" fontId="30" fillId="0" borderId="17" xfId="175" applyFont="1" applyFill="1" applyBorder="1" applyAlignment="1">
      <alignment vertical="top"/>
    </xf>
    <xf numFmtId="2" fontId="44" fillId="0" borderId="17" xfId="175" applyNumberFormat="1" applyFont="1" applyFill="1" applyBorder="1" applyAlignment="1">
      <alignment horizontal="center" vertical="top" wrapText="1"/>
    </xf>
    <xf numFmtId="2" fontId="44" fillId="0" borderId="17" xfId="235" applyNumberFormat="1" applyFont="1" applyFill="1" applyBorder="1" applyAlignment="1">
      <alignment vertical="top"/>
    </xf>
    <xf numFmtId="2" fontId="44" fillId="0" borderId="17" xfId="175" applyNumberFormat="1" applyFont="1" applyFill="1" applyBorder="1" applyAlignment="1">
      <alignment horizontal="right" vertical="top" wrapText="1"/>
    </xf>
    <xf numFmtId="0" fontId="44" fillId="0" borderId="17" xfId="175" applyFont="1" applyFill="1" applyBorder="1" applyAlignment="1">
      <alignment vertical="top"/>
    </xf>
    <xf numFmtId="0" fontId="44" fillId="0" borderId="17" xfId="157" applyFont="1" applyBorder="1" applyAlignment="1">
      <alignment horizontal="center" vertical="top" wrapText="1"/>
    </xf>
    <xf numFmtId="0" fontId="44" fillId="0" borderId="0" xfId="157" applyFont="1" applyBorder="1" applyAlignment="1">
      <alignment vertical="top"/>
    </xf>
    <xf numFmtId="0" fontId="44" fillId="0" borderId="17" xfId="205" applyFont="1" applyBorder="1" applyAlignment="1">
      <alignment horizontal="center" vertical="top" wrapText="1"/>
    </xf>
    <xf numFmtId="0" fontId="44" fillId="0" borderId="17" xfId="205" applyFont="1" applyBorder="1" applyAlignment="1">
      <alignment vertical="top" wrapText="1"/>
    </xf>
    <xf numFmtId="2" fontId="44" fillId="0" borderId="17" xfId="205" applyNumberFormat="1" applyFont="1" applyBorder="1" applyAlignment="1">
      <alignment horizontal="center" vertical="top" wrapText="1"/>
    </xf>
    <xf numFmtId="0" fontId="28" fillId="0" borderId="16" xfId="138" applyFont="1" applyFill="1" applyBorder="1" applyAlignment="1">
      <alignment horizontal="center" vertical="top" wrapText="1"/>
    </xf>
    <xf numFmtId="0" fontId="28" fillId="0" borderId="16" xfId="138" applyFont="1" applyFill="1" applyBorder="1" applyAlignment="1">
      <alignment horizontal="left" vertical="top" wrapText="1"/>
    </xf>
    <xf numFmtId="0" fontId="28" fillId="0" borderId="16" xfId="138" applyFont="1" applyFill="1" applyBorder="1" applyAlignment="1">
      <alignment horizontal="center" vertical="top" shrinkToFit="1"/>
    </xf>
    <xf numFmtId="2" fontId="28" fillId="0" borderId="16" xfId="138" applyNumberFormat="1" applyFont="1" applyFill="1" applyBorder="1" applyAlignment="1">
      <alignment vertical="top" shrinkToFit="1"/>
    </xf>
    <xf numFmtId="0" fontId="28" fillId="0" borderId="17" xfId="138" applyFont="1" applyFill="1" applyBorder="1" applyAlignment="1">
      <alignment horizontal="center" vertical="top" wrapText="1"/>
    </xf>
    <xf numFmtId="0" fontId="28" fillId="0" borderId="17" xfId="138" applyFont="1" applyFill="1" applyBorder="1" applyAlignment="1">
      <alignment vertical="top" wrapText="1"/>
    </xf>
    <xf numFmtId="1" fontId="28" fillId="0" borderId="17" xfId="182" applyNumberFormat="1" applyFont="1" applyFill="1" applyBorder="1" applyAlignment="1">
      <alignment horizontal="center" vertical="top" wrapText="1"/>
    </xf>
    <xf numFmtId="164" fontId="28" fillId="0" borderId="17" xfId="182" applyNumberFormat="1" applyFont="1" applyFill="1" applyBorder="1" applyAlignment="1">
      <alignment horizontal="center" vertical="top" wrapText="1"/>
    </xf>
    <xf numFmtId="0" fontId="28" fillId="0" borderId="17" xfId="138" applyFont="1" applyFill="1" applyBorder="1" applyAlignment="1">
      <alignment horizontal="center" vertical="top" shrinkToFit="1"/>
    </xf>
    <xf numFmtId="2" fontId="28" fillId="0" borderId="17" xfId="138" applyNumberFormat="1" applyFont="1" applyFill="1" applyBorder="1" applyAlignment="1">
      <alignment horizontal="right" vertical="top" wrapText="1"/>
    </xf>
    <xf numFmtId="0" fontId="40" fillId="0" borderId="17" xfId="138" applyFont="1" applyFill="1" applyBorder="1" applyAlignment="1">
      <alignment vertical="top" shrinkToFit="1"/>
    </xf>
    <xf numFmtId="0" fontId="28" fillId="0" borderId="17" xfId="182" applyFont="1" applyFill="1" applyBorder="1" applyAlignment="1">
      <alignment horizontal="justify" vertical="top" wrapText="1"/>
    </xf>
    <xf numFmtId="0" fontId="40" fillId="0" borderId="17" xfId="182" applyFont="1" applyFill="1" applyBorder="1" applyAlignment="1">
      <alignment horizontal="justify" vertical="top" wrapText="1"/>
    </xf>
    <xf numFmtId="2" fontId="28" fillId="0" borderId="17" xfId="182" applyNumberFormat="1" applyFont="1" applyFill="1" applyBorder="1" applyAlignment="1">
      <alignment horizontal="center" vertical="top" wrapText="1"/>
    </xf>
    <xf numFmtId="2" fontId="28" fillId="0" borderId="17" xfId="138" applyNumberFormat="1" applyFont="1" applyFill="1" applyBorder="1" applyAlignment="1">
      <alignment horizontal="center" vertical="top" wrapText="1"/>
    </xf>
    <xf numFmtId="2" fontId="28" fillId="0" borderId="17" xfId="138" applyNumberFormat="1" applyFont="1" applyFill="1" applyBorder="1" applyAlignment="1">
      <alignment horizontal="center" vertical="top" shrinkToFit="1"/>
    </xf>
    <xf numFmtId="0" fontId="40" fillId="0" borderId="17" xfId="138" applyFont="1" applyFill="1" applyBorder="1" applyAlignment="1">
      <alignment vertical="top" wrapText="1"/>
    </xf>
    <xf numFmtId="0" fontId="40" fillId="0" borderId="17" xfId="138" applyFont="1" applyFill="1" applyBorder="1" applyAlignment="1">
      <alignment horizontal="justify" vertical="top" wrapText="1"/>
    </xf>
    <xf numFmtId="0" fontId="28" fillId="0" borderId="17" xfId="182" applyFont="1" applyFill="1" applyBorder="1" applyAlignment="1">
      <alignment vertical="top" wrapText="1"/>
    </xf>
    <xf numFmtId="2" fontId="40" fillId="0" borderId="17" xfId="182" applyNumberFormat="1" applyFont="1" applyFill="1" applyBorder="1" applyAlignment="1">
      <alignment horizontal="right" vertical="top" wrapText="1"/>
    </xf>
    <xf numFmtId="0" fontId="40" fillId="0" borderId="17" xfId="138" applyFont="1" applyFill="1" applyBorder="1" applyAlignment="1">
      <alignment horizontal="center" vertical="top" wrapText="1"/>
    </xf>
    <xf numFmtId="0" fontId="40" fillId="0" borderId="17" xfId="182" applyFont="1" applyFill="1" applyBorder="1" applyAlignment="1">
      <alignment vertical="top" wrapText="1"/>
    </xf>
    <xf numFmtId="2" fontId="40" fillId="0" borderId="17" xfId="138" applyNumberFormat="1" applyFont="1" applyFill="1" applyBorder="1" applyAlignment="1">
      <alignment horizontal="center" vertical="top" shrinkToFit="1"/>
    </xf>
    <xf numFmtId="173" fontId="28" fillId="0" borderId="17" xfId="182" applyNumberFormat="1" applyFont="1" applyFill="1" applyBorder="1" applyAlignment="1">
      <alignment horizontal="center" vertical="top" wrapText="1"/>
    </xf>
    <xf numFmtId="164" fontId="28" fillId="0" borderId="17" xfId="138" applyNumberFormat="1" applyFont="1" applyFill="1" applyBorder="1" applyAlignment="1">
      <alignment horizontal="center" vertical="top" wrapText="1"/>
    </xf>
    <xf numFmtId="0" fontId="28" fillId="0" borderId="17" xfId="171" applyFont="1" applyFill="1" applyBorder="1" applyAlignment="1">
      <alignment horizontal="left" vertical="top" wrapText="1"/>
    </xf>
    <xf numFmtId="0" fontId="28" fillId="0" borderId="17" xfId="171" applyFont="1" applyFill="1" applyBorder="1" applyAlignment="1">
      <alignment horizontal="center" vertical="top" wrapText="1"/>
    </xf>
    <xf numFmtId="2" fontId="28" fillId="0" borderId="17" xfId="180" applyNumberFormat="1" applyFont="1" applyFill="1" applyBorder="1" applyAlignment="1">
      <alignment horizontal="right" vertical="top" wrapText="1"/>
    </xf>
    <xf numFmtId="164" fontId="28" fillId="0" borderId="17" xfId="180" applyNumberFormat="1" applyFont="1" applyFill="1" applyBorder="1" applyAlignment="1">
      <alignment horizontal="center" vertical="top" wrapText="1"/>
    </xf>
    <xf numFmtId="1" fontId="28" fillId="0" borderId="17" xfId="180" applyNumberFormat="1" applyFont="1" applyFill="1" applyBorder="1" applyAlignment="1">
      <alignment horizontal="center" vertical="top" wrapText="1"/>
    </xf>
    <xf numFmtId="0" fontId="28" fillId="0" borderId="17" xfId="180" applyFont="1" applyFill="1" applyBorder="1" applyAlignment="1">
      <alignment vertical="top" wrapText="1"/>
    </xf>
    <xf numFmtId="0" fontId="112" fillId="0" borderId="17" xfId="0" applyFont="1" applyBorder="1" applyAlignment="1">
      <alignment wrapText="1"/>
    </xf>
    <xf numFmtId="49" fontId="1" fillId="0" borderId="8" xfId="0" applyNumberFormat="1" applyFont="1" applyBorder="1" applyAlignment="1">
      <alignment horizontal="left" vertical="center" wrapText="1"/>
    </xf>
    <xf numFmtId="165" fontId="112" fillId="0" borderId="17" xfId="0" applyNumberFormat="1" applyFont="1" applyBorder="1" applyAlignment="1">
      <alignment vertical="top" wrapText="1"/>
    </xf>
    <xf numFmtId="0" fontId="86" fillId="0" borderId="0" xfId="0" applyFont="1" applyBorder="1" applyAlignment="1">
      <alignment horizontal="center" vertical="center" wrapText="1"/>
    </xf>
    <xf numFmtId="0" fontId="79" fillId="0" borderId="0" xfId="0" applyFont="1" applyBorder="1" applyAlignment="1">
      <alignment horizontal="center" vertical="center" wrapText="1"/>
    </xf>
    <xf numFmtId="165" fontId="144" fillId="0" borderId="0" xfId="0" applyNumberFormat="1" applyFont="1" applyFill="1" applyBorder="1" applyAlignment="1">
      <alignment horizontal="justify" vertical="center" wrapText="1"/>
    </xf>
    <xf numFmtId="165" fontId="86" fillId="0" borderId="0" xfId="0" applyNumberFormat="1" applyFont="1" applyFill="1" applyBorder="1" applyAlignment="1">
      <alignment horizontal="justify" vertical="center" wrapText="1"/>
    </xf>
    <xf numFmtId="165" fontId="86" fillId="0" borderId="0" xfId="0" applyNumberFormat="1" applyFont="1" applyBorder="1" applyAlignment="1">
      <alignment horizontal="center" vertical="center" wrapText="1"/>
    </xf>
    <xf numFmtId="165" fontId="144" fillId="0" borderId="0" xfId="0" applyNumberFormat="1" applyFont="1" applyBorder="1" applyAlignment="1">
      <alignment horizontal="center" vertical="center" wrapText="1"/>
    </xf>
    <xf numFmtId="0" fontId="147" fillId="0" borderId="0" xfId="0" applyFont="1" applyBorder="1">
      <alignment vertical="center"/>
    </xf>
    <xf numFmtId="0" fontId="147" fillId="0" borderId="0" xfId="0" applyFont="1" applyBorder="1" applyAlignment="1">
      <alignment vertical="center"/>
    </xf>
    <xf numFmtId="0" fontId="147" fillId="0" borderId="17" xfId="0" applyFont="1" applyBorder="1" applyAlignment="1">
      <alignment horizontal="center" vertical="center"/>
    </xf>
    <xf numFmtId="0" fontId="147" fillId="0" borderId="17" xfId="0" applyFont="1" applyBorder="1" applyAlignment="1">
      <alignment vertical="center" wrapText="1" shrinkToFit="1" readingOrder="1"/>
    </xf>
    <xf numFmtId="0" fontId="147" fillId="0" borderId="17" xfId="0" applyFont="1" applyBorder="1">
      <alignment vertical="center"/>
    </xf>
    <xf numFmtId="2" fontId="147" fillId="0" borderId="17" xfId="0" applyNumberFormat="1" applyFont="1" applyBorder="1" applyAlignment="1">
      <alignment horizontal="center" vertical="center"/>
    </xf>
    <xf numFmtId="2" fontId="147" fillId="0" borderId="17" xfId="0" applyNumberFormat="1" applyFont="1" applyBorder="1" applyAlignment="1">
      <alignment horizontal="center"/>
    </xf>
    <xf numFmtId="2" fontId="148" fillId="0" borderId="17" xfId="0" applyNumberFormat="1" applyFont="1" applyBorder="1" applyAlignment="1">
      <alignment horizontal="right" vertical="center"/>
    </xf>
    <xf numFmtId="0" fontId="149" fillId="0" borderId="17" xfId="230" applyFont="1" applyBorder="1" applyAlignment="1">
      <alignment vertical="center" shrinkToFit="1"/>
    </xf>
    <xf numFmtId="2" fontId="124" fillId="0" borderId="17" xfId="230" applyNumberFormat="1" applyFont="1" applyBorder="1" applyAlignment="1">
      <alignment horizontal="center" vertical="center" shrinkToFit="1"/>
    </xf>
    <xf numFmtId="2" fontId="124" fillId="0" borderId="17" xfId="230" applyNumberFormat="1" applyFont="1" applyBorder="1" applyAlignment="1">
      <alignment horizontal="right" vertical="center" shrinkToFit="1"/>
    </xf>
    <xf numFmtId="49" fontId="147" fillId="0" borderId="17" xfId="0" applyNumberFormat="1" applyFont="1" applyBorder="1" applyAlignment="1">
      <alignment horizontal="left" vertical="center" wrapText="1"/>
    </xf>
    <xf numFmtId="0" fontId="147" fillId="0" borderId="16" xfId="0" applyFont="1" applyBorder="1" applyAlignment="1">
      <alignment horizontal="center" vertical="center"/>
    </xf>
    <xf numFmtId="0" fontId="147" fillId="0" borderId="16" xfId="0" applyFont="1" applyBorder="1" applyAlignment="1">
      <alignment vertical="center" wrapText="1" shrinkToFit="1" readingOrder="1"/>
    </xf>
    <xf numFmtId="0" fontId="147" fillId="0" borderId="16" xfId="0" applyFont="1" applyBorder="1">
      <alignment vertical="center"/>
    </xf>
    <xf numFmtId="2" fontId="147" fillId="0" borderId="16" xfId="0" applyNumberFormat="1" applyFont="1" applyBorder="1" applyAlignment="1">
      <alignment horizontal="center" vertical="center"/>
    </xf>
    <xf numFmtId="2" fontId="147" fillId="0" borderId="16" xfId="0" applyNumberFormat="1" applyFont="1" applyBorder="1" applyAlignment="1">
      <alignment horizontal="center"/>
    </xf>
    <xf numFmtId="2" fontId="148" fillId="0" borderId="16" xfId="0" applyNumberFormat="1" applyFont="1" applyBorder="1" applyAlignment="1">
      <alignment horizontal="right" vertical="center"/>
    </xf>
    <xf numFmtId="0" fontId="141" fillId="0" borderId="8" xfId="0" applyFont="1" applyBorder="1" applyAlignment="1">
      <alignment horizontal="center" vertical="center"/>
    </xf>
    <xf numFmtId="0" fontId="147" fillId="0" borderId="17" xfId="0" applyFont="1" applyBorder="1" applyAlignment="1">
      <alignment horizontal="center" vertical="top"/>
    </xf>
    <xf numFmtId="0" fontId="147" fillId="0" borderId="17" xfId="0" applyFont="1" applyBorder="1" applyAlignment="1">
      <alignment vertical="top"/>
    </xf>
    <xf numFmtId="2" fontId="147" fillId="0" borderId="17" xfId="0" applyNumberFormat="1" applyFont="1" applyBorder="1" applyAlignment="1">
      <alignment horizontal="center" vertical="top"/>
    </xf>
    <xf numFmtId="2" fontId="148" fillId="0" borderId="17" xfId="0" applyNumberFormat="1" applyFont="1" applyBorder="1" applyAlignment="1">
      <alignment horizontal="right" vertical="top"/>
    </xf>
    <xf numFmtId="49" fontId="112" fillId="0" borderId="17" xfId="0" applyNumberFormat="1" applyFont="1" applyBorder="1" applyAlignment="1">
      <alignment horizontal="left" vertical="top" wrapText="1"/>
    </xf>
    <xf numFmtId="0" fontId="112" fillId="0" borderId="0" xfId="0" applyFont="1" applyBorder="1" applyAlignment="1">
      <alignment vertical="top"/>
    </xf>
    <xf numFmtId="0" fontId="147" fillId="0" borderId="0" xfId="0" applyFont="1" applyAlignment="1">
      <alignment horizontal="center"/>
    </xf>
    <xf numFmtId="0" fontId="116" fillId="0" borderId="20" xfId="0" applyFont="1" applyBorder="1" applyAlignment="1">
      <alignment vertical="center"/>
    </xf>
    <xf numFmtId="0" fontId="118" fillId="0" borderId="20" xfId="0" applyFont="1" applyBorder="1" applyAlignment="1"/>
    <xf numFmtId="0" fontId="120" fillId="0" borderId="0" xfId="0" applyFont="1" applyBorder="1" applyAlignment="1">
      <alignment vertical="center"/>
    </xf>
    <xf numFmtId="0" fontId="121" fillId="0" borderId="0" xfId="0" applyFont="1" applyBorder="1" applyAlignment="1"/>
    <xf numFmtId="1" fontId="112" fillId="0" borderId="17" xfId="0" applyNumberFormat="1" applyFont="1" applyFill="1" applyBorder="1" applyAlignment="1">
      <alignment horizontal="center" vertical="center" wrapText="1"/>
    </xf>
    <xf numFmtId="1" fontId="112" fillId="0" borderId="17" xfId="0" applyNumberFormat="1" applyFont="1" applyFill="1" applyBorder="1" applyAlignment="1">
      <alignment horizontal="center" vertical="top" wrapText="1"/>
    </xf>
    <xf numFmtId="0" fontId="118" fillId="0" borderId="20" xfId="0" applyFont="1" applyBorder="1" applyAlignment="1">
      <alignment vertical="center"/>
    </xf>
    <xf numFmtId="0" fontId="118" fillId="0" borderId="20" xfId="0" applyFont="1" applyFill="1" applyBorder="1" applyAlignment="1">
      <alignment vertical="center"/>
    </xf>
    <xf numFmtId="0" fontId="121" fillId="0" borderId="0" xfId="0" applyFont="1" applyBorder="1" applyAlignment="1">
      <alignment vertical="center"/>
    </xf>
    <xf numFmtId="0" fontId="121" fillId="0" borderId="0" xfId="0" applyFont="1" applyFill="1" applyBorder="1" applyAlignment="1">
      <alignment vertical="center"/>
    </xf>
    <xf numFmtId="0" fontId="86" fillId="0" borderId="64" xfId="0" applyFont="1" applyBorder="1" applyAlignment="1">
      <alignment horizontal="center" vertical="center" wrapText="1"/>
    </xf>
    <xf numFmtId="0" fontId="86" fillId="0" borderId="64" xfId="0" applyFont="1" applyFill="1" applyBorder="1" applyAlignment="1">
      <alignment horizontal="center" vertical="center" wrapText="1"/>
    </xf>
    <xf numFmtId="0" fontId="38" fillId="0" borderId="64" xfId="0" applyFont="1" applyBorder="1" applyAlignment="1">
      <alignment horizontal="center" vertical="center" wrapText="1"/>
    </xf>
    <xf numFmtId="0" fontId="79" fillId="0" borderId="17" xfId="0" applyFont="1" applyBorder="1" applyAlignment="1">
      <alignment horizontal="center" vertical="top" wrapText="1"/>
    </xf>
    <xf numFmtId="0" fontId="38" fillId="0" borderId="17" xfId="0" applyFont="1" applyBorder="1" applyAlignment="1">
      <alignment vertical="top" wrapText="1"/>
    </xf>
    <xf numFmtId="0" fontId="79" fillId="0" borderId="17" xfId="0" applyFont="1" applyBorder="1" applyAlignment="1">
      <alignment horizontal="center" vertical="center" wrapText="1"/>
    </xf>
    <xf numFmtId="165" fontId="38" fillId="0" borderId="17" xfId="0" applyNumberFormat="1" applyFont="1" applyFill="1" applyBorder="1" applyAlignment="1">
      <alignment horizontal="justify" vertical="center" wrapText="1"/>
    </xf>
    <xf numFmtId="165" fontId="38" fillId="0" borderId="17" xfId="0" applyNumberFormat="1" applyFont="1" applyFill="1" applyBorder="1" applyAlignment="1">
      <alignment horizontal="center" vertical="center" wrapText="1"/>
    </xf>
    <xf numFmtId="164" fontId="38" fillId="0" borderId="17" xfId="0" applyNumberFormat="1" applyFont="1" applyBorder="1" applyAlignment="1">
      <alignment horizontal="center" vertical="center" wrapText="1" shrinkToFit="1"/>
    </xf>
    <xf numFmtId="165" fontId="38" fillId="0" borderId="17" xfId="0" applyNumberFormat="1" applyFont="1" applyBorder="1" applyAlignment="1">
      <alignment horizontal="center" vertical="center" wrapText="1"/>
    </xf>
    <xf numFmtId="0" fontId="86" fillId="0" borderId="17" xfId="0" applyFont="1" applyBorder="1" applyAlignment="1">
      <alignment vertical="center"/>
    </xf>
    <xf numFmtId="0" fontId="79" fillId="0" borderId="17" xfId="0" applyFont="1" applyFill="1" applyBorder="1" applyAlignment="1">
      <alignment horizontal="center" vertical="center" wrapText="1"/>
    </xf>
    <xf numFmtId="2" fontId="38" fillId="0" borderId="17" xfId="0" applyNumberFormat="1" applyFont="1" applyFill="1" applyBorder="1" applyAlignment="1">
      <alignment horizontal="center" vertical="center" wrapText="1" shrinkToFit="1"/>
    </xf>
    <xf numFmtId="0" fontId="86" fillId="0" borderId="17" xfId="0" applyFont="1" applyFill="1" applyBorder="1" applyAlignment="1">
      <alignment vertical="center"/>
    </xf>
    <xf numFmtId="165" fontId="79" fillId="0" borderId="17" xfId="0" applyNumberFormat="1" applyFont="1" applyBorder="1" applyAlignment="1">
      <alignment horizontal="justify" vertical="center" wrapText="1"/>
    </xf>
    <xf numFmtId="165" fontId="79" fillId="0" borderId="17" xfId="0" applyNumberFormat="1" applyFont="1" applyBorder="1" applyAlignment="1">
      <alignment horizontal="center" vertical="center" wrapText="1"/>
    </xf>
    <xf numFmtId="0" fontId="38" fillId="0" borderId="17" xfId="0" applyFont="1" applyBorder="1" applyAlignment="1">
      <alignment vertical="center"/>
    </xf>
    <xf numFmtId="165" fontId="144" fillId="0" borderId="17" xfId="0" applyNumberFormat="1" applyFont="1" applyFill="1" applyBorder="1" applyAlignment="1">
      <alignment horizontal="justify" vertical="center" wrapText="1"/>
    </xf>
    <xf numFmtId="165" fontId="86" fillId="0" borderId="17" xfId="0" applyNumberFormat="1" applyFont="1" applyFill="1" applyBorder="1" applyAlignment="1">
      <alignment horizontal="justify" vertical="center" wrapText="1"/>
    </xf>
    <xf numFmtId="165" fontId="86" fillId="0" borderId="17" xfId="0" applyNumberFormat="1" applyFont="1" applyBorder="1" applyAlignment="1">
      <alignment horizontal="center" vertical="center" wrapText="1"/>
    </xf>
    <xf numFmtId="165" fontId="144" fillId="0" borderId="17" xfId="0" applyNumberFormat="1" applyFont="1" applyBorder="1" applyAlignment="1">
      <alignment horizontal="center" vertical="center" wrapText="1"/>
    </xf>
    <xf numFmtId="165" fontId="114" fillId="0" borderId="17" xfId="0" applyNumberFormat="1" applyFont="1" applyFill="1" applyBorder="1" applyAlignment="1">
      <alignment horizontal="right"/>
    </xf>
    <xf numFmtId="2" fontId="112" fillId="0" borderId="17" xfId="0" applyNumberFormat="1" applyFont="1" applyFill="1" applyBorder="1" applyAlignment="1">
      <alignment horizontal="center" vertical="center"/>
    </xf>
    <xf numFmtId="0" fontId="28" fillId="40" borderId="8" xfId="178" applyFont="1" applyFill="1" applyBorder="1" applyAlignment="1">
      <alignment horizontal="justify" vertical="top" wrapText="1"/>
    </xf>
    <xf numFmtId="0" fontId="28" fillId="0" borderId="8" xfId="179" applyFont="1" applyBorder="1" applyAlignment="1">
      <alignment horizontal="justify" wrapText="1"/>
    </xf>
    <xf numFmtId="49" fontId="125" fillId="0" borderId="17" xfId="232" applyNumberFormat="1" applyFont="1" applyFill="1" applyBorder="1" applyAlignment="1">
      <alignment horizontal="center" vertical="top"/>
    </xf>
    <xf numFmtId="2" fontId="125" fillId="0" borderId="17" xfId="232" applyNumberFormat="1" applyFont="1" applyFill="1" applyBorder="1" applyAlignment="1">
      <alignment horizontal="center" vertical="top"/>
    </xf>
    <xf numFmtId="164" fontId="125" fillId="0" borderId="17" xfId="232" applyNumberFormat="1" applyFont="1" applyFill="1" applyBorder="1" applyAlignment="1">
      <alignment horizontal="center" vertical="top"/>
    </xf>
    <xf numFmtId="0" fontId="125" fillId="0" borderId="17" xfId="138" applyFont="1" applyBorder="1" applyAlignment="1">
      <alignment vertical="top"/>
    </xf>
    <xf numFmtId="0" fontId="125" fillId="0" borderId="0" xfId="138" applyFont="1" applyAlignment="1">
      <alignment vertical="top"/>
    </xf>
    <xf numFmtId="0" fontId="137" fillId="0" borderId="17" xfId="232" applyFont="1" applyFill="1" applyBorder="1" applyAlignment="1">
      <alignment horizontal="justify" vertical="top" wrapText="1"/>
    </xf>
    <xf numFmtId="49" fontId="125" fillId="0" borderId="17" xfId="232" applyNumberFormat="1" applyFont="1" applyFill="1" applyBorder="1" applyAlignment="1">
      <alignment vertical="center" wrapText="1"/>
    </xf>
    <xf numFmtId="2" fontId="44" fillId="40" borderId="17" xfId="157" applyNumberFormat="1" applyFont="1" applyFill="1" applyBorder="1" applyAlignment="1">
      <alignment horizontal="center" vertical="top"/>
    </xf>
    <xf numFmtId="165" fontId="86" fillId="0" borderId="18" xfId="0" applyNumberFormat="1" applyFont="1" applyBorder="1" applyAlignment="1">
      <alignment horizontal="center" vertical="center" wrapText="1"/>
    </xf>
    <xf numFmtId="165" fontId="86" fillId="0" borderId="18" xfId="0" applyNumberFormat="1" applyFont="1" applyFill="1" applyBorder="1" applyAlignment="1">
      <alignment horizontal="justify" vertical="center" wrapText="1"/>
    </xf>
    <xf numFmtId="165" fontId="144" fillId="0" borderId="18" xfId="0" applyNumberFormat="1" applyFont="1" applyFill="1" applyBorder="1" applyAlignment="1">
      <alignment horizontal="justify" vertical="center" wrapText="1"/>
    </xf>
    <xf numFmtId="0" fontId="79" fillId="0" borderId="18" xfId="0" applyFont="1" applyBorder="1" applyAlignment="1">
      <alignment horizontal="center" vertical="center" wrapText="1"/>
    </xf>
    <xf numFmtId="0" fontId="86" fillId="0" borderId="65" xfId="0" applyFont="1" applyBorder="1" applyAlignment="1">
      <alignment horizontal="center" vertical="center" wrapText="1"/>
    </xf>
    <xf numFmtId="165" fontId="144" fillId="0" borderId="18" xfId="0" applyNumberFormat="1" applyFont="1" applyBorder="1" applyAlignment="1">
      <alignment horizontal="center" vertical="center" wrapText="1"/>
    </xf>
    <xf numFmtId="0" fontId="86" fillId="0" borderId="18" xfId="0" applyFont="1" applyBorder="1" applyAlignment="1">
      <alignment vertical="center"/>
    </xf>
    <xf numFmtId="0" fontId="28" fillId="0" borderId="17" xfId="293" applyFont="1" applyFill="1" applyBorder="1" applyAlignment="1">
      <alignment horizontal="center" vertical="top" wrapText="1"/>
    </xf>
    <xf numFmtId="0" fontId="28" fillId="0" borderId="17" xfId="293" applyFont="1" applyFill="1" applyBorder="1" applyAlignment="1">
      <alignment vertical="top"/>
    </xf>
    <xf numFmtId="0" fontId="28" fillId="0" borderId="17" xfId="293" applyFont="1" applyFill="1" applyBorder="1" applyAlignment="1">
      <alignment horizontal="left" vertical="center" shrinkToFit="1"/>
    </xf>
    <xf numFmtId="0" fontId="28" fillId="0" borderId="17" xfId="293" applyFont="1" applyFill="1" applyBorder="1" applyAlignment="1">
      <alignment horizontal="center" vertical="center" wrapText="1"/>
    </xf>
    <xf numFmtId="0" fontId="28" fillId="0" borderId="17" xfId="293" applyFont="1" applyFill="1" applyBorder="1" applyAlignment="1">
      <alignment vertical="center"/>
    </xf>
    <xf numFmtId="0" fontId="40" fillId="0" borderId="17" xfId="293" applyFont="1" applyFill="1" applyBorder="1" applyAlignment="1">
      <alignment horizontal="justify" vertical="center" wrapText="1"/>
    </xf>
    <xf numFmtId="2" fontId="40" fillId="0" borderId="17" xfId="293" applyNumberFormat="1" applyFont="1" applyFill="1" applyBorder="1" applyAlignment="1">
      <alignment horizontal="right" vertical="center" wrapText="1"/>
    </xf>
    <xf numFmtId="0" fontId="28" fillId="0" borderId="17" xfId="293" applyFont="1" applyFill="1" applyBorder="1" applyAlignment="1">
      <alignment horizontal="justify" vertical="center" wrapText="1"/>
    </xf>
    <xf numFmtId="0" fontId="112" fillId="0" borderId="0" xfId="0" applyFont="1" applyFill="1" applyAlignment="1">
      <alignment vertical="center"/>
    </xf>
    <xf numFmtId="2" fontId="28" fillId="0" borderId="17" xfId="293" applyNumberFormat="1" applyFont="1" applyFill="1" applyBorder="1" applyAlignment="1">
      <alignment vertical="center"/>
    </xf>
    <xf numFmtId="1" fontId="28" fillId="0" borderId="17" xfId="293" applyNumberFormat="1" applyFont="1" applyFill="1" applyBorder="1" applyAlignment="1">
      <alignment vertical="center"/>
    </xf>
    <xf numFmtId="0" fontId="28" fillId="0" borderId="17" xfId="293" applyFont="1" applyFill="1" applyBorder="1" applyAlignment="1">
      <alignment horizontal="left" vertical="center" wrapText="1"/>
    </xf>
    <xf numFmtId="2" fontId="28" fillId="0" borderId="17" xfId="293" applyNumberFormat="1" applyFont="1" applyFill="1" applyBorder="1" applyAlignment="1">
      <alignment horizontal="right" vertical="center" shrinkToFit="1"/>
    </xf>
    <xf numFmtId="1" fontId="28" fillId="0" borderId="17" xfId="293" applyNumberFormat="1" applyFont="1" applyFill="1" applyBorder="1" applyAlignment="1">
      <alignment horizontal="right" vertical="center" shrinkToFit="1"/>
    </xf>
    <xf numFmtId="0" fontId="28" fillId="0" borderId="17" xfId="293" applyFont="1" applyFill="1" applyBorder="1" applyAlignment="1">
      <alignment horizontal="justify" vertical="center"/>
    </xf>
    <xf numFmtId="0" fontId="28" fillId="0" borderId="17" xfId="293" applyFont="1" applyFill="1" applyBorder="1" applyAlignment="1">
      <alignment horizontal="left" vertical="center"/>
    </xf>
    <xf numFmtId="0" fontId="40" fillId="0" borderId="17" xfId="293" applyFont="1" applyFill="1" applyBorder="1" applyAlignment="1">
      <alignment horizontal="left" vertical="center"/>
    </xf>
    <xf numFmtId="0" fontId="40" fillId="0" borderId="17" xfId="293" applyFont="1" applyFill="1" applyBorder="1" applyAlignment="1">
      <alignment vertical="center"/>
    </xf>
    <xf numFmtId="9" fontId="125" fillId="0" borderId="0" xfId="134" applyNumberFormat="1" applyFont="1" applyBorder="1" applyAlignment="1">
      <alignment horizontal="center" vertical="center" wrapText="1"/>
    </xf>
    <xf numFmtId="165" fontId="122" fillId="0" borderId="17" xfId="0" applyNumberFormat="1" applyFont="1" applyFill="1" applyBorder="1" applyAlignment="1">
      <alignment horizontal="center" vertical="center" wrapText="1"/>
    </xf>
    <xf numFmtId="49" fontId="112" fillId="0" borderId="17" xfId="0" applyNumberFormat="1" applyFont="1" applyBorder="1" applyAlignment="1">
      <alignment horizontal="left" vertical="center" wrapText="1"/>
    </xf>
    <xf numFmtId="0" fontId="123" fillId="0" borderId="17" xfId="0" applyFont="1" applyFill="1" applyBorder="1" applyAlignment="1">
      <alignment vertical="center"/>
    </xf>
    <xf numFmtId="0" fontId="112" fillId="0" borderId="17" xfId="0" applyFont="1" applyFill="1" applyBorder="1" applyAlignment="1">
      <alignment horizontal="center" vertical="center"/>
    </xf>
    <xf numFmtId="0" fontId="112" fillId="0" borderId="17" xfId="0" applyFont="1" applyFill="1" applyBorder="1" applyAlignment="1">
      <alignment vertical="center"/>
    </xf>
    <xf numFmtId="0" fontId="145" fillId="0" borderId="0" xfId="0" applyFont="1" applyAlignment="1">
      <alignment horizontal="right" vertical="top"/>
    </xf>
    <xf numFmtId="0" fontId="0" fillId="0" borderId="0" xfId="0" applyAlignment="1">
      <alignment horizontal="center"/>
    </xf>
    <xf numFmtId="1" fontId="28" fillId="0" borderId="17" xfId="138" applyNumberFormat="1" applyFont="1" applyFill="1" applyBorder="1" applyAlignment="1">
      <alignment vertical="top" shrinkToFit="1"/>
    </xf>
    <xf numFmtId="1" fontId="40" fillId="0" borderId="17" xfId="138" applyNumberFormat="1" applyFont="1" applyFill="1" applyBorder="1" applyAlignment="1">
      <alignment vertical="top" shrinkToFit="1"/>
    </xf>
    <xf numFmtId="0" fontId="28" fillId="0" borderId="0" xfId="138" applyFont="1" applyFill="1" applyBorder="1" applyAlignment="1">
      <alignment horizontal="center" vertical="top" wrapText="1"/>
    </xf>
    <xf numFmtId="0" fontId="28" fillId="0" borderId="0" xfId="138" applyFont="1" applyFill="1" applyBorder="1" applyAlignment="1">
      <alignment horizontal="justify" vertical="top" wrapText="1"/>
    </xf>
    <xf numFmtId="2" fontId="28" fillId="0" borderId="0" xfId="138" applyNumberFormat="1" applyFont="1" applyFill="1" applyBorder="1" applyAlignment="1">
      <alignment horizontal="center" vertical="top" wrapText="1"/>
    </xf>
    <xf numFmtId="0" fontId="28" fillId="0" borderId="16" xfId="175" applyFont="1" applyFill="1" applyBorder="1" applyAlignment="1">
      <alignment horizontal="center" vertical="top" wrapText="1"/>
    </xf>
    <xf numFmtId="2" fontId="28" fillId="0" borderId="16" xfId="175" applyNumberFormat="1" applyFont="1" applyFill="1" applyBorder="1" applyAlignment="1">
      <alignment horizontal="center" vertical="top" wrapText="1"/>
    </xf>
    <xf numFmtId="2" fontId="28" fillId="0" borderId="16" xfId="175" applyNumberFormat="1" applyFont="1" applyFill="1" applyBorder="1" applyAlignment="1">
      <alignment vertical="top" wrapText="1"/>
    </xf>
    <xf numFmtId="0" fontId="28" fillId="0" borderId="16" xfId="175" applyFont="1" applyFill="1" applyBorder="1" applyAlignment="1">
      <alignment vertical="top" wrapText="1"/>
    </xf>
    <xf numFmtId="2" fontId="28" fillId="40" borderId="16" xfId="138" applyNumberFormat="1" applyFont="1" applyFill="1" applyBorder="1" applyAlignment="1">
      <alignment horizontal="center" vertical="top" wrapText="1"/>
    </xf>
    <xf numFmtId="0" fontId="28" fillId="0" borderId="16" xfId="138" applyFont="1" applyBorder="1" applyAlignment="1">
      <alignment vertical="top" wrapText="1"/>
    </xf>
    <xf numFmtId="0" fontId="150" fillId="0" borderId="16" xfId="175" applyFont="1" applyFill="1" applyBorder="1" applyAlignment="1">
      <alignment vertical="top"/>
    </xf>
    <xf numFmtId="2" fontId="30" fillId="0" borderId="17" xfId="138" applyNumberFormat="1" applyFont="1" applyBorder="1" applyAlignment="1">
      <alignment horizontal="center" vertical="center" wrapText="1"/>
    </xf>
    <xf numFmtId="1" fontId="71" fillId="0" borderId="17" xfId="138" applyNumberFormat="1" applyFont="1" applyFill="1" applyBorder="1" applyAlignment="1">
      <alignment vertical="top" shrinkToFit="1"/>
    </xf>
    <xf numFmtId="1" fontId="71" fillId="0" borderId="17" xfId="138" applyNumberFormat="1" applyFont="1" applyFill="1" applyBorder="1" applyAlignment="1">
      <alignment vertical="top" wrapText="1"/>
    </xf>
    <xf numFmtId="2" fontId="71" fillId="0" borderId="17" xfId="205" applyNumberFormat="1" applyFont="1" applyBorder="1" applyAlignment="1">
      <alignment vertical="top" wrapText="1"/>
    </xf>
    <xf numFmtId="2" fontId="71" fillId="0" borderId="17" xfId="138" applyNumberFormat="1" applyFont="1" applyBorder="1" applyAlignment="1">
      <alignment horizontal="right" vertical="top" wrapText="1"/>
    </xf>
    <xf numFmtId="0" fontId="71" fillId="0" borderId="17" xfId="157" applyFont="1" applyFill="1" applyBorder="1" applyAlignment="1">
      <alignment vertical="top"/>
    </xf>
    <xf numFmtId="1" fontId="46" fillId="0" borderId="17" xfId="138" applyNumberFormat="1" applyFont="1" applyFill="1" applyBorder="1" applyAlignment="1">
      <alignment vertical="top" shrinkToFit="1"/>
    </xf>
    <xf numFmtId="0" fontId="86" fillId="0" borderId="17" xfId="0" applyFont="1" applyBorder="1" applyAlignment="1">
      <alignment horizontal="center" vertical="center" wrapText="1"/>
    </xf>
    <xf numFmtId="0" fontId="86" fillId="0" borderId="17" xfId="0" applyFont="1" applyFill="1" applyBorder="1" applyAlignment="1">
      <alignment horizontal="center" vertical="center" wrapText="1"/>
    </xf>
    <xf numFmtId="0" fontId="38" fillId="0" borderId="17" xfId="0" applyFont="1" applyBorder="1" applyAlignment="1">
      <alignment horizontal="center" vertical="center" wrapText="1"/>
    </xf>
    <xf numFmtId="0" fontId="28" fillId="0" borderId="17" xfId="0" applyFont="1" applyFill="1" applyBorder="1" applyAlignment="1">
      <alignment horizontal="center" vertical="top" wrapText="1"/>
    </xf>
    <xf numFmtId="0" fontId="28" fillId="0" borderId="17" xfId="0" applyFont="1" applyFill="1" applyBorder="1" applyAlignment="1">
      <alignment vertical="top"/>
    </xf>
    <xf numFmtId="0" fontId="28" fillId="0" borderId="17" xfId="0" applyFont="1" applyFill="1" applyBorder="1" applyAlignment="1">
      <alignment vertical="top" wrapText="1"/>
    </xf>
    <xf numFmtId="0" fontId="28" fillId="0" borderId="0" xfId="0" applyFont="1" applyFill="1" applyBorder="1" applyAlignment="1">
      <alignment horizontal="justify" vertical="top" wrapText="1"/>
    </xf>
    <xf numFmtId="0" fontId="40" fillId="0" borderId="17" xfId="0" applyFont="1" applyFill="1" applyBorder="1" applyAlignment="1">
      <alignment horizontal="justify" vertical="top" wrapText="1"/>
    </xf>
    <xf numFmtId="2" fontId="40" fillId="0" borderId="17" xfId="0" applyNumberFormat="1" applyFont="1" applyFill="1" applyBorder="1" applyAlignment="1">
      <alignment horizontal="right" vertical="top" wrapText="1"/>
    </xf>
    <xf numFmtId="0" fontId="28" fillId="0" borderId="17" xfId="0" applyFont="1" applyFill="1" applyBorder="1" applyAlignment="1">
      <alignment horizontal="justify" vertical="top" wrapText="1"/>
    </xf>
    <xf numFmtId="2" fontId="28" fillId="0" borderId="17" xfId="0" applyNumberFormat="1" applyFont="1" applyFill="1" applyBorder="1" applyAlignment="1"/>
    <xf numFmtId="0" fontId="28" fillId="0" borderId="17" xfId="0" applyFont="1" applyFill="1" applyBorder="1" applyAlignment="1"/>
    <xf numFmtId="1" fontId="28" fillId="0" borderId="17" xfId="0" applyNumberFormat="1" applyFont="1" applyFill="1" applyBorder="1" applyAlignment="1"/>
    <xf numFmtId="2" fontId="28" fillId="0" borderId="17" xfId="0" applyNumberFormat="1" applyFont="1" applyFill="1" applyBorder="1" applyAlignment="1">
      <alignment shrinkToFit="1"/>
    </xf>
    <xf numFmtId="0" fontId="28" fillId="0" borderId="17" xfId="0" applyFont="1" applyFill="1" applyBorder="1" applyAlignment="1">
      <alignment horizontal="left" vertical="top" wrapText="1"/>
    </xf>
    <xf numFmtId="2" fontId="28" fillId="0" borderId="17" xfId="0" applyNumberFormat="1" applyFont="1" applyFill="1" applyBorder="1" applyAlignment="1">
      <alignment horizontal="right" vertical="top" shrinkToFit="1"/>
    </xf>
    <xf numFmtId="0" fontId="28" fillId="0" borderId="17" xfId="0" applyFont="1" applyFill="1" applyBorder="1" applyAlignment="1">
      <alignment horizontal="left" vertical="top" shrinkToFit="1"/>
    </xf>
    <xf numFmtId="1" fontId="28" fillId="0" borderId="17" xfId="0" applyNumberFormat="1" applyFont="1" applyFill="1" applyBorder="1" applyAlignment="1">
      <alignment horizontal="right" vertical="top" shrinkToFit="1"/>
    </xf>
    <xf numFmtId="0" fontId="28" fillId="0" borderId="17" xfId="0" applyFont="1" applyFill="1" applyBorder="1" applyAlignment="1">
      <alignment horizontal="justify" vertical="top"/>
    </xf>
    <xf numFmtId="2" fontId="28" fillId="0" borderId="17" xfId="0" applyNumberFormat="1" applyFont="1" applyFill="1" applyBorder="1" applyAlignment="1">
      <alignment horizontal="right" shrinkToFit="1"/>
    </xf>
    <xf numFmtId="0" fontId="28" fillId="0" borderId="17" xfId="0" applyFont="1" applyFill="1" applyBorder="1" applyAlignment="1">
      <alignment horizontal="left" shrinkToFit="1"/>
    </xf>
    <xf numFmtId="0" fontId="28" fillId="0" borderId="17" xfId="0" applyFont="1" applyFill="1" applyBorder="1" applyAlignment="1">
      <alignment horizontal="left" vertical="center" shrinkToFit="1"/>
    </xf>
    <xf numFmtId="0" fontId="28" fillId="0" borderId="17" xfId="0" applyFont="1" applyFill="1" applyBorder="1" applyAlignment="1">
      <alignment horizontal="left"/>
    </xf>
    <xf numFmtId="2" fontId="40" fillId="0" borderId="17" xfId="0" applyNumberFormat="1" applyFont="1" applyFill="1" applyBorder="1" applyAlignment="1"/>
    <xf numFmtId="0" fontId="40" fillId="0" borderId="17" xfId="0" applyFont="1" applyFill="1" applyBorder="1" applyAlignment="1">
      <alignment horizontal="left"/>
    </xf>
    <xf numFmtId="2" fontId="40" fillId="0" borderId="17" xfId="0" applyNumberFormat="1" applyFont="1" applyFill="1" applyBorder="1" applyAlignment="1">
      <alignment horizontal="right" shrinkToFit="1"/>
    </xf>
    <xf numFmtId="0" fontId="28" fillId="0" borderId="17" xfId="0" applyFont="1" applyFill="1" applyBorder="1" applyAlignment="1">
      <alignment horizontal="center" vertical="top"/>
    </xf>
    <xf numFmtId="0" fontId="28" fillId="0" borderId="17" xfId="0" applyFont="1" applyFill="1" applyBorder="1" applyAlignment="1">
      <alignment horizontal="center"/>
    </xf>
    <xf numFmtId="0" fontId="28" fillId="0" borderId="0" xfId="0" applyFont="1" applyFill="1" applyBorder="1" applyAlignment="1"/>
    <xf numFmtId="0" fontId="45" fillId="0" borderId="17" xfId="0" applyFont="1" applyFill="1" applyBorder="1" applyAlignment="1">
      <alignment horizontal="justify" vertical="top" wrapText="1"/>
    </xf>
    <xf numFmtId="173" fontId="28" fillId="0" borderId="17" xfId="234" applyNumberFormat="1" applyFont="1" applyFill="1" applyBorder="1" applyAlignment="1">
      <alignment wrapText="1"/>
    </xf>
    <xf numFmtId="0" fontId="40" fillId="0" borderId="17" xfId="234" applyFont="1" applyFill="1" applyBorder="1" applyAlignment="1">
      <alignment horizontal="justify" vertical="top" wrapText="1"/>
    </xf>
    <xf numFmtId="0" fontId="40" fillId="0" borderId="17" xfId="234" applyFont="1" applyFill="1" applyBorder="1" applyAlignment="1">
      <alignment horizontal="left" shrinkToFit="1"/>
    </xf>
    <xf numFmtId="1" fontId="77" fillId="0" borderId="17" xfId="138" applyNumberFormat="1" applyFont="1" applyFill="1" applyBorder="1" applyAlignment="1">
      <alignment vertical="top" shrinkToFit="1"/>
    </xf>
    <xf numFmtId="0" fontId="130" fillId="0" borderId="17" xfId="0" applyFont="1" applyFill="1" applyBorder="1" applyAlignment="1">
      <alignment horizontal="center" vertical="center"/>
    </xf>
    <xf numFmtId="165" fontId="118" fillId="0" borderId="17" xfId="0" applyNumberFormat="1" applyFont="1" applyFill="1" applyBorder="1" applyAlignment="1">
      <alignment horizontal="justify" wrapText="1"/>
    </xf>
    <xf numFmtId="165" fontId="117" fillId="0" borderId="17" xfId="0" applyNumberFormat="1" applyFont="1" applyFill="1" applyBorder="1" applyAlignment="1">
      <alignment horizontal="center" shrinkToFit="1"/>
    </xf>
    <xf numFmtId="165" fontId="117" fillId="0" borderId="17" xfId="0" applyNumberFormat="1" applyFont="1" applyFill="1" applyBorder="1" applyAlignment="1">
      <alignment horizontal="center" wrapText="1"/>
    </xf>
    <xf numFmtId="0" fontId="118" fillId="0" borderId="0" xfId="0" applyFont="1" applyFill="1" applyAlignment="1"/>
    <xf numFmtId="0" fontId="112" fillId="0" borderId="17" xfId="293" applyFont="1" applyFill="1" applyBorder="1" applyAlignment="1">
      <alignment horizontal="center" wrapText="1"/>
    </xf>
    <xf numFmtId="0" fontId="112" fillId="0" borderId="17" xfId="293" applyFont="1" applyFill="1" applyBorder="1" applyAlignment="1">
      <alignment wrapText="1"/>
    </xf>
    <xf numFmtId="0" fontId="123" fillId="0" borderId="17" xfId="293" applyFont="1" applyFill="1" applyBorder="1" applyAlignment="1"/>
    <xf numFmtId="167" fontId="112" fillId="0" borderId="17" xfId="293" applyNumberFormat="1" applyFont="1" applyFill="1" applyBorder="1" applyAlignment="1">
      <alignment horizontal="center" wrapText="1"/>
    </xf>
    <xf numFmtId="2" fontId="112" fillId="0" borderId="17" xfId="293" applyNumberFormat="1" applyFont="1" applyFill="1" applyBorder="1" applyAlignment="1">
      <alignment horizontal="right" vertical="center" wrapText="1"/>
    </xf>
    <xf numFmtId="165" fontId="112" fillId="0" borderId="17" xfId="293" applyNumberFormat="1" applyFont="1" applyFill="1" applyBorder="1" applyAlignment="1">
      <alignment horizontal="center" wrapText="1"/>
    </xf>
    <xf numFmtId="0" fontId="112" fillId="0" borderId="0" xfId="293" applyFont="1" applyFill="1" applyBorder="1" applyAlignment="1"/>
    <xf numFmtId="0" fontId="123" fillId="0" borderId="17" xfId="293" applyFont="1" applyFill="1" applyBorder="1" applyAlignment="1">
      <alignment wrapText="1"/>
    </xf>
    <xf numFmtId="164" fontId="112" fillId="0" borderId="17" xfId="0" applyNumberFormat="1" applyFont="1" applyFill="1" applyBorder="1" applyAlignment="1">
      <alignment horizontal="center" vertical="center" wrapText="1"/>
    </xf>
    <xf numFmtId="0" fontId="152" fillId="0" borderId="17" xfId="0" applyFont="1" applyFill="1" applyBorder="1" applyAlignment="1">
      <alignment horizontal="left" vertical="top" wrapText="1"/>
    </xf>
    <xf numFmtId="0" fontId="154" fillId="0" borderId="0" xfId="138" applyFont="1"/>
    <xf numFmtId="0" fontId="154" fillId="0" borderId="17" xfId="138" applyFont="1" applyBorder="1"/>
    <xf numFmtId="0" fontId="40" fillId="0" borderId="17" xfId="293" applyFont="1" applyFill="1" applyBorder="1" applyAlignment="1"/>
    <xf numFmtId="0" fontId="38" fillId="0" borderId="17" xfId="0" applyFont="1" applyBorder="1" applyAlignment="1">
      <alignment horizontal="center"/>
    </xf>
    <xf numFmtId="0" fontId="38" fillId="0" borderId="17" xfId="0" applyFont="1" applyBorder="1" applyAlignment="1"/>
    <xf numFmtId="0" fontId="79" fillId="0" borderId="17" xfId="0" applyFont="1" applyBorder="1" applyAlignment="1">
      <alignment horizontal="justify" vertical="center" wrapText="1"/>
    </xf>
    <xf numFmtId="0" fontId="38" fillId="0" borderId="17" xfId="0" applyFont="1" applyBorder="1" applyAlignment="1">
      <alignment horizontal="justify" vertical="center" wrapText="1"/>
    </xf>
    <xf numFmtId="2" fontId="38" fillId="0" borderId="17" xfId="0" applyNumberFormat="1" applyFont="1" applyBorder="1" applyAlignment="1">
      <alignment horizontal="center"/>
    </xf>
    <xf numFmtId="2" fontId="38" fillId="0" borderId="17" xfId="0" applyNumberFormat="1" applyFont="1" applyBorder="1" applyAlignment="1">
      <alignment horizontal="center" wrapText="1"/>
    </xf>
    <xf numFmtId="2" fontId="38" fillId="0" borderId="17" xfId="0" applyNumberFormat="1" applyFont="1" applyBorder="1" applyAlignment="1">
      <alignment horizontal="right" wrapText="1"/>
    </xf>
    <xf numFmtId="0" fontId="38" fillId="0" borderId="17" xfId="0" applyFont="1" applyBorder="1" applyAlignment="1">
      <alignment horizontal="center" vertical="top"/>
    </xf>
    <xf numFmtId="2" fontId="38" fillId="0" borderId="17" xfId="0" applyNumberFormat="1" applyFont="1" applyBorder="1" applyAlignment="1"/>
    <xf numFmtId="2" fontId="79" fillId="0" borderId="17" xfId="0" applyNumberFormat="1" applyFont="1" applyBorder="1" applyAlignment="1">
      <alignment horizontal="right"/>
    </xf>
    <xf numFmtId="2" fontId="40" fillId="0" borderId="17" xfId="0" applyNumberFormat="1" applyFont="1" applyBorder="1" applyAlignment="1"/>
    <xf numFmtId="2" fontId="112" fillId="0" borderId="0" xfId="0" applyNumberFormat="1" applyFont="1" applyFill="1" applyAlignment="1">
      <alignment horizontal="right"/>
    </xf>
    <xf numFmtId="0" fontId="112" fillId="0" borderId="0" xfId="0" applyFont="1" applyFill="1" applyAlignment="1">
      <alignment horizontal="right"/>
    </xf>
    <xf numFmtId="1" fontId="157" fillId="0" borderId="17" xfId="138" applyNumberFormat="1" applyFont="1" applyFill="1" applyBorder="1" applyAlignment="1">
      <alignment vertical="top" shrinkToFit="1"/>
    </xf>
    <xf numFmtId="2" fontId="158" fillId="0" borderId="17" xfId="0" applyNumberFormat="1" applyFont="1" applyBorder="1" applyAlignment="1">
      <alignment horizontal="center" vertical="top" shrinkToFit="1" readingOrder="1"/>
    </xf>
    <xf numFmtId="0" fontId="160" fillId="40" borderId="0" xfId="298" applyFont="1" applyFill="1" applyAlignment="1"/>
    <xf numFmtId="0" fontId="160" fillId="40" borderId="0" xfId="298" applyFont="1" applyFill="1" applyAlignment="1">
      <alignment wrapText="1"/>
    </xf>
    <xf numFmtId="0" fontId="160" fillId="40" borderId="0" xfId="298" applyFont="1" applyFill="1" applyAlignment="1">
      <alignment horizontal="center" vertical="center"/>
    </xf>
    <xf numFmtId="0" fontId="160" fillId="40" borderId="0" xfId="298" applyFont="1" applyFill="1" applyAlignment="1">
      <alignment horizontal="right"/>
    </xf>
    <xf numFmtId="0" fontId="145" fillId="0" borderId="0" xfId="0" applyFont="1" applyAlignment="1">
      <alignment horizontal="justify" vertical="top" wrapText="1"/>
    </xf>
    <xf numFmtId="0" fontId="145" fillId="0" borderId="0" xfId="0" applyFont="1" applyAlignment="1">
      <alignment horizontal="justify" wrapText="1"/>
    </xf>
    <xf numFmtId="0" fontId="145" fillId="0" borderId="0" xfId="0" applyFont="1" applyAlignment="1">
      <alignment horizontal="left" vertical="top" wrapText="1"/>
    </xf>
    <xf numFmtId="0" fontId="44" fillId="0" borderId="17" xfId="157" applyFont="1" applyFill="1" applyBorder="1" applyAlignment="1">
      <alignment horizontal="justify" vertical="top"/>
    </xf>
    <xf numFmtId="0" fontId="44" fillId="0" borderId="17" xfId="157" applyFont="1" applyBorder="1" applyAlignment="1">
      <alignment horizontal="justify" vertical="top" wrapText="1"/>
    </xf>
    <xf numFmtId="0" fontId="28" fillId="0" borderId="17" xfId="138" applyFont="1" applyFill="1" applyBorder="1" applyAlignment="1">
      <alignment horizontal="justify" vertical="top" wrapText="1"/>
    </xf>
    <xf numFmtId="0" fontId="30" fillId="0" borderId="8" xfId="138" applyFont="1" applyFill="1" applyBorder="1" applyAlignment="1">
      <alignment horizontal="center" vertical="top" wrapText="1"/>
    </xf>
    <xf numFmtId="0" fontId="30" fillId="0" borderId="8" xfId="138" applyFont="1" applyFill="1" applyBorder="1" applyAlignment="1">
      <alignment horizontal="center" vertical="center" wrapText="1"/>
    </xf>
    <xf numFmtId="0" fontId="28" fillId="0" borderId="17" xfId="182" applyFont="1" applyFill="1" applyBorder="1" applyAlignment="1">
      <alignment horizontal="left" vertical="top" wrapText="1"/>
    </xf>
    <xf numFmtId="0" fontId="40" fillId="0" borderId="17" xfId="138" applyFont="1" applyFill="1" applyBorder="1" applyAlignment="1">
      <alignment horizontal="left" vertical="top" wrapText="1"/>
    </xf>
    <xf numFmtId="0" fontId="141" fillId="0" borderId="0" xfId="0" applyFont="1" applyAlignment="1">
      <alignment horizontal="left" vertical="top" wrapText="1"/>
    </xf>
    <xf numFmtId="0" fontId="141" fillId="0" borderId="8" xfId="0" applyFont="1" applyBorder="1" applyAlignment="1">
      <alignment horizontal="center" vertical="center" wrapText="1"/>
    </xf>
    <xf numFmtId="0" fontId="112" fillId="0" borderId="17" xfId="0" applyFont="1" applyFill="1" applyBorder="1" applyAlignment="1">
      <alignment horizontal="left" vertical="top" wrapText="1"/>
    </xf>
    <xf numFmtId="165" fontId="112" fillId="0" borderId="17" xfId="0" applyNumberFormat="1" applyFont="1" applyFill="1" applyBorder="1" applyAlignment="1">
      <alignment horizontal="justify" vertical="top" wrapText="1"/>
    </xf>
    <xf numFmtId="0" fontId="112" fillId="0" borderId="17" xfId="0" applyFont="1" applyFill="1" applyBorder="1" applyAlignment="1">
      <alignment wrapText="1"/>
    </xf>
    <xf numFmtId="165" fontId="112" fillId="0" borderId="17" xfId="0" applyNumberFormat="1" applyFont="1" applyFill="1" applyBorder="1" applyAlignment="1">
      <alignment horizontal="left" vertical="top" wrapText="1"/>
    </xf>
    <xf numFmtId="0" fontId="112" fillId="0" borderId="17" xfId="0" applyFont="1" applyFill="1" applyBorder="1" applyAlignment="1">
      <alignment horizontal="left" vertical="center" wrapText="1"/>
    </xf>
    <xf numFmtId="0" fontId="122" fillId="0" borderId="17" xfId="0" applyFont="1" applyFill="1" applyBorder="1" applyAlignment="1">
      <alignment horizontal="center" vertical="top" wrapText="1"/>
    </xf>
    <xf numFmtId="0" fontId="114" fillId="0" borderId="17" xfId="0" applyFont="1" applyFill="1" applyBorder="1" applyAlignment="1">
      <alignment horizontal="center" vertical="top" wrapText="1"/>
    </xf>
    <xf numFmtId="0" fontId="28" fillId="0" borderId="17" xfId="293" applyFont="1" applyFill="1" applyBorder="1" applyAlignment="1">
      <alignment horizontal="justify" vertical="top" wrapText="1"/>
    </xf>
    <xf numFmtId="0" fontId="117" fillId="0" borderId="17" xfId="0" applyFont="1" applyFill="1" applyBorder="1" applyAlignment="1">
      <alignment horizontal="center" vertical="top" wrapText="1"/>
    </xf>
    <xf numFmtId="0" fontId="118" fillId="0" borderId="17" xfId="0" applyFont="1" applyFill="1" applyBorder="1" applyAlignment="1">
      <alignment horizontal="justify" vertical="top" wrapText="1"/>
    </xf>
    <xf numFmtId="0" fontId="118" fillId="0" borderId="17" xfId="0" applyFont="1" applyFill="1" applyBorder="1" applyAlignment="1">
      <alignment vertical="top" wrapText="1"/>
    </xf>
    <xf numFmtId="2" fontId="118" fillId="0" borderId="17" xfId="0" applyNumberFormat="1" applyFont="1" applyFill="1" applyBorder="1" applyAlignment="1">
      <alignment horizontal="center" vertical="top" wrapText="1"/>
    </xf>
    <xf numFmtId="2" fontId="117" fillId="0" borderId="17" xfId="0" applyNumberFormat="1" applyFont="1" applyFill="1" applyBorder="1" applyAlignment="1">
      <alignment horizontal="center" vertical="top" wrapText="1"/>
    </xf>
    <xf numFmtId="165" fontId="118" fillId="0" borderId="17" xfId="0" applyNumberFormat="1" applyFont="1" applyFill="1" applyBorder="1" applyAlignment="1">
      <alignment horizontal="center" vertical="top" wrapText="1"/>
    </xf>
    <xf numFmtId="0" fontId="132" fillId="0" borderId="0" xfId="134" applyFont="1" applyBorder="1" applyAlignment="1">
      <alignment horizontal="center" vertical="center" wrapText="1"/>
    </xf>
    <xf numFmtId="0" fontId="125" fillId="0" borderId="17" xfId="134" applyFont="1" applyBorder="1" applyAlignment="1">
      <alignment horizontal="justify" vertical="top" wrapText="1"/>
    </xf>
    <xf numFmtId="0" fontId="133" fillId="0" borderId="17" xfId="134" applyFont="1" applyBorder="1" applyAlignment="1">
      <alignment horizontal="justify" vertical="top" wrapText="1"/>
    </xf>
    <xf numFmtId="0" fontId="132" fillId="0" borderId="17" xfId="134" applyFont="1" applyBorder="1" applyAlignment="1">
      <alignment horizontal="justify" vertical="top" wrapText="1"/>
    </xf>
    <xf numFmtId="0" fontId="125" fillId="0" borderId="17" xfId="232" applyFont="1" applyFill="1" applyBorder="1" applyAlignment="1">
      <alignment horizontal="justify" vertical="top" wrapText="1"/>
    </xf>
    <xf numFmtId="0" fontId="125" fillId="0" borderId="17" xfId="138" applyFont="1" applyFill="1" applyBorder="1" applyAlignment="1">
      <alignment horizontal="justify" vertical="top" wrapText="1"/>
    </xf>
    <xf numFmtId="0" fontId="114" fillId="0" borderId="17" xfId="0" applyFont="1" applyFill="1" applyBorder="1" applyAlignment="1">
      <alignment horizontal="center" vertical="top" wrapText="1"/>
    </xf>
    <xf numFmtId="0" fontId="151" fillId="0" borderId="0" xfId="302" applyFont="1"/>
    <xf numFmtId="0" fontId="118" fillId="0" borderId="0" xfId="302" applyFont="1"/>
    <xf numFmtId="0" fontId="140" fillId="0" borderId="0" xfId="302" applyFont="1" applyAlignment="1">
      <alignment horizontal="center"/>
    </xf>
    <xf numFmtId="0" fontId="151" fillId="0" borderId="0" xfId="302" applyFont="1" applyAlignment="1">
      <alignment horizontal="center"/>
    </xf>
    <xf numFmtId="0" fontId="140" fillId="0" borderId="0" xfId="302" applyFont="1"/>
    <xf numFmtId="0" fontId="143" fillId="0" borderId="0" xfId="302" applyFont="1" applyAlignment="1">
      <alignment horizontal="center"/>
    </xf>
    <xf numFmtId="0" fontId="151" fillId="0" borderId="0" xfId="302" applyFont="1" applyAlignment="1">
      <alignment horizontal="left"/>
    </xf>
    <xf numFmtId="0" fontId="140" fillId="0" borderId="0" xfId="157" applyFont="1" applyBorder="1" applyAlignment="1">
      <alignment vertical="top" wrapText="1"/>
    </xf>
    <xf numFmtId="0" fontId="129" fillId="0" borderId="0" xfId="157" applyFont="1" applyBorder="1" applyAlignment="1">
      <alignment vertical="top" wrapText="1"/>
    </xf>
    <xf numFmtId="1" fontId="140" fillId="0" borderId="0" xfId="302" applyNumberFormat="1" applyFont="1" applyAlignment="1">
      <alignment vertical="top"/>
    </xf>
    <xf numFmtId="0" fontId="140" fillId="0" borderId="0" xfId="302" applyFont="1" applyAlignment="1">
      <alignment vertical="top"/>
    </xf>
    <xf numFmtId="2" fontId="140" fillId="0" borderId="0" xfId="157" applyNumberFormat="1" applyFont="1" applyBorder="1" applyAlignment="1">
      <alignment horizontal="justify" vertical="justify" wrapText="1"/>
    </xf>
    <xf numFmtId="0" fontId="140" fillId="0" borderId="0" xfId="157" applyFont="1" applyBorder="1" applyAlignment="1">
      <alignment horizontal="justify" vertical="justify" wrapText="1"/>
    </xf>
    <xf numFmtId="2" fontId="140" fillId="0" borderId="0" xfId="302" applyNumberFormat="1" applyFont="1"/>
    <xf numFmtId="0" fontId="151" fillId="0" borderId="0" xfId="302" applyFont="1" applyAlignment="1">
      <alignment vertical="top" wrapText="1"/>
    </xf>
    <xf numFmtId="0" fontId="140" fillId="0" borderId="0" xfId="302" applyFont="1" applyAlignment="1">
      <alignment horizontal="left"/>
    </xf>
    <xf numFmtId="0" fontId="40" fillId="0" borderId="17" xfId="138" applyFont="1" applyFill="1" applyBorder="1" applyAlignment="1">
      <alignment horizontal="center" vertical="top" shrinkToFit="1"/>
    </xf>
    <xf numFmtId="0" fontId="118" fillId="0" borderId="17" xfId="182" applyFont="1" applyFill="1" applyBorder="1" applyAlignment="1">
      <alignment vertical="top" wrapText="1"/>
    </xf>
    <xf numFmtId="1" fontId="146" fillId="0" borderId="17" xfId="182" applyNumberFormat="1" applyFont="1" applyFill="1" applyBorder="1" applyAlignment="1">
      <alignment horizontal="center" vertical="top" wrapText="1"/>
    </xf>
    <xf numFmtId="2" fontId="71" fillId="0" borderId="16" xfId="138" applyNumberFormat="1" applyFont="1" applyBorder="1" applyAlignment="1">
      <alignment horizontal="right" vertical="top" wrapText="1"/>
    </xf>
    <xf numFmtId="0" fontId="46" fillId="0" borderId="62" xfId="138" applyFont="1" applyBorder="1" applyAlignment="1">
      <alignment horizontal="center" vertical="center" wrapText="1"/>
    </xf>
    <xf numFmtId="0" fontId="46" fillId="0" borderId="17" xfId="138" applyFont="1" applyBorder="1" applyAlignment="1">
      <alignment horizontal="center" vertical="center" wrapText="1"/>
    </xf>
    <xf numFmtId="2" fontId="44" fillId="39" borderId="17" xfId="157" applyNumberFormat="1" applyFont="1" applyFill="1" applyBorder="1" applyAlignment="1">
      <alignment horizontal="center" vertical="top"/>
    </xf>
    <xf numFmtId="2" fontId="44" fillId="0" borderId="17" xfId="157" applyNumberFormat="1" applyFont="1" applyBorder="1" applyAlignment="1">
      <alignment horizontal="center" vertical="top"/>
    </xf>
    <xf numFmtId="0" fontId="44" fillId="0" borderId="17" xfId="157" applyFont="1" applyBorder="1" applyAlignment="1">
      <alignment vertical="top"/>
    </xf>
    <xf numFmtId="0" fontId="71" fillId="0" borderId="17" xfId="157" applyFont="1" applyBorder="1" applyAlignment="1">
      <alignment vertical="top"/>
    </xf>
    <xf numFmtId="2" fontId="28" fillId="0" borderId="0" xfId="138" applyNumberFormat="1" applyFont="1" applyFill="1" applyBorder="1" applyAlignment="1">
      <alignment horizontal="right" vertical="top" wrapText="1"/>
    </xf>
    <xf numFmtId="2" fontId="28" fillId="0" borderId="0" xfId="138" applyNumberFormat="1" applyFont="1" applyFill="1" applyBorder="1" applyAlignment="1">
      <alignment horizontal="left" vertical="top" wrapText="1"/>
    </xf>
    <xf numFmtId="1" fontId="40" fillId="0" borderId="0" xfId="138" applyNumberFormat="1" applyFont="1" applyFill="1" applyBorder="1" applyAlignment="1">
      <alignment vertical="top" shrinkToFit="1"/>
    </xf>
    <xf numFmtId="0" fontId="112" fillId="0" borderId="0" xfId="138" applyFont="1" applyFill="1" applyAlignment="1">
      <alignment horizontal="center" vertical="top"/>
    </xf>
    <xf numFmtId="165" fontId="122" fillId="0" borderId="17" xfId="0" applyNumberFormat="1" applyFont="1" applyFill="1" applyBorder="1" applyAlignment="1">
      <alignment horizontal="center" vertical="center" textRotation="90" wrapText="1"/>
    </xf>
    <xf numFmtId="165" fontId="114" fillId="40" borderId="17" xfId="0" applyNumberFormat="1" applyFont="1" applyFill="1" applyBorder="1" applyAlignment="1">
      <alignment horizontal="center" shrinkToFit="1"/>
    </xf>
    <xf numFmtId="165" fontId="112" fillId="0" borderId="17" xfId="0" applyNumberFormat="1" applyFont="1" applyFill="1" applyBorder="1" applyAlignment="1">
      <alignment horizontal="center" vertical="center"/>
    </xf>
    <xf numFmtId="0" fontId="118" fillId="0" borderId="17" xfId="303" applyFont="1" applyFill="1" applyBorder="1" applyAlignment="1" applyProtection="1">
      <alignment wrapText="1"/>
      <protection hidden="1"/>
    </xf>
    <xf numFmtId="0" fontId="118" fillId="0" borderId="17" xfId="303" applyFont="1" applyFill="1" applyBorder="1" applyAlignment="1" applyProtection="1">
      <protection hidden="1"/>
    </xf>
    <xf numFmtId="2" fontId="118" fillId="0" borderId="17" xfId="303" applyNumberFormat="1" applyFont="1" applyFill="1" applyBorder="1" applyAlignment="1" applyProtection="1">
      <protection hidden="1"/>
    </xf>
    <xf numFmtId="2" fontId="125" fillId="0" borderId="17" xfId="303" applyNumberFormat="1" applyFont="1" applyFill="1" applyBorder="1" applyAlignment="1" applyProtection="1">
      <protection hidden="1"/>
    </xf>
    <xf numFmtId="2" fontId="126" fillId="0" borderId="17" xfId="303" applyNumberFormat="1" applyFont="1" applyFill="1" applyBorder="1" applyAlignment="1" applyProtection="1">
      <protection hidden="1"/>
    </xf>
    <xf numFmtId="0" fontId="128" fillId="0" borderId="17" xfId="0" applyFont="1" applyFill="1" applyBorder="1" applyAlignment="1">
      <alignment horizontal="center" vertical="top" wrapText="1"/>
    </xf>
    <xf numFmtId="0" fontId="124" fillId="0" borderId="8" xfId="0" applyFont="1" applyFill="1" applyBorder="1" applyAlignment="1">
      <alignment vertical="top" wrapText="1"/>
    </xf>
    <xf numFmtId="2" fontId="124" fillId="0" borderId="8" xfId="0" applyNumberFormat="1" applyFont="1" applyFill="1" applyBorder="1" applyAlignment="1">
      <alignment vertical="top" wrapText="1" shrinkToFit="1"/>
    </xf>
    <xf numFmtId="2" fontId="129" fillId="0" borderId="8" xfId="0" applyNumberFormat="1" applyFont="1" applyFill="1" applyBorder="1" applyAlignment="1">
      <alignment horizontal="right" vertical="top" wrapText="1"/>
    </xf>
    <xf numFmtId="2" fontId="129" fillId="0" borderId="8" xfId="0" applyNumberFormat="1" applyFont="1" applyFill="1" applyBorder="1" applyAlignment="1">
      <alignment vertical="top" wrapText="1"/>
    </xf>
    <xf numFmtId="1" fontId="28" fillId="0" borderId="17" xfId="0" applyNumberFormat="1" applyFont="1" applyFill="1" applyBorder="1" applyAlignment="1">
      <alignment horizontal="right" shrinkToFit="1"/>
    </xf>
    <xf numFmtId="0" fontId="40" fillId="0" borderId="17" xfId="0" applyFont="1" applyFill="1" applyBorder="1" applyAlignment="1"/>
    <xf numFmtId="2" fontId="28" fillId="0" borderId="17" xfId="293" applyNumberFormat="1" applyFont="1" applyFill="1" applyBorder="1" applyAlignment="1">
      <alignment vertical="center" shrinkToFit="1"/>
    </xf>
    <xf numFmtId="2" fontId="40" fillId="0" borderId="17" xfId="293" applyNumberFormat="1" applyFont="1" applyFill="1" applyBorder="1" applyAlignment="1">
      <alignment vertical="center"/>
    </xf>
    <xf numFmtId="1" fontId="40" fillId="0" borderId="17" xfId="0" applyNumberFormat="1" applyFont="1" applyFill="1" applyBorder="1" applyAlignment="1">
      <alignment horizontal="center"/>
    </xf>
    <xf numFmtId="9" fontId="125" fillId="0" borderId="17" xfId="268" applyFont="1" applyBorder="1" applyAlignment="1">
      <alignment horizontal="center" vertical="center" wrapText="1"/>
    </xf>
    <xf numFmtId="0" fontId="114" fillId="0" borderId="17" xfId="0" applyFont="1" applyFill="1" applyBorder="1" applyAlignment="1">
      <alignment horizontal="center" vertical="top" wrapText="1"/>
    </xf>
    <xf numFmtId="165" fontId="112" fillId="0" borderId="17" xfId="0" applyNumberFormat="1" applyFont="1" applyFill="1" applyBorder="1" applyAlignment="1">
      <alignment horizontal="justify" vertical="top" wrapText="1"/>
    </xf>
    <xf numFmtId="0" fontId="112" fillId="0" borderId="17" xfId="0" applyFont="1" applyFill="1" applyBorder="1" applyAlignment="1">
      <alignment wrapText="1"/>
    </xf>
    <xf numFmtId="0" fontId="28" fillId="0" borderId="17" xfId="138" applyFont="1" applyFill="1" applyBorder="1" applyAlignment="1">
      <alignment horizontal="justify" vertical="top" wrapText="1"/>
    </xf>
    <xf numFmtId="0" fontId="125" fillId="0" borderId="17" xfId="134" applyFont="1" applyBorder="1" applyAlignment="1">
      <alignment horizontal="justify" vertical="top" wrapText="1"/>
    </xf>
    <xf numFmtId="0" fontId="122" fillId="0" borderId="17" xfId="0" applyFont="1" applyFill="1" applyBorder="1" applyAlignment="1">
      <alignment horizontal="center" vertical="top" wrapText="1"/>
    </xf>
    <xf numFmtId="1" fontId="28" fillId="40" borderId="17" xfId="178" applyNumberFormat="1" applyFont="1" applyFill="1" applyBorder="1" applyAlignment="1">
      <alignment horizontal="center" vertical="top"/>
    </xf>
    <xf numFmtId="1" fontId="40" fillId="40" borderId="17" xfId="178" applyNumberFormat="1" applyFont="1" applyFill="1" applyBorder="1" applyAlignment="1">
      <alignment horizontal="center" vertical="top"/>
    </xf>
    <xf numFmtId="0" fontId="28" fillId="40" borderId="0" xfId="178" applyFont="1" applyFill="1"/>
    <xf numFmtId="2" fontId="28" fillId="40" borderId="17" xfId="178" applyNumberFormat="1" applyFont="1" applyFill="1" applyBorder="1" applyAlignment="1">
      <alignment horizontal="left" vertical="top" wrapText="1"/>
    </xf>
    <xf numFmtId="1" fontId="28" fillId="40" borderId="17" xfId="178" applyNumberFormat="1" applyFont="1" applyFill="1" applyBorder="1" applyAlignment="1">
      <alignment horizontal="right"/>
    </xf>
    <xf numFmtId="2" fontId="28" fillId="40" borderId="17" xfId="178" applyNumberFormat="1" applyFont="1" applyFill="1" applyBorder="1"/>
    <xf numFmtId="1" fontId="28" fillId="40" borderId="17" xfId="178" applyNumberFormat="1" applyFont="1" applyFill="1" applyBorder="1"/>
    <xf numFmtId="2" fontId="28" fillId="40" borderId="17" xfId="178" applyNumberFormat="1" applyFont="1" applyFill="1" applyBorder="1" applyAlignment="1">
      <alignment shrinkToFit="1"/>
    </xf>
    <xf numFmtId="2" fontId="40" fillId="40" borderId="17" xfId="178" applyNumberFormat="1" applyFont="1" applyFill="1" applyBorder="1" applyAlignment="1">
      <alignment horizontal="left" vertical="top" wrapText="1"/>
    </xf>
    <xf numFmtId="0" fontId="28" fillId="40" borderId="17" xfId="178" applyFont="1" applyFill="1" applyBorder="1" applyAlignment="1">
      <alignment horizontal="center"/>
    </xf>
    <xf numFmtId="0" fontId="28" fillId="40" borderId="17" xfId="178" applyFont="1" applyFill="1" applyBorder="1"/>
    <xf numFmtId="1" fontId="40" fillId="40" borderId="17" xfId="178" applyNumberFormat="1" applyFont="1" applyFill="1" applyBorder="1" applyAlignment="1">
      <alignment horizontal="center"/>
    </xf>
    <xf numFmtId="0" fontId="28" fillId="40" borderId="17" xfId="178" applyFont="1" applyFill="1" applyBorder="1" applyAlignment="1">
      <alignment horizontal="justify" vertical="top" wrapText="1"/>
    </xf>
    <xf numFmtId="2" fontId="28" fillId="40" borderId="17" xfId="178" applyNumberFormat="1" applyFont="1" applyFill="1" applyBorder="1" applyAlignment="1">
      <alignment horizontal="center"/>
    </xf>
    <xf numFmtId="0" fontId="28" fillId="0" borderId="17" xfId="293" applyFont="1" applyBorder="1" applyAlignment="1">
      <alignment horizontal="center" vertical="top"/>
    </xf>
    <xf numFmtId="0" fontId="28" fillId="0" borderId="17" xfId="293" applyFont="1" applyBorder="1" applyAlignment="1">
      <alignment horizontal="center"/>
    </xf>
    <xf numFmtId="0" fontId="28" fillId="0" borderId="17" xfId="293" applyFont="1" applyBorder="1" applyAlignment="1">
      <alignment horizontal="justify" vertical="top" wrapText="1"/>
    </xf>
    <xf numFmtId="2" fontId="28" fillId="0" borderId="17" xfId="293" applyNumberFormat="1" applyFont="1" applyBorder="1"/>
    <xf numFmtId="0" fontId="28" fillId="0" borderId="17" xfId="293" applyFont="1" applyBorder="1"/>
    <xf numFmtId="1" fontId="28" fillId="0" borderId="17" xfId="293" applyNumberFormat="1" applyFont="1" applyBorder="1"/>
    <xf numFmtId="0" fontId="40" fillId="0" borderId="17" xfId="234" applyFont="1" applyBorder="1" applyAlignment="1">
      <alignment horizontal="left" shrinkToFit="1"/>
    </xf>
    <xf numFmtId="1" fontId="40" fillId="0" borderId="17" xfId="293" applyNumberFormat="1" applyFont="1" applyBorder="1" applyAlignment="1">
      <alignment horizontal="center"/>
    </xf>
    <xf numFmtId="0" fontId="28" fillId="0" borderId="0" xfId="293" applyFont="1"/>
    <xf numFmtId="0" fontId="38" fillId="0" borderId="17" xfId="304" applyFont="1" applyBorder="1" applyAlignment="1">
      <alignment horizontal="center" vertical="center"/>
    </xf>
    <xf numFmtId="0" fontId="38" fillId="0" borderId="17" xfId="293" applyFont="1" applyBorder="1" applyAlignment="1">
      <alignment horizontal="center" vertical="top"/>
    </xf>
    <xf numFmtId="0" fontId="43" fillId="0" borderId="0" xfId="293" applyFont="1"/>
    <xf numFmtId="0" fontId="38" fillId="0" borderId="17" xfId="293" applyFont="1" applyBorder="1" applyAlignment="1">
      <alignment horizontal="center" vertical="top" wrapText="1"/>
    </xf>
    <xf numFmtId="0" fontId="38" fillId="0" borderId="17" xfId="293" applyFont="1" applyBorder="1" applyAlignment="1">
      <alignment horizontal="justify" vertical="top" wrapText="1"/>
    </xf>
    <xf numFmtId="2" fontId="38" fillId="0" borderId="17" xfId="293" applyNumberFormat="1" applyFont="1" applyBorder="1" applyAlignment="1">
      <alignment horizontal="right" vertical="top" wrapText="1"/>
    </xf>
    <xf numFmtId="0" fontId="38" fillId="0" borderId="17" xfId="293" applyFont="1" applyBorder="1" applyAlignment="1">
      <alignment horizontal="left" vertical="top" wrapText="1"/>
    </xf>
    <xf numFmtId="1" fontId="38" fillId="0" borderId="17" xfId="293" applyNumberFormat="1" applyFont="1" applyBorder="1" applyAlignment="1">
      <alignment vertical="top" wrapText="1"/>
    </xf>
    <xf numFmtId="2" fontId="38" fillId="0" borderId="17" xfId="293" applyNumberFormat="1" applyFont="1" applyBorder="1" applyAlignment="1">
      <alignment horizontal="center" vertical="top"/>
    </xf>
    <xf numFmtId="2" fontId="38" fillId="0" borderId="17" xfId="293" applyNumberFormat="1" applyFont="1" applyBorder="1" applyAlignment="1">
      <alignment vertical="top"/>
    </xf>
    <xf numFmtId="4" fontId="38" fillId="0" borderId="17" xfId="293" applyNumberFormat="1" applyFont="1" applyBorder="1" applyAlignment="1">
      <alignment horizontal="left" vertical="top" wrapText="1"/>
    </xf>
    <xf numFmtId="1" fontId="38" fillId="0" borderId="17" xfId="293" applyNumberFormat="1" applyFont="1" applyBorder="1" applyAlignment="1">
      <alignment horizontal="right" vertical="top" wrapText="1"/>
    </xf>
    <xf numFmtId="0" fontId="38" fillId="0" borderId="17" xfId="293" applyFont="1" applyBorder="1" applyAlignment="1">
      <alignment horizontal="justify" vertical="center" wrapText="1"/>
    </xf>
    <xf numFmtId="0" fontId="43" fillId="0" borderId="17" xfId="293" applyFont="1" applyBorder="1"/>
    <xf numFmtId="0" fontId="79" fillId="0" borderId="17" xfId="293" applyFont="1" applyBorder="1" applyAlignment="1">
      <alignment horizontal="justify" vertical="top" wrapText="1"/>
    </xf>
    <xf numFmtId="2" fontId="38" fillId="0" borderId="17" xfId="293" applyNumberFormat="1" applyFont="1" applyBorder="1" applyAlignment="1">
      <alignment horizontal="justify" vertical="top"/>
    </xf>
    <xf numFmtId="2" fontId="38" fillId="0" borderId="17" xfId="293" applyNumberFormat="1" applyFont="1" applyBorder="1" applyAlignment="1">
      <alignment horizontal="justify" vertical="top" wrapText="1"/>
    </xf>
    <xf numFmtId="0" fontId="79" fillId="0" borderId="17" xfId="293" applyFont="1" applyBorder="1" applyAlignment="1">
      <alignment horizontal="justify" vertical="top"/>
    </xf>
    <xf numFmtId="2" fontId="79" fillId="0" borderId="17" xfId="293" applyNumberFormat="1" applyFont="1" applyBorder="1" applyAlignment="1">
      <alignment horizontal="center" vertical="top"/>
    </xf>
    <xf numFmtId="2" fontId="79" fillId="0" borderId="17" xfId="293" applyNumberFormat="1" applyFont="1" applyBorder="1" applyAlignment="1">
      <alignment vertical="top" wrapText="1"/>
    </xf>
    <xf numFmtId="0" fontId="79" fillId="0" borderId="17" xfId="293" applyFont="1" applyBorder="1" applyAlignment="1">
      <alignment horizontal="left" vertical="top" wrapText="1"/>
    </xf>
    <xf numFmtId="2" fontId="79" fillId="0" borderId="17" xfId="293" applyNumberFormat="1" applyFont="1" applyBorder="1" applyAlignment="1">
      <alignment horizontal="center" vertical="center"/>
    </xf>
    <xf numFmtId="2" fontId="38" fillId="0" borderId="17" xfId="293" applyNumberFormat="1" applyFont="1" applyBorder="1" applyAlignment="1">
      <alignment vertical="center"/>
    </xf>
    <xf numFmtId="0" fontId="1" fillId="0" borderId="17" xfId="293" applyFont="1" applyBorder="1"/>
    <xf numFmtId="164" fontId="38" fillId="0" borderId="17" xfId="293" applyNumberFormat="1" applyFont="1" applyBorder="1" applyAlignment="1">
      <alignment horizontal="right" vertical="top" wrapText="1"/>
    </xf>
    <xf numFmtId="165" fontId="38" fillId="0" borderId="17" xfId="293" applyNumberFormat="1" applyFont="1" applyBorder="1" applyAlignment="1">
      <alignment horizontal="justify" vertical="top" wrapText="1"/>
    </xf>
    <xf numFmtId="9" fontId="58" fillId="0" borderId="17" xfId="268" applyFont="1" applyFill="1" applyBorder="1" applyAlignment="1">
      <alignment horizontal="center" vertical="top" wrapText="1"/>
    </xf>
    <xf numFmtId="2" fontId="38" fillId="0" borderId="17" xfId="293" applyNumberFormat="1" applyFont="1" applyBorder="1" applyAlignment="1">
      <alignment vertical="center" wrapText="1"/>
    </xf>
    <xf numFmtId="0" fontId="58" fillId="0" borderId="17" xfId="293" applyFont="1" applyBorder="1" applyAlignment="1">
      <alignment horizontal="center" vertical="top" wrapText="1"/>
    </xf>
    <xf numFmtId="1" fontId="58" fillId="0" borderId="17" xfId="293" applyNumberFormat="1" applyFont="1" applyBorder="1" applyAlignment="1">
      <alignment horizontal="right" vertical="top" wrapText="1"/>
    </xf>
    <xf numFmtId="0" fontId="58" fillId="0" borderId="17" xfId="293" applyFont="1" applyBorder="1" applyAlignment="1">
      <alignment horizontal="left" vertical="top" wrapText="1"/>
    </xf>
    <xf numFmtId="2" fontId="58" fillId="0" borderId="17" xfId="293" applyNumberFormat="1" applyFont="1" applyBorder="1" applyAlignment="1">
      <alignment horizontal="center" vertical="top"/>
    </xf>
    <xf numFmtId="0" fontId="40" fillId="0" borderId="17" xfId="293" applyFont="1" applyBorder="1"/>
    <xf numFmtId="0" fontId="38" fillId="39" borderId="17" xfId="304" applyFont="1" applyFill="1" applyBorder="1" applyAlignment="1">
      <alignment horizontal="center" vertical="center"/>
    </xf>
    <xf numFmtId="0" fontId="38" fillId="39" borderId="17" xfId="293" applyFont="1" applyFill="1" applyBorder="1" applyAlignment="1">
      <alignment horizontal="center" vertical="top"/>
    </xf>
    <xf numFmtId="0" fontId="38" fillId="39" borderId="17" xfId="293" applyFont="1" applyFill="1" applyBorder="1" applyAlignment="1">
      <alignment horizontal="center" vertical="top" wrapText="1"/>
    </xf>
    <xf numFmtId="0" fontId="38" fillId="39" borderId="17" xfId="293" applyFont="1" applyFill="1" applyBorder="1" applyAlignment="1">
      <alignment horizontal="justify" vertical="top" wrapText="1"/>
    </xf>
    <xf numFmtId="2" fontId="38" fillId="39" borderId="17" xfId="293" applyNumberFormat="1" applyFont="1" applyFill="1" applyBorder="1" applyAlignment="1">
      <alignment horizontal="right" vertical="top" wrapText="1"/>
    </xf>
    <xf numFmtId="0" fontId="38" fillId="39" borderId="17" xfId="293" applyFont="1" applyFill="1" applyBorder="1" applyAlignment="1">
      <alignment horizontal="left" vertical="top" wrapText="1"/>
    </xf>
    <xf numFmtId="1" fontId="38" fillId="39" borderId="17" xfId="293" applyNumberFormat="1" applyFont="1" applyFill="1" applyBorder="1" applyAlignment="1">
      <alignment vertical="top" wrapText="1"/>
    </xf>
    <xf numFmtId="164" fontId="38" fillId="39" borderId="17" xfId="293" applyNumberFormat="1" applyFont="1" applyFill="1" applyBorder="1" applyAlignment="1">
      <alignment horizontal="right" vertical="top" wrapText="1"/>
    </xf>
    <xf numFmtId="4" fontId="38" fillId="39" borderId="17" xfId="293" applyNumberFormat="1" applyFont="1" applyFill="1" applyBorder="1" applyAlignment="1">
      <alignment horizontal="left" vertical="top" wrapText="1"/>
    </xf>
    <xf numFmtId="0" fontId="58" fillId="39" borderId="17" xfId="293" applyFont="1" applyFill="1" applyBorder="1" applyAlignment="1">
      <alignment horizontal="center" vertical="top" wrapText="1"/>
    </xf>
    <xf numFmtId="1" fontId="58" fillId="39" borderId="17" xfId="293" applyNumberFormat="1" applyFont="1" applyFill="1" applyBorder="1" applyAlignment="1">
      <alignment horizontal="right" vertical="top" wrapText="1"/>
    </xf>
    <xf numFmtId="0" fontId="58" fillId="39" borderId="17" xfId="293" applyFont="1" applyFill="1" applyBorder="1" applyAlignment="1">
      <alignment horizontal="left" vertical="top" wrapText="1"/>
    </xf>
    <xf numFmtId="1" fontId="58" fillId="39" borderId="17" xfId="293" applyNumberFormat="1" applyFont="1" applyFill="1" applyBorder="1" applyAlignment="1">
      <alignment vertical="top" wrapText="1"/>
    </xf>
    <xf numFmtId="2" fontId="38" fillId="39" borderId="17" xfId="293" applyNumberFormat="1" applyFont="1" applyFill="1" applyBorder="1" applyAlignment="1">
      <alignment horizontal="center" vertical="center" wrapText="1"/>
    </xf>
    <xf numFmtId="0" fontId="79" fillId="39" borderId="17" xfId="293" applyFont="1" applyFill="1" applyBorder="1" applyAlignment="1">
      <alignment horizontal="justify" vertical="top" wrapText="1"/>
    </xf>
    <xf numFmtId="2" fontId="79" fillId="39" borderId="17" xfId="293" applyNumberFormat="1" applyFont="1" applyFill="1" applyBorder="1" applyAlignment="1">
      <alignment horizontal="center" vertical="top"/>
    </xf>
    <xf numFmtId="2" fontId="79" fillId="39" borderId="17" xfId="293" applyNumberFormat="1" applyFont="1" applyFill="1" applyBorder="1" applyAlignment="1">
      <alignment vertical="top" wrapText="1"/>
    </xf>
    <xf numFmtId="0" fontId="79" fillId="39" borderId="17" xfId="293" applyFont="1" applyFill="1" applyBorder="1" applyAlignment="1">
      <alignment horizontal="left" vertical="top" wrapText="1"/>
    </xf>
    <xf numFmtId="0" fontId="1" fillId="39" borderId="17" xfId="293" applyFont="1" applyFill="1" applyBorder="1"/>
    <xf numFmtId="0" fontId="38" fillId="0" borderId="17" xfId="293" applyFont="1" applyBorder="1" applyAlignment="1">
      <alignment horizontal="left" vertical="top"/>
    </xf>
    <xf numFmtId="2" fontId="38" fillId="0" borderId="17" xfId="293" applyNumberFormat="1" applyFont="1" applyBorder="1" applyAlignment="1">
      <alignment horizontal="left" vertical="top"/>
    </xf>
    <xf numFmtId="0" fontId="38" fillId="0" borderId="17" xfId="293" applyFont="1" applyBorder="1" applyAlignment="1">
      <alignment vertical="top" wrapText="1"/>
    </xf>
    <xf numFmtId="0" fontId="153" fillId="0" borderId="17" xfId="232" applyFont="1" applyBorder="1" applyAlignment="1">
      <alignment horizontal="right" vertical="top"/>
    </xf>
    <xf numFmtId="0" fontId="153" fillId="0" borderId="17" xfId="138" applyFont="1" applyBorder="1" applyAlignment="1">
      <alignment vertical="top" shrinkToFit="1"/>
    </xf>
    <xf numFmtId="0" fontId="153" fillId="0" borderId="17" xfId="232" applyFont="1" applyBorder="1"/>
    <xf numFmtId="49" fontId="153" fillId="0" borderId="17" xfId="232" applyNumberFormat="1" applyFont="1" applyBorder="1"/>
    <xf numFmtId="0" fontId="153" fillId="0" borderId="17" xfId="232" applyFont="1" applyBorder="1" applyAlignment="1">
      <alignment horizontal="center" vertical="center"/>
    </xf>
    <xf numFmtId="2" fontId="153" fillId="0" borderId="17" xfId="232" applyNumberFormat="1" applyFont="1" applyBorder="1" applyAlignment="1">
      <alignment horizontal="center" vertical="center"/>
    </xf>
    <xf numFmtId="1" fontId="153" fillId="0" borderId="17" xfId="232" applyNumberFormat="1" applyFont="1" applyBorder="1" applyAlignment="1">
      <alignment horizontal="center" vertical="center"/>
    </xf>
    <xf numFmtId="49" fontId="153" fillId="0" borderId="17" xfId="232" applyNumberFormat="1" applyFont="1" applyBorder="1" applyAlignment="1">
      <alignment horizontal="center" vertical="center"/>
    </xf>
    <xf numFmtId="164" fontId="153" fillId="0" borderId="17" xfId="232" applyNumberFormat="1" applyFont="1" applyBorder="1" applyAlignment="1">
      <alignment horizontal="center" vertical="center"/>
    </xf>
    <xf numFmtId="0" fontId="125" fillId="0" borderId="0" xfId="138" applyFont="1" applyAlignment="1">
      <alignment horizontal="center"/>
    </xf>
    <xf numFmtId="0" fontId="28" fillId="40" borderId="17" xfId="178" applyFont="1" applyFill="1" applyBorder="1" applyAlignment="1">
      <alignment vertical="top" wrapText="1"/>
    </xf>
    <xf numFmtId="0" fontId="140" fillId="0" borderId="0" xfId="302" applyFont="1" applyAlignment="1">
      <alignment horizontal="center"/>
    </xf>
    <xf numFmtId="172" fontId="28" fillId="0" borderId="17" xfId="182" applyNumberFormat="1" applyFont="1" applyFill="1" applyBorder="1" applyAlignment="1">
      <alignment horizontal="center" vertical="top" shrinkToFit="1"/>
    </xf>
    <xf numFmtId="172" fontId="40" fillId="0" borderId="17" xfId="138" applyNumberFormat="1" applyFont="1" applyFill="1" applyBorder="1" applyAlignment="1">
      <alignment horizontal="right" vertical="top" wrapText="1"/>
    </xf>
    <xf numFmtId="2" fontId="40" fillId="40" borderId="17" xfId="178" applyNumberFormat="1" applyFont="1" applyFill="1" applyBorder="1"/>
    <xf numFmtId="0" fontId="28" fillId="0" borderId="17" xfId="138" applyFont="1" applyFill="1" applyBorder="1" applyAlignment="1">
      <alignment horizontal="justify" vertical="top" wrapText="1"/>
    </xf>
    <xf numFmtId="0" fontId="122" fillId="0" borderId="17" xfId="293" applyFont="1" applyBorder="1" applyAlignment="1">
      <alignment horizontal="center" vertical="top" shrinkToFit="1" readingOrder="1"/>
    </xf>
    <xf numFmtId="0" fontId="112" fillId="0" borderId="17" xfId="293" applyFont="1" applyBorder="1" applyAlignment="1">
      <alignment horizontal="center" vertical="top" shrinkToFit="1" readingOrder="1"/>
    </xf>
    <xf numFmtId="0" fontId="112" fillId="0" borderId="17" xfId="293" applyFont="1" applyBorder="1" applyAlignment="1">
      <alignment horizontal="left" vertical="top" wrapText="1"/>
    </xf>
    <xf numFmtId="0" fontId="112" fillId="0" borderId="0" xfId="293" applyFont="1" applyBorder="1" applyAlignment="1">
      <alignment vertical="top"/>
    </xf>
    <xf numFmtId="0" fontId="123" fillId="0" borderId="17" xfId="293" applyFont="1" applyBorder="1" applyAlignment="1">
      <alignment horizontal="left" vertical="top" wrapText="1"/>
    </xf>
    <xf numFmtId="167" fontId="114" fillId="0" borderId="17" xfId="293" applyNumberFormat="1" applyFont="1" applyBorder="1" applyAlignment="1">
      <alignment horizontal="center" vertical="top" shrinkToFit="1" readingOrder="1"/>
    </xf>
    <xf numFmtId="0" fontId="114" fillId="0" borderId="17" xfId="293" applyFont="1" applyBorder="1" applyAlignment="1">
      <alignment horizontal="justify" vertical="top" wrapText="1"/>
    </xf>
    <xf numFmtId="0" fontId="114" fillId="0" borderId="17" xfId="293" applyFont="1" applyBorder="1" applyAlignment="1">
      <alignment horizontal="justify" vertical="top" shrinkToFit="1" readingOrder="1"/>
    </xf>
    <xf numFmtId="2" fontId="114" fillId="0" borderId="17" xfId="293" applyNumberFormat="1" applyFont="1" applyBorder="1" applyAlignment="1">
      <alignment horizontal="right" vertical="top" shrinkToFit="1" readingOrder="1"/>
    </xf>
    <xf numFmtId="164" fontId="114" fillId="0" borderId="17" xfId="293" applyNumberFormat="1" applyFont="1" applyBorder="1" applyAlignment="1">
      <alignment horizontal="center" vertical="top" shrinkToFit="1" readingOrder="1"/>
    </xf>
    <xf numFmtId="164" fontId="114" fillId="0" borderId="17" xfId="293" applyNumberFormat="1" applyFont="1" applyBorder="1" applyAlignment="1">
      <alignment horizontal="right" vertical="top" shrinkToFit="1" readingOrder="1"/>
    </xf>
    <xf numFmtId="167" fontId="114" fillId="0" borderId="0" xfId="293" applyNumberFormat="1" applyFont="1" applyBorder="1" applyAlignment="1">
      <alignment horizontal="center" vertical="top" wrapText="1"/>
    </xf>
    <xf numFmtId="0" fontId="28" fillId="0" borderId="17" xfId="293" applyFont="1" applyFill="1" applyBorder="1" applyAlignment="1">
      <alignment horizontal="center" vertical="top"/>
    </xf>
    <xf numFmtId="0" fontId="40" fillId="0" borderId="17" xfId="293" applyFont="1" applyFill="1" applyBorder="1" applyAlignment="1">
      <alignment horizontal="justify"/>
    </xf>
    <xf numFmtId="2" fontId="40" fillId="0" borderId="17" xfId="293" applyNumberFormat="1" applyFont="1" applyFill="1" applyBorder="1" applyAlignment="1"/>
    <xf numFmtId="0" fontId="28" fillId="0" borderId="17" xfId="293" applyFont="1" applyFill="1" applyBorder="1" applyAlignment="1"/>
    <xf numFmtId="0" fontId="28" fillId="0" borderId="0" xfId="293" applyFont="1" applyFill="1" applyBorder="1" applyAlignment="1">
      <alignment vertical="top"/>
    </xf>
    <xf numFmtId="0" fontId="28" fillId="0" borderId="17" xfId="293" applyFont="1" applyFill="1" applyBorder="1" applyAlignment="1">
      <alignment horizontal="justify"/>
    </xf>
    <xf numFmtId="2" fontId="28" fillId="0" borderId="17" xfId="293" applyNumberFormat="1" applyFont="1" applyFill="1" applyBorder="1" applyAlignment="1"/>
    <xf numFmtId="2" fontId="28" fillId="0" borderId="17" xfId="293" quotePrefix="1" applyNumberFormat="1" applyFont="1" applyFill="1" applyBorder="1" applyAlignment="1"/>
    <xf numFmtId="173" fontId="28" fillId="0" borderId="17" xfId="293" applyNumberFormat="1" applyFont="1" applyFill="1" applyBorder="1" applyAlignment="1"/>
    <xf numFmtId="173" fontId="40" fillId="0" borderId="17" xfId="293" applyNumberFormat="1" applyFont="1" applyFill="1" applyBorder="1" applyAlignment="1"/>
    <xf numFmtId="0" fontId="112" fillId="0" borderId="17" xfId="293" applyFont="1" applyBorder="1" applyAlignment="1">
      <alignment vertical="top" wrapText="1"/>
    </xf>
    <xf numFmtId="164" fontId="112" fillId="0" borderId="17" xfId="293" applyNumberFormat="1" applyFont="1" applyBorder="1" applyAlignment="1">
      <alignment horizontal="center" vertical="top" shrinkToFit="1" readingOrder="1"/>
    </xf>
    <xf numFmtId="173" fontId="112" fillId="0" borderId="17" xfId="293" applyNumberFormat="1" applyFont="1" applyBorder="1" applyAlignment="1">
      <alignment horizontal="center" vertical="top" shrinkToFit="1" readingOrder="1"/>
    </xf>
    <xf numFmtId="0" fontId="123" fillId="0" borderId="17" xfId="293" applyFont="1" applyBorder="1" applyAlignment="1">
      <alignment horizontal="center" vertical="top" shrinkToFit="1" readingOrder="1"/>
    </xf>
    <xf numFmtId="2" fontId="112" fillId="0" borderId="17" xfId="293" applyNumberFormat="1" applyFont="1" applyBorder="1" applyAlignment="1">
      <alignment horizontal="center" vertical="top" shrinkToFit="1" readingOrder="1"/>
    </xf>
    <xf numFmtId="0" fontId="152" fillId="0" borderId="17" xfId="293" applyFont="1" applyBorder="1" applyAlignment="1">
      <alignment horizontal="justify" vertical="top" wrapText="1"/>
    </xf>
    <xf numFmtId="2" fontId="112" fillId="0" borderId="17" xfId="293" applyNumberFormat="1" applyFont="1" applyBorder="1" applyAlignment="1">
      <alignment horizontal="right" vertical="top" shrinkToFit="1" readingOrder="1"/>
    </xf>
    <xf numFmtId="164" fontId="112" fillId="0" borderId="17" xfId="293" applyNumberFormat="1" applyFont="1" applyBorder="1" applyAlignment="1">
      <alignment horizontal="right" vertical="top" shrinkToFit="1" readingOrder="1"/>
    </xf>
    <xf numFmtId="0" fontId="112" fillId="0" borderId="17" xfId="293" applyFont="1" applyBorder="1" applyAlignment="1">
      <alignment horizontal="justify" vertical="top" wrapText="1"/>
    </xf>
    <xf numFmtId="2" fontId="114" fillId="0" borderId="17" xfId="293" applyNumberFormat="1" applyFont="1" applyBorder="1" applyAlignment="1">
      <alignment horizontal="center" vertical="top" shrinkToFit="1" readingOrder="1"/>
    </xf>
    <xf numFmtId="0" fontId="112" fillId="0" borderId="17" xfId="293" applyFont="1" applyBorder="1" applyAlignment="1">
      <alignment vertical="top"/>
    </xf>
    <xf numFmtId="9" fontId="112" fillId="0" borderId="17" xfId="293" applyNumberFormat="1" applyFont="1" applyBorder="1" applyAlignment="1">
      <alignment horizontal="center" vertical="top" shrinkToFit="1" readingOrder="1"/>
    </xf>
    <xf numFmtId="0" fontId="112" fillId="0" borderId="17" xfId="293" applyFont="1" applyFill="1" applyBorder="1" applyAlignment="1"/>
    <xf numFmtId="0" fontId="114" fillId="0" borderId="17" xfId="293" applyFont="1" applyBorder="1" applyAlignment="1">
      <alignment horizontal="center" vertical="top" shrinkToFit="1" readingOrder="1"/>
    </xf>
    <xf numFmtId="2" fontId="113" fillId="0" borderId="0" xfId="293" applyNumberFormat="1" applyFont="1" applyBorder="1" applyAlignment="1">
      <alignment horizontal="center"/>
    </xf>
    <xf numFmtId="0" fontId="114" fillId="0" borderId="0" xfId="293" applyFont="1" applyBorder="1" applyAlignment="1">
      <alignment vertical="top"/>
    </xf>
    <xf numFmtId="164" fontId="123" fillId="0" borderId="17" xfId="293" applyNumberFormat="1" applyFont="1" applyBorder="1" applyAlignment="1">
      <alignment horizontal="left" vertical="top" wrapText="1"/>
    </xf>
    <xf numFmtId="0" fontId="118" fillId="0" borderId="17" xfId="293" applyFont="1" applyFill="1" applyBorder="1" applyAlignment="1">
      <alignment horizontal="center" vertical="center" wrapText="1"/>
    </xf>
    <xf numFmtId="0" fontId="118" fillId="0" borderId="17" xfId="293" applyFont="1" applyFill="1" applyBorder="1" applyAlignment="1">
      <alignment wrapText="1"/>
    </xf>
    <xf numFmtId="0" fontId="118" fillId="0" borderId="0" xfId="293" applyFont="1" applyFill="1" applyBorder="1" applyAlignment="1">
      <alignment horizontal="center" vertical="center" wrapText="1"/>
    </xf>
    <xf numFmtId="0" fontId="130" fillId="0" borderId="17" xfId="293" applyFont="1" applyFill="1" applyBorder="1" applyAlignment="1">
      <alignment horizontal="center" vertical="center" wrapText="1"/>
    </xf>
    <xf numFmtId="2" fontId="118" fillId="0" borderId="17" xfId="293" applyNumberFormat="1" applyFont="1" applyFill="1" applyBorder="1" applyAlignment="1">
      <alignment wrapText="1"/>
    </xf>
    <xf numFmtId="2" fontId="118" fillId="39" borderId="17" xfId="293" applyNumberFormat="1" applyFont="1" applyFill="1" applyBorder="1" applyAlignment="1">
      <alignment wrapText="1"/>
    </xf>
    <xf numFmtId="165" fontId="118" fillId="0" borderId="17" xfId="293" applyNumberFormat="1" applyFont="1" applyFill="1" applyBorder="1" applyAlignment="1">
      <alignment wrapText="1"/>
    </xf>
    <xf numFmtId="0" fontId="118" fillId="0" borderId="17" xfId="293" applyFont="1" applyFill="1" applyBorder="1" applyAlignment="1"/>
    <xf numFmtId="2" fontId="118" fillId="0" borderId="17" xfId="293" applyNumberFormat="1" applyFont="1" applyBorder="1" applyAlignment="1"/>
    <xf numFmtId="2" fontId="118" fillId="0" borderId="17" xfId="293" applyNumberFormat="1" applyFont="1" applyFill="1" applyBorder="1" applyAlignment="1"/>
    <xf numFmtId="166" fontId="118" fillId="0" borderId="17" xfId="293" applyNumberFormat="1" applyFont="1" applyFill="1" applyBorder="1" applyAlignment="1">
      <alignment wrapText="1"/>
    </xf>
    <xf numFmtId="2" fontId="117" fillId="0" borderId="17" xfId="293" applyNumberFormat="1" applyFont="1" applyFill="1" applyBorder="1" applyAlignment="1"/>
    <xf numFmtId="165" fontId="117" fillId="0" borderId="17" xfId="293" applyNumberFormat="1" applyFont="1" applyFill="1" applyBorder="1" applyAlignment="1">
      <alignment horizontal="justify" wrapText="1"/>
    </xf>
    <xf numFmtId="0" fontId="118" fillId="0" borderId="0" xfId="293" applyFont="1" applyFill="1" applyBorder="1" applyAlignment="1"/>
    <xf numFmtId="0" fontId="130" fillId="0" borderId="17" xfId="293" applyFont="1" applyFill="1" applyBorder="1" applyAlignment="1"/>
    <xf numFmtId="0" fontId="117" fillId="0" borderId="17" xfId="293" applyFont="1" applyFill="1" applyBorder="1" applyAlignment="1">
      <alignment horizontal="left" vertical="center" wrapText="1"/>
    </xf>
    <xf numFmtId="166" fontId="118" fillId="0" borderId="17" xfId="293" applyNumberFormat="1" applyFont="1" applyFill="1" applyBorder="1" applyAlignment="1">
      <alignment horizontal="center" vertical="center" wrapText="1"/>
    </xf>
    <xf numFmtId="0" fontId="118" fillId="39" borderId="17" xfId="293" applyFont="1" applyFill="1" applyBorder="1" applyAlignment="1">
      <alignment horizontal="center" vertical="center" wrapText="1"/>
    </xf>
    <xf numFmtId="0" fontId="118" fillId="0" borderId="17" xfId="293" applyFont="1" applyFill="1" applyBorder="1" applyAlignment="1">
      <alignment horizontal="left" vertical="center" wrapText="1"/>
    </xf>
    <xf numFmtId="2" fontId="118" fillId="0" borderId="17" xfId="293" applyNumberFormat="1" applyFont="1" applyFill="1" applyBorder="1" applyAlignment="1">
      <alignment horizontal="center" vertical="center" wrapText="1"/>
    </xf>
    <xf numFmtId="165" fontId="118" fillId="0" borderId="17" xfId="293" applyNumberFormat="1" applyFont="1" applyFill="1" applyBorder="1" applyAlignment="1">
      <alignment horizontal="center" vertical="center" wrapText="1"/>
    </xf>
    <xf numFmtId="2" fontId="117" fillId="0" borderId="17" xfId="293" applyNumberFormat="1" applyFont="1" applyFill="1" applyBorder="1" applyAlignment="1">
      <alignment horizontal="center" vertical="center" wrapText="1"/>
    </xf>
    <xf numFmtId="0" fontId="112" fillId="0" borderId="17" xfId="293" applyFont="1" applyFill="1" applyBorder="1" applyAlignment="1">
      <alignment horizontal="center" vertical="center" wrapText="1"/>
    </xf>
    <xf numFmtId="165" fontId="117" fillId="0" borderId="17" xfId="293" applyNumberFormat="1" applyFont="1" applyFill="1" applyBorder="1" applyAlignment="1">
      <alignment horizontal="center" vertical="center" wrapText="1"/>
    </xf>
    <xf numFmtId="0" fontId="117" fillId="0" borderId="17" xfId="293" applyFont="1" applyFill="1" applyBorder="1" applyAlignment="1">
      <alignment horizontal="center" vertical="center" wrapText="1"/>
    </xf>
    <xf numFmtId="1" fontId="112" fillId="0" borderId="17" xfId="293" applyNumberFormat="1" applyFont="1" applyBorder="1" applyAlignment="1">
      <alignment horizontal="right" vertical="top" shrinkToFit="1" readingOrder="1"/>
    </xf>
    <xf numFmtId="0" fontId="167" fillId="0" borderId="0" xfId="305" applyFont="1" applyAlignment="1">
      <alignment vertical="center"/>
    </xf>
    <xf numFmtId="0" fontId="166" fillId="0" borderId="0" xfId="305" applyFont="1" applyAlignment="1">
      <alignment horizontal="center" vertical="center"/>
    </xf>
    <xf numFmtId="0" fontId="166" fillId="0" borderId="0" xfId="305" applyFont="1" applyAlignment="1">
      <alignment horizontal="left" vertical="center"/>
    </xf>
    <xf numFmtId="0" fontId="166" fillId="0" borderId="0" xfId="305" applyFont="1" applyAlignment="1">
      <alignment vertical="center"/>
    </xf>
    <xf numFmtId="0" fontId="166" fillId="0" borderId="8" xfId="306" applyFont="1" applyFill="1" applyBorder="1" applyAlignment="1">
      <alignment horizontal="center" vertical="center" textRotation="90" wrapText="1"/>
    </xf>
    <xf numFmtId="0" fontId="166" fillId="0" borderId="8" xfId="305" applyFont="1" applyBorder="1" applyAlignment="1">
      <alignment horizontal="center" vertical="center" textRotation="90" wrapText="1"/>
    </xf>
    <xf numFmtId="0" fontId="166" fillId="0" borderId="8" xfId="305" applyFont="1" applyBorder="1" applyAlignment="1">
      <alignment horizontal="center" vertical="center" textRotation="90" shrinkToFit="1"/>
    </xf>
    <xf numFmtId="0" fontId="166" fillId="0" borderId="8" xfId="306" applyFont="1" applyFill="1" applyBorder="1" applyAlignment="1">
      <alignment horizontal="center" vertical="center"/>
    </xf>
    <xf numFmtId="0" fontId="166" fillId="0" borderId="8" xfId="305" applyFont="1" applyBorder="1" applyAlignment="1">
      <alignment horizontal="center" vertical="center"/>
    </xf>
    <xf numFmtId="0" fontId="166" fillId="0" borderId="16" xfId="306" applyFont="1" applyBorder="1" applyAlignment="1">
      <alignment horizontal="center" vertical="center"/>
    </xf>
    <xf numFmtId="1" fontId="166" fillId="0" borderId="16" xfId="306" applyNumberFormat="1" applyFont="1" applyBorder="1" applyAlignment="1">
      <alignment horizontal="center" vertical="center"/>
    </xf>
    <xf numFmtId="0" fontId="166" fillId="0" borderId="17" xfId="306" applyFont="1" applyBorder="1" applyAlignment="1">
      <alignment horizontal="center" vertical="center"/>
    </xf>
    <xf numFmtId="0" fontId="167" fillId="0" borderId="17" xfId="305" applyFont="1" applyBorder="1" applyAlignment="1">
      <alignment vertical="center"/>
    </xf>
    <xf numFmtId="2" fontId="166" fillId="0" borderId="17" xfId="306" applyNumberFormat="1" applyFont="1" applyBorder="1" applyAlignment="1">
      <alignment horizontal="center" vertical="center"/>
    </xf>
    <xf numFmtId="0" fontId="167" fillId="0" borderId="17" xfId="306" applyFont="1" applyBorder="1" applyAlignment="1">
      <alignment horizontal="center" vertical="center"/>
    </xf>
    <xf numFmtId="0" fontId="166" fillId="0" borderId="18" xfId="306" applyFont="1" applyBorder="1" applyAlignment="1">
      <alignment horizontal="center" vertical="center"/>
    </xf>
    <xf numFmtId="0" fontId="167" fillId="0" borderId="18" xfId="306" applyFont="1" applyBorder="1" applyAlignment="1">
      <alignment horizontal="center" vertical="center"/>
    </xf>
    <xf numFmtId="2" fontId="166" fillId="0" borderId="18" xfId="306" applyNumberFormat="1" applyFont="1" applyBorder="1" applyAlignment="1">
      <alignment horizontal="center" vertical="center"/>
    </xf>
    <xf numFmtId="0" fontId="167" fillId="0" borderId="17" xfId="306" applyNumberFormat="1" applyFont="1" applyFill="1" applyBorder="1" applyAlignment="1" applyProtection="1">
      <alignment horizontal="justify" vertical="center" wrapText="1"/>
    </xf>
    <xf numFmtId="2" fontId="167" fillId="0" borderId="17" xfId="306" applyNumberFormat="1" applyFont="1" applyBorder="1" applyAlignment="1">
      <alignment horizontal="right" vertical="center" shrinkToFit="1"/>
    </xf>
    <xf numFmtId="2" fontId="167" fillId="0" borderId="17" xfId="306" applyNumberFormat="1" applyFont="1" applyBorder="1" applyAlignment="1">
      <alignment horizontal="center" vertical="center" shrinkToFit="1"/>
    </xf>
    <xf numFmtId="2" fontId="167" fillId="0" borderId="17" xfId="305" applyNumberFormat="1" applyFont="1" applyBorder="1" applyAlignment="1">
      <alignment vertical="center" shrinkToFit="1"/>
    </xf>
    <xf numFmtId="0" fontId="167" fillId="0" borderId="17" xfId="306" applyNumberFormat="1" applyFont="1" applyFill="1" applyBorder="1" applyAlignment="1" applyProtection="1">
      <alignment horizontal="right" vertical="center" shrinkToFit="1"/>
    </xf>
    <xf numFmtId="2" fontId="167" fillId="0" borderId="17" xfId="306" applyNumberFormat="1" applyFont="1" applyFill="1" applyBorder="1" applyAlignment="1" applyProtection="1">
      <alignment horizontal="right" vertical="center" shrinkToFit="1"/>
    </xf>
    <xf numFmtId="1" fontId="167" fillId="0" borderId="17" xfId="306" applyNumberFormat="1" applyFont="1" applyBorder="1" applyAlignment="1">
      <alignment vertical="center" shrinkToFit="1"/>
    </xf>
    <xf numFmtId="2" fontId="167" fillId="0" borderId="0" xfId="134" applyNumberFormat="1" applyFont="1" applyBorder="1" applyAlignment="1">
      <alignment horizontal="right" vertical="center" wrapText="1"/>
    </xf>
    <xf numFmtId="2" fontId="167" fillId="0" borderId="17" xfId="306" applyNumberFormat="1" applyFont="1" applyBorder="1" applyAlignment="1">
      <alignment vertical="center" shrinkToFit="1"/>
    </xf>
    <xf numFmtId="0" fontId="167" fillId="0" borderId="17" xfId="306" applyFont="1" applyBorder="1" applyAlignment="1">
      <alignment horizontal="right" vertical="center" shrinkToFit="1"/>
    </xf>
    <xf numFmtId="0" fontId="167" fillId="0" borderId="17" xfId="306" applyFont="1" applyBorder="1" applyAlignment="1">
      <alignment vertical="center" shrinkToFit="1"/>
    </xf>
    <xf numFmtId="0" fontId="167" fillId="0" borderId="17" xfId="305" applyFont="1" applyBorder="1" applyAlignment="1">
      <alignment vertical="center" shrinkToFit="1"/>
    </xf>
    <xf numFmtId="0" fontId="167" fillId="0" borderId="17" xfId="306" applyNumberFormat="1" applyFont="1" applyFill="1" applyBorder="1" applyAlignment="1" applyProtection="1">
      <alignment horizontal="justify" vertical="center"/>
    </xf>
    <xf numFmtId="1" fontId="167" fillId="0" borderId="17" xfId="306" applyNumberFormat="1" applyFont="1" applyFill="1" applyBorder="1" applyAlignment="1" applyProtection="1">
      <alignment horizontal="right" vertical="center" shrinkToFit="1"/>
    </xf>
    <xf numFmtId="1" fontId="166" fillId="0" borderId="17" xfId="306" applyNumberFormat="1" applyFont="1" applyBorder="1" applyAlignment="1">
      <alignment vertical="center" shrinkToFit="1"/>
    </xf>
    <xf numFmtId="1" fontId="167" fillId="0" borderId="17" xfId="305" applyNumberFormat="1" applyFont="1" applyBorder="1" applyAlignment="1">
      <alignment vertical="center" shrinkToFit="1"/>
    </xf>
    <xf numFmtId="1" fontId="166" fillId="0" borderId="17" xfId="305" applyNumberFormat="1" applyFont="1" applyBorder="1" applyAlignment="1">
      <alignment vertical="center" shrinkToFit="1"/>
    </xf>
    <xf numFmtId="1" fontId="167" fillId="0" borderId="17" xfId="134" applyNumberFormat="1" applyFont="1" applyBorder="1" applyAlignment="1">
      <alignment horizontal="right" vertical="center" wrapText="1"/>
    </xf>
    <xf numFmtId="2" fontId="166" fillId="0" borderId="17" xfId="305" applyNumberFormat="1" applyFont="1" applyBorder="1" applyAlignment="1">
      <alignment vertical="center" shrinkToFit="1"/>
    </xf>
    <xf numFmtId="0" fontId="166" fillId="0" borderId="17" xfId="305" applyFont="1" applyBorder="1" applyAlignment="1">
      <alignment vertical="center"/>
    </xf>
    <xf numFmtId="2" fontId="166" fillId="0" borderId="17" xfId="306" applyNumberFormat="1" applyFont="1" applyBorder="1" applyAlignment="1">
      <alignment horizontal="right" vertical="center" shrinkToFit="1"/>
    </xf>
    <xf numFmtId="2" fontId="166" fillId="0" borderId="17" xfId="306" applyNumberFormat="1" applyFont="1" applyBorder="1" applyAlignment="1">
      <alignment vertical="center" shrinkToFit="1"/>
    </xf>
    <xf numFmtId="0" fontId="166" fillId="0" borderId="70" xfId="306" applyFont="1" applyBorder="1" applyAlignment="1">
      <alignment horizontal="right" vertical="center" shrinkToFit="1"/>
    </xf>
    <xf numFmtId="0" fontId="166" fillId="0" borderId="70" xfId="306" applyFont="1" applyBorder="1" applyAlignment="1">
      <alignment horizontal="center" vertical="center" shrinkToFit="1"/>
    </xf>
    <xf numFmtId="2" fontId="166" fillId="0" borderId="70" xfId="306" applyNumberFormat="1" applyFont="1" applyBorder="1" applyAlignment="1">
      <alignment vertical="center" shrinkToFit="1"/>
    </xf>
    <xf numFmtId="0" fontId="166" fillId="0" borderId="70" xfId="305" applyFont="1" applyBorder="1" applyAlignment="1">
      <alignment vertical="center" shrinkToFit="1"/>
    </xf>
    <xf numFmtId="1" fontId="166" fillId="0" borderId="70" xfId="305" applyNumberFormat="1" applyFont="1" applyBorder="1" applyAlignment="1">
      <alignment vertical="center" shrinkToFit="1"/>
    </xf>
    <xf numFmtId="1" fontId="166" fillId="0" borderId="71" xfId="305" applyNumberFormat="1" applyFont="1" applyBorder="1" applyAlignment="1">
      <alignment vertical="center" shrinkToFit="1"/>
    </xf>
    <xf numFmtId="0" fontId="166" fillId="0" borderId="72" xfId="306" applyFont="1" applyBorder="1" applyAlignment="1">
      <alignment horizontal="right" vertical="center" wrapText="1"/>
    </xf>
    <xf numFmtId="2" fontId="166" fillId="0" borderId="70" xfId="306" applyNumberFormat="1" applyFont="1" applyBorder="1" applyAlignment="1">
      <alignment horizontal="center" vertical="center" shrinkToFit="1"/>
    </xf>
    <xf numFmtId="1" fontId="166" fillId="0" borderId="70" xfId="306" applyNumberFormat="1" applyFont="1" applyBorder="1" applyAlignment="1">
      <alignment horizontal="center" vertical="center" shrinkToFit="1"/>
    </xf>
    <xf numFmtId="0" fontId="166" fillId="0" borderId="0" xfId="306" applyFont="1" applyBorder="1" applyAlignment="1">
      <alignment horizontal="right" vertical="center" wrapText="1"/>
    </xf>
    <xf numFmtId="0" fontId="167" fillId="0" borderId="0" xfId="306" applyFont="1" applyBorder="1" applyAlignment="1">
      <alignment vertical="center"/>
    </xf>
    <xf numFmtId="2" fontId="166" fillId="0" borderId="0" xfId="306" applyNumberFormat="1" applyFont="1" applyBorder="1" applyAlignment="1">
      <alignment horizontal="center" vertical="center"/>
    </xf>
    <xf numFmtId="2" fontId="167" fillId="0" borderId="0" xfId="306" applyNumberFormat="1" applyFont="1" applyBorder="1" applyAlignment="1">
      <alignment horizontal="center" vertical="center" shrinkToFit="1"/>
    </xf>
    <xf numFmtId="2" fontId="166" fillId="0" borderId="0" xfId="306" applyNumberFormat="1" applyFont="1" applyBorder="1" applyAlignment="1">
      <alignment horizontal="center" vertical="center" shrinkToFit="1"/>
    </xf>
    <xf numFmtId="0" fontId="166" fillId="0" borderId="0" xfId="305" applyFont="1" applyFill="1" applyBorder="1" applyAlignment="1">
      <alignment horizontal="center" vertical="center" wrapText="1"/>
    </xf>
    <xf numFmtId="0" fontId="167" fillId="0" borderId="0" xfId="305" applyFont="1" applyFill="1" applyBorder="1" applyAlignment="1">
      <alignment vertical="center" wrapText="1"/>
    </xf>
    <xf numFmtId="2" fontId="167" fillId="0" borderId="73" xfId="306" applyNumberFormat="1" applyFont="1" applyBorder="1" applyAlignment="1">
      <alignment horizontal="center" vertical="center" shrinkToFit="1"/>
    </xf>
    <xf numFmtId="0" fontId="167" fillId="0" borderId="0" xfId="305" applyFont="1" applyAlignment="1">
      <alignment horizontal="center" vertical="center"/>
    </xf>
    <xf numFmtId="2" fontId="167" fillId="0" borderId="0" xfId="305" applyNumberFormat="1" applyFont="1" applyFill="1" applyBorder="1" applyAlignment="1">
      <alignment horizontal="right" vertical="center" wrapText="1"/>
    </xf>
    <xf numFmtId="0" fontId="167" fillId="0" borderId="0" xfId="307" applyFont="1" applyBorder="1" applyAlignment="1">
      <alignment horizontal="center" vertical="center" wrapText="1" shrinkToFit="1"/>
    </xf>
    <xf numFmtId="0" fontId="167" fillId="0" borderId="0" xfId="307" applyFont="1" applyBorder="1" applyAlignment="1">
      <alignment vertical="center" wrapText="1" shrinkToFit="1"/>
    </xf>
    <xf numFmtId="0" fontId="28" fillId="0" borderId="17" xfId="138" applyFont="1" applyFill="1" applyBorder="1" applyAlignment="1">
      <alignment horizontal="justify" vertical="top" wrapText="1"/>
    </xf>
    <xf numFmtId="165" fontId="112" fillId="0" borderId="17" xfId="134" applyNumberFormat="1" applyFont="1" applyFill="1" applyBorder="1" applyAlignment="1">
      <alignment horizontal="justify" vertical="top" wrapText="1"/>
    </xf>
    <xf numFmtId="0" fontId="153" fillId="0" borderId="17" xfId="232" applyFont="1" applyFill="1" applyBorder="1" applyAlignment="1">
      <alignment horizontal="right" vertical="top"/>
    </xf>
    <xf numFmtId="0" fontId="153" fillId="0" borderId="17" xfId="138" applyFont="1" applyFill="1" applyBorder="1" applyAlignment="1">
      <alignment vertical="top" shrinkToFit="1"/>
    </xf>
    <xf numFmtId="49" fontId="153" fillId="0" borderId="17" xfId="232" applyNumberFormat="1" applyFont="1" applyFill="1" applyBorder="1" applyAlignment="1">
      <alignment horizontal="center" vertical="center"/>
    </xf>
    <xf numFmtId="1" fontId="153" fillId="0" borderId="17" xfId="232" applyNumberFormat="1" applyFont="1" applyFill="1" applyBorder="1" applyAlignment="1">
      <alignment horizontal="center" vertical="center"/>
    </xf>
    <xf numFmtId="164" fontId="153" fillId="0" borderId="17" xfId="232" applyNumberFormat="1" applyFont="1" applyFill="1" applyBorder="1" applyAlignment="1">
      <alignment horizontal="center" vertical="center"/>
    </xf>
    <xf numFmtId="2" fontId="153" fillId="0" borderId="17" xfId="232" applyNumberFormat="1" applyFont="1" applyFill="1" applyBorder="1" applyAlignment="1">
      <alignment horizontal="center" vertical="center"/>
    </xf>
    <xf numFmtId="0" fontId="28" fillId="0" borderId="17" xfId="138" applyFont="1" applyFill="1" applyBorder="1" applyAlignment="1">
      <alignment horizontal="justify" vertical="top" wrapText="1"/>
    </xf>
    <xf numFmtId="0" fontId="141" fillId="0" borderId="0" xfId="0" applyFont="1" applyAlignment="1">
      <alignment horizontal="left" vertical="top" wrapText="1"/>
    </xf>
    <xf numFmtId="0" fontId="159" fillId="0" borderId="23" xfId="138" applyFont="1" applyFill="1" applyBorder="1" applyAlignment="1">
      <alignment horizontal="justify" vertical="top" wrapText="1"/>
    </xf>
    <xf numFmtId="0" fontId="28" fillId="0" borderId="24" xfId="138" applyFont="1" applyFill="1" applyBorder="1" applyAlignment="1">
      <alignment horizontal="justify" vertical="top" wrapText="1"/>
    </xf>
    <xf numFmtId="0" fontId="28" fillId="0" borderId="25" xfId="138" applyFont="1" applyFill="1" applyBorder="1" applyAlignment="1">
      <alignment horizontal="justify" vertical="top" wrapText="1"/>
    </xf>
    <xf numFmtId="0" fontId="159" fillId="0" borderId="23" xfId="138" applyFont="1" applyFill="1" applyBorder="1" applyAlignment="1">
      <alignment vertical="top"/>
    </xf>
    <xf numFmtId="1" fontId="28" fillId="0" borderId="8" xfId="143" applyNumberFormat="1" applyFont="1" applyFill="1" applyBorder="1" applyAlignment="1">
      <alignment horizontal="center" vertical="top" wrapText="1"/>
    </xf>
    <xf numFmtId="2" fontId="40" fillId="0" borderId="8" xfId="143" applyNumberFormat="1" applyFont="1" applyFill="1" applyBorder="1" applyAlignment="1">
      <alignment horizontal="center" vertical="center" wrapText="1"/>
    </xf>
    <xf numFmtId="0" fontId="28" fillId="0" borderId="0" xfId="143" applyFont="1" applyFill="1" applyBorder="1" applyAlignment="1">
      <alignment horizontal="center" vertical="center"/>
    </xf>
    <xf numFmtId="0" fontId="40" fillId="0" borderId="8" xfId="143" applyNumberFormat="1" applyFont="1" applyFill="1" applyBorder="1" applyAlignment="1">
      <alignment horizontal="left" vertical="center" wrapText="1"/>
    </xf>
    <xf numFmtId="2" fontId="28" fillId="0" borderId="8" xfId="143" applyNumberFormat="1" applyFont="1" applyFill="1" applyBorder="1" applyAlignment="1">
      <alignment horizontal="center" vertical="center" wrapText="1"/>
    </xf>
    <xf numFmtId="164" fontId="28" fillId="0" borderId="8" xfId="143" applyNumberFormat="1" applyFont="1" applyFill="1" applyBorder="1" applyAlignment="1">
      <alignment horizontal="center" vertical="center" wrapText="1"/>
    </xf>
    <xf numFmtId="1" fontId="28" fillId="0" borderId="8" xfId="143" applyNumberFormat="1" applyFont="1" applyFill="1" applyBorder="1" applyAlignment="1">
      <alignment horizontal="center" vertical="center" wrapText="1"/>
    </xf>
    <xf numFmtId="0" fontId="28" fillId="0" borderId="8" xfId="143" applyFont="1" applyFill="1" applyBorder="1" applyAlignment="1">
      <alignment horizontal="center" vertical="center" wrapText="1"/>
    </xf>
    <xf numFmtId="2" fontId="28" fillId="0" borderId="37" xfId="143" applyNumberFormat="1" applyFont="1" applyFill="1" applyBorder="1" applyAlignment="1">
      <alignment horizontal="center" vertical="center" wrapText="1"/>
    </xf>
    <xf numFmtId="0" fontId="28" fillId="0" borderId="8" xfId="143" applyNumberFormat="1" applyFont="1" applyFill="1" applyBorder="1" applyAlignment="1">
      <alignment horizontal="left" vertical="center" wrapText="1"/>
    </xf>
    <xf numFmtId="164" fontId="28" fillId="0" borderId="8" xfId="143" applyNumberFormat="1" applyFont="1" applyFill="1" applyBorder="1" applyAlignment="1">
      <alignment horizontal="right" vertical="center" wrapText="1"/>
    </xf>
    <xf numFmtId="164" fontId="28" fillId="0" borderId="8" xfId="143" applyNumberFormat="1" applyFont="1" applyFill="1" applyBorder="1" applyAlignment="1">
      <alignment horizontal="left" vertical="center" wrapText="1"/>
    </xf>
    <xf numFmtId="2" fontId="28" fillId="0" borderId="8" xfId="143" applyNumberFormat="1" applyFont="1" applyFill="1" applyBorder="1" applyAlignment="1">
      <alignment horizontal="right" vertical="center" wrapText="1"/>
    </xf>
    <xf numFmtId="1" fontId="28" fillId="0" borderId="8" xfId="143" applyNumberFormat="1" applyFont="1" applyFill="1" applyBorder="1" applyAlignment="1">
      <alignment horizontal="right" vertical="center" wrapText="1"/>
    </xf>
    <xf numFmtId="0" fontId="28" fillId="0" borderId="8" xfId="143" applyFont="1" applyFill="1" applyBorder="1" applyAlignment="1">
      <alignment horizontal="left" vertical="center" wrapText="1"/>
    </xf>
    <xf numFmtId="2" fontId="28" fillId="0" borderId="37" xfId="143" applyNumberFormat="1" applyFont="1" applyFill="1" applyBorder="1" applyAlignment="1">
      <alignment horizontal="right" shrinkToFit="1"/>
    </xf>
    <xf numFmtId="164" fontId="40" fillId="0" borderId="8" xfId="143" applyNumberFormat="1" applyFont="1" applyFill="1" applyBorder="1" applyAlignment="1">
      <alignment horizontal="center" vertical="center" wrapText="1"/>
    </xf>
    <xf numFmtId="1" fontId="40" fillId="0" borderId="8" xfId="143" applyNumberFormat="1" applyFont="1" applyFill="1" applyBorder="1" applyAlignment="1">
      <alignment horizontal="center" vertical="center" wrapText="1"/>
    </xf>
    <xf numFmtId="0" fontId="40" fillId="0" borderId="8" xfId="143" applyFont="1" applyFill="1" applyBorder="1" applyAlignment="1">
      <alignment horizontal="center" vertical="center" wrapText="1"/>
    </xf>
    <xf numFmtId="2" fontId="40" fillId="0" borderId="37" xfId="143" applyNumberFormat="1" applyFont="1" applyFill="1" applyBorder="1" applyAlignment="1">
      <alignment horizontal="right" shrinkToFit="1"/>
    </xf>
    <xf numFmtId="0" fontId="40" fillId="0" borderId="8" xfId="143" applyNumberFormat="1" applyFont="1" applyFill="1" applyBorder="1" applyAlignment="1">
      <alignment horizontal="center" vertical="center" wrapText="1"/>
    </xf>
    <xf numFmtId="1" fontId="40" fillId="0" borderId="37" xfId="143" applyNumberFormat="1" applyFont="1" applyFill="1" applyBorder="1" applyAlignment="1">
      <alignment horizontal="right" shrinkToFit="1"/>
    </xf>
    <xf numFmtId="0" fontId="28" fillId="0" borderId="8" xfId="143" applyFont="1" applyFill="1" applyBorder="1" applyAlignment="1">
      <alignment horizontal="center" vertical="center"/>
    </xf>
    <xf numFmtId="0" fontId="28" fillId="0" borderId="37" xfId="143" applyFont="1" applyFill="1" applyBorder="1" applyAlignment="1">
      <alignment horizontal="center" vertical="center"/>
    </xf>
    <xf numFmtId="1" fontId="40" fillId="0" borderId="37" xfId="143" applyNumberFormat="1" applyFont="1" applyFill="1" applyBorder="1" applyAlignment="1">
      <alignment horizontal="center" vertical="center" wrapText="1"/>
    </xf>
    <xf numFmtId="2" fontId="28" fillId="0" borderId="8" xfId="143" applyNumberFormat="1" applyFont="1" applyFill="1" applyBorder="1" applyAlignment="1">
      <alignment horizontal="left" vertical="center" wrapText="1"/>
    </xf>
    <xf numFmtId="0" fontId="0" fillId="0" borderId="0" xfId="138" applyFont="1" applyFill="1" applyAlignment="1">
      <alignment horizontal="center" vertical="top"/>
    </xf>
    <xf numFmtId="0" fontId="1" fillId="0" borderId="0" xfId="138" applyFont="1" applyFill="1" applyAlignment="1">
      <alignment horizontal="center" vertical="top"/>
    </xf>
    <xf numFmtId="0" fontId="125" fillId="0" borderId="0" xfId="134" applyFont="1" applyBorder="1" applyAlignment="1">
      <alignment horizontal="center" vertical="top"/>
    </xf>
    <xf numFmtId="0" fontId="169" fillId="0" borderId="0" xfId="305" applyFont="1" applyAlignment="1">
      <alignment horizontal="center" vertical="center"/>
    </xf>
    <xf numFmtId="0" fontId="169" fillId="0" borderId="0" xfId="305" applyFont="1" applyAlignment="1">
      <alignment vertical="center"/>
    </xf>
    <xf numFmtId="0" fontId="170" fillId="0" borderId="0" xfId="134" applyFont="1" applyAlignment="1">
      <alignment horizontal="center"/>
    </xf>
    <xf numFmtId="1" fontId="166" fillId="0" borderId="17" xfId="306" applyNumberFormat="1" applyFont="1" applyBorder="1" applyAlignment="1">
      <alignment horizontal="center" vertical="center" shrinkToFit="1"/>
    </xf>
    <xf numFmtId="0" fontId="167" fillId="0" borderId="17" xfId="305" applyFont="1" applyBorder="1" applyAlignment="1">
      <alignment horizontal="center" vertical="center"/>
    </xf>
    <xf numFmtId="1" fontId="167" fillId="0" borderId="17" xfId="306" applyNumberFormat="1" applyFont="1" applyBorder="1" applyAlignment="1">
      <alignment horizontal="center" vertical="center" shrinkToFit="1"/>
    </xf>
    <xf numFmtId="1" fontId="167" fillId="0" borderId="17" xfId="305" applyNumberFormat="1" applyFont="1" applyBorder="1" applyAlignment="1">
      <alignment horizontal="center" vertical="center" shrinkToFit="1"/>
    </xf>
    <xf numFmtId="2" fontId="167" fillId="0" borderId="17" xfId="305" applyNumberFormat="1" applyFont="1" applyBorder="1" applyAlignment="1">
      <alignment horizontal="center" vertical="center" shrinkToFit="1"/>
    </xf>
    <xf numFmtId="0" fontId="38" fillId="0" borderId="17" xfId="138" applyFont="1" applyFill="1" applyBorder="1" applyAlignment="1">
      <alignment vertical="top" wrapText="1"/>
    </xf>
    <xf numFmtId="0" fontId="40" fillId="0" borderId="17" xfId="0" applyFont="1" applyFill="1" applyBorder="1" applyAlignment="1">
      <alignment horizontal="justify" vertical="top" wrapText="1"/>
    </xf>
    <xf numFmtId="165" fontId="112" fillId="0" borderId="17" xfId="134" applyNumberFormat="1" applyFont="1" applyFill="1" applyBorder="1" applyAlignment="1">
      <alignment horizontal="justify" vertical="top" wrapText="1"/>
    </xf>
    <xf numFmtId="0" fontId="28" fillId="0" borderId="8" xfId="0" applyFont="1" applyBorder="1" applyAlignment="1">
      <alignment horizontal="center" vertical="top" shrinkToFit="1"/>
    </xf>
    <xf numFmtId="0" fontId="28" fillId="0" borderId="0" xfId="234" applyFont="1" applyBorder="1"/>
    <xf numFmtId="0" fontId="28" fillId="0" borderId="8" xfId="0" applyFont="1" applyBorder="1" applyAlignment="1">
      <alignment horizontal="justify" vertical="top" wrapText="1"/>
    </xf>
    <xf numFmtId="0" fontId="40" fillId="0" borderId="8" xfId="0" applyFont="1" applyBorder="1" applyAlignment="1">
      <alignment horizontal="justify" vertical="top" wrapText="1"/>
    </xf>
    <xf numFmtId="2" fontId="40" fillId="0" borderId="8" xfId="0" applyNumberFormat="1" applyFont="1" applyBorder="1" applyAlignment="1">
      <alignment horizontal="center" vertical="top" shrinkToFit="1"/>
    </xf>
    <xf numFmtId="1" fontId="40" fillId="0" borderId="8" xfId="0" applyNumberFormat="1" applyFont="1" applyBorder="1" applyAlignment="1">
      <alignment horizontal="center" vertical="top" shrinkToFit="1"/>
    </xf>
    <xf numFmtId="0" fontId="40" fillId="0" borderId="8" xfId="0" applyFont="1" applyBorder="1" applyAlignment="1">
      <alignment horizontal="center" vertical="top" shrinkToFit="1"/>
    </xf>
    <xf numFmtId="2" fontId="28" fillId="0" borderId="8" xfId="0" applyNumberFormat="1" applyFont="1" applyBorder="1" applyAlignment="1">
      <alignment vertical="top" shrinkToFit="1"/>
    </xf>
    <xf numFmtId="0" fontId="28" fillId="0" borderId="8" xfId="234" applyFont="1" applyBorder="1"/>
    <xf numFmtId="2" fontId="40" fillId="0" borderId="8" xfId="0" applyNumberFormat="1" applyFont="1" applyBorder="1" applyAlignment="1">
      <alignment vertical="top" shrinkToFit="1"/>
    </xf>
    <xf numFmtId="0" fontId="112" fillId="0" borderId="19" xfId="0" applyFont="1" applyFill="1" applyBorder="1" applyAlignment="1"/>
    <xf numFmtId="0" fontId="123" fillId="0" borderId="18" xfId="0" applyFont="1" applyFill="1" applyBorder="1" applyAlignment="1">
      <alignment horizontal="center" vertical="center"/>
    </xf>
    <xf numFmtId="167" fontId="112" fillId="0" borderId="18" xfId="0" applyNumberFormat="1" applyFont="1" applyFill="1" applyBorder="1" applyAlignment="1">
      <alignment horizontal="center" vertical="top" wrapText="1"/>
    </xf>
    <xf numFmtId="165" fontId="114" fillId="0" borderId="18" xfId="0" applyNumberFormat="1" applyFont="1" applyFill="1" applyBorder="1" applyAlignment="1">
      <alignment horizontal="right" wrapText="1"/>
    </xf>
    <xf numFmtId="0" fontId="122" fillId="0" borderId="16" xfId="0" applyFont="1" applyFill="1" applyBorder="1" applyAlignment="1">
      <alignment horizontal="center" vertical="top" wrapText="1"/>
    </xf>
    <xf numFmtId="167" fontId="114" fillId="0" borderId="16" xfId="0" applyNumberFormat="1" applyFont="1" applyFill="1" applyBorder="1" applyAlignment="1">
      <alignment horizontal="center" vertical="top" wrapText="1"/>
    </xf>
    <xf numFmtId="165" fontId="112" fillId="0" borderId="16" xfId="0" applyNumberFormat="1" applyFont="1" applyFill="1" applyBorder="1" applyAlignment="1">
      <alignment horizontal="right" wrapText="1"/>
    </xf>
    <xf numFmtId="0" fontId="40" fillId="0" borderId="17" xfId="0" applyFont="1" applyFill="1" applyBorder="1" applyAlignment="1">
      <alignment wrapText="1"/>
    </xf>
    <xf numFmtId="0" fontId="28" fillId="0" borderId="17" xfId="0" applyFont="1" applyFill="1" applyBorder="1" applyAlignment="1">
      <alignment horizontal="right" vertical="top" shrinkToFit="1"/>
    </xf>
    <xf numFmtId="0" fontId="28" fillId="0" borderId="17" xfId="0" applyFont="1" applyFill="1" applyBorder="1" applyAlignment="1">
      <alignment horizontal="center" vertical="top" shrinkToFit="1"/>
    </xf>
    <xf numFmtId="2" fontId="28" fillId="0" borderId="17" xfId="0" applyNumberFormat="1" applyFont="1" applyFill="1" applyBorder="1" applyAlignment="1">
      <alignment vertical="top" shrinkToFit="1"/>
    </xf>
    <xf numFmtId="1" fontId="28" fillId="0" borderId="17" xfId="0" applyNumberFormat="1" applyFont="1" applyFill="1" applyBorder="1" applyAlignment="1">
      <alignment vertical="top" shrinkToFit="1"/>
    </xf>
    <xf numFmtId="0" fontId="28" fillId="0" borderId="17" xfId="0" applyNumberFormat="1" applyFont="1" applyFill="1" applyBorder="1" applyAlignment="1">
      <alignment horizontal="justify" vertical="top" wrapText="1"/>
    </xf>
    <xf numFmtId="2" fontId="28" fillId="0" borderId="17" xfId="0" applyNumberFormat="1" applyFont="1" applyFill="1" applyBorder="1" applyAlignment="1">
      <alignment horizontal="left" shrinkToFit="1"/>
    </xf>
    <xf numFmtId="2" fontId="40" fillId="0" borderId="17" xfId="267" applyNumberFormat="1" applyFont="1" applyFill="1" applyBorder="1" applyAlignment="1">
      <alignment horizontal="right" vertical="top" shrinkToFit="1"/>
    </xf>
    <xf numFmtId="0" fontId="40" fillId="0" borderId="17" xfId="0" applyFont="1" applyFill="1" applyBorder="1" applyAlignment="1">
      <alignment vertical="top" shrinkToFit="1"/>
    </xf>
    <xf numFmtId="1" fontId="28" fillId="0" borderId="17" xfId="0" applyNumberFormat="1" applyFont="1" applyFill="1" applyBorder="1" applyAlignment="1">
      <alignment vertical="top"/>
    </xf>
    <xf numFmtId="2" fontId="28" fillId="0" borderId="17" xfId="0" applyNumberFormat="1" applyFont="1" applyFill="1" applyBorder="1" applyAlignment="1">
      <alignment horizontal="left" vertical="top" shrinkToFit="1"/>
    </xf>
    <xf numFmtId="0" fontId="40" fillId="0" borderId="17" xfId="0" applyNumberFormat="1" applyFont="1" applyFill="1" applyBorder="1" applyAlignment="1">
      <alignment horizontal="justify" vertical="top" wrapText="1"/>
    </xf>
    <xf numFmtId="165" fontId="172" fillId="0" borderId="17" xfId="0" applyNumberFormat="1" applyFont="1" applyFill="1" applyBorder="1" applyAlignment="1">
      <alignment horizontal="justify" vertical="center" wrapText="1"/>
    </xf>
    <xf numFmtId="165" fontId="171" fillId="0" borderId="17" xfId="0" applyNumberFormat="1" applyFont="1" applyFill="1" applyBorder="1" applyAlignment="1">
      <alignment horizontal="justify" vertical="center" wrapText="1"/>
    </xf>
    <xf numFmtId="165" fontId="171" fillId="0" borderId="17" xfId="0" applyNumberFormat="1" applyFont="1" applyBorder="1" applyAlignment="1">
      <alignment horizontal="center" vertical="center" wrapText="1"/>
    </xf>
    <xf numFmtId="165" fontId="172" fillId="0" borderId="17" xfId="0" applyNumberFormat="1" applyFont="1" applyBorder="1" applyAlignment="1">
      <alignment horizontal="center" vertical="center" wrapText="1"/>
    </xf>
    <xf numFmtId="0" fontId="132" fillId="0" borderId="17" xfId="0" applyFont="1" applyBorder="1" applyAlignment="1">
      <alignment horizontal="justify" vertical="center" wrapText="1"/>
    </xf>
    <xf numFmtId="0" fontId="125" fillId="0" borderId="17" xfId="0" applyFont="1" applyBorder="1" applyAlignment="1">
      <alignment horizontal="center" vertical="center" wrapText="1"/>
    </xf>
    <xf numFmtId="166" fontId="125" fillId="38" borderId="17" xfId="0" applyNumberFormat="1" applyFont="1" applyFill="1" applyBorder="1" applyAlignment="1">
      <alignment horizontal="center" vertical="center" wrapText="1"/>
    </xf>
    <xf numFmtId="165" fontId="125" fillId="0" borderId="17" xfId="0" applyNumberFormat="1" applyFont="1" applyBorder="1" applyAlignment="1">
      <alignment horizontal="center" vertical="center" wrapText="1"/>
    </xf>
    <xf numFmtId="165" fontId="132" fillId="0" borderId="17" xfId="0" applyNumberFormat="1" applyFont="1" applyBorder="1" applyAlignment="1">
      <alignment horizontal="center" vertical="center" wrapText="1"/>
    </xf>
    <xf numFmtId="0" fontId="139" fillId="0" borderId="8" xfId="134" applyFont="1" applyBorder="1" applyAlignment="1">
      <alignment horizontal="center" vertical="top" wrapText="1"/>
    </xf>
    <xf numFmtId="2" fontId="40" fillId="40" borderId="17" xfId="293" applyNumberFormat="1" applyFont="1" applyFill="1" applyBorder="1"/>
    <xf numFmtId="2" fontId="155" fillId="40" borderId="17" xfId="232" applyNumberFormat="1" applyFont="1" applyFill="1" applyBorder="1" applyAlignment="1">
      <alignment horizontal="center" vertical="center"/>
    </xf>
    <xf numFmtId="0" fontId="173" fillId="0" borderId="17" xfId="293" applyFont="1" applyBorder="1" applyAlignment="1">
      <alignment horizontal="justify" vertical="top" wrapText="1"/>
    </xf>
    <xf numFmtId="0" fontId="123" fillId="0" borderId="17" xfId="293" applyFont="1" applyBorder="1" applyAlignment="1">
      <alignment vertical="top" wrapText="1"/>
    </xf>
    <xf numFmtId="0" fontId="40" fillId="0" borderId="17" xfId="0" applyFont="1" applyFill="1" applyBorder="1" applyAlignment="1">
      <alignment horizontal="center" vertical="top" wrapText="1"/>
    </xf>
    <xf numFmtId="1" fontId="28" fillId="0" borderId="17" xfId="0" applyNumberFormat="1" applyFont="1" applyFill="1" applyBorder="1" applyAlignment="1">
      <alignment horizontal="center" vertical="top"/>
    </xf>
    <xf numFmtId="0" fontId="112" fillId="0" borderId="17" xfId="293" applyFont="1" applyFill="1" applyBorder="1" applyAlignment="1">
      <alignment vertical="top"/>
    </xf>
    <xf numFmtId="0" fontId="112" fillId="0" borderId="17" xfId="293" applyFont="1" applyFill="1" applyBorder="1" applyAlignment="1">
      <alignment horizontal="center" vertical="top" wrapText="1"/>
    </xf>
    <xf numFmtId="0" fontId="112" fillId="0" borderId="17" xfId="293" applyFont="1" applyFill="1" applyBorder="1" applyAlignment="1">
      <alignment vertical="top" wrapText="1"/>
    </xf>
    <xf numFmtId="0" fontId="123" fillId="0" borderId="17" xfId="293" applyFont="1" applyFill="1" applyBorder="1" applyAlignment="1">
      <alignment vertical="top"/>
    </xf>
    <xf numFmtId="167" fontId="112" fillId="0" borderId="17" xfId="293" applyNumberFormat="1" applyFont="1" applyFill="1" applyBorder="1" applyAlignment="1">
      <alignment horizontal="center" vertical="top" wrapText="1"/>
    </xf>
    <xf numFmtId="2" fontId="112" fillId="0" borderId="17" xfId="293" applyNumberFormat="1" applyFont="1" applyFill="1" applyBorder="1" applyAlignment="1">
      <alignment horizontal="right" vertical="top" wrapText="1"/>
    </xf>
    <xf numFmtId="165" fontId="112" fillId="0" borderId="17" xfId="293" applyNumberFormat="1" applyFont="1" applyFill="1" applyBorder="1" applyAlignment="1">
      <alignment horizontal="center" vertical="top" wrapText="1"/>
    </xf>
    <xf numFmtId="0" fontId="112" fillId="0" borderId="0" xfId="293" applyFont="1" applyFill="1" applyBorder="1" applyAlignment="1">
      <alignment vertical="top"/>
    </xf>
    <xf numFmtId="0" fontId="173" fillId="0" borderId="17" xfId="293" applyFont="1" applyFill="1" applyBorder="1" applyAlignment="1">
      <alignment vertical="top" wrapText="1"/>
    </xf>
    <xf numFmtId="2" fontId="168" fillId="40" borderId="8" xfId="173" applyNumberFormat="1" applyFont="1" applyFill="1" applyBorder="1" applyAlignment="1">
      <alignment horizontal="center" vertical="center" wrapText="1"/>
    </xf>
    <xf numFmtId="1" fontId="168" fillId="40" borderId="8" xfId="173" applyNumberFormat="1" applyFont="1" applyFill="1" applyBorder="1" applyAlignment="1">
      <alignment horizontal="center" vertical="top" wrapText="1"/>
    </xf>
    <xf numFmtId="1" fontId="168" fillId="40" borderId="8" xfId="173" applyNumberFormat="1" applyFont="1" applyFill="1" applyBorder="1" applyAlignment="1">
      <alignment horizontal="center" vertical="center" wrapText="1"/>
    </xf>
    <xf numFmtId="179" fontId="168" fillId="40" borderId="8" xfId="173" applyNumberFormat="1" applyFont="1" applyFill="1" applyBorder="1" applyAlignment="1">
      <alignment horizontal="center" vertical="center" wrapText="1"/>
    </xf>
    <xf numFmtId="0" fontId="168" fillId="40" borderId="8" xfId="299" applyFont="1" applyFill="1" applyBorder="1" applyAlignment="1">
      <alignment horizontal="center" vertical="center"/>
    </xf>
    <xf numFmtId="179" fontId="168" fillId="40" borderId="8" xfId="299" applyNumberFormat="1" applyFont="1" applyFill="1" applyBorder="1" applyAlignment="1">
      <alignment horizontal="center" vertical="center"/>
    </xf>
    <xf numFmtId="1" fontId="168" fillId="40" borderId="8" xfId="299" applyNumberFormat="1" applyFont="1" applyFill="1" applyBorder="1" applyAlignment="1">
      <alignment horizontal="center" vertical="center"/>
    </xf>
    <xf numFmtId="179" fontId="168" fillId="40" borderId="8" xfId="299" applyNumberFormat="1" applyFont="1" applyFill="1" applyBorder="1" applyAlignment="1">
      <alignment horizontal="center" vertical="top"/>
    </xf>
    <xf numFmtId="2" fontId="151" fillId="0" borderId="0" xfId="302" applyNumberFormat="1" applyFont="1"/>
    <xf numFmtId="2" fontId="151" fillId="0" borderId="0" xfId="302" applyNumberFormat="1" applyFont="1" applyAlignment="1">
      <alignment vertical="top"/>
    </xf>
    <xf numFmtId="0" fontId="177" fillId="0" borderId="0" xfId="302" applyFont="1" applyAlignment="1">
      <alignment horizontal="center"/>
    </xf>
    <xf numFmtId="165" fontId="112" fillId="0" borderId="17" xfId="0" applyNumberFormat="1" applyFont="1" applyFill="1" applyBorder="1" applyAlignment="1">
      <alignment horizontal="justify" vertical="top" wrapText="1"/>
    </xf>
    <xf numFmtId="0" fontId="114" fillId="0" borderId="17" xfId="0" applyFont="1" applyFill="1" applyBorder="1" applyAlignment="1">
      <alignment horizontal="center" vertical="top" wrapText="1"/>
    </xf>
    <xf numFmtId="0" fontId="122" fillId="0" borderId="17" xfId="0" applyFont="1" applyFill="1" applyBorder="1" applyAlignment="1">
      <alignment horizontal="center" vertical="top" wrapText="1"/>
    </xf>
    <xf numFmtId="2" fontId="28" fillId="0" borderId="17" xfId="138" applyNumberFormat="1" applyFont="1" applyFill="1" applyBorder="1" applyAlignment="1">
      <alignment horizontal="center" vertical="center" wrapText="1"/>
    </xf>
    <xf numFmtId="0" fontId="123" fillId="0" borderId="17" xfId="0" applyFont="1" applyFill="1" applyBorder="1" applyAlignment="1">
      <alignment horizontal="center" vertical="top"/>
    </xf>
    <xf numFmtId="165" fontId="122" fillId="0" borderId="17" xfId="0" applyNumberFormat="1" applyFont="1" applyFill="1" applyBorder="1" applyAlignment="1">
      <alignment horizontal="center" vertical="top" wrapText="1"/>
    </xf>
    <xf numFmtId="165" fontId="114" fillId="0" borderId="17" xfId="0" applyNumberFormat="1" applyFont="1" applyFill="1" applyBorder="1" applyAlignment="1">
      <alignment horizontal="center" vertical="top" shrinkToFit="1"/>
    </xf>
    <xf numFmtId="165" fontId="114" fillId="40" borderId="17" xfId="0" applyNumberFormat="1" applyFont="1" applyFill="1" applyBorder="1" applyAlignment="1">
      <alignment horizontal="center" vertical="top" shrinkToFit="1"/>
    </xf>
    <xf numFmtId="0" fontId="112" fillId="0" borderId="0" xfId="0" applyFont="1" applyFill="1" applyAlignment="1">
      <alignment vertical="top"/>
    </xf>
    <xf numFmtId="165" fontId="173" fillId="0" borderId="17" xfId="0" applyNumberFormat="1" applyFont="1" applyFill="1" applyBorder="1" applyAlignment="1">
      <alignment horizontal="justify" vertical="top" wrapText="1"/>
    </xf>
    <xf numFmtId="2" fontId="28" fillId="0" borderId="17" xfId="0" applyNumberFormat="1" applyFont="1" applyFill="1" applyBorder="1" applyAlignment="1">
      <alignment horizontal="right"/>
    </xf>
    <xf numFmtId="2" fontId="124" fillId="0" borderId="16" xfId="0" applyNumberFormat="1" applyFont="1" applyBorder="1" applyAlignment="1">
      <alignment horizontal="center" vertical="center"/>
    </xf>
    <xf numFmtId="2" fontId="124" fillId="0" borderId="17" xfId="0" applyNumberFormat="1" applyFont="1" applyBorder="1" applyAlignment="1">
      <alignment horizontal="center" vertical="center"/>
    </xf>
    <xf numFmtId="2" fontId="147" fillId="40" borderId="17" xfId="0" applyNumberFormat="1" applyFont="1" applyFill="1" applyBorder="1" applyAlignment="1">
      <alignment horizontal="center"/>
    </xf>
    <xf numFmtId="2" fontId="114" fillId="0" borderId="20" xfId="0" applyNumberFormat="1" applyFont="1" applyFill="1" applyBorder="1" applyAlignment="1">
      <alignment horizontal="center" vertical="center" wrapText="1"/>
    </xf>
    <xf numFmtId="0" fontId="114" fillId="0" borderId="19" xfId="0" applyFont="1" applyFill="1" applyBorder="1" applyAlignment="1">
      <alignment horizontal="center" vertical="center" wrapText="1"/>
    </xf>
    <xf numFmtId="0" fontId="112" fillId="0" borderId="19" xfId="0" applyFont="1" applyFill="1" applyBorder="1" applyAlignment="1">
      <alignment horizontal="center" vertical="center" wrapText="1"/>
    </xf>
    <xf numFmtId="0" fontId="114" fillId="0" borderId="0" xfId="0" applyFont="1" applyFill="1" applyBorder="1" applyAlignment="1">
      <alignment horizontal="center" vertical="center" wrapText="1"/>
    </xf>
    <xf numFmtId="2" fontId="112" fillId="0" borderId="0" xfId="0" applyNumberFormat="1" applyFont="1" applyFill="1" applyBorder="1" applyAlignment="1">
      <alignment horizontal="center" vertical="center" wrapText="1"/>
    </xf>
    <xf numFmtId="2" fontId="113" fillId="0" borderId="37" xfId="0" applyNumberFormat="1" applyFont="1" applyBorder="1" applyAlignment="1">
      <alignment horizontal="centerContinuous" vertical="center" wrapText="1"/>
    </xf>
    <xf numFmtId="0" fontId="113" fillId="0" borderId="4" xfId="0" applyFont="1" applyBorder="1" applyAlignment="1">
      <alignment horizontal="centerContinuous" vertical="center" wrapText="1"/>
    </xf>
    <xf numFmtId="0" fontId="113" fillId="0" borderId="34" xfId="0" applyFont="1" applyBorder="1" applyAlignment="1">
      <alignment horizontal="centerContinuous" vertical="center" wrapText="1"/>
    </xf>
    <xf numFmtId="0" fontId="113" fillId="0" borderId="67" xfId="0" applyFont="1" applyBorder="1" applyAlignment="1">
      <alignment horizontal="centerContinuous" vertical="center" wrapText="1"/>
    </xf>
    <xf numFmtId="2" fontId="113" fillId="0" borderId="66" xfId="0" applyNumberFormat="1" applyFont="1" applyBorder="1" applyAlignment="1">
      <alignment vertical="center"/>
    </xf>
    <xf numFmtId="2" fontId="113" fillId="0" borderId="66" xfId="0" applyNumberFormat="1" applyFont="1" applyBorder="1" applyAlignment="1">
      <alignment horizontal="right" vertical="center"/>
    </xf>
    <xf numFmtId="2" fontId="166" fillId="0" borderId="0" xfId="306" applyNumberFormat="1" applyFont="1" applyBorder="1" applyAlignment="1">
      <alignment horizontal="centerContinuous" vertical="center" wrapText="1"/>
    </xf>
    <xf numFmtId="0" fontId="166" fillId="0" borderId="0" xfId="306" applyFont="1" applyBorder="1" applyAlignment="1">
      <alignment horizontal="centerContinuous" vertical="center" wrapText="1"/>
    </xf>
    <xf numFmtId="0" fontId="168" fillId="40" borderId="8" xfId="173" applyFont="1" applyFill="1" applyBorder="1" applyAlignment="1">
      <alignment horizontal="center" vertical="center" wrapText="1"/>
    </xf>
    <xf numFmtId="0" fontId="168" fillId="40" borderId="8" xfId="173" applyFont="1" applyFill="1" applyBorder="1" applyAlignment="1">
      <alignment horizontal="center" vertical="top" wrapText="1"/>
    </xf>
    <xf numFmtId="2" fontId="176" fillId="40" borderId="8" xfId="173" applyNumberFormat="1" applyFont="1" applyFill="1" applyBorder="1" applyAlignment="1">
      <alignment horizontal="centerContinuous" vertical="top" wrapText="1"/>
    </xf>
    <xf numFmtId="0" fontId="176" fillId="40" borderId="8" xfId="173" applyFont="1" applyFill="1" applyBorder="1" applyAlignment="1">
      <alignment horizontal="centerContinuous" vertical="top" wrapText="1"/>
    </xf>
    <xf numFmtId="2" fontId="168" fillId="40" borderId="8" xfId="173" applyNumberFormat="1" applyFont="1" applyFill="1" applyBorder="1" applyAlignment="1">
      <alignment horizontal="right" vertical="top"/>
    </xf>
    <xf numFmtId="0" fontId="168" fillId="40" borderId="8" xfId="173" applyFont="1" applyFill="1" applyBorder="1" applyAlignment="1">
      <alignment horizontal="right" vertical="top"/>
    </xf>
    <xf numFmtId="0" fontId="160" fillId="40" borderId="0" xfId="298" applyFont="1" applyFill="1" applyBorder="1" applyAlignment="1">
      <alignment horizontal="center" vertical="center" wrapText="1"/>
    </xf>
    <xf numFmtId="0" fontId="161" fillId="0" borderId="0" xfId="300" applyFont="1" applyBorder="1" applyAlignment="1" applyProtection="1">
      <alignment vertical="top" wrapText="1"/>
      <protection hidden="1"/>
    </xf>
    <xf numFmtId="0" fontId="160" fillId="40" borderId="0" xfId="298" applyFont="1" applyFill="1" applyBorder="1" applyAlignment="1">
      <alignment wrapText="1"/>
    </xf>
    <xf numFmtId="0" fontId="160" fillId="40" borderId="0" xfId="298" applyFont="1" applyFill="1" applyBorder="1" applyAlignment="1">
      <alignment horizontal="right" wrapText="1"/>
    </xf>
    <xf numFmtId="0" fontId="160" fillId="40" borderId="0" xfId="298" applyFont="1" applyFill="1" applyBorder="1" applyAlignment="1">
      <alignment horizontal="center" vertical="center"/>
    </xf>
    <xf numFmtId="0" fontId="160" fillId="40" borderId="0" xfId="298" applyFont="1" applyFill="1" applyBorder="1" applyAlignment="1"/>
    <xf numFmtId="0" fontId="160" fillId="40" borderId="0" xfId="298" applyFont="1" applyFill="1" applyBorder="1" applyAlignment="1">
      <alignment horizontal="right"/>
    </xf>
    <xf numFmtId="0" fontId="168" fillId="40" borderId="0" xfId="298" applyFont="1" applyFill="1" applyBorder="1" applyAlignment="1">
      <alignment horizontal="center"/>
    </xf>
    <xf numFmtId="0" fontId="125" fillId="0" borderId="0" xfId="138" applyFont="1" applyAlignment="1">
      <alignment horizontal="right"/>
    </xf>
    <xf numFmtId="0" fontId="180" fillId="0" borderId="0" xfId="302" applyFont="1"/>
    <xf numFmtId="0" fontId="181" fillId="0" borderId="0" xfId="138" applyFont="1" applyFill="1" applyBorder="1" applyAlignment="1">
      <alignment horizontal="center" vertical="top"/>
    </xf>
    <xf numFmtId="0" fontId="103" fillId="0" borderId="0" xfId="0" applyFont="1" applyAlignment="1">
      <alignment horizontal="center"/>
    </xf>
    <xf numFmtId="0" fontId="28" fillId="0" borderId="17" xfId="138" applyFont="1" applyFill="1" applyBorder="1" applyAlignment="1">
      <alignment horizontal="justify" vertical="top" wrapText="1"/>
    </xf>
    <xf numFmtId="0" fontId="30" fillId="0" borderId="8" xfId="138" applyFont="1" applyFill="1" applyBorder="1" applyAlignment="1">
      <alignment horizontal="center" vertical="center" wrapText="1"/>
    </xf>
    <xf numFmtId="0" fontId="40" fillId="0" borderId="17" xfId="138" applyFont="1" applyFill="1" applyBorder="1" applyAlignment="1">
      <alignment horizontal="left" vertical="top" wrapText="1"/>
    </xf>
    <xf numFmtId="0" fontId="28" fillId="0" borderId="17" xfId="138" applyFont="1" applyFill="1" applyBorder="1" applyAlignment="1">
      <alignment horizontal="justify" vertical="top" wrapText="1"/>
    </xf>
    <xf numFmtId="0" fontId="30" fillId="0" borderId="8" xfId="138" applyFont="1" applyFill="1" applyBorder="1" applyAlignment="1">
      <alignment horizontal="center" vertical="top" wrapText="1"/>
    </xf>
    <xf numFmtId="0" fontId="28" fillId="0" borderId="17" xfId="182" applyFont="1" applyFill="1" applyBorder="1" applyAlignment="1">
      <alignment horizontal="left" vertical="top" wrapText="1"/>
    </xf>
    <xf numFmtId="0" fontId="44" fillId="0" borderId="17" xfId="157" applyFont="1" applyFill="1" applyBorder="1" applyAlignment="1">
      <alignment horizontal="justify" vertical="top"/>
    </xf>
    <xf numFmtId="0" fontId="44" fillId="0" borderId="17" xfId="157" applyFont="1" applyBorder="1" applyAlignment="1">
      <alignment horizontal="justify" vertical="top" wrapText="1"/>
    </xf>
    <xf numFmtId="1" fontId="28" fillId="0" borderId="17" xfId="182" applyNumberFormat="1" applyFont="1" applyFill="1" applyBorder="1" applyAlignment="1">
      <alignment horizontal="center" vertical="top" shrinkToFit="1"/>
    </xf>
    <xf numFmtId="2" fontId="44" fillId="0" borderId="0" xfId="157" applyNumberFormat="1" applyFont="1" applyFill="1" applyBorder="1" applyAlignment="1">
      <alignment vertical="top"/>
    </xf>
    <xf numFmtId="1" fontId="179" fillId="0" borderId="0" xfId="302" applyNumberFormat="1" applyFont="1" applyAlignment="1">
      <alignment horizontal="center" vertical="justify" wrapText="1"/>
    </xf>
    <xf numFmtId="0" fontId="151" fillId="0" borderId="0" xfId="302" applyFont="1" applyAlignment="1">
      <alignment horizontal="left" vertical="top" wrapText="1"/>
    </xf>
    <xf numFmtId="2" fontId="168" fillId="40" borderId="8" xfId="299" applyNumberFormat="1" applyFont="1" applyFill="1" applyBorder="1" applyAlignment="1">
      <alignment horizontal="center" vertical="center" wrapText="1"/>
    </xf>
    <xf numFmtId="0" fontId="168" fillId="40" borderId="8" xfId="173" applyFont="1" applyFill="1" applyBorder="1" applyAlignment="1">
      <alignment horizontal="left" vertical="center" wrapText="1"/>
    </xf>
    <xf numFmtId="0" fontId="175" fillId="40" borderId="8" xfId="173" applyFont="1" applyFill="1" applyBorder="1" applyAlignment="1">
      <alignment horizontal="center" vertical="top" wrapText="1"/>
    </xf>
    <xf numFmtId="0" fontId="168" fillId="40" borderId="8" xfId="173" applyFont="1" applyFill="1" applyBorder="1" applyAlignment="1">
      <alignment horizontal="center" vertical="center" wrapText="1"/>
    </xf>
    <xf numFmtId="0" fontId="168" fillId="40" borderId="8" xfId="173" applyFont="1" applyFill="1" applyBorder="1" applyAlignment="1">
      <alignment horizontal="center" vertical="top" wrapText="1"/>
    </xf>
    <xf numFmtId="0" fontId="168" fillId="40" borderId="8" xfId="299" applyFont="1" applyFill="1" applyBorder="1" applyAlignment="1">
      <alignment horizontal="center" vertical="top" wrapText="1"/>
    </xf>
    <xf numFmtId="0" fontId="168" fillId="40" borderId="8" xfId="173" applyFont="1" applyFill="1" applyBorder="1" applyAlignment="1">
      <alignment horizontal="right" vertical="top" wrapText="1"/>
    </xf>
    <xf numFmtId="0" fontId="168" fillId="40" borderId="8" xfId="173" applyFont="1" applyFill="1" applyBorder="1" applyAlignment="1">
      <alignment horizontal="right" vertical="center" wrapText="1"/>
    </xf>
    <xf numFmtId="0" fontId="167" fillId="0" borderId="23" xfId="306" applyNumberFormat="1" applyFont="1" applyFill="1" applyBorder="1" applyAlignment="1" applyProtection="1">
      <alignment horizontal="justify" vertical="center" wrapText="1"/>
    </xf>
    <xf numFmtId="0" fontId="167" fillId="0" borderId="24" xfId="306" applyNumberFormat="1" applyFont="1" applyFill="1" applyBorder="1" applyAlignment="1" applyProtection="1">
      <alignment horizontal="justify" vertical="center" wrapText="1"/>
    </xf>
    <xf numFmtId="1" fontId="167" fillId="0" borderId="0" xfId="306" applyNumberFormat="1" applyFont="1" applyBorder="1" applyAlignment="1">
      <alignment horizontal="left" vertical="center"/>
    </xf>
    <xf numFmtId="1" fontId="166" fillId="0" borderId="74" xfId="306" applyNumberFormat="1" applyFont="1" applyBorder="1" applyAlignment="1">
      <alignment horizontal="left" vertical="center"/>
    </xf>
    <xf numFmtId="0" fontId="166" fillId="0" borderId="0" xfId="305" applyFont="1" applyAlignment="1">
      <alignment horizontal="center" vertical="center"/>
    </xf>
    <xf numFmtId="0" fontId="166" fillId="0" borderId="8" xfId="306" applyFont="1" applyFill="1" applyBorder="1" applyAlignment="1">
      <alignment horizontal="center" vertical="center" wrapText="1"/>
    </xf>
    <xf numFmtId="0" fontId="166" fillId="0" borderId="37" xfId="305" applyFont="1" applyBorder="1" applyAlignment="1">
      <alignment horizontal="center" vertical="center"/>
    </xf>
    <xf numFmtId="0" fontId="166" fillId="0" borderId="4" xfId="305" applyFont="1" applyBorder="1" applyAlignment="1">
      <alignment horizontal="center" vertical="center"/>
    </xf>
    <xf numFmtId="0" fontId="166" fillId="0" borderId="34" xfId="305" applyFont="1" applyBorder="1" applyAlignment="1">
      <alignment horizontal="center" vertical="center"/>
    </xf>
    <xf numFmtId="0" fontId="140" fillId="0" borderId="0" xfId="302" applyFont="1" applyAlignment="1">
      <alignment horizontal="center"/>
    </xf>
    <xf numFmtId="1" fontId="140" fillId="0" borderId="0" xfId="302" applyNumberFormat="1" applyFont="1" applyAlignment="1">
      <alignment horizontal="center" vertical="justify" wrapText="1"/>
    </xf>
    <xf numFmtId="2" fontId="140" fillId="0" borderId="0" xfId="302" applyNumberFormat="1" applyFont="1" applyAlignment="1">
      <alignment horizontal="left" vertical="top" wrapText="1"/>
    </xf>
    <xf numFmtId="0" fontId="140" fillId="0" borderId="0" xfId="302" applyFont="1" applyAlignment="1">
      <alignment horizontal="left" vertical="top" wrapText="1"/>
    </xf>
    <xf numFmtId="0" fontId="145" fillId="0" borderId="0" xfId="0" applyFont="1" applyAlignment="1">
      <alignment horizontal="justify" vertical="top" wrapText="1"/>
    </xf>
    <xf numFmtId="0" fontId="145" fillId="0" borderId="0" xfId="0" applyFont="1" applyAlignment="1">
      <alignment horizontal="left" vertical="top" wrapText="1"/>
    </xf>
    <xf numFmtId="0" fontId="145" fillId="0" borderId="0" xfId="0" applyFont="1" applyAlignment="1">
      <alignment horizontal="justify" wrapText="1"/>
    </xf>
    <xf numFmtId="0" fontId="162" fillId="0" borderId="0" xfId="0" applyFont="1" applyAlignment="1">
      <alignment horizontal="center" vertical="center" wrapText="1"/>
    </xf>
    <xf numFmtId="0" fontId="103" fillId="0" borderId="0" xfId="0" applyFont="1" applyAlignment="1">
      <alignment horizontal="justify" vertical="top" wrapText="1"/>
    </xf>
    <xf numFmtId="0" fontId="145" fillId="0" borderId="0" xfId="0" applyFont="1" applyAlignment="1">
      <alignment horizontal="left"/>
    </xf>
    <xf numFmtId="0" fontId="44" fillId="0" borderId="62" xfId="157" applyFont="1" applyBorder="1" applyAlignment="1">
      <alignment horizontal="justify" vertical="top" wrapText="1"/>
    </xf>
    <xf numFmtId="0" fontId="44" fillId="0" borderId="17" xfId="157" applyFont="1" applyBorder="1" applyAlignment="1">
      <alignment horizontal="justify" vertical="top" wrapText="1"/>
    </xf>
    <xf numFmtId="0" fontId="44" fillId="0" borderId="17" xfId="157" applyFont="1" applyFill="1" applyBorder="1" applyAlignment="1">
      <alignment horizontal="justify" vertical="top"/>
    </xf>
    <xf numFmtId="0" fontId="44" fillId="0" borderId="17" xfId="157" applyFont="1" applyFill="1" applyBorder="1" applyAlignment="1">
      <alignment horizontal="justify" vertical="top" wrapText="1"/>
    </xf>
    <xf numFmtId="0" fontId="44" fillId="0" borderId="17" xfId="157" applyNumberFormat="1" applyFont="1" applyBorder="1" applyAlignment="1">
      <alignment horizontal="justify" vertical="top" wrapText="1"/>
    </xf>
    <xf numFmtId="0" fontId="44" fillId="0" borderId="17" xfId="157" applyNumberFormat="1" applyFont="1" applyFill="1" applyBorder="1" applyAlignment="1">
      <alignment horizontal="justify" vertical="top" wrapText="1"/>
    </xf>
    <xf numFmtId="0" fontId="28" fillId="0" borderId="17" xfId="138" applyFont="1" applyFill="1" applyBorder="1" applyAlignment="1">
      <alignment horizontal="justify" vertical="top" wrapText="1"/>
    </xf>
    <xf numFmtId="0" fontId="118" fillId="0" borderId="17" xfId="138" applyFont="1" applyFill="1" applyBorder="1" applyAlignment="1">
      <alignment horizontal="justify" vertical="top" wrapText="1"/>
    </xf>
    <xf numFmtId="0" fontId="40" fillId="0" borderId="17" xfId="138" applyFont="1" applyFill="1" applyBorder="1" applyAlignment="1">
      <alignment horizontal="left" vertical="top" wrapText="1"/>
    </xf>
    <xf numFmtId="0" fontId="28" fillId="0" borderId="17" xfId="182" applyFont="1" applyFill="1" applyBorder="1" applyAlignment="1">
      <alignment horizontal="left" vertical="top" wrapText="1"/>
    </xf>
    <xf numFmtId="0" fontId="40" fillId="0" borderId="20" xfId="138" applyFont="1" applyFill="1" applyBorder="1" applyAlignment="1">
      <alignment horizontal="left" vertical="top" wrapText="1"/>
    </xf>
    <xf numFmtId="0" fontId="40" fillId="0" borderId="22" xfId="138" applyFont="1" applyFill="1" applyBorder="1" applyAlignment="1">
      <alignment horizontal="left" vertical="top" wrapText="1"/>
    </xf>
    <xf numFmtId="0" fontId="40" fillId="0" borderId="19" xfId="138" applyFont="1" applyFill="1" applyBorder="1" applyAlignment="1">
      <alignment horizontal="left" vertical="top" wrapText="1"/>
    </xf>
    <xf numFmtId="0" fontId="30" fillId="0" borderId="8" xfId="138" applyFont="1" applyFill="1" applyBorder="1" applyAlignment="1">
      <alignment horizontal="center" vertical="center" wrapText="1"/>
    </xf>
    <xf numFmtId="2" fontId="30" fillId="0" borderId="8" xfId="138" applyNumberFormat="1" applyFont="1" applyFill="1" applyBorder="1" applyAlignment="1">
      <alignment horizontal="center" vertical="center" wrapText="1"/>
    </xf>
    <xf numFmtId="0" fontId="30" fillId="0" borderId="8" xfId="138" applyFont="1" applyFill="1" applyBorder="1" applyAlignment="1">
      <alignment horizontal="center" vertical="top" wrapText="1"/>
    </xf>
    <xf numFmtId="0" fontId="28" fillId="0" borderId="42" xfId="138" applyFont="1" applyFill="1" applyBorder="1" applyAlignment="1">
      <alignment horizontal="justify" vertical="top" wrapText="1"/>
    </xf>
    <xf numFmtId="0" fontId="28" fillId="0" borderId="43" xfId="138" applyFont="1" applyFill="1" applyBorder="1" applyAlignment="1">
      <alignment horizontal="justify" vertical="top" wrapText="1"/>
    </xf>
    <xf numFmtId="0" fontId="28" fillId="0" borderId="44" xfId="138" applyFont="1" applyFill="1" applyBorder="1" applyAlignment="1">
      <alignment horizontal="justify" vertical="top" wrapText="1"/>
    </xf>
    <xf numFmtId="0" fontId="98" fillId="0" borderId="17" xfId="138" applyFont="1" applyFill="1" applyBorder="1" applyAlignment="1">
      <alignment horizontal="center" vertical="top" wrapText="1"/>
    </xf>
    <xf numFmtId="2" fontId="46" fillId="0" borderId="17" xfId="138" applyNumberFormat="1" applyFont="1" applyFill="1" applyBorder="1" applyAlignment="1">
      <alignment horizontal="center" vertical="top" wrapText="1"/>
    </xf>
    <xf numFmtId="0" fontId="46" fillId="0" borderId="17" xfId="138" applyFont="1" applyFill="1" applyBorder="1" applyAlignment="1">
      <alignment horizontal="center" vertical="top" wrapText="1"/>
    </xf>
    <xf numFmtId="0" fontId="30" fillId="0" borderId="18" xfId="138" applyFont="1" applyFill="1" applyBorder="1" applyAlignment="1">
      <alignment horizontal="center" vertical="center" wrapText="1"/>
    </xf>
    <xf numFmtId="0" fontId="46" fillId="0" borderId="18" xfId="138" applyFont="1" applyFill="1" applyBorder="1" applyAlignment="1">
      <alignment horizontal="center" vertical="top" wrapText="1"/>
    </xf>
    <xf numFmtId="0" fontId="46" fillId="0" borderId="45" xfId="138" applyFont="1" applyFill="1" applyBorder="1" applyAlignment="1">
      <alignment horizontal="center" vertical="center" shrinkToFit="1"/>
    </xf>
    <xf numFmtId="0" fontId="46" fillId="0" borderId="46" xfId="138" applyFont="1" applyFill="1" applyBorder="1" applyAlignment="1">
      <alignment horizontal="center" vertical="center" shrinkToFit="1"/>
    </xf>
    <xf numFmtId="0" fontId="46" fillId="0" borderId="47" xfId="138" applyFont="1" applyFill="1" applyBorder="1" applyAlignment="1">
      <alignment horizontal="center" vertical="center" shrinkToFit="1"/>
    </xf>
    <xf numFmtId="0" fontId="112" fillId="0" borderId="8" xfId="0" applyFont="1" applyBorder="1" applyAlignment="1">
      <alignment horizontal="center" vertical="center" wrapText="1"/>
    </xf>
    <xf numFmtId="0" fontId="141" fillId="0" borderId="8" xfId="0" applyFont="1" applyBorder="1" applyAlignment="1">
      <alignment horizontal="center" vertical="center" wrapText="1"/>
    </xf>
    <xf numFmtId="0" fontId="141" fillId="0" borderId="0" xfId="0" applyFont="1" applyAlignment="1">
      <alignment horizontal="left" vertical="top" wrapText="1"/>
    </xf>
    <xf numFmtId="0" fontId="163" fillId="0" borderId="8" xfId="0" applyFont="1" applyBorder="1" applyAlignment="1">
      <alignment horizontal="center" vertical="center"/>
    </xf>
    <xf numFmtId="0" fontId="164" fillId="0" borderId="8" xfId="0" applyFont="1" applyBorder="1" applyAlignment="1">
      <alignment horizontal="center" vertical="center"/>
    </xf>
    <xf numFmtId="165" fontId="118" fillId="0" borderId="17" xfId="0" applyNumberFormat="1" applyFont="1" applyFill="1" applyBorder="1" applyAlignment="1">
      <alignment horizontal="center" vertical="top" wrapText="1"/>
    </xf>
    <xf numFmtId="0" fontId="118" fillId="0" borderId="17" xfId="0" applyFont="1" applyFill="1" applyBorder="1" applyAlignment="1">
      <alignment horizontal="justify" vertical="top" wrapText="1"/>
    </xf>
    <xf numFmtId="0" fontId="117" fillId="0" borderId="17" xfId="0" applyFont="1" applyFill="1" applyBorder="1" applyAlignment="1">
      <alignment horizontal="center" vertical="top" wrapText="1"/>
    </xf>
    <xf numFmtId="2" fontId="117" fillId="0" borderId="17" xfId="0" applyNumberFormat="1" applyFont="1" applyFill="1" applyBorder="1" applyAlignment="1">
      <alignment horizontal="center" vertical="top" wrapText="1"/>
    </xf>
    <xf numFmtId="2" fontId="118" fillId="0" borderId="17" xfId="0" applyNumberFormat="1" applyFont="1" applyFill="1" applyBorder="1" applyAlignment="1">
      <alignment horizontal="center" vertical="top" wrapText="1"/>
    </xf>
    <xf numFmtId="0" fontId="40" fillId="0" borderId="17" xfId="0" applyFont="1" applyFill="1" applyBorder="1" applyAlignment="1">
      <alignment horizontal="left" vertical="top" wrapText="1"/>
    </xf>
    <xf numFmtId="0" fontId="124" fillId="0" borderId="37" xfId="0" applyFont="1" applyFill="1" applyBorder="1" applyAlignment="1">
      <alignment horizontal="left" vertical="top" wrapText="1"/>
    </xf>
    <xf numFmtId="0" fontId="124" fillId="0" borderId="4" xfId="0" applyFont="1" applyFill="1" applyBorder="1" applyAlignment="1">
      <alignment horizontal="left" vertical="top" wrapText="1"/>
    </xf>
    <xf numFmtId="0" fontId="124" fillId="0" borderId="34" xfId="0" applyFont="1" applyFill="1" applyBorder="1" applyAlignment="1">
      <alignment horizontal="left" vertical="top" wrapText="1"/>
    </xf>
    <xf numFmtId="165" fontId="112" fillId="0" borderId="17" xfId="0" applyNumberFormat="1" applyFont="1" applyFill="1" applyBorder="1" applyAlignment="1">
      <alignment horizontal="justify" vertical="top" wrapText="1"/>
    </xf>
    <xf numFmtId="0" fontId="40" fillId="0" borderId="17" xfId="293" applyFont="1" applyFill="1" applyBorder="1" applyAlignment="1">
      <alignment horizontal="justify" vertical="top" wrapText="1"/>
    </xf>
    <xf numFmtId="0" fontId="28" fillId="0" borderId="17" xfId="293" applyFont="1" applyFill="1" applyBorder="1" applyAlignment="1">
      <alignment horizontal="justify" vertical="top" wrapText="1"/>
    </xf>
    <xf numFmtId="0" fontId="124" fillId="0" borderId="56" xfId="0" applyFont="1" applyFill="1" applyBorder="1" applyAlignment="1">
      <alignment horizontal="justify" vertical="top" wrapText="1"/>
    </xf>
    <xf numFmtId="0" fontId="124" fillId="0" borderId="14" xfId="0" applyFont="1" applyFill="1" applyBorder="1" applyAlignment="1">
      <alignment horizontal="justify" vertical="top" wrapText="1"/>
    </xf>
    <xf numFmtId="0" fontId="124" fillId="0" borderId="55" xfId="0" applyFont="1" applyFill="1" applyBorder="1" applyAlignment="1">
      <alignment horizontal="justify" vertical="top" wrapText="1"/>
    </xf>
    <xf numFmtId="0" fontId="124" fillId="0" borderId="37" xfId="0" applyFont="1" applyFill="1" applyBorder="1" applyAlignment="1">
      <alignment horizontal="justify" vertical="top" wrapText="1"/>
    </xf>
    <xf numFmtId="0" fontId="124" fillId="0" borderId="4" xfId="0" applyFont="1" applyFill="1" applyBorder="1" applyAlignment="1">
      <alignment horizontal="justify" vertical="top" wrapText="1"/>
    </xf>
    <xf numFmtId="0" fontId="124" fillId="0" borderId="34" xfId="0" applyFont="1" applyFill="1" applyBorder="1" applyAlignment="1">
      <alignment horizontal="justify" vertical="top" wrapText="1"/>
    </xf>
    <xf numFmtId="165" fontId="112" fillId="0" borderId="20" xfId="0" applyNumberFormat="1" applyFont="1" applyFill="1" applyBorder="1" applyAlignment="1">
      <alignment horizontal="justify" vertical="top" wrapText="1"/>
    </xf>
    <xf numFmtId="165" fontId="112" fillId="0" borderId="22" xfId="0" applyNumberFormat="1" applyFont="1" applyFill="1" applyBorder="1" applyAlignment="1">
      <alignment horizontal="justify" vertical="top" wrapText="1"/>
    </xf>
    <xf numFmtId="165" fontId="112" fillId="0" borderId="19" xfId="0" applyNumberFormat="1" applyFont="1" applyFill="1" applyBorder="1" applyAlignment="1">
      <alignment horizontal="justify" vertical="top" wrapText="1"/>
    </xf>
    <xf numFmtId="165" fontId="173" fillId="0" borderId="20" xfId="0" applyNumberFormat="1" applyFont="1" applyFill="1" applyBorder="1" applyAlignment="1">
      <alignment horizontal="justify" vertical="top" wrapText="1"/>
    </xf>
    <xf numFmtId="165" fontId="173" fillId="0" borderId="22" xfId="0" applyNumberFormat="1" applyFont="1" applyFill="1" applyBorder="1" applyAlignment="1">
      <alignment horizontal="justify" vertical="top" wrapText="1"/>
    </xf>
    <xf numFmtId="165" fontId="173" fillId="0" borderId="19" xfId="0" applyNumberFormat="1" applyFont="1" applyFill="1" applyBorder="1" applyAlignment="1">
      <alignment horizontal="justify" vertical="top" wrapText="1"/>
    </xf>
    <xf numFmtId="0" fontId="118" fillId="0" borderId="20" xfId="0" applyNumberFormat="1" applyFont="1" applyBorder="1" applyAlignment="1">
      <alignment horizontal="justify" vertical="top" wrapText="1"/>
    </xf>
    <xf numFmtId="0" fontId="118" fillId="0" borderId="22" xfId="0" applyNumberFormat="1" applyFont="1" applyBorder="1" applyAlignment="1">
      <alignment horizontal="justify" vertical="top" wrapText="1"/>
    </xf>
    <xf numFmtId="0" fontId="118" fillId="0" borderId="19" xfId="0" applyNumberFormat="1" applyFont="1" applyBorder="1" applyAlignment="1">
      <alignment horizontal="justify" vertical="top" wrapText="1"/>
    </xf>
    <xf numFmtId="0" fontId="112" fillId="0" borderId="20" xfId="0" applyFont="1" applyBorder="1" applyAlignment="1">
      <alignment vertical="top" wrapText="1"/>
    </xf>
    <xf numFmtId="0" fontId="112" fillId="0" borderId="22" xfId="0" applyFont="1" applyBorder="1" applyAlignment="1">
      <alignment vertical="top" wrapText="1"/>
    </xf>
    <xf numFmtId="0" fontId="112" fillId="0" borderId="17" xfId="0" applyFont="1" applyFill="1" applyBorder="1" applyAlignment="1">
      <alignment wrapText="1"/>
    </xf>
    <xf numFmtId="0" fontId="112" fillId="0" borderId="17" xfId="0" applyFont="1" applyFill="1" applyBorder="1" applyAlignment="1">
      <alignment horizontal="left" vertical="center" wrapText="1"/>
    </xf>
    <xf numFmtId="0" fontId="112" fillId="0" borderId="17" xfId="0" applyFont="1" applyFill="1" applyBorder="1" applyAlignment="1">
      <alignment horizontal="left" vertical="top" wrapText="1"/>
    </xf>
    <xf numFmtId="165" fontId="112" fillId="0" borderId="20" xfId="0" applyNumberFormat="1" applyFont="1" applyFill="1" applyBorder="1" applyAlignment="1">
      <alignment horizontal="left" vertical="top" wrapText="1"/>
    </xf>
    <xf numFmtId="165" fontId="112" fillId="0" borderId="22" xfId="0" applyNumberFormat="1" applyFont="1" applyFill="1" applyBorder="1" applyAlignment="1">
      <alignment horizontal="left" vertical="top" wrapText="1"/>
    </xf>
    <xf numFmtId="165" fontId="112" fillId="0" borderId="19" xfId="0" applyNumberFormat="1" applyFont="1" applyFill="1" applyBorder="1" applyAlignment="1">
      <alignment horizontal="left" vertical="top" wrapText="1"/>
    </xf>
    <xf numFmtId="0" fontId="118" fillId="0" borderId="17" xfId="0" applyFont="1" applyFill="1" applyBorder="1" applyAlignment="1">
      <alignment vertical="top" wrapText="1"/>
    </xf>
    <xf numFmtId="165" fontId="112" fillId="0" borderId="20" xfId="293" applyNumberFormat="1" applyFont="1" applyBorder="1" applyAlignment="1">
      <alignment horizontal="justify" vertical="top" wrapText="1"/>
    </xf>
    <xf numFmtId="165" fontId="112" fillId="0" borderId="22" xfId="293" applyNumberFormat="1" applyFont="1" applyBorder="1" applyAlignment="1">
      <alignment horizontal="justify" vertical="top" wrapText="1"/>
    </xf>
    <xf numFmtId="165" fontId="112" fillId="0" borderId="19" xfId="293" applyNumberFormat="1" applyFont="1" applyBorder="1" applyAlignment="1">
      <alignment horizontal="justify" vertical="top" wrapText="1"/>
    </xf>
    <xf numFmtId="0" fontId="118" fillId="0" borderId="17" xfId="293" applyFont="1" applyFill="1" applyBorder="1" applyAlignment="1">
      <alignment vertical="top" wrapText="1"/>
    </xf>
    <xf numFmtId="0" fontId="118" fillId="0" borderId="17" xfId="293" applyFont="1" applyFill="1" applyBorder="1" applyAlignment="1">
      <alignment horizontal="justify" vertical="top" wrapText="1"/>
    </xf>
    <xf numFmtId="165" fontId="173" fillId="0" borderId="20" xfId="293" applyNumberFormat="1" applyFont="1" applyBorder="1" applyAlignment="1">
      <alignment horizontal="justify" vertical="top" wrapText="1"/>
    </xf>
    <xf numFmtId="165" fontId="173" fillId="0" borderId="22" xfId="293" applyNumberFormat="1" applyFont="1" applyBorder="1" applyAlignment="1">
      <alignment horizontal="justify" vertical="top" wrapText="1"/>
    </xf>
    <xf numFmtId="165" fontId="173" fillId="0" borderId="19" xfId="293" applyNumberFormat="1" applyFont="1" applyBorder="1" applyAlignment="1">
      <alignment horizontal="justify" vertical="top" wrapText="1"/>
    </xf>
    <xf numFmtId="165" fontId="112" fillId="0" borderId="17" xfId="0" applyNumberFormat="1" applyFont="1" applyFill="1" applyBorder="1" applyAlignment="1">
      <alignment horizontal="left" vertical="top" wrapText="1"/>
    </xf>
    <xf numFmtId="0" fontId="118" fillId="0" borderId="20" xfId="0" applyFont="1" applyFill="1" applyBorder="1" applyAlignment="1">
      <alignment horizontal="left" vertical="top" wrapText="1"/>
    </xf>
    <xf numFmtId="0" fontId="118" fillId="0" borderId="22" xfId="0" applyFont="1" applyFill="1" applyBorder="1" applyAlignment="1">
      <alignment horizontal="left" vertical="top" wrapText="1"/>
    </xf>
    <xf numFmtId="0" fontId="118" fillId="0" borderId="19" xfId="0" applyFont="1" applyFill="1" applyBorder="1" applyAlignment="1">
      <alignment horizontal="left" vertical="top" wrapText="1"/>
    </xf>
    <xf numFmtId="165" fontId="114" fillId="0" borderId="17" xfId="0" applyNumberFormat="1" applyFont="1" applyFill="1" applyBorder="1" applyAlignment="1">
      <alignment horizontal="left" vertical="top" wrapText="1"/>
    </xf>
    <xf numFmtId="0" fontId="114" fillId="0" borderId="17" xfId="0" applyFont="1" applyFill="1" applyBorder="1" applyAlignment="1">
      <alignment horizontal="center" vertical="top" wrapText="1"/>
    </xf>
    <xf numFmtId="0" fontId="122" fillId="0" borderId="17" xfId="0" applyFont="1" applyFill="1" applyBorder="1" applyAlignment="1">
      <alignment horizontal="center" vertical="top" wrapText="1"/>
    </xf>
    <xf numFmtId="0" fontId="164" fillId="0" borderId="0" xfId="0" applyFont="1" applyFill="1" applyBorder="1" applyAlignment="1">
      <alignment horizontal="center" vertical="center" wrapText="1"/>
    </xf>
    <xf numFmtId="2" fontId="113" fillId="0" borderId="75" xfId="0" applyNumberFormat="1" applyFont="1" applyFill="1" applyBorder="1" applyAlignment="1">
      <alignment horizontal="center" vertical="top" wrapText="1"/>
    </xf>
    <xf numFmtId="2" fontId="113" fillId="0" borderId="76" xfId="0" applyNumberFormat="1" applyFont="1" applyFill="1" applyBorder="1" applyAlignment="1">
      <alignment horizontal="center" vertical="top" wrapText="1"/>
    </xf>
    <xf numFmtId="2" fontId="113" fillId="0" borderId="68" xfId="0" applyNumberFormat="1" applyFont="1" applyFill="1" applyBorder="1" applyAlignment="1">
      <alignment horizontal="right" vertical="top" wrapText="1"/>
    </xf>
    <xf numFmtId="0" fontId="113" fillId="0" borderId="41" xfId="0" applyFont="1" applyFill="1" applyBorder="1" applyAlignment="1">
      <alignment horizontal="right" vertical="top" wrapText="1"/>
    </xf>
    <xf numFmtId="0" fontId="113" fillId="0" borderId="69" xfId="0" applyFont="1" applyFill="1" applyBorder="1" applyAlignment="1">
      <alignment horizontal="right" vertical="top" wrapText="1"/>
    </xf>
    <xf numFmtId="165" fontId="112" fillId="0" borderId="50" xfId="0" applyNumberFormat="1" applyFont="1" applyFill="1" applyBorder="1" applyAlignment="1">
      <alignment horizontal="justify" vertical="top" wrapText="1"/>
    </xf>
    <xf numFmtId="165" fontId="112" fillId="0" borderId="51" xfId="0" applyNumberFormat="1" applyFont="1" applyFill="1" applyBorder="1" applyAlignment="1">
      <alignment horizontal="justify" vertical="top" wrapText="1"/>
    </xf>
    <xf numFmtId="165" fontId="112" fillId="0" borderId="23" xfId="0" applyNumberFormat="1" applyFont="1" applyFill="1" applyBorder="1" applyAlignment="1">
      <alignment horizontal="justify" vertical="top" wrapText="1"/>
    </xf>
    <xf numFmtId="165" fontId="112" fillId="0" borderId="24" xfId="0" applyNumberFormat="1" applyFont="1" applyFill="1" applyBorder="1" applyAlignment="1">
      <alignment horizontal="justify" vertical="top" wrapText="1"/>
    </xf>
    <xf numFmtId="0" fontId="40" fillId="0" borderId="17" xfId="0" applyNumberFormat="1" applyFont="1" applyFill="1" applyBorder="1" applyAlignment="1">
      <alignment horizontal="left" vertical="top" wrapText="1"/>
    </xf>
    <xf numFmtId="0" fontId="40" fillId="0" borderId="8" xfId="143" applyFont="1" applyFill="1" applyBorder="1" applyAlignment="1">
      <alignment horizontal="justify" vertical="top" wrapText="1"/>
    </xf>
    <xf numFmtId="0" fontId="28" fillId="0" borderId="8" xfId="143" applyFont="1" applyFill="1" applyBorder="1" applyAlignment="1">
      <alignment horizontal="justify" vertical="top" wrapText="1"/>
    </xf>
    <xf numFmtId="0" fontId="40" fillId="0" borderId="8" xfId="143" applyNumberFormat="1" applyFont="1" applyFill="1" applyBorder="1" applyAlignment="1">
      <alignment horizontal="left" vertical="center" wrapText="1"/>
    </xf>
    <xf numFmtId="165" fontId="112" fillId="0" borderId="42" xfId="0" applyNumberFormat="1" applyFont="1" applyFill="1" applyBorder="1" applyAlignment="1">
      <alignment horizontal="left" vertical="top" wrapText="1"/>
    </xf>
    <xf numFmtId="165" fontId="112" fillId="0" borderId="43" xfId="0" applyNumberFormat="1" applyFont="1" applyFill="1" applyBorder="1" applyAlignment="1">
      <alignment horizontal="left" vertical="top" wrapText="1"/>
    </xf>
    <xf numFmtId="165" fontId="112" fillId="0" borderId="44" xfId="0" applyNumberFormat="1" applyFont="1" applyFill="1" applyBorder="1" applyAlignment="1">
      <alignment horizontal="left" vertical="top" wrapText="1"/>
    </xf>
    <xf numFmtId="0" fontId="0" fillId="0" borderId="22" xfId="0" applyBorder="1" applyAlignment="1">
      <alignment horizontal="justify" wrapText="1"/>
    </xf>
    <xf numFmtId="0" fontId="0" fillId="0" borderId="19" xfId="0" applyBorder="1" applyAlignment="1">
      <alignment horizontal="justify" wrapText="1"/>
    </xf>
    <xf numFmtId="0" fontId="178" fillId="0" borderId="22" xfId="0" applyFont="1" applyBorder="1" applyAlignment="1">
      <alignment horizontal="justify" wrapText="1"/>
    </xf>
    <xf numFmtId="0" fontId="178" fillId="0" borderId="19" xfId="0" applyFont="1" applyBorder="1" applyAlignment="1">
      <alignment horizontal="justify" wrapText="1"/>
    </xf>
    <xf numFmtId="0" fontId="45" fillId="0" borderId="17" xfId="293" applyBorder="1" applyAlignment="1">
      <alignment horizontal="justify" vertical="top" wrapText="1"/>
    </xf>
    <xf numFmtId="0" fontId="1" fillId="0" borderId="17" xfId="293" applyFont="1" applyBorder="1" applyAlignment="1">
      <alignment horizontal="justify" vertical="top" wrapText="1"/>
    </xf>
    <xf numFmtId="49" fontId="153" fillId="0" borderId="17" xfId="232" applyNumberFormat="1" applyFont="1" applyBorder="1" applyAlignment="1">
      <alignment horizontal="left" vertical="top" wrapText="1" shrinkToFit="1"/>
    </xf>
    <xf numFmtId="0" fontId="45" fillId="39" borderId="17" xfId="293" applyFill="1" applyBorder="1" applyAlignment="1">
      <alignment horizontal="justify" vertical="top" wrapText="1"/>
    </xf>
    <xf numFmtId="0" fontId="1" fillId="39" borderId="17" xfId="293" applyFont="1" applyFill="1" applyBorder="1" applyAlignment="1">
      <alignment horizontal="justify" vertical="top" wrapText="1"/>
    </xf>
    <xf numFmtId="165" fontId="112" fillId="0" borderId="17" xfId="134" applyNumberFormat="1" applyFont="1" applyFill="1" applyBorder="1" applyAlignment="1">
      <alignment horizontal="justify" vertical="top" wrapText="1"/>
    </xf>
    <xf numFmtId="0" fontId="132" fillId="0" borderId="0" xfId="134" applyFont="1" applyBorder="1" applyAlignment="1">
      <alignment horizontal="center" vertical="center" wrapText="1"/>
    </xf>
    <xf numFmtId="165" fontId="173" fillId="0" borderId="17" xfId="134" applyNumberFormat="1" applyFont="1" applyFill="1" applyBorder="1" applyAlignment="1">
      <alignment horizontal="justify" vertical="top" wrapText="1"/>
    </xf>
    <xf numFmtId="0" fontId="125" fillId="0" borderId="17" xfId="134" applyFont="1" applyBorder="1" applyAlignment="1">
      <alignment horizontal="left"/>
    </xf>
    <xf numFmtId="0" fontId="137" fillId="0" borderId="17" xfId="134" applyFont="1" applyBorder="1" applyAlignment="1">
      <alignment horizontal="left"/>
    </xf>
    <xf numFmtId="0" fontId="133" fillId="0" borderId="17" xfId="134" applyFont="1" applyBorder="1" applyAlignment="1">
      <alignment horizontal="justify" vertical="top" wrapText="1"/>
    </xf>
    <xf numFmtId="0" fontId="125" fillId="0" borderId="17" xfId="134" applyFont="1" applyBorder="1" applyAlignment="1">
      <alignment horizontal="justify" vertical="top" wrapText="1"/>
    </xf>
    <xf numFmtId="0" fontId="165" fillId="0" borderId="0" xfId="134" applyFont="1" applyBorder="1" applyAlignment="1">
      <alignment horizontal="center" vertical="center" wrapText="1"/>
    </xf>
    <xf numFmtId="0" fontId="132" fillId="0" borderId="17" xfId="134" applyFont="1" applyBorder="1" applyAlignment="1">
      <alignment horizontal="justify" vertical="top" wrapText="1"/>
    </xf>
    <xf numFmtId="0" fontId="125" fillId="0" borderId="17" xfId="232" applyFont="1" applyFill="1" applyBorder="1" applyAlignment="1">
      <alignment horizontal="justify" vertical="top" wrapText="1"/>
    </xf>
    <xf numFmtId="0" fontId="40" fillId="40" borderId="20" xfId="178" applyFont="1" applyFill="1" applyBorder="1" applyAlignment="1">
      <alignment horizontal="left" vertical="top" wrapText="1"/>
    </xf>
    <xf numFmtId="0" fontId="40" fillId="40" borderId="22" xfId="178" applyFont="1" applyFill="1" applyBorder="1" applyAlignment="1">
      <alignment horizontal="left" vertical="top" wrapText="1"/>
    </xf>
    <xf numFmtId="0" fontId="40" fillId="40" borderId="19" xfId="178" applyFont="1" applyFill="1" applyBorder="1" applyAlignment="1">
      <alignment horizontal="left" vertical="top" wrapText="1"/>
    </xf>
    <xf numFmtId="0" fontId="125" fillId="0" borderId="17" xfId="138" applyFont="1" applyFill="1" applyBorder="1" applyAlignment="1">
      <alignment horizontal="justify" vertical="top" wrapText="1"/>
    </xf>
    <xf numFmtId="49" fontId="153" fillId="0" borderId="17" xfId="232" applyNumberFormat="1" applyFont="1" applyFill="1" applyBorder="1" applyAlignment="1">
      <alignment horizontal="left" vertical="top" wrapText="1" shrinkToFit="1"/>
    </xf>
    <xf numFmtId="0" fontId="125" fillId="0" borderId="17" xfId="138" applyFont="1" applyBorder="1" applyAlignment="1">
      <alignment horizontal="justify" vertical="top" wrapText="1"/>
    </xf>
    <xf numFmtId="2" fontId="132" fillId="0" borderId="8" xfId="138" applyNumberFormat="1" applyFont="1" applyFill="1" applyBorder="1" applyAlignment="1">
      <alignment horizontal="center" vertical="top" wrapText="1"/>
    </xf>
    <xf numFmtId="0" fontId="132" fillId="0" borderId="8" xfId="138" applyFont="1" applyFill="1" applyBorder="1" applyAlignment="1">
      <alignment horizontal="center" vertical="top" wrapText="1"/>
    </xf>
    <xf numFmtId="49" fontId="132" fillId="0" borderId="37" xfId="232" applyNumberFormat="1" applyFont="1" applyFill="1" applyBorder="1" applyAlignment="1">
      <alignment horizontal="center" vertical="center"/>
    </xf>
    <xf numFmtId="49" fontId="132" fillId="0" borderId="4" xfId="232" applyNumberFormat="1" applyFont="1" applyFill="1" applyBorder="1" applyAlignment="1">
      <alignment horizontal="center" vertical="center"/>
    </xf>
    <xf numFmtId="49" fontId="132" fillId="0" borderId="34" xfId="232" applyNumberFormat="1" applyFont="1" applyFill="1" applyBorder="1" applyAlignment="1">
      <alignment horizontal="center" vertical="center"/>
    </xf>
    <xf numFmtId="0" fontId="125" fillId="0" borderId="37" xfId="232" applyFont="1" applyFill="1" applyBorder="1" applyAlignment="1">
      <alignment horizontal="left" vertical="top" wrapText="1"/>
    </xf>
    <xf numFmtId="0" fontId="125" fillId="0" borderId="4" xfId="232" applyFont="1" applyFill="1" applyBorder="1" applyAlignment="1">
      <alignment horizontal="left" vertical="top" wrapText="1"/>
    </xf>
    <xf numFmtId="0" fontId="125" fillId="0" borderId="34" xfId="232" applyFont="1" applyFill="1" applyBorder="1" applyAlignment="1">
      <alignment horizontal="left" vertical="top" wrapText="1"/>
    </xf>
    <xf numFmtId="0" fontId="125" fillId="0" borderId="62" xfId="232" applyFont="1" applyFill="1" applyBorder="1" applyAlignment="1">
      <alignment horizontal="justify" vertical="top" wrapText="1"/>
    </xf>
    <xf numFmtId="0" fontId="125" fillId="0" borderId="17" xfId="232" applyFont="1" applyFill="1" applyBorder="1" applyAlignment="1">
      <alignment horizontal="left" vertical="top" wrapText="1"/>
    </xf>
    <xf numFmtId="0" fontId="0" fillId="0" borderId="0" xfId="135" applyFont="1" applyAlignment="1">
      <alignment horizontal="left" vertical="center" wrapText="1"/>
    </xf>
    <xf numFmtId="0" fontId="32" fillId="0" borderId="0" xfId="135" applyAlignment="1">
      <alignment horizontal="left" vertical="center" wrapText="1"/>
    </xf>
    <xf numFmtId="0" fontId="89" fillId="0" borderId="0" xfId="135" applyFont="1" applyAlignment="1">
      <alignment horizontal="center" vertical="center"/>
    </xf>
    <xf numFmtId="2" fontId="40" fillId="0" borderId="0" xfId="135" applyNumberFormat="1" applyFont="1" applyAlignment="1">
      <alignment horizontal="center" vertical="center" wrapText="1"/>
    </xf>
    <xf numFmtId="0" fontId="2" fillId="0" borderId="0" xfId="135" applyFont="1" applyAlignment="1">
      <alignment horizontal="left" vertical="center" wrapText="1"/>
    </xf>
    <xf numFmtId="0" fontId="74" fillId="0" borderId="0" xfId="135" applyFont="1" applyAlignment="1">
      <alignment horizontal="left" vertical="center" wrapText="1"/>
    </xf>
    <xf numFmtId="0" fontId="44" fillId="0" borderId="0" xfId="136" applyFont="1" applyAlignment="1">
      <alignment horizontal="left" vertical="top" wrapText="1"/>
    </xf>
    <xf numFmtId="0" fontId="71" fillId="0" borderId="0" xfId="136" applyFont="1" applyAlignment="1">
      <alignment horizontal="justify" vertical="justify" wrapText="1"/>
    </xf>
    <xf numFmtId="0" fontId="30" fillId="0" borderId="0" xfId="136" applyFont="1" applyAlignment="1">
      <alignment horizontal="justify" vertical="justify" wrapText="1"/>
    </xf>
    <xf numFmtId="2" fontId="30" fillId="0" borderId="0" xfId="136" applyNumberFormat="1" applyFont="1" applyAlignment="1">
      <alignment horizontal="center"/>
    </xf>
    <xf numFmtId="0" fontId="30" fillId="0" borderId="0" xfId="136" applyFont="1" applyAlignment="1">
      <alignment horizontal="center"/>
    </xf>
    <xf numFmtId="0" fontId="44" fillId="0" borderId="0" xfId="136" applyFont="1" applyAlignment="1">
      <alignment horizontal="justify" vertical="justify" wrapText="1"/>
    </xf>
    <xf numFmtId="0" fontId="30" fillId="0" borderId="0" xfId="136" applyFont="1" applyAlignment="1">
      <alignment horizontal="center" vertical="top" wrapText="1"/>
    </xf>
    <xf numFmtId="0" fontId="32" fillId="40" borderId="58" xfId="173" applyFont="1" applyFill="1" applyBorder="1" applyAlignment="1">
      <alignment horizontal="left" vertical="top" wrapText="1"/>
    </xf>
    <xf numFmtId="0" fontId="32" fillId="40" borderId="59" xfId="173" applyFont="1" applyFill="1" applyBorder="1" applyAlignment="1">
      <alignment horizontal="left" vertical="top" wrapText="1"/>
    </xf>
    <xf numFmtId="0" fontId="32" fillId="40" borderId="60" xfId="173" applyFont="1" applyFill="1" applyBorder="1" applyAlignment="1">
      <alignment horizontal="left" vertical="top" wrapText="1"/>
    </xf>
    <xf numFmtId="0" fontId="46" fillId="40" borderId="57" xfId="173" applyFont="1" applyFill="1" applyBorder="1" applyAlignment="1">
      <alignment horizontal="center" vertical="top" wrapText="1"/>
    </xf>
    <xf numFmtId="2" fontId="71" fillId="40" borderId="57" xfId="173" applyNumberFormat="1" applyFont="1" applyFill="1" applyBorder="1" applyAlignment="1">
      <alignment horizontal="center" vertical="top" wrapText="1"/>
    </xf>
    <xf numFmtId="0" fontId="71" fillId="40" borderId="57" xfId="173" applyFont="1" applyFill="1" applyBorder="1" applyAlignment="1">
      <alignment horizontal="center" vertical="top" wrapText="1"/>
    </xf>
    <xf numFmtId="2" fontId="71" fillId="40" borderId="57" xfId="173" applyNumberFormat="1" applyFont="1" applyFill="1" applyBorder="1" applyAlignment="1">
      <alignment horizontal="right" vertical="top" wrapText="1"/>
    </xf>
    <xf numFmtId="0" fontId="71" fillId="40" borderId="57" xfId="173" applyFont="1" applyFill="1" applyBorder="1" applyAlignment="1">
      <alignment horizontal="right" vertical="top" wrapText="1"/>
    </xf>
    <xf numFmtId="0" fontId="32" fillId="40" borderId="58" xfId="173" applyFont="1" applyFill="1" applyBorder="1" applyAlignment="1">
      <alignment horizontal="center" vertical="top" wrapText="1"/>
    </xf>
    <xf numFmtId="0" fontId="32" fillId="40" borderId="59" xfId="173" applyFont="1" applyFill="1" applyBorder="1" applyAlignment="1">
      <alignment horizontal="center" vertical="top" wrapText="1"/>
    </xf>
    <xf numFmtId="0" fontId="32" fillId="40" borderId="60" xfId="173" applyFont="1" applyFill="1" applyBorder="1" applyAlignment="1">
      <alignment horizontal="center" vertical="top" wrapText="1"/>
    </xf>
    <xf numFmtId="14" fontId="30" fillId="0" borderId="0" xfId="134" applyNumberFormat="1" applyFont="1" applyAlignment="1">
      <alignment horizontal="center" vertical="top"/>
    </xf>
    <xf numFmtId="0" fontId="30" fillId="0" borderId="41" xfId="229" applyFont="1" applyBorder="1" applyAlignment="1">
      <alignment horizontal="center" vertical="center" wrapText="1"/>
    </xf>
    <xf numFmtId="0" fontId="75" fillId="0" borderId="0" xfId="134" applyFont="1" applyBorder="1" applyAlignment="1">
      <alignment horizontal="left" vertical="center" wrapText="1"/>
    </xf>
    <xf numFmtId="0" fontId="75" fillId="0" borderId="0" xfId="134" applyFont="1" applyBorder="1" applyAlignment="1">
      <alignment horizontal="right" vertical="center" wrapText="1"/>
    </xf>
    <xf numFmtId="0" fontId="48" fillId="0" borderId="0" xfId="229" applyFont="1" applyAlignment="1">
      <alignment horizontal="center" vertical="center" wrapText="1"/>
    </xf>
    <xf numFmtId="0" fontId="32" fillId="0" borderId="0" xfId="230" applyFont="1" applyFill="1" applyBorder="1" applyAlignment="1">
      <alignment horizontal="center"/>
    </xf>
    <xf numFmtId="0" fontId="37" fillId="0" borderId="42" xfId="155" applyFont="1" applyFill="1" applyBorder="1" applyAlignment="1">
      <alignment horizontal="justify" vertical="top" wrapText="1"/>
    </xf>
    <xf numFmtId="0" fontId="37" fillId="0" borderId="43" xfId="155" applyFont="1" applyFill="1" applyBorder="1" applyAlignment="1">
      <alignment horizontal="justify" vertical="top" wrapText="1"/>
    </xf>
    <xf numFmtId="0" fontId="37" fillId="0" borderId="44" xfId="155" applyFont="1" applyFill="1" applyBorder="1" applyAlignment="1">
      <alignment horizontal="justify" vertical="top" wrapText="1"/>
    </xf>
    <xf numFmtId="165" fontId="37" fillId="0" borderId="23" xfId="155" applyNumberFormat="1" applyFont="1" applyFill="1" applyBorder="1" applyAlignment="1">
      <alignment horizontal="left" vertical="center" wrapText="1"/>
    </xf>
    <xf numFmtId="165" fontId="37" fillId="0" borderId="24" xfId="155" applyNumberFormat="1" applyFont="1" applyFill="1" applyBorder="1" applyAlignment="1">
      <alignment horizontal="left" vertical="center" wrapText="1"/>
    </xf>
    <xf numFmtId="165" fontId="37" fillId="0" borderId="25" xfId="155" applyNumberFormat="1" applyFont="1" applyFill="1" applyBorder="1" applyAlignment="1">
      <alignment horizontal="left" vertical="center" wrapText="1"/>
    </xf>
    <xf numFmtId="0" fontId="37" fillId="0" borderId="42" xfId="0" applyFont="1" applyFill="1" applyBorder="1" applyAlignment="1">
      <alignment horizontal="justify" vertical="top" wrapText="1"/>
    </xf>
    <xf numFmtId="0" fontId="37" fillId="0" borderId="43" xfId="0" applyFont="1" applyFill="1" applyBorder="1" applyAlignment="1">
      <alignment horizontal="justify" vertical="top" wrapText="1"/>
    </xf>
    <xf numFmtId="0" fontId="37" fillId="0" borderId="44" xfId="0" applyFont="1" applyFill="1" applyBorder="1" applyAlignment="1">
      <alignment horizontal="justify" vertical="top" wrapText="1"/>
    </xf>
    <xf numFmtId="0" fontId="51" fillId="0" borderId="0" xfId="230" applyFont="1" applyFill="1" applyBorder="1" applyAlignment="1">
      <alignment horizontal="center"/>
    </xf>
    <xf numFmtId="0" fontId="49" fillId="0" borderId="20" xfId="0" applyNumberFormat="1" applyFont="1" applyFill="1" applyBorder="1" applyAlignment="1">
      <alignment horizontal="left" vertical="top" wrapText="1"/>
    </xf>
    <xf numFmtId="0" fontId="49" fillId="0" borderId="22" xfId="0" applyNumberFormat="1" applyFont="1" applyFill="1" applyBorder="1" applyAlignment="1">
      <alignment horizontal="left" vertical="top" wrapText="1"/>
    </xf>
    <xf numFmtId="0" fontId="49" fillId="0" borderId="19" xfId="0" applyNumberFormat="1" applyFont="1" applyFill="1" applyBorder="1" applyAlignment="1">
      <alignment horizontal="left" vertical="top" wrapText="1"/>
    </xf>
    <xf numFmtId="0" fontId="37" fillId="0" borderId="20" xfId="155" applyFont="1" applyFill="1" applyBorder="1" applyAlignment="1">
      <alignment horizontal="left" vertical="center" wrapText="1"/>
    </xf>
    <xf numFmtId="0" fontId="37" fillId="0" borderId="22" xfId="155" applyFont="1" applyFill="1" applyBorder="1" applyAlignment="1">
      <alignment horizontal="left" vertical="center" wrapText="1"/>
    </xf>
    <xf numFmtId="0" fontId="37" fillId="0" borderId="19" xfId="155" applyFont="1" applyFill="1" applyBorder="1" applyAlignment="1">
      <alignment horizontal="left" vertical="center" wrapText="1"/>
    </xf>
    <xf numFmtId="0" fontId="39" fillId="0" borderId="42" xfId="155" applyFont="1" applyFill="1" applyBorder="1" applyAlignment="1">
      <alignment horizontal="justify" vertical="top" wrapText="1"/>
    </xf>
    <xf numFmtId="0" fontId="39" fillId="0" borderId="43" xfId="155" applyFont="1" applyFill="1" applyBorder="1" applyAlignment="1">
      <alignment horizontal="justify" vertical="top" wrapText="1"/>
    </xf>
    <xf numFmtId="0" fontId="39" fillId="0" borderId="44" xfId="155" applyFont="1" applyFill="1" applyBorder="1" applyAlignment="1">
      <alignment horizontal="justify" vertical="top" wrapText="1"/>
    </xf>
    <xf numFmtId="0" fontId="35" fillId="0" borderId="48" xfId="155" applyFont="1" applyFill="1" applyBorder="1" applyAlignment="1">
      <alignment horizontal="left" vertical="center" wrapText="1"/>
    </xf>
    <xf numFmtId="0" fontId="35" fillId="0" borderId="14" xfId="155" applyFont="1" applyFill="1" applyBorder="1" applyAlignment="1">
      <alignment horizontal="left" vertical="center" wrapText="1"/>
    </xf>
    <xf numFmtId="0" fontId="35" fillId="0" borderId="49" xfId="155" applyFont="1" applyFill="1" applyBorder="1" applyAlignment="1">
      <alignment horizontal="left" vertical="center" wrapText="1"/>
    </xf>
    <xf numFmtId="0" fontId="30" fillId="0" borderId="20" xfId="233" applyFont="1" applyFill="1" applyBorder="1" applyAlignment="1">
      <alignment horizontal="center" vertical="center" wrapText="1"/>
    </xf>
    <xf numFmtId="0" fontId="30" fillId="0" borderId="22" xfId="233" applyFont="1" applyFill="1" applyBorder="1" applyAlignment="1">
      <alignment horizontal="center" vertical="center" wrapText="1"/>
    </xf>
    <xf numFmtId="0" fontId="30" fillId="0" borderId="19" xfId="233" applyFont="1" applyFill="1" applyBorder="1" applyAlignment="1">
      <alignment horizontal="center" vertical="center" wrapText="1"/>
    </xf>
    <xf numFmtId="0" fontId="35" fillId="0" borderId="45" xfId="155" applyFont="1" applyFill="1" applyBorder="1" applyAlignment="1">
      <alignment vertical="center" wrapText="1"/>
    </xf>
    <xf numFmtId="0" fontId="35" fillId="0" borderId="46" xfId="155" applyFont="1" applyFill="1" applyBorder="1" applyAlignment="1">
      <alignment vertical="center" wrapText="1"/>
    </xf>
    <xf numFmtId="0" fontId="35" fillId="0" borderId="47" xfId="155" applyFont="1" applyFill="1" applyBorder="1" applyAlignment="1">
      <alignment vertical="center" wrapText="1"/>
    </xf>
    <xf numFmtId="0" fontId="47" fillId="0" borderId="53" xfId="155" applyFont="1" applyFill="1" applyBorder="1" applyAlignment="1">
      <alignment horizontal="center" vertical="center" wrapText="1"/>
    </xf>
    <xf numFmtId="0" fontId="47" fillId="0" borderId="0" xfId="155" applyFont="1" applyFill="1" applyBorder="1" applyAlignment="1">
      <alignment horizontal="center" vertical="center" wrapText="1"/>
    </xf>
    <xf numFmtId="0" fontId="47" fillId="0" borderId="54" xfId="155" applyFont="1" applyFill="1" applyBorder="1" applyAlignment="1">
      <alignment horizontal="center" vertical="center" wrapText="1"/>
    </xf>
    <xf numFmtId="0" fontId="29" fillId="0" borderId="50" xfId="155" applyFont="1" applyFill="1" applyBorder="1" applyAlignment="1">
      <alignment horizontal="center" vertical="center"/>
    </xf>
    <xf numFmtId="0" fontId="29" fillId="0" borderId="51" xfId="155" applyFont="1" applyFill="1" applyBorder="1" applyAlignment="1">
      <alignment horizontal="center" vertical="center"/>
    </xf>
    <xf numFmtId="0" fontId="29" fillId="0" borderId="52" xfId="155" applyFont="1" applyFill="1" applyBorder="1" applyAlignment="1">
      <alignment horizontal="center" vertical="center"/>
    </xf>
    <xf numFmtId="0" fontId="31" fillId="0" borderId="50" xfId="155" applyFont="1" applyFill="1" applyBorder="1" applyAlignment="1">
      <alignment horizontal="justify" vertical="top" wrapText="1"/>
    </xf>
    <xf numFmtId="0" fontId="31" fillId="0" borderId="51" xfId="155" applyFont="1" applyFill="1" applyBorder="1" applyAlignment="1">
      <alignment horizontal="justify" vertical="top" wrapText="1"/>
    </xf>
    <xf numFmtId="0" fontId="31" fillId="0" borderId="52" xfId="155" applyFont="1" applyFill="1" applyBorder="1" applyAlignment="1">
      <alignment horizontal="justify" vertical="top" wrapText="1"/>
    </xf>
    <xf numFmtId="2" fontId="33" fillId="0" borderId="48" xfId="155" applyNumberFormat="1" applyFont="1" applyFill="1" applyBorder="1" applyAlignment="1">
      <alignment horizontal="right"/>
    </xf>
    <xf numFmtId="0" fontId="33" fillId="0" borderId="14" xfId="155" applyFont="1" applyFill="1" applyBorder="1" applyAlignment="1">
      <alignment horizontal="right"/>
    </xf>
    <xf numFmtId="0" fontId="33" fillId="0" borderId="49" xfId="155" applyFont="1" applyFill="1" applyBorder="1" applyAlignment="1">
      <alignment horizontal="right"/>
    </xf>
    <xf numFmtId="0" fontId="34" fillId="0" borderId="8" xfId="155" applyFont="1" applyFill="1" applyBorder="1" applyAlignment="1">
      <alignment horizontal="center" vertical="center" wrapText="1"/>
    </xf>
    <xf numFmtId="0" fontId="34" fillId="0" borderId="8" xfId="155" applyFont="1" applyFill="1" applyBorder="1" applyAlignment="1">
      <alignment horizontal="center" vertical="center"/>
    </xf>
    <xf numFmtId="0" fontId="42" fillId="0" borderId="42" xfId="155" applyFont="1" applyFill="1" applyBorder="1" applyAlignment="1">
      <alignment horizontal="justify" vertical="top" wrapText="1"/>
    </xf>
    <xf numFmtId="0" fontId="42" fillId="0" borderId="43" xfId="155" applyFont="1" applyFill="1" applyBorder="1" applyAlignment="1">
      <alignment horizontal="justify" vertical="top" wrapText="1"/>
    </xf>
    <xf numFmtId="0" fontId="42" fillId="0" borderId="44" xfId="155" applyFont="1" applyFill="1" applyBorder="1" applyAlignment="1">
      <alignment horizontal="justify" vertical="top" wrapText="1"/>
    </xf>
    <xf numFmtId="0" fontId="34" fillId="0" borderId="20" xfId="155" applyFont="1" applyFill="1" applyBorder="1" applyAlignment="1">
      <alignment horizontal="left" vertical="top" wrapText="1"/>
    </xf>
    <xf numFmtId="0" fontId="34" fillId="0" borderId="22" xfId="155" applyFont="1" applyFill="1" applyBorder="1" applyAlignment="1">
      <alignment horizontal="left" vertical="top" wrapText="1"/>
    </xf>
    <xf numFmtId="0" fontId="34" fillId="0" borderId="19" xfId="155" applyFont="1" applyFill="1" applyBorder="1" applyAlignment="1">
      <alignment horizontal="left" vertical="top" wrapText="1"/>
    </xf>
    <xf numFmtId="0" fontId="41" fillId="0" borderId="0" xfId="155" applyFont="1" applyFill="1" applyBorder="1" applyAlignment="1">
      <alignment horizontal="center" wrapText="1"/>
    </xf>
    <xf numFmtId="0" fontId="34" fillId="0" borderId="23" xfId="155" applyFont="1" applyFill="1" applyBorder="1" applyAlignment="1">
      <alignment horizontal="left" vertical="top" wrapText="1"/>
    </xf>
    <xf numFmtId="0" fontId="34" fillId="0" borderId="24" xfId="155" applyFont="1" applyFill="1" applyBorder="1" applyAlignment="1">
      <alignment horizontal="left" vertical="top" wrapText="1"/>
    </xf>
    <xf numFmtId="0" fontId="34" fillId="0" borderId="25" xfId="155" applyFont="1" applyFill="1" applyBorder="1" applyAlignment="1">
      <alignment horizontal="left" vertical="top" wrapText="1"/>
    </xf>
    <xf numFmtId="0" fontId="34" fillId="0" borderId="20" xfId="155" applyFont="1" applyFill="1" applyBorder="1" applyAlignment="1">
      <alignment vertical="top" wrapText="1"/>
    </xf>
    <xf numFmtId="0" fontId="34" fillId="0" borderId="22" xfId="155" applyFont="1" applyFill="1" applyBorder="1" applyAlignment="1">
      <alignment vertical="top" wrapText="1"/>
    </xf>
    <xf numFmtId="0" fontId="34" fillId="0" borderId="19" xfId="155" applyFont="1" applyFill="1" applyBorder="1" applyAlignment="1">
      <alignment vertical="top" wrapText="1"/>
    </xf>
    <xf numFmtId="0" fontId="35" fillId="0" borderId="8" xfId="155" applyFont="1" applyFill="1" applyBorder="1" applyAlignment="1">
      <alignment horizontal="center" vertical="center"/>
    </xf>
    <xf numFmtId="0" fontId="34" fillId="0" borderId="23" xfId="155" applyFont="1" applyFill="1" applyBorder="1" applyAlignment="1">
      <alignment horizontal="justify" vertical="top" wrapText="1"/>
    </xf>
    <xf numFmtId="0" fontId="34" fillId="0" borderId="24" xfId="155" applyFont="1" applyFill="1" applyBorder="1" applyAlignment="1">
      <alignment horizontal="justify" vertical="top" wrapText="1"/>
    </xf>
    <xf numFmtId="0" fontId="34" fillId="0" borderId="25" xfId="155" applyFont="1" applyFill="1" applyBorder="1" applyAlignment="1">
      <alignment horizontal="justify" vertical="top" wrapText="1"/>
    </xf>
    <xf numFmtId="0" fontId="37" fillId="0" borderId="17" xfId="155" applyFont="1" applyFill="1" applyBorder="1" applyAlignment="1">
      <alignment horizontal="left" vertical="top" wrapText="1"/>
    </xf>
    <xf numFmtId="0" fontId="46" fillId="0" borderId="14" xfId="134" applyFont="1" applyBorder="1" applyAlignment="1">
      <alignment horizontal="center" vertical="center"/>
    </xf>
    <xf numFmtId="0" fontId="46" fillId="0" borderId="55" xfId="134" applyFont="1" applyBorder="1" applyAlignment="1">
      <alignment horizontal="center" vertical="center"/>
    </xf>
    <xf numFmtId="0" fontId="40" fillId="0" borderId="8" xfId="134" applyFont="1" applyBorder="1" applyAlignment="1">
      <alignment horizontal="center" vertical="center" wrapText="1"/>
    </xf>
    <xf numFmtId="0" fontId="40" fillId="0" borderId="8" xfId="134" applyFont="1" applyBorder="1" applyAlignment="1">
      <alignment horizontal="right" vertical="center"/>
    </xf>
    <xf numFmtId="0" fontId="32" fillId="40" borderId="0" xfId="134" applyFont="1" applyFill="1" applyBorder="1" applyAlignment="1">
      <alignment horizontal="center"/>
    </xf>
    <xf numFmtId="0" fontId="32" fillId="40" borderId="0" xfId="134" applyFont="1" applyFill="1" applyBorder="1" applyAlignment="1">
      <alignment horizontal="center" vertical="top"/>
    </xf>
    <xf numFmtId="0" fontId="32" fillId="40" borderId="61" xfId="148" applyFont="1" applyFill="1" applyBorder="1" applyAlignment="1">
      <alignment horizontal="justify" vertical="top" wrapText="1"/>
    </xf>
    <xf numFmtId="0" fontId="78" fillId="40" borderId="61" xfId="148" applyFont="1" applyFill="1" applyBorder="1" applyAlignment="1">
      <alignment horizontal="center" vertical="center" wrapText="1"/>
    </xf>
    <xf numFmtId="2" fontId="78" fillId="40" borderId="61" xfId="148" applyNumberFormat="1" applyFont="1" applyFill="1" applyBorder="1" applyAlignment="1">
      <alignment horizontal="center" vertical="center" wrapText="1"/>
    </xf>
    <xf numFmtId="2" fontId="78" fillId="40" borderId="61" xfId="148" applyNumberFormat="1" applyFont="1" applyFill="1" applyBorder="1" applyAlignment="1">
      <alignment horizontal="right" vertical="center" wrapText="1"/>
    </xf>
    <xf numFmtId="0" fontId="78" fillId="40" borderId="61" xfId="148" applyFont="1" applyFill="1" applyBorder="1" applyAlignment="1">
      <alignment horizontal="right" vertical="center" wrapText="1"/>
    </xf>
    <xf numFmtId="165" fontId="32" fillId="40" borderId="61" xfId="148" applyNumberFormat="1" applyFont="1" applyFill="1" applyBorder="1" applyAlignment="1">
      <alignment horizontal="left" vertical="top" wrapText="1"/>
    </xf>
    <xf numFmtId="165" fontId="32" fillId="40" borderId="61" xfId="148" applyNumberFormat="1" applyFont="1" applyFill="1" applyBorder="1" applyAlignment="1">
      <alignment horizontal="left" wrapText="1"/>
    </xf>
    <xf numFmtId="0" fontId="38" fillId="40" borderId="61" xfId="148" applyFont="1" applyFill="1" applyBorder="1" applyAlignment="1">
      <alignment horizontal="center" vertical="top" wrapText="1"/>
    </xf>
    <xf numFmtId="0" fontId="32" fillId="40" borderId="61" xfId="148" applyFont="1" applyFill="1" applyBorder="1" applyAlignment="1">
      <alignment horizontal="left" vertical="top" wrapText="1"/>
    </xf>
    <xf numFmtId="0" fontId="38" fillId="40" borderId="0" xfId="148" applyFont="1" applyFill="1" applyBorder="1" applyAlignment="1">
      <alignment horizontal="center" vertical="top" wrapText="1"/>
    </xf>
    <xf numFmtId="0" fontId="38" fillId="40" borderId="0" xfId="148" applyFont="1" applyFill="1" applyAlignment="1">
      <alignment horizontal="center" vertical="top" wrapText="1"/>
    </xf>
    <xf numFmtId="165" fontId="71" fillId="40" borderId="61" xfId="148" applyNumberFormat="1" applyFont="1" applyFill="1" applyBorder="1" applyAlignment="1">
      <alignment horizontal="left" vertical="top" wrapText="1"/>
    </xf>
    <xf numFmtId="165" fontId="32" fillId="40" borderId="61" xfId="148" applyNumberFormat="1" applyFont="1" applyFill="1" applyBorder="1" applyAlignment="1">
      <alignment horizontal="justify" vertical="top" wrapText="1"/>
    </xf>
    <xf numFmtId="0" fontId="32" fillId="40" borderId="61" xfId="148" applyFont="1" applyFill="1" applyBorder="1" applyAlignment="1">
      <alignment wrapText="1"/>
    </xf>
    <xf numFmtId="0" fontId="32" fillId="40" borderId="61" xfId="148" applyFont="1" applyFill="1" applyBorder="1" applyAlignment="1">
      <alignment horizontal="left" vertical="center" wrapText="1"/>
    </xf>
    <xf numFmtId="0" fontId="32" fillId="40" borderId="61" xfId="148" applyFont="1" applyFill="1" applyBorder="1" applyAlignment="1">
      <alignment horizontal="left" wrapText="1"/>
    </xf>
    <xf numFmtId="165" fontId="32" fillId="40" borderId="57" xfId="148" applyNumberFormat="1" applyFont="1" applyFill="1" applyBorder="1" applyAlignment="1">
      <alignment horizontal="justify" vertical="top" wrapText="1"/>
    </xf>
    <xf numFmtId="0" fontId="32" fillId="40" borderId="57" xfId="148" applyFont="1" applyFill="1" applyBorder="1" applyAlignment="1">
      <alignment wrapText="1"/>
    </xf>
    <xf numFmtId="165" fontId="38" fillId="40" borderId="61" xfId="148" applyNumberFormat="1" applyFont="1" applyFill="1" applyBorder="1" applyAlignment="1">
      <alignment horizontal="left" vertical="top" wrapText="1"/>
    </xf>
    <xf numFmtId="0" fontId="37" fillId="40" borderId="61" xfId="148" applyFont="1" applyFill="1" applyBorder="1" applyAlignment="1">
      <alignment horizontal="left" vertical="top" wrapText="1"/>
    </xf>
    <xf numFmtId="0" fontId="111" fillId="0" borderId="17" xfId="134" applyFont="1" applyBorder="1" applyAlignment="1">
      <alignment horizontal="left" vertical="center" wrapText="1"/>
    </xf>
    <xf numFmtId="0" fontId="109" fillId="0" borderId="20" xfId="134" applyFont="1" applyBorder="1" applyAlignment="1">
      <alignment horizontal="left" vertical="center"/>
    </xf>
    <xf numFmtId="0" fontId="109" fillId="0" borderId="22" xfId="134" applyFont="1" applyBorder="1" applyAlignment="1">
      <alignment horizontal="left" vertical="center"/>
    </xf>
    <xf numFmtId="0" fontId="109" fillId="0" borderId="19" xfId="134" applyFont="1" applyBorder="1" applyAlignment="1">
      <alignment horizontal="left" vertical="center"/>
    </xf>
    <xf numFmtId="0" fontId="109" fillId="0" borderId="17" xfId="231" applyFont="1" applyFill="1" applyBorder="1" applyAlignment="1">
      <alignment horizontal="justify" vertical="center" wrapText="1"/>
    </xf>
    <xf numFmtId="0" fontId="110" fillId="0" borderId="8" xfId="134" applyFont="1" applyBorder="1" applyAlignment="1">
      <alignment horizontal="center" vertical="top" wrapText="1"/>
    </xf>
    <xf numFmtId="0" fontId="110" fillId="0" borderId="8" xfId="134" applyFont="1" applyBorder="1" applyAlignment="1">
      <alignment horizontal="center" vertical="center" wrapText="1"/>
    </xf>
    <xf numFmtId="0" fontId="110" fillId="0" borderId="0" xfId="134" applyFont="1" applyBorder="1" applyAlignment="1">
      <alignment horizontal="center" vertical="center" wrapText="1"/>
    </xf>
    <xf numFmtId="0" fontId="109" fillId="0" borderId="0" xfId="134" applyFont="1" applyAlignment="1">
      <alignment horizontal="center" vertical="center" wrapText="1"/>
    </xf>
    <xf numFmtId="0" fontId="96" fillId="0" borderId="0" xfId="134" applyFont="1" applyBorder="1" applyAlignment="1">
      <alignment horizontal="center" vertical="top"/>
    </xf>
    <xf numFmtId="0" fontId="96" fillId="0" borderId="14" xfId="134" applyFont="1" applyBorder="1" applyAlignment="1">
      <alignment horizontal="right" vertical="center"/>
    </xf>
    <xf numFmtId="0" fontId="110" fillId="0" borderId="8" xfId="134" applyFont="1" applyBorder="1" applyAlignment="1">
      <alignment horizontal="right" vertical="top" wrapText="1"/>
    </xf>
    <xf numFmtId="2" fontId="110" fillId="0" borderId="8" xfId="134" applyNumberFormat="1" applyFont="1" applyBorder="1" applyAlignment="1">
      <alignment horizontal="right" vertical="center" wrapText="1"/>
    </xf>
    <xf numFmtId="0" fontId="3" fillId="0" borderId="56" xfId="204" applyFont="1" applyBorder="1" applyAlignment="1">
      <alignment horizontal="center" vertical="center" wrapText="1"/>
    </xf>
    <xf numFmtId="0" fontId="3" fillId="0" borderId="14" xfId="204" applyFont="1" applyBorder="1" applyAlignment="1">
      <alignment horizontal="center" vertical="center" wrapText="1"/>
    </xf>
    <xf numFmtId="0" fontId="5" fillId="0" borderId="8" xfId="204" applyFont="1" applyBorder="1" applyAlignment="1">
      <alignment horizontal="center" vertical="center" wrapText="1"/>
    </xf>
    <xf numFmtId="49" fontId="5" fillId="0" borderId="8" xfId="204" applyNumberFormat="1" applyFont="1" applyBorder="1" applyAlignment="1">
      <alignment horizontal="center" vertical="center" wrapText="1"/>
    </xf>
    <xf numFmtId="0" fontId="5" fillId="0" borderId="8" xfId="0" applyFont="1" applyBorder="1" applyAlignment="1">
      <alignment horizontal="center" vertical="center" wrapText="1"/>
    </xf>
    <xf numFmtId="49" fontId="5" fillId="0" borderId="8" xfId="0" applyNumberFormat="1" applyFont="1" applyBorder="1" applyAlignment="1">
      <alignment horizontal="center" vertical="center" wrapText="1"/>
    </xf>
    <xf numFmtId="0" fontId="3" fillId="0" borderId="56" xfId="0" applyFont="1" applyBorder="1" applyAlignment="1">
      <alignment horizontal="center" vertical="center" wrapText="1"/>
    </xf>
    <xf numFmtId="0" fontId="3" fillId="0" borderId="14" xfId="0" applyFont="1" applyBorder="1" applyAlignment="1">
      <alignment horizontal="center" vertical="center" wrapText="1"/>
    </xf>
    <xf numFmtId="0" fontId="5" fillId="0" borderId="14" xfId="0" applyFont="1" applyBorder="1" applyAlignment="1">
      <alignment horizontal="center" vertical="center" wrapText="1"/>
    </xf>
    <xf numFmtId="49" fontId="5" fillId="0" borderId="0" xfId="0" applyNumberFormat="1" applyFont="1" applyAlignment="1">
      <alignment horizontal="center" vertical="center" wrapText="1"/>
    </xf>
    <xf numFmtId="2" fontId="5" fillId="0" borderId="8" xfId="0" applyNumberFormat="1"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Alignment="1">
      <alignment horizontal="center" vertical="center" wrapText="1"/>
    </xf>
    <xf numFmtId="2" fontId="5" fillId="0" borderId="15" xfId="0" applyNumberFormat="1" applyFont="1" applyBorder="1" applyAlignment="1">
      <alignment horizontal="center" vertical="center" wrapText="1"/>
    </xf>
    <xf numFmtId="2" fontId="5" fillId="0" borderId="32" xfId="0" applyNumberFormat="1" applyFont="1" applyBorder="1" applyAlignment="1">
      <alignment horizontal="center" vertical="center" wrapText="1"/>
    </xf>
    <xf numFmtId="2" fontId="76" fillId="0" borderId="8" xfId="0" applyNumberFormat="1" applyFont="1" applyBorder="1" applyAlignment="1">
      <alignment horizontal="center" vertical="center" wrapText="1"/>
    </xf>
    <xf numFmtId="2" fontId="3" fillId="0" borderId="8" xfId="0" applyNumberFormat="1" applyFont="1" applyBorder="1" applyAlignment="1">
      <alignment horizontal="center" vertical="center" wrapText="1"/>
    </xf>
    <xf numFmtId="49" fontId="5" fillId="0" borderId="10" xfId="0" applyNumberFormat="1" applyFont="1" applyBorder="1" applyAlignment="1">
      <alignment horizontal="center" vertical="center" wrapText="1"/>
    </xf>
    <xf numFmtId="0" fontId="0" fillId="0" borderId="0" xfId="0" applyAlignment="1">
      <alignment horizontal="center"/>
    </xf>
    <xf numFmtId="0" fontId="90" fillId="0" borderId="0" xfId="0" applyFont="1" applyAlignment="1">
      <alignment horizontal="center"/>
    </xf>
    <xf numFmtId="0" fontId="92" fillId="0" borderId="0" xfId="0" applyFont="1" applyAlignment="1">
      <alignment horizontal="center" vertical="center" wrapText="1"/>
    </xf>
    <xf numFmtId="0" fontId="129" fillId="0" borderId="8" xfId="205" applyFont="1" applyBorder="1" applyAlignment="1">
      <alignment horizontal="center" vertical="top" wrapText="1"/>
    </xf>
    <xf numFmtId="2" fontId="182" fillId="0" borderId="37" xfId="205" applyNumberFormat="1" applyFont="1" applyBorder="1" applyAlignment="1">
      <alignment horizontal="center" vertical="top" wrapText="1"/>
    </xf>
    <xf numFmtId="0" fontId="182" fillId="0" borderId="4" xfId="205" applyFont="1" applyBorder="1" applyAlignment="1">
      <alignment horizontal="center" vertical="top" wrapText="1"/>
    </xf>
    <xf numFmtId="0" fontId="182" fillId="0" borderId="34" xfId="205" applyFont="1" applyBorder="1" applyAlignment="1">
      <alignment horizontal="center" vertical="top" wrapText="1"/>
    </xf>
    <xf numFmtId="2" fontId="129" fillId="0" borderId="8" xfId="205" applyNumberFormat="1" applyFont="1" applyBorder="1" applyAlignment="1">
      <alignment horizontal="center" vertical="top" wrapText="1"/>
    </xf>
    <xf numFmtId="0" fontId="129" fillId="0" borderId="8" xfId="205" applyFont="1" applyBorder="1" applyAlignment="1">
      <alignment horizontal="center" vertical="top" wrapText="1"/>
    </xf>
    <xf numFmtId="0" fontId="124" fillId="0" borderId="15" xfId="205" applyFont="1" applyBorder="1" applyAlignment="1">
      <alignment horizontal="center" vertical="top" wrapText="1"/>
    </xf>
    <xf numFmtId="0" fontId="140" fillId="0" borderId="15" xfId="205" applyFont="1" applyBorder="1" applyAlignment="1">
      <alignment horizontal="center" vertical="top" wrapText="1"/>
    </xf>
    <xf numFmtId="0" fontId="124" fillId="0" borderId="66" xfId="205" applyFont="1" applyBorder="1" applyAlignment="1">
      <alignment vertical="top" wrapText="1"/>
    </xf>
    <xf numFmtId="0" fontId="124" fillId="0" borderId="77" xfId="205" applyFont="1" applyBorder="1" applyAlignment="1">
      <alignment vertical="top" wrapText="1"/>
    </xf>
    <xf numFmtId="0" fontId="124" fillId="0" borderId="15" xfId="205" applyFont="1" applyBorder="1" applyAlignment="1">
      <alignment vertical="top" wrapText="1"/>
    </xf>
    <xf numFmtId="2" fontId="124" fillId="0" borderId="15" xfId="205" applyNumberFormat="1" applyFont="1" applyBorder="1" applyAlignment="1">
      <alignment vertical="top" wrapText="1"/>
    </xf>
    <xf numFmtId="0" fontId="28" fillId="0" borderId="17" xfId="205" applyFont="1" applyBorder="1" applyAlignment="1">
      <alignment horizontal="justify" vertical="top" wrapText="1"/>
    </xf>
    <xf numFmtId="2" fontId="44" fillId="0" borderId="17" xfId="205" applyNumberFormat="1" applyFont="1" applyBorder="1" applyAlignment="1">
      <alignment vertical="top" wrapText="1"/>
    </xf>
    <xf numFmtId="2" fontId="30" fillId="0" borderId="17" xfId="205" applyNumberFormat="1" applyFont="1" applyBorder="1" applyAlignment="1">
      <alignment vertical="top" wrapText="1"/>
    </xf>
    <xf numFmtId="0" fontId="44" fillId="0" borderId="17" xfId="205" applyFont="1" applyBorder="1" applyAlignment="1">
      <alignment horizontal="justify" vertical="top" wrapText="1"/>
    </xf>
    <xf numFmtId="0" fontId="30" fillId="0" borderId="17" xfId="205" applyFont="1" applyBorder="1" applyAlignment="1">
      <alignment vertical="top" wrapText="1"/>
    </xf>
    <xf numFmtId="2" fontId="46" fillId="0" borderId="17" xfId="205" applyNumberFormat="1" applyFont="1" applyBorder="1" applyAlignment="1">
      <alignment vertical="top" shrinkToFit="1"/>
    </xf>
    <xf numFmtId="0" fontId="124" fillId="0" borderId="0" xfId="205" applyFont="1" applyAlignment="1">
      <alignment horizontal="center" vertical="top" wrapText="1"/>
    </xf>
    <xf numFmtId="0" fontId="124" fillId="0" borderId="0" xfId="205" applyFont="1" applyAlignment="1">
      <alignment horizontal="center" vertical="top"/>
    </xf>
    <xf numFmtId="2" fontId="124" fillId="0" borderId="0" xfId="205" applyNumberFormat="1" applyFont="1" applyAlignment="1">
      <alignment vertical="top" wrapText="1"/>
    </xf>
    <xf numFmtId="2" fontId="28" fillId="0" borderId="17" xfId="138" applyNumberFormat="1" applyFont="1" applyFill="1" applyBorder="1" applyAlignment="1">
      <alignment vertical="top" shrinkToFit="1"/>
    </xf>
    <xf numFmtId="0" fontId="28" fillId="0" borderId="17" xfId="175" applyFont="1" applyFill="1" applyBorder="1" applyAlignment="1">
      <alignment horizontal="center" vertical="top" wrapText="1"/>
    </xf>
    <xf numFmtId="0" fontId="28" fillId="0" borderId="17" xfId="175" applyFont="1" applyFill="1" applyBorder="1" applyAlignment="1">
      <alignment horizontal="justify" vertical="top" wrapText="1"/>
    </xf>
    <xf numFmtId="0" fontId="28" fillId="0" borderId="17" xfId="138" applyFont="1" applyBorder="1" applyAlignment="1">
      <alignment vertical="top" wrapText="1"/>
    </xf>
    <xf numFmtId="0" fontId="28" fillId="0" borderId="17" xfId="138" applyFont="1" applyBorder="1" applyAlignment="1">
      <alignment horizontal="right" vertical="top" wrapText="1"/>
    </xf>
    <xf numFmtId="0" fontId="28" fillId="0" borderId="0" xfId="138" applyFont="1"/>
    <xf numFmtId="0" fontId="28" fillId="0" borderId="17" xfId="175" applyFont="1" applyFill="1" applyBorder="1" applyAlignment="1">
      <alignment horizontal="right" vertical="top" wrapText="1"/>
    </xf>
    <xf numFmtId="0" fontId="40" fillId="0" borderId="17" xfId="175" applyFont="1" applyFill="1" applyBorder="1" applyAlignment="1">
      <alignment horizontal="left" vertical="top" wrapText="1"/>
    </xf>
    <xf numFmtId="2" fontId="28" fillId="0" borderId="17" xfId="175" applyNumberFormat="1" applyFont="1" applyFill="1" applyBorder="1" applyAlignment="1">
      <alignment horizontal="center" vertical="top" wrapText="1"/>
    </xf>
    <xf numFmtId="2" fontId="40" fillId="0" borderId="17" xfId="175" applyNumberFormat="1" applyFont="1" applyFill="1" applyBorder="1" applyAlignment="1">
      <alignment vertical="top" wrapText="1"/>
    </xf>
    <xf numFmtId="0" fontId="40" fillId="0" borderId="17" xfId="175" applyFont="1" applyFill="1" applyBorder="1" applyAlignment="1">
      <alignment vertical="top" wrapText="1"/>
    </xf>
    <xf numFmtId="2" fontId="28" fillId="0" borderId="17" xfId="138" applyNumberFormat="1" applyFont="1" applyBorder="1" applyAlignment="1">
      <alignment horizontal="center" vertical="top" wrapText="1"/>
    </xf>
    <xf numFmtId="2" fontId="28" fillId="0" borderId="17" xfId="138" applyNumberFormat="1" applyFont="1" applyBorder="1" applyAlignment="1">
      <alignment horizontal="right" vertical="top" wrapText="1"/>
    </xf>
    <xf numFmtId="0" fontId="28" fillId="0" borderId="17" xfId="175" applyFont="1" applyFill="1" applyBorder="1" applyAlignment="1">
      <alignment vertical="top" wrapText="1"/>
    </xf>
    <xf numFmtId="2" fontId="28" fillId="0" borderId="17" xfId="175" applyNumberFormat="1" applyFont="1" applyFill="1" applyBorder="1" applyAlignment="1">
      <alignment vertical="top" wrapText="1"/>
    </xf>
    <xf numFmtId="0" fontId="28" fillId="0" borderId="0" xfId="138" applyNumberFormat="1" applyFont="1" applyAlignment="1">
      <alignment vertical="center" wrapText="1"/>
    </xf>
    <xf numFmtId="0" fontId="125" fillId="0" borderId="22" xfId="232" applyFont="1" applyFill="1" applyBorder="1" applyAlignment="1">
      <alignment horizontal="center" vertical="top" wrapText="1"/>
    </xf>
    <xf numFmtId="0" fontId="125" fillId="0" borderId="20" xfId="232" applyFont="1" applyFill="1" applyBorder="1" applyAlignment="1">
      <alignment horizontal="center" vertical="top" wrapText="1"/>
    </xf>
    <xf numFmtId="0" fontId="125" fillId="0" borderId="22" xfId="232" applyFont="1" applyFill="1" applyBorder="1" applyAlignment="1">
      <alignment horizontal="center" vertical="top" wrapText="1"/>
    </xf>
  </cellXfs>
  <cellStyles count="308">
    <cellStyle name="20% - Accent1 2" xfId="1"/>
    <cellStyle name="20% - Accent1 3" xfId="2"/>
    <cellStyle name="20% - Accent2 2" xfId="3"/>
    <cellStyle name="20% - Accent2 3" xfId="4"/>
    <cellStyle name="20% - Accent3 2" xfId="5"/>
    <cellStyle name="20% - Accent3 3" xfId="6"/>
    <cellStyle name="20% - Accent4 2" xfId="7"/>
    <cellStyle name="20% - Accent4 3" xfId="8"/>
    <cellStyle name="20% - Accent5 2" xfId="9"/>
    <cellStyle name="20% - Accent5 3" xfId="10"/>
    <cellStyle name="20% - Accent6 2" xfId="11"/>
    <cellStyle name="20% - Accent6 3" xfId="12"/>
    <cellStyle name="40% - Accent1 2" xfId="13"/>
    <cellStyle name="40% - Accent1 3" xfId="14"/>
    <cellStyle name="40% - Accent2 2" xfId="15"/>
    <cellStyle name="40% - Accent2 3" xfId="16"/>
    <cellStyle name="40% - Accent3 2" xfId="17"/>
    <cellStyle name="40% - Accent3 3" xfId="18"/>
    <cellStyle name="40% - Accent4 2" xfId="19"/>
    <cellStyle name="40% - Accent4 3" xfId="20"/>
    <cellStyle name="40% - Accent5 2" xfId="21"/>
    <cellStyle name="40% - Accent5 3" xfId="22"/>
    <cellStyle name="40% - Accent6 2" xfId="23"/>
    <cellStyle name="40% - Accent6 3" xfId="24"/>
    <cellStyle name="60% - Accent1 2" xfId="25"/>
    <cellStyle name="60% - Accent1 3" xfId="26"/>
    <cellStyle name="60% - Accent2 2" xfId="27"/>
    <cellStyle name="60% - Accent2 3" xfId="28"/>
    <cellStyle name="60% - Accent3 2" xfId="29"/>
    <cellStyle name="60% - Accent3 3" xfId="30"/>
    <cellStyle name="60% - Accent4 2" xfId="31"/>
    <cellStyle name="60% - Accent4 3" xfId="32"/>
    <cellStyle name="60% - Accent5 2" xfId="33"/>
    <cellStyle name="60% - Accent5 3" xfId="34"/>
    <cellStyle name="60% - Accent6 2" xfId="35"/>
    <cellStyle name="60% - Accent6 3" xfId="36"/>
    <cellStyle name="Accent1 - 20%" xfId="37"/>
    <cellStyle name="Accent1 - 40%" xfId="38"/>
    <cellStyle name="Accent1 - 60%" xfId="39"/>
    <cellStyle name="Accent1 2" xfId="40"/>
    <cellStyle name="Accent1 3" xfId="41"/>
    <cellStyle name="Accent2 - 20%" xfId="42"/>
    <cellStyle name="Accent2 - 40%" xfId="43"/>
    <cellStyle name="Accent2 - 60%" xfId="44"/>
    <cellStyle name="Accent2 2" xfId="45"/>
    <cellStyle name="Accent2 3" xfId="46"/>
    <cellStyle name="Accent3 - 20%" xfId="47"/>
    <cellStyle name="Accent3 - 40%" xfId="48"/>
    <cellStyle name="Accent3 - 60%" xfId="49"/>
    <cellStyle name="Accent3 2" xfId="50"/>
    <cellStyle name="Accent3 3" xfId="51"/>
    <cellStyle name="Accent4 - 20%" xfId="52"/>
    <cellStyle name="Accent4 - 40%" xfId="53"/>
    <cellStyle name="Accent4 - 60%" xfId="54"/>
    <cellStyle name="Accent4 2" xfId="55"/>
    <cellStyle name="Accent4 3" xfId="56"/>
    <cellStyle name="Accent5 - 20%" xfId="57"/>
    <cellStyle name="Accent5 - 40%" xfId="58"/>
    <cellStyle name="Accent5 - 60%" xfId="59"/>
    <cellStyle name="Accent5 2" xfId="60"/>
    <cellStyle name="Accent5 3" xfId="61"/>
    <cellStyle name="Accent6 - 20%" xfId="62"/>
    <cellStyle name="Accent6 - 40%" xfId="63"/>
    <cellStyle name="Accent6 - 60%" xfId="64"/>
    <cellStyle name="Accent6 2" xfId="65"/>
    <cellStyle name="Accent6 3" xfId="66"/>
    <cellStyle name="Bad 2" xfId="67"/>
    <cellStyle name="Bad 3" xfId="68"/>
    <cellStyle name="Calc Currency (0)" xfId="69"/>
    <cellStyle name="Calculation 2" xfId="70"/>
    <cellStyle name="Calculation 3" xfId="71"/>
    <cellStyle name="Check Cell 2" xfId="72"/>
    <cellStyle name="Check Cell 3" xfId="73"/>
    <cellStyle name="Comma  - Style1" xfId="74"/>
    <cellStyle name="Comma  - Style2" xfId="75"/>
    <cellStyle name="Comma  - Style3" xfId="76"/>
    <cellStyle name="Comma  - Style4" xfId="77"/>
    <cellStyle name="Comma  - Style5" xfId="78"/>
    <cellStyle name="Comma  - Style6" xfId="79"/>
    <cellStyle name="Comma  - Style7" xfId="80"/>
    <cellStyle name="Comma  - Style8" xfId="81"/>
    <cellStyle name="Comma 2" xfId="82"/>
    <cellStyle name="Comma 2 2" xfId="83"/>
    <cellStyle name="Comma 2 3" xfId="84"/>
    <cellStyle name="Comma 2 4" xfId="85"/>
    <cellStyle name="Comma 3" xfId="86"/>
    <cellStyle name="Comma 3 2" xfId="87"/>
    <cellStyle name="Comma 3 2 2" xfId="88"/>
    <cellStyle name="Comma 4" xfId="89"/>
    <cellStyle name="Comma 5" xfId="90"/>
    <cellStyle name="Comma 6" xfId="91"/>
    <cellStyle name="Comma 7" xfId="92"/>
    <cellStyle name="Copied" xfId="93"/>
    <cellStyle name="Currency 2" xfId="94"/>
    <cellStyle name="Currency 3" xfId="95"/>
    <cellStyle name="Currency 4" xfId="96"/>
    <cellStyle name="Currency 5" xfId="97"/>
    <cellStyle name="Emphasis 1" xfId="98"/>
    <cellStyle name="Emphasis 2" xfId="99"/>
    <cellStyle name="Emphasis 3" xfId="100"/>
    <cellStyle name="Entered" xfId="101"/>
    <cellStyle name="Euro" xfId="102"/>
    <cellStyle name="Excel Built-in Normal" xfId="103"/>
    <cellStyle name="Explanatory Text 2" xfId="104"/>
    <cellStyle name="Explanatory Text 3" xfId="105"/>
    <cellStyle name="Fixed" xfId="106"/>
    <cellStyle name="general" xfId="107"/>
    <cellStyle name="Good 2" xfId="108"/>
    <cellStyle name="Good 3" xfId="109"/>
    <cellStyle name="Grey" xfId="110"/>
    <cellStyle name="Header1" xfId="111"/>
    <cellStyle name="Header2" xfId="112"/>
    <cellStyle name="Heading 1 2" xfId="113"/>
    <cellStyle name="Heading 1 3" xfId="114"/>
    <cellStyle name="Heading 2 2" xfId="115"/>
    <cellStyle name="Heading 2 3" xfId="116"/>
    <cellStyle name="Heading 3 2" xfId="117"/>
    <cellStyle name="Heading 3 3" xfId="118"/>
    <cellStyle name="Heading 4 2" xfId="119"/>
    <cellStyle name="Heading 4 3" xfId="120"/>
    <cellStyle name="Hyperlink 2" xfId="121"/>
    <cellStyle name="Input [yellow]" xfId="122"/>
    <cellStyle name="Input 2" xfId="123"/>
    <cellStyle name="Input 3" xfId="124"/>
    <cellStyle name="Linked Cell 2" xfId="125"/>
    <cellStyle name="Linked Cell 3" xfId="126"/>
    <cellStyle name="M head" xfId="127"/>
    <cellStyle name="Main Heading" xfId="128"/>
    <cellStyle name="MANKAD" xfId="129"/>
    <cellStyle name="Minor Head" xfId="130"/>
    <cellStyle name="Neutral 2" xfId="131"/>
    <cellStyle name="Neutral 3" xfId="132"/>
    <cellStyle name="no dec" xfId="133"/>
    <cellStyle name="Normal" xfId="0" builtinId="0"/>
    <cellStyle name="Normal - Style1" xfId="134"/>
    <cellStyle name="Normal - Style1 2" xfId="135"/>
    <cellStyle name="Normal - Style1 2 2" xfId="136"/>
    <cellStyle name="Normal - Style1 2 3" xfId="137"/>
    <cellStyle name="Normal - Style1 2 4" xfId="138"/>
    <cellStyle name="Normal - Style1 2_2_AP02X016 - KP Kunta" xfId="139"/>
    <cellStyle name="Normal - Style1 3" xfId="140"/>
    <cellStyle name="Normal - Style1 4" xfId="141"/>
    <cellStyle name="Normal - Style1_1_Pattapupalem_road estt-NCRMP" xfId="142"/>
    <cellStyle name="Normal 10" xfId="143"/>
    <cellStyle name="Normal 10 2" xfId="144"/>
    <cellStyle name="Normal 10 3" xfId="145"/>
    <cellStyle name="Normal 11" xfId="146"/>
    <cellStyle name="Normal 12" xfId="147"/>
    <cellStyle name="Normal 13" xfId="148"/>
    <cellStyle name="Normal 13 2" xfId="149"/>
    <cellStyle name="Normal 13 3" xfId="298"/>
    <cellStyle name="Normal 14" xfId="150"/>
    <cellStyle name="Normal 15" xfId="151"/>
    <cellStyle name="Normal 15 3" xfId="152"/>
    <cellStyle name="Normal 15 3 2" xfId="299"/>
    <cellStyle name="Normal 16" xfId="153"/>
    <cellStyle name="Normal 16 3" xfId="154"/>
    <cellStyle name="Normal 17" xfId="293"/>
    <cellStyle name="Normal 18" xfId="301"/>
    <cellStyle name="Normal 2" xfId="155"/>
    <cellStyle name="Normal 2 10" xfId="156"/>
    <cellStyle name="Normal 2 10 2" xfId="157"/>
    <cellStyle name="Normal 2 11" xfId="158"/>
    <cellStyle name="Normal 2 12" xfId="159"/>
    <cellStyle name="Normal 2 13" xfId="160"/>
    <cellStyle name="Normal 2 14" xfId="161"/>
    <cellStyle name="Normal 2 14 2" xfId="162"/>
    <cellStyle name="Normal 2 14 3" xfId="163"/>
    <cellStyle name="Normal 2 15" xfId="164"/>
    <cellStyle name="Normal 2 15 2" xfId="165"/>
    <cellStyle name="Normal 2 15 3" xfId="166"/>
    <cellStyle name="Normal 2 15 4" xfId="167"/>
    <cellStyle name="Normal 2 2" xfId="168"/>
    <cellStyle name="Normal 2 2 2" xfId="169"/>
    <cellStyle name="Normal 2 2 2 2" xfId="170"/>
    <cellStyle name="Normal 2 2 2 3" xfId="171"/>
    <cellStyle name="Normal 2 2 2 4" xfId="172"/>
    <cellStyle name="Normal 2 2 3" xfId="173"/>
    <cellStyle name="Normal 2 2 4" xfId="174"/>
    <cellStyle name="Normal 2 2 4 2" xfId="175"/>
    <cellStyle name="Normal 2 2_2_AP02X016 - KP Kunta" xfId="176"/>
    <cellStyle name="Normal 2 3" xfId="177"/>
    <cellStyle name="Normal 2 3 2" xfId="178"/>
    <cellStyle name="Normal 2 3 2 2" xfId="179"/>
    <cellStyle name="Normal 2 3 2_Toilet estimate BJR" xfId="180"/>
    <cellStyle name="Normal 2 3 3" xfId="181"/>
    <cellStyle name="Normal 2 3 4" xfId="182"/>
    <cellStyle name="Normal 2 3_WS &amp; SA Estimatesfinal" xfId="183"/>
    <cellStyle name="Normal 2 4" xfId="184"/>
    <cellStyle name="Normal 2 5" xfId="185"/>
    <cellStyle name="Normal 2 5 2" xfId="305"/>
    <cellStyle name="Normal 2 6" xfId="186"/>
    <cellStyle name="Normal 2 7" xfId="187"/>
    <cellStyle name="Normal 2 8" xfId="188"/>
    <cellStyle name="Normal 2 9" xfId="189"/>
    <cellStyle name="Normal 2_1 Bonguloor Modified model school type 1.200" xfId="190"/>
    <cellStyle name="Normal 3" xfId="191"/>
    <cellStyle name="Normal 3 2" xfId="192"/>
    <cellStyle name="Normal 3 2 2" xfId="193"/>
    <cellStyle name="Normal 3 2 3" xfId="295"/>
    <cellStyle name="Normal 3 2_KGBV-Lingala Ghanpur" xfId="194"/>
    <cellStyle name="Normal 3 3" xfId="195"/>
    <cellStyle name="Normal 3 3 2" xfId="196"/>
    <cellStyle name="Normal 3 3 2 2" xfId="197"/>
    <cellStyle name="Normal 3 3 2_KGVB-Mulugu-Wgl" xfId="198"/>
    <cellStyle name="Normal 3 3_KGBV-Lingala Ghanpur" xfId="199"/>
    <cellStyle name="Normal 3 4" xfId="200"/>
    <cellStyle name="Normal 3 5" xfId="294"/>
    <cellStyle name="Normal 3_1_Pattapupalem_road estt-NCRMP" xfId="201"/>
    <cellStyle name="Normal 4" xfId="202"/>
    <cellStyle name="Normal 4 2" xfId="203"/>
    <cellStyle name="Normal 4 3" xfId="204"/>
    <cellStyle name="Normal 4 4" xfId="296"/>
    <cellStyle name="Normal 42" xfId="205"/>
    <cellStyle name="Normal 5" xfId="206"/>
    <cellStyle name="Normal 5 2" xfId="207"/>
    <cellStyle name="Normal 5_2_AP02X016 - KP Kunta" xfId="208"/>
    <cellStyle name="Normal 6" xfId="209"/>
    <cellStyle name="Normal 6 2" xfId="210"/>
    <cellStyle name="Normal 6 3" xfId="211"/>
    <cellStyle name="Normal 7" xfId="212"/>
    <cellStyle name="Normal 7 2" xfId="213"/>
    <cellStyle name="Normal 7 2 2" xfId="214"/>
    <cellStyle name="Normal 7 2 3" xfId="215"/>
    <cellStyle name="Normal 7 3" xfId="216"/>
    <cellStyle name="Normal 7 3 2" xfId="217"/>
    <cellStyle name="Normal 7 4" xfId="218"/>
    <cellStyle name="Normal 7 5" xfId="219"/>
    <cellStyle name="Normal 7 6" xfId="220"/>
    <cellStyle name="Normal 7 7" xfId="221"/>
    <cellStyle name="Normal 7_2_AP02X016 - KP Kunta" xfId="222"/>
    <cellStyle name="Normal 8" xfId="223"/>
    <cellStyle name="Normal 8 2" xfId="224"/>
    <cellStyle name="Normal 8 3" xfId="225"/>
    <cellStyle name="Normal 9" xfId="226"/>
    <cellStyle name="Normal 9 2" xfId="227"/>
    <cellStyle name="Normal_220608 KANCHALA ESTIMATE" xfId="228"/>
    <cellStyle name="Normal_JUJJURU CHATTANNAVARAM 38.00 WORKING  6-9-12" xfId="229"/>
    <cellStyle name="Normal_LEAD STATEMENT OF JAMMALAMADUGU" xfId="230"/>
    <cellStyle name="Normal_lead_Kondepi 2" xfId="307"/>
    <cellStyle name="Normal_model nabard DATAS 2 2" xfId="303"/>
    <cellStyle name="Normal_Original DATA - 2005 - 2006 corrrect 1-9-2006" xfId="231"/>
    <cellStyle name="Normal_Pakala" xfId="232"/>
    <cellStyle name="Normal_SRAVANTHI MADAM HYDERABAD DUMMY" xfId="233"/>
    <cellStyle name="Normal_SW HOSTEL dharmapuri 50.00+2.5 2" xfId="300"/>
    <cellStyle name="Normal_Tallapalem-Data" xfId="234"/>
    <cellStyle name="Normal_Type - C - final Estimate 01-09-10" xfId="235"/>
    <cellStyle name="Normal_Type-B(10T)   8-10-10(P)" xfId="304"/>
    <cellStyle name="Normal_Vaddemukkala wet mix RIDF XII 4.9.08" xfId="306"/>
    <cellStyle name="Normal_Waghapur 2" xfId="302"/>
    <cellStyle name="Note 2" xfId="236"/>
    <cellStyle name="Note 3" xfId="237"/>
    <cellStyle name="Output 2" xfId="238"/>
    <cellStyle name="Output 3" xfId="239"/>
    <cellStyle name="Percent [2]" xfId="240"/>
    <cellStyle name="Percent 2" xfId="241"/>
    <cellStyle name="Percent 2 2" xfId="242"/>
    <cellStyle name="Percent 2 2 2" xfId="243"/>
    <cellStyle name="Percent 2 2 2 2" xfId="244"/>
    <cellStyle name="Percent 2 2 2 3" xfId="245"/>
    <cellStyle name="Percent 2 2 2 4" xfId="246"/>
    <cellStyle name="Percent 2 2 3" xfId="247"/>
    <cellStyle name="Percent 2 2 3 2" xfId="248"/>
    <cellStyle name="Percent 2 2 3 3" xfId="249"/>
    <cellStyle name="Percent 2 2 4" xfId="250"/>
    <cellStyle name="Percent 2 2 4 2" xfId="251"/>
    <cellStyle name="Percent 2 2 5" xfId="252"/>
    <cellStyle name="Percent 2 2 6" xfId="253"/>
    <cellStyle name="Percent 2 2 7" xfId="254"/>
    <cellStyle name="Percent 2 2 8" xfId="255"/>
    <cellStyle name="Percent 2 2 9" xfId="256"/>
    <cellStyle name="Percent 2 3" xfId="257"/>
    <cellStyle name="Percent 2 4" xfId="258"/>
    <cellStyle name="Percent 2 5" xfId="259"/>
    <cellStyle name="Percent 2 6" xfId="260"/>
    <cellStyle name="Percent 2 7" xfId="261"/>
    <cellStyle name="Percent 3" xfId="262"/>
    <cellStyle name="Percent 4" xfId="263"/>
    <cellStyle name="Percent 5" xfId="264"/>
    <cellStyle name="Percent 5 2" xfId="265"/>
    <cellStyle name="Percent 6" xfId="266"/>
    <cellStyle name="Percent 7" xfId="267"/>
    <cellStyle name="Percent 8" xfId="268"/>
    <cellStyle name="Percent 9" xfId="297"/>
    <cellStyle name="RevList" xfId="269"/>
    <cellStyle name="Sheet Title" xfId="270"/>
    <cellStyle name="style" xfId="271"/>
    <cellStyle name="Style 1" xfId="272"/>
    <cellStyle name="Style 1 2" xfId="273"/>
    <cellStyle name="Style 1_Hostel building est silparupa" xfId="274"/>
    <cellStyle name="style_1_Pattapupalem_road estt-NCRMP" xfId="275"/>
    <cellStyle name="style1" xfId="276"/>
    <cellStyle name="style2" xfId="277"/>
    <cellStyle name="Sub Head" xfId="278"/>
    <cellStyle name="Subtotal" xfId="279"/>
    <cellStyle name="þ_x001d_ð &amp;ý&amp;†ýG_x0008_ X&#10;_x0007__x0001__x0001_" xfId="280"/>
    <cellStyle name="þ_x001d_ð&quot;_x000c_Býò_x000c_5ýU_x0001_e_x0005_¹,_x0007__x0001__x0001_" xfId="281"/>
    <cellStyle name="Times New Roman" xfId="282"/>
    <cellStyle name="Title 2" xfId="283"/>
    <cellStyle name="Title 3" xfId="284"/>
    <cellStyle name="Total 2" xfId="285"/>
    <cellStyle name="Total 3" xfId="286"/>
    <cellStyle name="v" xfId="287"/>
    <cellStyle name="v_25-8-2010  ABS &amp; Det" xfId="288"/>
    <cellStyle name="Value" xfId="289"/>
    <cellStyle name="Warning Text 2" xfId="290"/>
    <cellStyle name="Warning Text 3" xfId="291"/>
    <cellStyle name="సాధారణ_Copy of Model estimate-Basnapally--07-05-06-Final" xfId="2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externalLink" Target="externalLinks/externalLink89.xml"/><Relationship Id="rId21" Type="http://schemas.openxmlformats.org/officeDocument/2006/relationships/worksheet" Target="worksheets/sheet21.xml"/><Relationship Id="rId42" Type="http://schemas.openxmlformats.org/officeDocument/2006/relationships/externalLink" Target="externalLinks/externalLink14.xml"/><Relationship Id="rId47" Type="http://schemas.openxmlformats.org/officeDocument/2006/relationships/externalLink" Target="externalLinks/externalLink19.xml"/><Relationship Id="rId63" Type="http://schemas.openxmlformats.org/officeDocument/2006/relationships/externalLink" Target="externalLinks/externalLink35.xml"/><Relationship Id="rId68" Type="http://schemas.openxmlformats.org/officeDocument/2006/relationships/externalLink" Target="externalLinks/externalLink40.xml"/><Relationship Id="rId84" Type="http://schemas.openxmlformats.org/officeDocument/2006/relationships/externalLink" Target="externalLinks/externalLink56.xml"/><Relationship Id="rId89" Type="http://schemas.openxmlformats.org/officeDocument/2006/relationships/externalLink" Target="externalLinks/externalLink61.xml"/><Relationship Id="rId112" Type="http://schemas.openxmlformats.org/officeDocument/2006/relationships/externalLink" Target="externalLinks/externalLink84.xml"/><Relationship Id="rId133" Type="http://schemas.openxmlformats.org/officeDocument/2006/relationships/externalLink" Target="externalLinks/externalLink105.xml"/><Relationship Id="rId138" Type="http://schemas.openxmlformats.org/officeDocument/2006/relationships/externalLink" Target="externalLinks/externalLink110.xml"/><Relationship Id="rId154" Type="http://schemas.openxmlformats.org/officeDocument/2006/relationships/externalLink" Target="externalLinks/externalLink126.xml"/><Relationship Id="rId159" Type="http://schemas.openxmlformats.org/officeDocument/2006/relationships/theme" Target="theme/theme1.xml"/><Relationship Id="rId16" Type="http://schemas.openxmlformats.org/officeDocument/2006/relationships/worksheet" Target="worksheets/sheet16.xml"/><Relationship Id="rId107" Type="http://schemas.openxmlformats.org/officeDocument/2006/relationships/externalLink" Target="externalLinks/externalLink79.xml"/><Relationship Id="rId11" Type="http://schemas.openxmlformats.org/officeDocument/2006/relationships/worksheet" Target="worksheets/sheet11.xml"/><Relationship Id="rId32" Type="http://schemas.openxmlformats.org/officeDocument/2006/relationships/externalLink" Target="externalLinks/externalLink4.xml"/><Relationship Id="rId37" Type="http://schemas.openxmlformats.org/officeDocument/2006/relationships/externalLink" Target="externalLinks/externalLink9.xml"/><Relationship Id="rId53" Type="http://schemas.openxmlformats.org/officeDocument/2006/relationships/externalLink" Target="externalLinks/externalLink25.xml"/><Relationship Id="rId58" Type="http://schemas.openxmlformats.org/officeDocument/2006/relationships/externalLink" Target="externalLinks/externalLink30.xml"/><Relationship Id="rId74" Type="http://schemas.openxmlformats.org/officeDocument/2006/relationships/externalLink" Target="externalLinks/externalLink46.xml"/><Relationship Id="rId79" Type="http://schemas.openxmlformats.org/officeDocument/2006/relationships/externalLink" Target="externalLinks/externalLink51.xml"/><Relationship Id="rId102" Type="http://schemas.openxmlformats.org/officeDocument/2006/relationships/externalLink" Target="externalLinks/externalLink74.xml"/><Relationship Id="rId123" Type="http://schemas.openxmlformats.org/officeDocument/2006/relationships/externalLink" Target="externalLinks/externalLink95.xml"/><Relationship Id="rId128" Type="http://schemas.openxmlformats.org/officeDocument/2006/relationships/externalLink" Target="externalLinks/externalLink100.xml"/><Relationship Id="rId144" Type="http://schemas.openxmlformats.org/officeDocument/2006/relationships/externalLink" Target="externalLinks/externalLink116.xml"/><Relationship Id="rId149" Type="http://schemas.openxmlformats.org/officeDocument/2006/relationships/externalLink" Target="externalLinks/externalLink121.xml"/><Relationship Id="rId5" Type="http://schemas.openxmlformats.org/officeDocument/2006/relationships/worksheet" Target="worksheets/sheet5.xml"/><Relationship Id="rId90" Type="http://schemas.openxmlformats.org/officeDocument/2006/relationships/externalLink" Target="externalLinks/externalLink62.xml"/><Relationship Id="rId95" Type="http://schemas.openxmlformats.org/officeDocument/2006/relationships/externalLink" Target="externalLinks/externalLink67.xml"/><Relationship Id="rId160"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externalLink" Target="externalLinks/externalLink15.xml"/><Relationship Id="rId48" Type="http://schemas.openxmlformats.org/officeDocument/2006/relationships/externalLink" Target="externalLinks/externalLink20.xml"/><Relationship Id="rId64" Type="http://schemas.openxmlformats.org/officeDocument/2006/relationships/externalLink" Target="externalLinks/externalLink36.xml"/><Relationship Id="rId69" Type="http://schemas.openxmlformats.org/officeDocument/2006/relationships/externalLink" Target="externalLinks/externalLink41.xml"/><Relationship Id="rId113" Type="http://schemas.openxmlformats.org/officeDocument/2006/relationships/externalLink" Target="externalLinks/externalLink85.xml"/><Relationship Id="rId118" Type="http://schemas.openxmlformats.org/officeDocument/2006/relationships/externalLink" Target="externalLinks/externalLink90.xml"/><Relationship Id="rId134" Type="http://schemas.openxmlformats.org/officeDocument/2006/relationships/externalLink" Target="externalLinks/externalLink106.xml"/><Relationship Id="rId139" Type="http://schemas.openxmlformats.org/officeDocument/2006/relationships/externalLink" Target="externalLinks/externalLink111.xml"/><Relationship Id="rId80" Type="http://schemas.openxmlformats.org/officeDocument/2006/relationships/externalLink" Target="externalLinks/externalLink52.xml"/><Relationship Id="rId85" Type="http://schemas.openxmlformats.org/officeDocument/2006/relationships/externalLink" Target="externalLinks/externalLink57.xml"/><Relationship Id="rId150" Type="http://schemas.openxmlformats.org/officeDocument/2006/relationships/externalLink" Target="externalLinks/externalLink122.xml"/><Relationship Id="rId155" Type="http://schemas.openxmlformats.org/officeDocument/2006/relationships/externalLink" Target="externalLinks/externalLink12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externalLink" Target="externalLinks/externalLink5.xml"/><Relationship Id="rId38" Type="http://schemas.openxmlformats.org/officeDocument/2006/relationships/externalLink" Target="externalLinks/externalLink10.xml"/><Relationship Id="rId59" Type="http://schemas.openxmlformats.org/officeDocument/2006/relationships/externalLink" Target="externalLinks/externalLink31.xml"/><Relationship Id="rId103" Type="http://schemas.openxmlformats.org/officeDocument/2006/relationships/externalLink" Target="externalLinks/externalLink75.xml"/><Relationship Id="rId108" Type="http://schemas.openxmlformats.org/officeDocument/2006/relationships/externalLink" Target="externalLinks/externalLink80.xml"/><Relationship Id="rId124" Type="http://schemas.openxmlformats.org/officeDocument/2006/relationships/externalLink" Target="externalLinks/externalLink96.xml"/><Relationship Id="rId129" Type="http://schemas.openxmlformats.org/officeDocument/2006/relationships/externalLink" Target="externalLinks/externalLink101.xml"/><Relationship Id="rId20" Type="http://schemas.openxmlformats.org/officeDocument/2006/relationships/worksheet" Target="worksheets/sheet20.xml"/><Relationship Id="rId41" Type="http://schemas.openxmlformats.org/officeDocument/2006/relationships/externalLink" Target="externalLinks/externalLink13.xml"/><Relationship Id="rId54" Type="http://schemas.openxmlformats.org/officeDocument/2006/relationships/externalLink" Target="externalLinks/externalLink26.xml"/><Relationship Id="rId62" Type="http://schemas.openxmlformats.org/officeDocument/2006/relationships/externalLink" Target="externalLinks/externalLink34.xml"/><Relationship Id="rId70" Type="http://schemas.openxmlformats.org/officeDocument/2006/relationships/externalLink" Target="externalLinks/externalLink42.xml"/><Relationship Id="rId75" Type="http://schemas.openxmlformats.org/officeDocument/2006/relationships/externalLink" Target="externalLinks/externalLink47.xml"/><Relationship Id="rId83" Type="http://schemas.openxmlformats.org/officeDocument/2006/relationships/externalLink" Target="externalLinks/externalLink55.xml"/><Relationship Id="rId88" Type="http://schemas.openxmlformats.org/officeDocument/2006/relationships/externalLink" Target="externalLinks/externalLink60.xml"/><Relationship Id="rId91" Type="http://schemas.openxmlformats.org/officeDocument/2006/relationships/externalLink" Target="externalLinks/externalLink63.xml"/><Relationship Id="rId96" Type="http://schemas.openxmlformats.org/officeDocument/2006/relationships/externalLink" Target="externalLinks/externalLink68.xml"/><Relationship Id="rId111" Type="http://schemas.openxmlformats.org/officeDocument/2006/relationships/externalLink" Target="externalLinks/externalLink83.xml"/><Relationship Id="rId132" Type="http://schemas.openxmlformats.org/officeDocument/2006/relationships/externalLink" Target="externalLinks/externalLink104.xml"/><Relationship Id="rId140" Type="http://schemas.openxmlformats.org/officeDocument/2006/relationships/externalLink" Target="externalLinks/externalLink112.xml"/><Relationship Id="rId145" Type="http://schemas.openxmlformats.org/officeDocument/2006/relationships/externalLink" Target="externalLinks/externalLink117.xml"/><Relationship Id="rId153" Type="http://schemas.openxmlformats.org/officeDocument/2006/relationships/externalLink" Target="externalLinks/externalLink125.xml"/><Relationship Id="rId16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8.xml"/><Relationship Id="rId49" Type="http://schemas.openxmlformats.org/officeDocument/2006/relationships/externalLink" Target="externalLinks/externalLink21.xml"/><Relationship Id="rId57" Type="http://schemas.openxmlformats.org/officeDocument/2006/relationships/externalLink" Target="externalLinks/externalLink29.xml"/><Relationship Id="rId106" Type="http://schemas.openxmlformats.org/officeDocument/2006/relationships/externalLink" Target="externalLinks/externalLink78.xml"/><Relationship Id="rId114" Type="http://schemas.openxmlformats.org/officeDocument/2006/relationships/externalLink" Target="externalLinks/externalLink86.xml"/><Relationship Id="rId119" Type="http://schemas.openxmlformats.org/officeDocument/2006/relationships/externalLink" Target="externalLinks/externalLink91.xml"/><Relationship Id="rId127" Type="http://schemas.openxmlformats.org/officeDocument/2006/relationships/externalLink" Target="externalLinks/externalLink99.xml"/><Relationship Id="rId10" Type="http://schemas.openxmlformats.org/officeDocument/2006/relationships/worksheet" Target="worksheets/sheet10.xml"/><Relationship Id="rId31" Type="http://schemas.openxmlformats.org/officeDocument/2006/relationships/externalLink" Target="externalLinks/externalLink3.xml"/><Relationship Id="rId44" Type="http://schemas.openxmlformats.org/officeDocument/2006/relationships/externalLink" Target="externalLinks/externalLink16.xml"/><Relationship Id="rId52" Type="http://schemas.openxmlformats.org/officeDocument/2006/relationships/externalLink" Target="externalLinks/externalLink24.xml"/><Relationship Id="rId60" Type="http://schemas.openxmlformats.org/officeDocument/2006/relationships/externalLink" Target="externalLinks/externalLink32.xml"/><Relationship Id="rId65" Type="http://schemas.openxmlformats.org/officeDocument/2006/relationships/externalLink" Target="externalLinks/externalLink37.xml"/><Relationship Id="rId73" Type="http://schemas.openxmlformats.org/officeDocument/2006/relationships/externalLink" Target="externalLinks/externalLink45.xml"/><Relationship Id="rId78" Type="http://schemas.openxmlformats.org/officeDocument/2006/relationships/externalLink" Target="externalLinks/externalLink50.xml"/><Relationship Id="rId81" Type="http://schemas.openxmlformats.org/officeDocument/2006/relationships/externalLink" Target="externalLinks/externalLink53.xml"/><Relationship Id="rId86" Type="http://schemas.openxmlformats.org/officeDocument/2006/relationships/externalLink" Target="externalLinks/externalLink58.xml"/><Relationship Id="rId94" Type="http://schemas.openxmlformats.org/officeDocument/2006/relationships/externalLink" Target="externalLinks/externalLink66.xml"/><Relationship Id="rId99" Type="http://schemas.openxmlformats.org/officeDocument/2006/relationships/externalLink" Target="externalLinks/externalLink71.xml"/><Relationship Id="rId101" Type="http://schemas.openxmlformats.org/officeDocument/2006/relationships/externalLink" Target="externalLinks/externalLink73.xml"/><Relationship Id="rId122" Type="http://schemas.openxmlformats.org/officeDocument/2006/relationships/externalLink" Target="externalLinks/externalLink94.xml"/><Relationship Id="rId130" Type="http://schemas.openxmlformats.org/officeDocument/2006/relationships/externalLink" Target="externalLinks/externalLink102.xml"/><Relationship Id="rId135" Type="http://schemas.openxmlformats.org/officeDocument/2006/relationships/externalLink" Target="externalLinks/externalLink107.xml"/><Relationship Id="rId143" Type="http://schemas.openxmlformats.org/officeDocument/2006/relationships/externalLink" Target="externalLinks/externalLink115.xml"/><Relationship Id="rId148" Type="http://schemas.openxmlformats.org/officeDocument/2006/relationships/externalLink" Target="externalLinks/externalLink120.xml"/><Relationship Id="rId151" Type="http://schemas.openxmlformats.org/officeDocument/2006/relationships/externalLink" Target="externalLinks/externalLink123.xml"/><Relationship Id="rId156" Type="http://schemas.openxmlformats.org/officeDocument/2006/relationships/externalLink" Target="externalLinks/externalLink128.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1.xml"/><Relationship Id="rId109" Type="http://schemas.openxmlformats.org/officeDocument/2006/relationships/externalLink" Target="externalLinks/externalLink81.xml"/><Relationship Id="rId34" Type="http://schemas.openxmlformats.org/officeDocument/2006/relationships/externalLink" Target="externalLinks/externalLink6.xml"/><Relationship Id="rId50" Type="http://schemas.openxmlformats.org/officeDocument/2006/relationships/externalLink" Target="externalLinks/externalLink22.xml"/><Relationship Id="rId55" Type="http://schemas.openxmlformats.org/officeDocument/2006/relationships/externalLink" Target="externalLinks/externalLink27.xml"/><Relationship Id="rId76" Type="http://schemas.openxmlformats.org/officeDocument/2006/relationships/externalLink" Target="externalLinks/externalLink48.xml"/><Relationship Id="rId97" Type="http://schemas.openxmlformats.org/officeDocument/2006/relationships/externalLink" Target="externalLinks/externalLink69.xml"/><Relationship Id="rId104" Type="http://schemas.openxmlformats.org/officeDocument/2006/relationships/externalLink" Target="externalLinks/externalLink76.xml"/><Relationship Id="rId120" Type="http://schemas.openxmlformats.org/officeDocument/2006/relationships/externalLink" Target="externalLinks/externalLink92.xml"/><Relationship Id="rId125" Type="http://schemas.openxmlformats.org/officeDocument/2006/relationships/externalLink" Target="externalLinks/externalLink97.xml"/><Relationship Id="rId141" Type="http://schemas.openxmlformats.org/officeDocument/2006/relationships/externalLink" Target="externalLinks/externalLink113.xml"/><Relationship Id="rId146" Type="http://schemas.openxmlformats.org/officeDocument/2006/relationships/externalLink" Target="externalLinks/externalLink118.xml"/><Relationship Id="rId7" Type="http://schemas.openxmlformats.org/officeDocument/2006/relationships/worksheet" Target="worksheets/sheet7.xml"/><Relationship Id="rId71" Type="http://schemas.openxmlformats.org/officeDocument/2006/relationships/externalLink" Target="externalLinks/externalLink43.xml"/><Relationship Id="rId92" Type="http://schemas.openxmlformats.org/officeDocument/2006/relationships/externalLink" Target="externalLinks/externalLink64.xml"/><Relationship Id="rId162"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externalLink" Target="externalLinks/externalLink1.xml"/><Relationship Id="rId24" Type="http://schemas.openxmlformats.org/officeDocument/2006/relationships/worksheet" Target="worksheets/sheet24.xml"/><Relationship Id="rId40" Type="http://schemas.openxmlformats.org/officeDocument/2006/relationships/externalLink" Target="externalLinks/externalLink12.xml"/><Relationship Id="rId45" Type="http://schemas.openxmlformats.org/officeDocument/2006/relationships/externalLink" Target="externalLinks/externalLink17.xml"/><Relationship Id="rId66" Type="http://schemas.openxmlformats.org/officeDocument/2006/relationships/externalLink" Target="externalLinks/externalLink38.xml"/><Relationship Id="rId87" Type="http://schemas.openxmlformats.org/officeDocument/2006/relationships/externalLink" Target="externalLinks/externalLink59.xml"/><Relationship Id="rId110" Type="http://schemas.openxmlformats.org/officeDocument/2006/relationships/externalLink" Target="externalLinks/externalLink82.xml"/><Relationship Id="rId115" Type="http://schemas.openxmlformats.org/officeDocument/2006/relationships/externalLink" Target="externalLinks/externalLink87.xml"/><Relationship Id="rId131" Type="http://schemas.openxmlformats.org/officeDocument/2006/relationships/externalLink" Target="externalLinks/externalLink103.xml"/><Relationship Id="rId136" Type="http://schemas.openxmlformats.org/officeDocument/2006/relationships/externalLink" Target="externalLinks/externalLink108.xml"/><Relationship Id="rId157" Type="http://schemas.openxmlformats.org/officeDocument/2006/relationships/externalLink" Target="externalLinks/externalLink129.xml"/><Relationship Id="rId61" Type="http://schemas.openxmlformats.org/officeDocument/2006/relationships/externalLink" Target="externalLinks/externalLink33.xml"/><Relationship Id="rId82" Type="http://schemas.openxmlformats.org/officeDocument/2006/relationships/externalLink" Target="externalLinks/externalLink54.xml"/><Relationship Id="rId152" Type="http://schemas.openxmlformats.org/officeDocument/2006/relationships/externalLink" Target="externalLinks/externalLink124.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externalLink" Target="externalLinks/externalLink2.xml"/><Relationship Id="rId35" Type="http://schemas.openxmlformats.org/officeDocument/2006/relationships/externalLink" Target="externalLinks/externalLink7.xml"/><Relationship Id="rId56" Type="http://schemas.openxmlformats.org/officeDocument/2006/relationships/externalLink" Target="externalLinks/externalLink28.xml"/><Relationship Id="rId77" Type="http://schemas.openxmlformats.org/officeDocument/2006/relationships/externalLink" Target="externalLinks/externalLink49.xml"/><Relationship Id="rId100" Type="http://schemas.openxmlformats.org/officeDocument/2006/relationships/externalLink" Target="externalLinks/externalLink72.xml"/><Relationship Id="rId105" Type="http://schemas.openxmlformats.org/officeDocument/2006/relationships/externalLink" Target="externalLinks/externalLink77.xml"/><Relationship Id="rId126" Type="http://schemas.openxmlformats.org/officeDocument/2006/relationships/externalLink" Target="externalLinks/externalLink98.xml"/><Relationship Id="rId147" Type="http://schemas.openxmlformats.org/officeDocument/2006/relationships/externalLink" Target="externalLinks/externalLink119.xml"/><Relationship Id="rId8" Type="http://schemas.openxmlformats.org/officeDocument/2006/relationships/worksheet" Target="worksheets/sheet8.xml"/><Relationship Id="rId51" Type="http://schemas.openxmlformats.org/officeDocument/2006/relationships/externalLink" Target="externalLinks/externalLink23.xml"/><Relationship Id="rId72" Type="http://schemas.openxmlformats.org/officeDocument/2006/relationships/externalLink" Target="externalLinks/externalLink44.xml"/><Relationship Id="rId93" Type="http://schemas.openxmlformats.org/officeDocument/2006/relationships/externalLink" Target="externalLinks/externalLink65.xml"/><Relationship Id="rId98" Type="http://schemas.openxmlformats.org/officeDocument/2006/relationships/externalLink" Target="externalLinks/externalLink70.xml"/><Relationship Id="rId121" Type="http://schemas.openxmlformats.org/officeDocument/2006/relationships/externalLink" Target="externalLinks/externalLink93.xml"/><Relationship Id="rId142" Type="http://schemas.openxmlformats.org/officeDocument/2006/relationships/externalLink" Target="externalLinks/externalLink114.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externalLink" Target="externalLinks/externalLink18.xml"/><Relationship Id="rId67" Type="http://schemas.openxmlformats.org/officeDocument/2006/relationships/externalLink" Target="externalLinks/externalLink39.xml"/><Relationship Id="rId116" Type="http://schemas.openxmlformats.org/officeDocument/2006/relationships/externalLink" Target="externalLinks/externalLink88.xml"/><Relationship Id="rId137" Type="http://schemas.openxmlformats.org/officeDocument/2006/relationships/externalLink" Target="externalLinks/externalLink109.xml"/><Relationship Id="rId158" Type="http://schemas.openxmlformats.org/officeDocument/2006/relationships/externalLink" Target="externalLinks/externalLink13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161925</xdr:colOff>
      <xdr:row>0</xdr:row>
      <xdr:rowOff>104775</xdr:rowOff>
    </xdr:from>
    <xdr:to>
      <xdr:col>8</xdr:col>
      <xdr:colOff>561975</xdr:colOff>
      <xdr:row>36</xdr:row>
      <xdr:rowOff>38100</xdr:rowOff>
    </xdr:to>
    <xdr:sp macro="" textlink="">
      <xdr:nvSpPr>
        <xdr:cNvPr id="2" name="Rectangle 1" descr="White marble">
          <a:extLst>
            <a:ext uri="{FF2B5EF4-FFF2-40B4-BE49-F238E27FC236}">
              <a16:creationId xmlns:a16="http://schemas.microsoft.com/office/drawing/2014/main" xmlns="" id="{00000000-0008-0000-0000-000002000000}"/>
            </a:ext>
          </a:extLst>
        </xdr:cNvPr>
        <xdr:cNvSpPr>
          <a:spLocks noChangeArrowheads="1"/>
        </xdr:cNvSpPr>
      </xdr:nvSpPr>
      <xdr:spPr bwMode="auto">
        <a:xfrm>
          <a:off x="161925" y="104775"/>
          <a:ext cx="5495925" cy="8543925"/>
        </a:xfrm>
        <a:prstGeom prst="rect">
          <a:avLst/>
        </a:prstGeom>
        <a:noFill/>
        <a:ln w="28575">
          <a:solidFill>
            <a:srgbClr val="000000"/>
          </a:solidFill>
          <a:miter lim="800000"/>
          <a:headEnd/>
          <a:tailEnd/>
        </a:ln>
        <a:effectLst>
          <a:outerShdw dist="107763" dir="13500000" algn="ctr" rotWithShape="0">
            <a:srgbClr val="808080"/>
          </a:outerShdw>
        </a:effectLst>
        <a:extLst>
          <a:ext uri="{909E8E84-426E-40DD-AFC4-6F175D3DCCD1}">
            <a14:hiddenFill xmlns:a14="http://schemas.microsoft.com/office/drawing/2010/main" xmlns="">
              <a:solidFill>
                <a:srgbClr val="FFFFFF"/>
              </a:solidFill>
            </a14:hiddenFill>
          </a:ext>
        </a:extLst>
      </xdr:spPr>
    </xdr:sp>
    <xdr:clientData/>
  </xdr:twoCellAnchor>
  <xdr:twoCellAnchor>
    <xdr:from>
      <xdr:col>4</xdr:col>
      <xdr:colOff>180973</xdr:colOff>
      <xdr:row>3</xdr:row>
      <xdr:rowOff>95251</xdr:rowOff>
    </xdr:from>
    <xdr:to>
      <xdr:col>6</xdr:col>
      <xdr:colOff>542924</xdr:colOff>
      <xdr:row>8</xdr:row>
      <xdr:rowOff>114301</xdr:rowOff>
    </xdr:to>
    <xdr:pic>
      <xdr:nvPicPr>
        <xdr:cNvPr id="3" name="Picture 2" descr="GO-LOGO">
          <a:extLst>
            <a:ext uri="{FF2B5EF4-FFF2-40B4-BE49-F238E27FC236}">
              <a16:creationId xmlns:a16="http://schemas.microsoft.com/office/drawing/2014/main" xmlns=""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143123" y="714376"/>
          <a:ext cx="914401" cy="11239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0</xdr:row>
      <xdr:rowOff>104775</xdr:rowOff>
    </xdr:from>
    <xdr:to>
      <xdr:col>8</xdr:col>
      <xdr:colOff>561975</xdr:colOff>
      <xdr:row>37</xdr:row>
      <xdr:rowOff>38100</xdr:rowOff>
    </xdr:to>
    <xdr:sp macro="" textlink="">
      <xdr:nvSpPr>
        <xdr:cNvPr id="2" name="Rectangle 1" descr="White marble">
          <a:extLst>
            <a:ext uri="{FF2B5EF4-FFF2-40B4-BE49-F238E27FC236}">
              <a16:creationId xmlns:a16="http://schemas.microsoft.com/office/drawing/2014/main" xmlns="" id="{00000000-0008-0000-0300-000002000000}"/>
            </a:ext>
          </a:extLst>
        </xdr:cNvPr>
        <xdr:cNvSpPr>
          <a:spLocks noChangeArrowheads="1"/>
        </xdr:cNvSpPr>
      </xdr:nvSpPr>
      <xdr:spPr bwMode="auto">
        <a:xfrm>
          <a:off x="161925" y="104775"/>
          <a:ext cx="5505450" cy="8543925"/>
        </a:xfrm>
        <a:prstGeom prst="rect">
          <a:avLst/>
        </a:prstGeom>
        <a:noFill/>
        <a:ln w="28575">
          <a:solidFill>
            <a:srgbClr val="000000"/>
          </a:solidFill>
          <a:miter lim="800000"/>
          <a:headEnd/>
          <a:tailEnd/>
        </a:ln>
        <a:effectLst>
          <a:outerShdw dist="107763" dir="13500000" algn="ctr" rotWithShape="0">
            <a:srgbClr val="808080"/>
          </a:outerShdw>
        </a:effectLst>
        <a:extLst>
          <a:ext uri="{909E8E84-426E-40DD-AFC4-6F175D3DCCD1}">
            <a14:hiddenFill xmlns:a14="http://schemas.microsoft.com/office/drawing/2010/main" xmlns="">
              <a:solidFill>
                <a:srgbClr val="FFFFFF"/>
              </a:solidFill>
            </a14:hiddenFill>
          </a:ext>
        </a:extLst>
      </xdr:spPr>
    </xdr:sp>
    <xdr:clientData/>
  </xdr:twoCellAnchor>
  <xdr:twoCellAnchor>
    <xdr:from>
      <xdr:col>4</xdr:col>
      <xdr:colOff>180975</xdr:colOff>
      <xdr:row>3</xdr:row>
      <xdr:rowOff>95250</xdr:rowOff>
    </xdr:from>
    <xdr:to>
      <xdr:col>6</xdr:col>
      <xdr:colOff>171450</xdr:colOff>
      <xdr:row>9</xdr:row>
      <xdr:rowOff>66675</xdr:rowOff>
    </xdr:to>
    <xdr:pic>
      <xdr:nvPicPr>
        <xdr:cNvPr id="3" name="Picture 2" descr="GO-LOGO">
          <a:extLst>
            <a:ext uri="{FF2B5EF4-FFF2-40B4-BE49-F238E27FC236}">
              <a16:creationId xmlns:a16="http://schemas.microsoft.com/office/drawing/2014/main" xmlns=""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152650" y="714375"/>
          <a:ext cx="914400" cy="13049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135</xdr:row>
      <xdr:rowOff>0</xdr:rowOff>
    </xdr:from>
    <xdr:to>
      <xdr:col>10</xdr:col>
      <xdr:colOff>0</xdr:colOff>
      <xdr:row>136</xdr:row>
      <xdr:rowOff>0</xdr:rowOff>
    </xdr:to>
    <xdr:grpSp>
      <xdr:nvGrpSpPr>
        <xdr:cNvPr id="2" name="Group 5">
          <a:extLst>
            <a:ext uri="{FF2B5EF4-FFF2-40B4-BE49-F238E27FC236}">
              <a16:creationId xmlns:a16="http://schemas.microsoft.com/office/drawing/2014/main" xmlns="" id="{00000000-0008-0000-1000-0000876D0000}"/>
            </a:ext>
          </a:extLst>
        </xdr:cNvPr>
        <xdr:cNvGrpSpPr>
          <a:grpSpLocks/>
        </xdr:cNvGrpSpPr>
      </xdr:nvGrpSpPr>
      <xdr:grpSpPr bwMode="auto">
        <a:xfrm>
          <a:off x="28575" y="54070250"/>
          <a:ext cx="5089525" cy="228600"/>
          <a:chOff x="0" y="4905900"/>
          <a:chExt cx="5972175" cy="143120"/>
        </a:xfrm>
      </xdr:grpSpPr>
      <xdr:sp macro="" textlink="">
        <xdr:nvSpPr>
          <xdr:cNvPr id="3" name="Rectangle 2">
            <a:extLst>
              <a:ext uri="{FF2B5EF4-FFF2-40B4-BE49-F238E27FC236}">
                <a16:creationId xmlns:a16="http://schemas.microsoft.com/office/drawing/2014/main" xmlns="" id="{00000000-0008-0000-1000-0000886D0000}"/>
              </a:ext>
            </a:extLst>
          </xdr:cNvPr>
          <xdr:cNvSpPr>
            <a:spLocks noChangeArrowheads="1"/>
          </xdr:cNvSpPr>
        </xdr:nvSpPr>
        <xdr:spPr bwMode="auto">
          <a:xfrm>
            <a:off x="0" y="4914900"/>
            <a:ext cx="1571625" cy="11611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sp macro="" textlink="">
        <xdr:nvSpPr>
          <xdr:cNvPr id="4" name="Rectangle 3">
            <a:extLst>
              <a:ext uri="{FF2B5EF4-FFF2-40B4-BE49-F238E27FC236}">
                <a16:creationId xmlns:a16="http://schemas.microsoft.com/office/drawing/2014/main" xmlns="" id="{00000000-0008-0000-1000-0000896D0000}"/>
              </a:ext>
            </a:extLst>
          </xdr:cNvPr>
          <xdr:cNvSpPr>
            <a:spLocks noChangeArrowheads="1"/>
          </xdr:cNvSpPr>
        </xdr:nvSpPr>
        <xdr:spPr bwMode="auto">
          <a:xfrm>
            <a:off x="2777953" y="4905900"/>
            <a:ext cx="1987893" cy="11611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sp macro="" textlink="">
        <xdr:nvSpPr>
          <xdr:cNvPr id="5" name="Rectangle 4">
            <a:extLst>
              <a:ext uri="{FF2B5EF4-FFF2-40B4-BE49-F238E27FC236}">
                <a16:creationId xmlns:a16="http://schemas.microsoft.com/office/drawing/2014/main" xmlns="" id="{00000000-0008-0000-1000-00008A6D0000}"/>
              </a:ext>
            </a:extLst>
          </xdr:cNvPr>
          <xdr:cNvSpPr>
            <a:spLocks noChangeArrowheads="1"/>
          </xdr:cNvSpPr>
        </xdr:nvSpPr>
        <xdr:spPr bwMode="auto">
          <a:xfrm>
            <a:off x="1138366" y="4914900"/>
            <a:ext cx="1987893" cy="11611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sp macro="" textlink="">
        <xdr:nvSpPr>
          <xdr:cNvPr id="6" name="Rectangle 5">
            <a:extLst>
              <a:ext uri="{FF2B5EF4-FFF2-40B4-BE49-F238E27FC236}">
                <a16:creationId xmlns:a16="http://schemas.microsoft.com/office/drawing/2014/main" xmlns="" id="{00000000-0008-0000-1000-00008B6D0000}"/>
              </a:ext>
            </a:extLst>
          </xdr:cNvPr>
          <xdr:cNvSpPr>
            <a:spLocks noChangeArrowheads="1"/>
          </xdr:cNvSpPr>
        </xdr:nvSpPr>
        <xdr:spPr bwMode="auto">
          <a:xfrm>
            <a:off x="4638418" y="4932906"/>
            <a:ext cx="1333757" cy="11611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Db2/f/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SCSP-Malleswaram/11-12/PMGSY/Estimates/Buildings/MPP_Buildings/mpp%20estimate%20NADIGUDEM.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OFFICE%20%20FILES/PMGSY/ARRR-ver-1104.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AEE%202008-09/NABARD%20RIDF%20XIV/KANCHALA%20TO%20CHANDARLAPADU/Documents%20and%20Settings/RAMU/Desktop/ARRR-ver-1105-vsr.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Estimates/Nabard/Deverakonda/Koppole_bollaram/Est_KB.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https://d.docs.live.net/Abc/e/GP%20Buildings/AEE%202008-09/NABARD%20RIDF%20XIV/KANCHALA%20TO%20CHANDARLAPADU/Documents%20and%20Settings/RAMU/Desktop/ARRR-ver-1105-vsr.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Rohith/Favorites/Desktop/indu/Documents%20and%20Settings/RAMU/Desktop/ARRR-ver-1105-vsr.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52BF743B\Road%20from%206-0%20km%20of%20T01%20to%20Balwanthapur%20(Mal-5).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Levels/Kodad/Adloor/Dondapadu-2.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Ananthapalli%20to%20Kavuluru-17-2-14/Model_PMGSY_Road_Datas_2013-14-SSR-dt-15-2-14-JRG.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backup%20%207-01-2017/Roads%20Estimates%202016-17%20SSR%20Rates%2026-9-2016/Proforma%20Estimates%2025-2-2017/Proforma%20Estimates%2025-2-2017/PMGSY-I%20BAL-04-05/Road%20from%206-0%20km%20of%20T01%20to%20Balwanthapur%20(Mal-5).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11-12/PMGSY/OFFICE%20%20FILES/PMGSY/ARRR-ver-1104.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d.docs.live.net/Db2/f/Estimates/pmgsy-phase4/Thungathurthy/Thirumalagiri-Thatipamula-sri%20ram%20tanda/CD%20work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https://d.docs.live.net/Ceprnab1/d/Nalgonda%20Estimates/My%20Documents/DP%20minor%20bridge%202.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https://d.docs.live.net/Mi/c/Buildings-C/Ravi/Phase-III%20(Revised%20Proposals)/nizamabad/Ramadugu/Phase-III/Nizamabad/Lingi%20thanda.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12TH%20FINANCE/CHUKKAVARIPALLE%20ROAD/all%201/PMGSY_T2005/Rate_Analysis/ARRR-ver-1104.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https://d.docs.live.net/Eepr5/my%20documents/Documents%20and%20Settings/cvssubrahmanyam.SVPCPL/Desktop/PR%20New/My%20Documents/docu/docu/R&amp;B%20Dept.%20Estimates/East-Section.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https://d.docs.live.net/bitsinternet/tulasi/Documents%20and%20Settings/cvssubrahmanyam.SVPCPL/Desktop/PR%20New/My%20Documents/docu/docu/R&amp;B%20Dept.%20Estimates/East-Sec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Estimates/Buildings/Mpp_newplan/Nalgonda/MPP_Vemulapally.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https://d.docs.live.net/Eeprvsp/d/jangam/REDDY/jaggasagari.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https://d.docs.live.net/Madam/f/GENERAL/krishnamurthy/Peddatundla%20Estimate-RRM%202008-09(new)-RW.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https://d.docs.live.net/Indiramma/e/Estimates/Buildings/Mpp_newplan/Miryalaguda/MPP_Gundlapally1.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Estimates/Buildings/Mpp_newplan/Miryalaguda/MPP_Gundlapally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d.docs.live.net/C74C5DD0/CD%20work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https://d.docs.live.net/Eeprvsp/d/Jan/PMGSY%20PhVIII/VSP%20final%20PH_VIII%20est/PMGSY-I%20BAL-04-05/Road%20from%206-0%20km%20of%20T01%20to%20Balwanthapur%20(Mal-5).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https://d.docs.live.net/Abc/e/Documents%20and%20Settings/Admin/My%20Documents/Downloads/DATA%202008-09/Documents%20and%20Settings/hcl/Desktop/ARRR-ver-1104.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SCSP-Malleswaram/DATA%202008-09/Documents%20and%20Settings/hcl/Desktop/ARRR-ver-1104.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https://d.docs.live.net/Db2/f/Documents%20and%20Settings/pc/Local%20Settings/Temporary%20Internet%20Files/Content.IE5/8T6ZWX63/C.%20Viswam%20AEE%20PR%20Kadiri/NH%20ODC%20(Revised)%2018-02-061/NH%20ODC%20-PMGSY/NH-ODC%20to%20KH%20Road.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Users/prasa/Google%20Drive/my%20documents/OTHERS/Thavanampalle/anganwadi/WE/EACHINERI%20%20CS%20&amp;%20CR.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https://d.docs.live.net/4aa32dbf4a837832/Documents/TALAPURALAPALLE.xlsx"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Users/prasa/OneDrive/Desktop/C.DATA%202018-19-%20Chittoor.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Users/prasa/Google%20Drive/my%20documents/MGNREGS/GP%20BLDS/estimates/WE/Chitipiralla%2035.00WE-2.xlsx"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E:\DATAS\Datas%202018-19.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Users/prasa/Google%20Drive/my%20documents/C.DATA%202018-19-%20Chittoor.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Estimates/pmgsy-phaseII/Nalgonda/Graded-27.Dacharam.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baireddipalli%201.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Estimates/pmgsy/Deverakonda/87.Gazinagar.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Estimates/pmgsy/Package1304/07.1.package130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Estimates/Buildings/Mpp_newplan/Miryalaguda/MPP_Rajape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Estimates/Buildings/MPP_Buildings/mpp%20estimate%20NADIGUDE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d.docs.live.net/83917D68/CD%20work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d.docs.live.net/Abc/e/Documents%20and%20Settings/Admin/My%20Documents/Downloads/Estimates/pmgsy-phaseII/Nalgonda/Graded-27.Dacha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SCSP-Malleswaram/11-12/PMGSY/Estimates/pmgsy-phaseII/Nalgonda/Graded-27.Dacharam.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d.docs.live.net/Abc/e/Documents%20and%20Settings/Admin/My%20Documents/Downloads/Estimates/pmgsy/Deverakonda/87.Gazinagar.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d.docs.live.net/Abc/e/Documents%20and%20Settings/Admin/My%20Documents/Downloads/Estimates/pmgsy/Package1304/07.1.package1303.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d.docs.live.net/Abc/e/Documents%20and%20Settings/Admin/My%20Documents/Downloads/Estimates/Buildings/Mpp_newplan/Miryalaguda/MPP_Rajape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d.docs.live.net/Abc/e/Documents%20and%20Settings/Admin/My%20Documents/Downloads/Estimates/Buildings/MPP_Buildings/mpp%20estimate%20NADIGUDEM.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d.docs.live.net/Abc/e/Documents%20and%20Settings/Admin/My%20Documents/Downloads/Estimates/pmgsy-phase4/Thungathurthy/Thirumalagiri-Thatipamula-sri%20ram%20tanda/CD%20works.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d.docs.live.net/Contract-aruna/public_aruna/Public_Aruna/contracts(ak)/Hyderabad/Mes/MES-SEC.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Contract-aruna/public_aruna/Public_Aruna/contracts(ak)/Hyderabad/Mes/MES-SEC.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d.docs.live.net/Users/prasa/Downloads/PMGSY%20Maint%20Estimates%20New/DOCUME~1/BDS/LOCALS~1/Temp/Estimates/pmgsy-phaseII/Nalgonda/Graded-27.Dacharam.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I:\PMGSY%20Maint%20Estimates%20New\DOCUME~1\BDS\LOCALS~1\Temp\Estimates\pmgsy-phaseII\Nalgonda\Graded-27.Dacharam.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Estimates/pmgsy-phaseII/Nalgonda/Graded-27.Dacharam.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Db2/f/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12TH%20FINANCE/CHUKKAVARIPALLE%20ROAD/Documents%20and%20Settings/RAM/My%20Documents/PMGSY/singannagari/ARRR-ver-110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d.docs.live.net/Users/prasa/Downloads/PMGSY%20Maint%20Estimates%20New/DOCUME~1/BDS/LOCALS~1/Temp/Estimates/pmgsy/Deverakonda/87.Gazinagar.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I:\PMGSY%20Maint%20Estimates%20New\DOCUME~1\BDS\LOCALS~1\Temp\Estimates\pmgsy\Deverakonda\87.Gazinagar.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Estimates/pmgsy/Deverakonda/87.Gazinagar.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tps://d.docs.live.net/Users/prasa/Downloads/PMGSY%20Maint%20Estimates%20New/DOCUME~1/BDS/LOCALS~1/Temp/Estimates/pmgsy/Package1304/07.1.package1303.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I:\PMGSY%20Maint%20Estimates%20New\DOCUME~1\BDS\LOCALS~1\Temp\Estimates\pmgsy\Package1304\07.1.package1303.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Estimates/pmgsy/Package1304/07.1.package1303.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d.docs.live.net/Users/prasa/Downloads/PMGSY%20Maint%20Estimates%20New/DOCUME~1/BDS/LOCALS~1/Temp/Estimates/Buildings/Mpp_newplan/Miryalaguda/MPP_Rajapet.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I:\PMGSY%20Maint%20Estimates%20New\DOCUME~1\BDS\LOCALS~1\Temp\Estimates\Buildings\Mpp_newplan\Miryalaguda\MPP_Rajapet.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Estimates/Buildings/Mpp_newplan/Miryalaguda/MPP_Rajape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SCSP-Malleswaram/11-12/PMGSY/Estimates/pmgsy/Deverakonda/87.Gazinagar.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d.docs.live.net/Users/prasa/Downloads/PMGSY%20Maint%20Estimates%20New/DOCUME~1/BDS/LOCALS~1/Temp/Estimates/Buildings/MPP_Buildings/mpp%20estimate%20NADIGUDEM.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I:\PMGSY%20Maint%20Estimates%20New\DOCUME~1\BDS\LOCALS~1\Temp\Estimates\Buildings\MPP_Buildings\mpp%20estimate%20NADIGUDEM.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Estimates/Buildings/MPP_Buildings/mpp%20estimate%20NADIGUDEM.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s://d.docs.live.net/Sys/f/Users/Administrator/Downloads/UY%202.1%20-%2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s://d.docs.live.net/Users/prasa/Downloads/PMGSY%20Maint%20Estimates%20New/DOCUME~1/BDS/LOCALS~1/Temp/Estimates/pmgsy-phase4/Thungathurthy/Thirumalagiri-Thatipamula-sri%20ram%20tanda/CD%20works.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I:\PMGSY%20Maint%20Estimates%20New\DOCUME~1\BDS\LOCALS~1\Temp\Estimates\pmgsy-phase4\Thungathurthy\Thirumalagiri-Thatipamula-sri%20ram%20tanda\CD%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Estimates/pmgsy-phase4/Thungathurthy/Thirumalagiri-Thatipamula-sri%20ram%20tanda/CD%20works.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SCSP-Malleswaram/11-12/PMGSY/ARRR%20JANNEPALLY.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https://d.docs.live.net/Abc/e/sub%20division/AE%20spl.,/2015/modified%20building%20data/2014-15/MRR/Jakkampudi.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19F4B65\CE%20ESTIMATE%20NABARAD%20CHAVITIPALEM%20WITH%20SSR%202011-1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Db2/f/Estimates/pmgsy/Package1304/07.1.package1303.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https://d.docs.live.net/Abc/e/GP%20Buildings/AEE%20NANDIGAMA%20SPECIAL/sumpdesign.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AEE%20NANDIGAMA%20SPECIAL/sumpdesign.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AEE%20NANDIGAMA%20SPECIAL/sumpdesign.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ARRR-ver-1105.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A:\My%20Documents\PMGSY%20Phase-I&amp;II\PMGSY\Documents\Buildings\Data\data99.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SCSP-Malleswaram/Est/14.05.10/SSR%2010-11/ARRR-ver-1105.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Documents/Buildings/Data/data99.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https://d.docs.live.net/Abc/e/sub%20division/AE%20spl.,/2015/modified%20building%20data/2014-15/working%20estimates/ADDL%20130%20lakhs/aptdc-mahanandi-civil-datas-estimate-20-9-07.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AEE%202008-09/NABARD%20RIDF%20XIV/KANCHALA%20TO%20CHANDARLAPADU/Documents%20and%20Settings/hcl/Desktop/ARRR-ver-1104.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11-12/PMGSY/ARRR%20JANNEPALLY.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SCSP-Malleswaram/11-12/PMGSY/Estimates/pmgsy/Package1304/07.1.package1303.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d.docs.live.net/Dee1/C/chatu/PMGSY%20PH_IV%20estimates/PMGSY/Yamanapalli%20to%20Mahamutharam%20(Maha%204%20kms).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https://d.docs.live.net/Mpp1/e/PMGSY-I%20BAL-04-05/Road%20from%206-0%20km%20of%20T01%20to%20Balwanthapur%20(Mal-5).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d.docs.live.net/Abc/e/GP%20Buildings/AEE%20RWS%20VSPT/VISSANNAPETA/sumpdesign.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AEE%20RWS%20VSPT/VISSANNAPETA/sumpdesign.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AEE%20RWS%20VSPT/VISSANNAPETA/sumpdesign.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https://d.docs.live.net/Dee1/C/PMGSY%20ESTIMATES/PMGSY%2004-05/R-F%20Dacharam%20to%20Kandikatkoor%20(Sir-22).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https://d.docs.live.net/Abc/e/GP%20Buildings/PMGSY-I%20BAL-04-05/Road%20from%206-0%20km%20of%20T01%20to%20Balwanthapur%20(Mal-5).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PMGSY-I%20BAL-04-05/Road%20from%206-0%20km%20of%20T01%20to%20Balwanthapur%20(Mal-5).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PMGSY-I%20BAL-04-05/Road%20from%206-0%20km%20of%20T01%20to%20Balwanthapur%20(Mal-5).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https://d.docs.live.net/Sys1/d-sys1/Store_Box/NABARD_Estimates/cd%20namnoor%20gullakota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docs.live.net/Db2/f/Estimates/Buildings/Mpp_newplan/Miryalaguda/MPP_Rajapet.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Z:\Beerole%20est.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Estimates/pmgsy-phaseII/Nalgonda/Graded-27.Dacharam.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https://d.docs.live.net/Dee3/c/chatu/PMGSY%20PH_IV%20estimates/PMGSY/Yamanapalli%20to%20Mahamutharam%20(Maha%204%20kms).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https://d.docs.live.net/Db2/f/PMGSY-I%20BAL-04-05/Road%20from%206-0%20km%20of%20T01%20to%20Balwanthapur%20(Mal-5).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https://d.docs.live.net/Users/prasa/Downloads/(2)/16-17/SCSP-Malleswaram/11-12/PMGSY/PMGSY-I%20BAL-04-05/Road%20from%206-0%20km%20of%20T01%20to%20Balwanthapur%20(Mal-5).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SCSP-Malleswaram/11-12/PMGSY/PMGSY-I%20BAL-04-05/Road%20from%206-0%20km%20of%20T01%20to%20Balwanthapur%20(Mal-5).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https://d.docs.live.net/Prccdu/d/WINDOWS/Desktop/PMGSY%20PH-V/ARRR-ver-1104.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877F6EB3\ARRR-ver-1104.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https://d.docs.live.net/Dee3/c/PMGSY%20ESTIMATES/PMGSY%2004-05/R-F%20Dacharam%20to%20Kandikatkoor%20(Sir-2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SCSP-Malleswaram/11-12/PMGSY/Estimates/Buildings/Mpp_newplan/Miryalaguda/MPP_Rajapet.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Documents%20and%20Settings/COMPAQ%201/Desktop/WINDOWS/Desktop/PMGSY%20PH-V/ARRR-ver-11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Documents%20and%20Settings/hcl/Desktop/ARRR-ver-1104.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SCSP-Konijerla/11-12/PMGSY/Levels/Kodad/Adloor/Dondapadu-2.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SCSP-Simhadripuram/11-12/PMGSY/ARRR%20JANNEPALLY.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https://d.docs.live.net/Abc/e/sub%20division/AE%20spl.,/2015/modified%20building%20data/2014-15/working%20estimates/ADDL%20130%20lakhs/penin/SKHT%20MANDAL/heritage_division/bokkisampalem/WINDOWS/Desktop/PMGSY%20PH-V/ARRR-ver-110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Penamaluru/sumpdesign.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F:\Estimates\My%20Documents\PJ%20REDDY\Phase%20V\DESIGN%20PMGSY%20PH-V\ARRR-ver-1104.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https://d.docs.live.net/Dee6/c/lakshmi/Viziag/Sunkarametla/PMGSY-I%20BAL-04-05/Road%20from%206-0%20km%20of%20T01%20to%20Balwanthapur%20(Mal-5).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https://d.docs.live.net/Users/prasa/Downloads/Estimates/SREENU/PMGSY/kurivikuppam%20recasted/PMGSY-I%20BAL-04-05/Road%20from%206-0%20km%20of%20T01%20to%20Balwanthapur%20(Mal-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docs.live.net/Db2/f/Estimates/Buildings/MPP_Buildings/mpp%20estimate%20NADIGUDEM.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F:\Estimates\SREENU\PMGSY\kurivikuppam%20recasted\PMGSY-I%20BAL-04-05\Road%20from%206-0%20km%20of%20T01%20to%20Balwanthapur%20(Mal-5).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https://d.docs.live.net/Eeprvsp/d/DATA%202008-09/Documents%20and%20Settings/hcl/Desktop/ARRR-ver-1104.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DATA%202008-09/Documents%20and%20Settings/hcl/Desktop/ARRR-ver-1104.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https://d.docs.live.net/Abc/e/GP%20Buildings/AEE%202008-09/NABARD%20RIDF%20XIV/KANCHALA%20TO%20CHANDARLAPADU/Documents%20and%20Settings/hcl/Desktop/ARRR-ver-1104.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KINGSTON%2019-12-2013/New%20Folder/AEE%202013-14/ACDP%202013-14/Documents%20and%20Settings/hcl/Desktop/ARRR-ver-1104.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https://d.docs.live.net/Abc/e/GP%20Buildings/ARRR-ver-1105.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Rohith/Favorites/Desktop/indu/ARRR-ver-1105.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M:\OFFICE%20%20FILES\PMGSY\Thorough%20Roads\ARRR%20JANNEPALLY.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Ibrahimpatnam/SIVA%20SAI%20-%201/SIVA%20SAI%20-%202/TOTAL.WORKS/G.P.Est(Total)/G.P.Est%202018-19/JUPUDI/Users/SAI/Downloads/ARRR%20JANNEPALLY.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M:\OFFICE%20%20FILES\PMGSY\ARRR-ver-1104.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eads"/>
      <sheetName val="cover"/>
      <sheetName val="abstract"/>
      <sheetName val="detailed"/>
      <sheetName val="btrates"/>
      <sheetName val="cost"/>
      <sheetName val="thick"/>
      <sheetName val="Leadcost"/>
      <sheetName val="data"/>
      <sheetName val="hp900"/>
      <sheetName val="CDdata (2)"/>
      <sheetName val="1v900"/>
      <sheetName val="2v900"/>
      <sheetName val="3v900"/>
      <sheetName val="impRdam"/>
      <sheetName val="lchart"/>
      <sheetName val="lchart1"/>
      <sheetName val="Lead"/>
      <sheetName val="Materials"/>
      <sheetName val="Data "/>
      <sheetName val="Retaing"/>
      <sheetName val="Abstract(F6)"/>
    </sheetNames>
    <sheetDataSet>
      <sheetData sheetId="0" refreshError="1">
        <row r="7">
          <cell r="H7">
            <v>48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D6">
            <v>2500</v>
          </cell>
          <cell r="E6" t="str">
            <v>/MT</v>
          </cell>
        </row>
        <row r="7">
          <cell r="A7">
            <v>6</v>
          </cell>
          <cell r="B7" t="str">
            <v>Steel</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F1" t="str">
            <v>DETAILS</v>
          </cell>
          <cell r="G1" t="str">
            <v>Unit</v>
          </cell>
          <cell r="H1" t="str">
            <v>PER</v>
          </cell>
          <cell r="I1" t="str">
            <v>RATE</v>
          </cell>
        </row>
        <row r="2">
          <cell r="B2">
            <v>1</v>
          </cell>
          <cell r="C2" t="str">
            <v>1ab</v>
          </cell>
          <cell r="F2" t="str">
            <v>1st Class Mason</v>
          </cell>
          <cell r="G2">
            <v>1</v>
          </cell>
          <cell r="H2" t="str">
            <v>each</v>
          </cell>
          <cell r="I2">
            <v>86</v>
          </cell>
        </row>
        <row r="3">
          <cell r="B3">
            <v>26</v>
          </cell>
          <cell r="C3">
            <v>17</v>
          </cell>
          <cell r="F3" t="str">
            <v>Spl.grade Mason</v>
          </cell>
          <cell r="G3">
            <v>1</v>
          </cell>
          <cell r="H3" t="str">
            <v>each</v>
          </cell>
          <cell r="I3">
            <v>0</v>
          </cell>
        </row>
        <row r="4">
          <cell r="B4">
            <v>28</v>
          </cell>
          <cell r="C4" t="str">
            <v>1a</v>
          </cell>
          <cell r="F4" t="str">
            <v>2nd Class Mason</v>
          </cell>
          <cell r="G4">
            <v>1</v>
          </cell>
          <cell r="H4" t="str">
            <v>each</v>
          </cell>
          <cell r="I4">
            <v>75</v>
          </cell>
        </row>
        <row r="5">
          <cell r="B5">
            <v>53</v>
          </cell>
          <cell r="C5">
            <v>2</v>
          </cell>
          <cell r="F5" t="str">
            <v>Man Mazdoor</v>
          </cell>
          <cell r="G5">
            <v>1</v>
          </cell>
          <cell r="H5" t="str">
            <v>each</v>
          </cell>
          <cell r="I5">
            <v>55</v>
          </cell>
        </row>
        <row r="6">
          <cell r="B6">
            <v>54</v>
          </cell>
          <cell r="C6">
            <v>3</v>
          </cell>
          <cell r="F6" t="str">
            <v>Woman Mazdoor</v>
          </cell>
          <cell r="G6">
            <v>1</v>
          </cell>
          <cell r="H6" t="str">
            <v>each</v>
          </cell>
          <cell r="I6">
            <v>55</v>
          </cell>
        </row>
        <row r="7">
          <cell r="B7">
            <v>60</v>
          </cell>
          <cell r="C7" t="str">
            <v>1a</v>
          </cell>
          <cell r="F7" t="str">
            <v>2nd Class Bricks</v>
          </cell>
          <cell r="G7">
            <v>1000</v>
          </cell>
          <cell r="H7" t="str">
            <v>Nos</v>
          </cell>
          <cell r="I7">
            <v>1200</v>
          </cell>
        </row>
        <row r="8">
          <cell r="B8">
            <v>67</v>
          </cell>
          <cell r="C8" t="str">
            <v>2c</v>
          </cell>
          <cell r="F8" t="str">
            <v>RR stone Granite Variety</v>
          </cell>
          <cell r="G8">
            <v>1</v>
          </cell>
          <cell r="H8" t="str">
            <v>cum</v>
          </cell>
          <cell r="I8">
            <v>75</v>
          </cell>
        </row>
        <row r="9">
          <cell r="B9">
            <v>72</v>
          </cell>
          <cell r="C9" t="str">
            <v>3a</v>
          </cell>
          <cell r="F9" t="str">
            <v>CR stone Granite Variety</v>
          </cell>
          <cell r="G9">
            <v>1</v>
          </cell>
          <cell r="H9" t="str">
            <v>cum</v>
          </cell>
          <cell r="I9">
            <v>109</v>
          </cell>
        </row>
        <row r="10">
          <cell r="B10">
            <v>80</v>
          </cell>
          <cell r="F10" t="str">
            <v>6 mm SS</v>
          </cell>
          <cell r="G10">
            <v>1</v>
          </cell>
          <cell r="H10" t="str">
            <v>cum</v>
          </cell>
          <cell r="I10">
            <v>170</v>
          </cell>
        </row>
        <row r="11">
          <cell r="B11">
            <v>81</v>
          </cell>
          <cell r="F11" t="str">
            <v>5 to 7 mm IRC</v>
          </cell>
          <cell r="G11">
            <v>1</v>
          </cell>
          <cell r="H11" t="str">
            <v>cum</v>
          </cell>
          <cell r="I11">
            <v>170</v>
          </cell>
        </row>
        <row r="12">
          <cell r="B12">
            <v>82</v>
          </cell>
          <cell r="F12" t="str">
            <v>10 mm SS</v>
          </cell>
          <cell r="G12">
            <v>1</v>
          </cell>
          <cell r="H12" t="str">
            <v>cum</v>
          </cell>
          <cell r="I12">
            <v>250</v>
          </cell>
        </row>
        <row r="13">
          <cell r="B13">
            <v>83</v>
          </cell>
          <cell r="F13" t="str">
            <v>10 to 11.2 IRC</v>
          </cell>
          <cell r="G13">
            <v>1</v>
          </cell>
          <cell r="H13" t="str">
            <v>cum</v>
          </cell>
          <cell r="I13">
            <v>250</v>
          </cell>
        </row>
        <row r="14">
          <cell r="B14">
            <v>84</v>
          </cell>
          <cell r="F14" t="str">
            <v>12 mm SS</v>
          </cell>
          <cell r="G14">
            <v>1</v>
          </cell>
          <cell r="H14" t="str">
            <v>cum</v>
          </cell>
          <cell r="I14">
            <v>300</v>
          </cell>
        </row>
        <row r="15">
          <cell r="B15">
            <v>85</v>
          </cell>
          <cell r="F15" t="str">
            <v>12 to 14 mm IRC</v>
          </cell>
          <cell r="G15">
            <v>1</v>
          </cell>
          <cell r="H15" t="str">
            <v>cum</v>
          </cell>
          <cell r="I15">
            <v>300</v>
          </cell>
        </row>
        <row r="16">
          <cell r="B16">
            <v>86</v>
          </cell>
          <cell r="F16" t="str">
            <v>20 mm SS</v>
          </cell>
          <cell r="G16">
            <v>1</v>
          </cell>
          <cell r="H16" t="str">
            <v>cum</v>
          </cell>
          <cell r="I16">
            <v>380</v>
          </cell>
        </row>
        <row r="17">
          <cell r="B17">
            <v>87</v>
          </cell>
          <cell r="F17" t="str">
            <v>20 to 22 mm IRC</v>
          </cell>
          <cell r="G17">
            <v>1</v>
          </cell>
          <cell r="H17" t="str">
            <v>cum</v>
          </cell>
          <cell r="I17">
            <v>375</v>
          </cell>
        </row>
        <row r="18">
          <cell r="B18">
            <v>88</v>
          </cell>
          <cell r="F18" t="str">
            <v>25 mm SS</v>
          </cell>
          <cell r="G18">
            <v>1</v>
          </cell>
          <cell r="H18" t="str">
            <v>cum</v>
          </cell>
          <cell r="I18">
            <v>300</v>
          </cell>
        </row>
        <row r="19">
          <cell r="B19">
            <v>89</v>
          </cell>
          <cell r="F19" t="str">
            <v>25 to 27 mm IRC</v>
          </cell>
          <cell r="G19">
            <v>1</v>
          </cell>
          <cell r="H19" t="str">
            <v>cum</v>
          </cell>
          <cell r="I19">
            <v>300</v>
          </cell>
        </row>
        <row r="20">
          <cell r="B20">
            <v>90</v>
          </cell>
          <cell r="F20" t="str">
            <v>40 mm SS</v>
          </cell>
          <cell r="G20">
            <v>1</v>
          </cell>
          <cell r="H20" t="str">
            <v>cum</v>
          </cell>
          <cell r="I20">
            <v>215</v>
          </cell>
        </row>
        <row r="21">
          <cell r="B21">
            <v>91</v>
          </cell>
          <cell r="F21" t="str">
            <v>40 to 45 mm IRC</v>
          </cell>
          <cell r="G21">
            <v>1</v>
          </cell>
          <cell r="H21" t="str">
            <v>cum</v>
          </cell>
          <cell r="I21">
            <v>200</v>
          </cell>
        </row>
        <row r="22">
          <cell r="B22">
            <v>92</v>
          </cell>
          <cell r="F22" t="str">
            <v>50 mm SS</v>
          </cell>
          <cell r="G22">
            <v>1</v>
          </cell>
          <cell r="H22" t="str">
            <v>cum</v>
          </cell>
          <cell r="I22">
            <v>150</v>
          </cell>
        </row>
        <row r="23">
          <cell r="B23">
            <v>93</v>
          </cell>
          <cell r="F23" t="str">
            <v>50 to 55mm IRC</v>
          </cell>
          <cell r="G23">
            <v>1</v>
          </cell>
          <cell r="H23" t="str">
            <v>cum</v>
          </cell>
          <cell r="I23">
            <v>120</v>
          </cell>
        </row>
        <row r="24">
          <cell r="B24">
            <v>94</v>
          </cell>
          <cell r="F24" t="str">
            <v>60 mm SS</v>
          </cell>
          <cell r="G24">
            <v>1</v>
          </cell>
          <cell r="H24" t="str">
            <v>cum</v>
          </cell>
          <cell r="I24">
            <v>150</v>
          </cell>
        </row>
        <row r="25">
          <cell r="B25">
            <v>95</v>
          </cell>
          <cell r="F25" t="str">
            <v>60 to 63 mm IRC</v>
          </cell>
          <cell r="G25">
            <v>1</v>
          </cell>
          <cell r="H25" t="str">
            <v>cum</v>
          </cell>
          <cell r="I25">
            <v>110</v>
          </cell>
        </row>
        <row r="26">
          <cell r="B26">
            <v>96</v>
          </cell>
          <cell r="F26" t="str">
            <v>65 mm SS</v>
          </cell>
          <cell r="G26">
            <v>1</v>
          </cell>
          <cell r="H26" t="str">
            <v>cum</v>
          </cell>
          <cell r="I26">
            <v>150</v>
          </cell>
        </row>
        <row r="27">
          <cell r="B27">
            <v>97</v>
          </cell>
          <cell r="F27" t="str">
            <v>65 mm IRC</v>
          </cell>
          <cell r="G27">
            <v>1</v>
          </cell>
          <cell r="H27" t="str">
            <v>cum</v>
          </cell>
          <cell r="I27">
            <v>120</v>
          </cell>
        </row>
        <row r="28">
          <cell r="B28">
            <v>98</v>
          </cell>
          <cell r="F28" t="str">
            <v>75 mm SS</v>
          </cell>
          <cell r="G28">
            <v>1</v>
          </cell>
          <cell r="H28" t="str">
            <v>cum</v>
          </cell>
          <cell r="I28">
            <v>95</v>
          </cell>
        </row>
        <row r="29">
          <cell r="B29">
            <v>99</v>
          </cell>
          <cell r="F29" t="str">
            <v>75 mm IRC</v>
          </cell>
          <cell r="G29">
            <v>1</v>
          </cell>
          <cell r="H29" t="str">
            <v>cum</v>
          </cell>
          <cell r="I29">
            <v>95</v>
          </cell>
        </row>
        <row r="30">
          <cell r="B30">
            <v>100</v>
          </cell>
          <cell r="F30" t="str">
            <v>Blasting</v>
          </cell>
          <cell r="G30">
            <v>1</v>
          </cell>
          <cell r="H30" t="str">
            <v>cum</v>
          </cell>
          <cell r="I30">
            <v>40</v>
          </cell>
        </row>
        <row r="31">
          <cell r="B31">
            <v>101</v>
          </cell>
          <cell r="F31" t="str">
            <v>Metal Crushing</v>
          </cell>
          <cell r="G31">
            <v>1</v>
          </cell>
          <cell r="H31" t="str">
            <v>cum</v>
          </cell>
          <cell r="I31">
            <v>0.25</v>
          </cell>
        </row>
        <row r="32">
          <cell r="B32">
            <v>127</v>
          </cell>
          <cell r="C32">
            <v>9</v>
          </cell>
          <cell r="F32" t="str">
            <v>Gravel</v>
          </cell>
          <cell r="G32">
            <v>1</v>
          </cell>
          <cell r="H32" t="str">
            <v>cum</v>
          </cell>
          <cell r="I32">
            <v>25</v>
          </cell>
        </row>
        <row r="33">
          <cell r="B33">
            <v>128</v>
          </cell>
          <cell r="F33" t="str">
            <v>Quarry rubbish</v>
          </cell>
          <cell r="G33">
            <v>1</v>
          </cell>
          <cell r="H33" t="str">
            <v>cum</v>
          </cell>
          <cell r="I33">
            <v>11</v>
          </cell>
        </row>
        <row r="34">
          <cell r="B34">
            <v>129</v>
          </cell>
          <cell r="F34" t="str">
            <v>Sand for Mortar, Seal coat</v>
          </cell>
          <cell r="G34">
            <v>1</v>
          </cell>
          <cell r="H34" t="str">
            <v>cum</v>
          </cell>
          <cell r="I34">
            <v>50</v>
          </cell>
        </row>
        <row r="35">
          <cell r="B35">
            <v>130</v>
          </cell>
          <cell r="F35" t="str">
            <v>Sand for Filling, Blindage</v>
          </cell>
          <cell r="G35">
            <v>1</v>
          </cell>
          <cell r="H35" t="str">
            <v>cum</v>
          </cell>
          <cell r="I35">
            <v>20</v>
          </cell>
        </row>
        <row r="36">
          <cell r="B36">
            <v>133</v>
          </cell>
          <cell r="C36">
            <v>15</v>
          </cell>
          <cell r="F36" t="str">
            <v>40 mm thick 0.762 m x.457 m</v>
          </cell>
          <cell r="G36">
            <v>1</v>
          </cell>
          <cell r="H36" t="str">
            <v>sqm</v>
          </cell>
          <cell r="I36">
            <v>70</v>
          </cell>
        </row>
        <row r="37">
          <cell r="B37">
            <v>134</v>
          </cell>
          <cell r="C37">
            <v>16</v>
          </cell>
          <cell r="F37" t="str">
            <v>50 mm thick 0.762 m x.457 m</v>
          </cell>
          <cell r="G37">
            <v>1</v>
          </cell>
          <cell r="H37" t="str">
            <v>sqm</v>
          </cell>
          <cell r="I37">
            <v>80</v>
          </cell>
        </row>
        <row r="38">
          <cell r="B38">
            <v>136</v>
          </cell>
          <cell r="F38" t="str">
            <v>25.4 mm thick White</v>
          </cell>
          <cell r="G38">
            <v>10</v>
          </cell>
          <cell r="H38" t="str">
            <v>sqm</v>
          </cell>
          <cell r="I38">
            <v>550</v>
          </cell>
        </row>
        <row r="39">
          <cell r="B39">
            <v>137</v>
          </cell>
          <cell r="F39" t="str">
            <v>25.4 mm thick Blue</v>
          </cell>
          <cell r="G39">
            <v>10</v>
          </cell>
          <cell r="H39" t="str">
            <v>sqm</v>
          </cell>
          <cell r="I39">
            <v>600</v>
          </cell>
        </row>
        <row r="40">
          <cell r="B40">
            <v>138</v>
          </cell>
          <cell r="F40" t="str">
            <v>25.4 mm thick White</v>
          </cell>
          <cell r="G40">
            <v>10</v>
          </cell>
          <cell r="H40" t="str">
            <v>sqm</v>
          </cell>
          <cell r="I40">
            <v>600</v>
          </cell>
        </row>
        <row r="41">
          <cell r="B41">
            <v>139</v>
          </cell>
          <cell r="F41" t="str">
            <v>25.4 mm thick Blue</v>
          </cell>
          <cell r="G41">
            <v>10</v>
          </cell>
          <cell r="H41" t="str">
            <v>sqm</v>
          </cell>
          <cell r="I41">
            <v>700</v>
          </cell>
        </row>
        <row r="42">
          <cell r="B42">
            <v>140</v>
          </cell>
          <cell r="F42" t="str">
            <v>25.4 mm thick White  0.457mx0.457 m</v>
          </cell>
          <cell r="G42">
            <v>10</v>
          </cell>
          <cell r="H42" t="str">
            <v>sqm</v>
          </cell>
          <cell r="I42">
            <v>1000</v>
          </cell>
        </row>
        <row r="43">
          <cell r="B43">
            <v>141</v>
          </cell>
          <cell r="F43" t="str">
            <v>25.4 mm thick Blue  0.457mx0.457 m</v>
          </cell>
          <cell r="G43">
            <v>10</v>
          </cell>
          <cell r="H43" t="str">
            <v>sqm</v>
          </cell>
          <cell r="I43">
            <v>1150</v>
          </cell>
        </row>
        <row r="44">
          <cell r="B44">
            <v>142</v>
          </cell>
          <cell r="C44">
            <v>20</v>
          </cell>
          <cell r="F44" t="str">
            <v>25.4 mm thick   0.457mx0.457 m</v>
          </cell>
          <cell r="G44">
            <v>10</v>
          </cell>
          <cell r="H44" t="str">
            <v>sqm</v>
          </cell>
          <cell r="I44">
            <v>900</v>
          </cell>
        </row>
        <row r="45">
          <cell r="B45">
            <v>143</v>
          </cell>
          <cell r="C45">
            <v>21</v>
          </cell>
          <cell r="F45" t="str">
            <v>25.4 mm thick 0.254mx0.254 m White</v>
          </cell>
          <cell r="G45">
            <v>10</v>
          </cell>
          <cell r="H45" t="str">
            <v>sqm</v>
          </cell>
          <cell r="I45">
            <v>2700</v>
          </cell>
        </row>
        <row r="46">
          <cell r="B46">
            <v>168</v>
          </cell>
          <cell r="F46" t="str">
            <v>Cement Mortar</v>
          </cell>
          <cell r="G46">
            <v>1</v>
          </cell>
          <cell r="H46" t="str">
            <v>cum</v>
          </cell>
          <cell r="I46">
            <v>15</v>
          </cell>
        </row>
        <row r="47">
          <cell r="B47">
            <v>169</v>
          </cell>
          <cell r="F47" t="str">
            <v>By Machine</v>
          </cell>
          <cell r="G47">
            <v>1</v>
          </cell>
          <cell r="H47" t="str">
            <v>cum</v>
          </cell>
          <cell r="I47">
            <v>25</v>
          </cell>
        </row>
        <row r="48">
          <cell r="B48">
            <v>175</v>
          </cell>
          <cell r="F48" t="str">
            <v>White Cement</v>
          </cell>
          <cell r="G48">
            <v>1</v>
          </cell>
          <cell r="H48" t="str">
            <v>kg</v>
          </cell>
          <cell r="I48">
            <v>9</v>
          </cell>
        </row>
        <row r="49">
          <cell r="B49">
            <v>176</v>
          </cell>
          <cell r="F49" t="str">
            <v xml:space="preserve">Scantling below 2m </v>
          </cell>
          <cell r="G49">
            <v>1</v>
          </cell>
          <cell r="H49" t="str">
            <v>cum</v>
          </cell>
          <cell r="I49">
            <v>50000</v>
          </cell>
        </row>
        <row r="50">
          <cell r="B50">
            <v>177</v>
          </cell>
          <cell r="F50" t="str">
            <v xml:space="preserve">Scantling above 2m </v>
          </cell>
          <cell r="G50">
            <v>1</v>
          </cell>
          <cell r="H50" t="str">
            <v>cum</v>
          </cell>
          <cell r="I50">
            <v>52000</v>
          </cell>
        </row>
        <row r="51">
          <cell r="B51">
            <v>178</v>
          </cell>
          <cell r="F51" t="str">
            <v>Planks of all sizes</v>
          </cell>
          <cell r="G51">
            <v>1</v>
          </cell>
          <cell r="H51" t="str">
            <v>cum</v>
          </cell>
          <cell r="I51">
            <v>55000</v>
          </cell>
        </row>
        <row r="52">
          <cell r="B52">
            <v>176</v>
          </cell>
          <cell r="F52" t="str">
            <v xml:space="preserve">Scantling below 2m </v>
          </cell>
          <cell r="G52">
            <v>1</v>
          </cell>
          <cell r="H52" t="str">
            <v>cum</v>
          </cell>
          <cell r="I52">
            <v>40000</v>
          </cell>
        </row>
        <row r="53">
          <cell r="B53">
            <v>177</v>
          </cell>
          <cell r="F53" t="str">
            <v xml:space="preserve">Scantling above 2m </v>
          </cell>
          <cell r="G53">
            <v>1</v>
          </cell>
          <cell r="H53" t="str">
            <v>cum</v>
          </cell>
          <cell r="I53">
            <v>42000</v>
          </cell>
        </row>
        <row r="54">
          <cell r="B54">
            <v>178</v>
          </cell>
          <cell r="F54" t="str">
            <v>Planks of all sizes</v>
          </cell>
          <cell r="G54">
            <v>1</v>
          </cell>
          <cell r="H54" t="str">
            <v>cum</v>
          </cell>
          <cell r="I54">
            <v>45000</v>
          </cell>
        </row>
        <row r="55">
          <cell r="B55">
            <v>187</v>
          </cell>
          <cell r="F55" t="str">
            <v>Steel fabrication</v>
          </cell>
          <cell r="G55">
            <v>1</v>
          </cell>
          <cell r="H55" t="str">
            <v>kg</v>
          </cell>
          <cell r="I55">
            <v>3.25</v>
          </cell>
        </row>
        <row r="56">
          <cell r="B56">
            <v>234</v>
          </cell>
          <cell r="F56" t="str">
            <v>25 mm thick</v>
          </cell>
          <cell r="G56">
            <v>1</v>
          </cell>
          <cell r="H56" t="str">
            <v>sqm</v>
          </cell>
          <cell r="I56">
            <v>80</v>
          </cell>
        </row>
        <row r="57">
          <cell r="B57">
            <v>235</v>
          </cell>
          <cell r="F57" t="str">
            <v>40 mm thick</v>
          </cell>
          <cell r="G57">
            <v>1</v>
          </cell>
          <cell r="H57" t="str">
            <v>sqm</v>
          </cell>
          <cell r="I57">
            <v>105</v>
          </cell>
        </row>
        <row r="58">
          <cell r="B58">
            <v>236</v>
          </cell>
          <cell r="F58" t="str">
            <v>50 mm thick</v>
          </cell>
          <cell r="G58">
            <v>1</v>
          </cell>
          <cell r="H58" t="str">
            <v>sqm</v>
          </cell>
          <cell r="I58">
            <v>140</v>
          </cell>
        </row>
        <row r="59">
          <cell r="B59">
            <v>239</v>
          </cell>
          <cell r="F59" t="str">
            <v>Dry powder Distemper</v>
          </cell>
          <cell r="G59">
            <v>1</v>
          </cell>
          <cell r="H59" t="str">
            <v>kg</v>
          </cell>
          <cell r="I59">
            <v>20</v>
          </cell>
        </row>
        <row r="60">
          <cell r="B60">
            <v>240</v>
          </cell>
          <cell r="F60" t="str">
            <v>Oil bound washable Distemper</v>
          </cell>
          <cell r="G60">
            <v>1</v>
          </cell>
          <cell r="H60" t="str">
            <v>kg</v>
          </cell>
          <cell r="I60">
            <v>60</v>
          </cell>
        </row>
        <row r="61">
          <cell r="B61">
            <v>245</v>
          </cell>
          <cell r="F61" t="str">
            <v>Alluminium paint 1st grade</v>
          </cell>
          <cell r="G61">
            <v>1</v>
          </cell>
          <cell r="H61" t="str">
            <v>litre</v>
          </cell>
          <cell r="I61">
            <v>176</v>
          </cell>
        </row>
        <row r="62">
          <cell r="B62">
            <v>246</v>
          </cell>
          <cell r="F62" t="str">
            <v>Anti corrosive bitument pain (Black) grade -1</v>
          </cell>
          <cell r="G62">
            <v>1</v>
          </cell>
          <cell r="H62" t="str">
            <v>litre</v>
          </cell>
          <cell r="I62">
            <v>250</v>
          </cell>
        </row>
        <row r="63">
          <cell r="B63">
            <v>247</v>
          </cell>
          <cell r="F63" t="str">
            <v>Red oxide Primer Paint grade-I</v>
          </cell>
          <cell r="G63">
            <v>1</v>
          </cell>
          <cell r="H63" t="str">
            <v>litre</v>
          </cell>
          <cell r="I63">
            <v>55</v>
          </cell>
        </row>
        <row r="64">
          <cell r="B64">
            <v>248</v>
          </cell>
          <cell r="F64" t="str">
            <v>Red oxide Primer Paint grade-II</v>
          </cell>
          <cell r="G64">
            <v>1</v>
          </cell>
          <cell r="H64" t="str">
            <v>litre</v>
          </cell>
          <cell r="I64">
            <v>45</v>
          </cell>
        </row>
        <row r="65">
          <cell r="B65">
            <v>249</v>
          </cell>
          <cell r="F65" t="str">
            <v>Synthetic enamel paints in all shades grade-I</v>
          </cell>
          <cell r="G65">
            <v>1</v>
          </cell>
          <cell r="H65" t="str">
            <v>litre</v>
          </cell>
          <cell r="I65">
            <v>130</v>
          </cell>
        </row>
        <row r="66">
          <cell r="B66">
            <v>250</v>
          </cell>
          <cell r="F66" t="str">
            <v>Synthetic enamel paints in all shades grade-II</v>
          </cell>
          <cell r="G66">
            <v>1</v>
          </cell>
          <cell r="H66" t="str">
            <v>litre</v>
          </cell>
          <cell r="I66">
            <v>95</v>
          </cell>
        </row>
        <row r="67">
          <cell r="B67">
            <v>251</v>
          </cell>
          <cell r="F67" t="str">
            <v>Plastic emultion paint grade-I</v>
          </cell>
          <cell r="G67">
            <v>1</v>
          </cell>
          <cell r="H67" t="str">
            <v>litre</v>
          </cell>
          <cell r="I67">
            <v>200</v>
          </cell>
        </row>
        <row r="68">
          <cell r="B68">
            <v>252</v>
          </cell>
          <cell r="C68">
            <v>63</v>
          </cell>
          <cell r="F68" t="str">
            <v>Oil Bound Distemper</v>
          </cell>
          <cell r="G68">
            <v>1</v>
          </cell>
          <cell r="H68" t="str">
            <v>kg</v>
          </cell>
          <cell r="I68">
            <v>40</v>
          </cell>
        </row>
        <row r="69">
          <cell r="B69">
            <v>253</v>
          </cell>
          <cell r="C69">
            <v>64</v>
          </cell>
          <cell r="F69" t="str">
            <v>Water proof cement paint of Superior Quality</v>
          </cell>
          <cell r="G69">
            <v>1</v>
          </cell>
          <cell r="H69" t="str">
            <v>kg</v>
          </cell>
          <cell r="I69">
            <v>30</v>
          </cell>
        </row>
        <row r="70">
          <cell r="B70">
            <v>254</v>
          </cell>
          <cell r="C70">
            <v>65</v>
          </cell>
          <cell r="F70" t="str">
            <v>White lead</v>
          </cell>
          <cell r="G70">
            <v>1</v>
          </cell>
          <cell r="H70" t="str">
            <v>kg</v>
          </cell>
          <cell r="I70">
            <v>50</v>
          </cell>
        </row>
        <row r="71">
          <cell r="B71">
            <v>255</v>
          </cell>
          <cell r="C71">
            <v>66</v>
          </cell>
          <cell r="F71" t="str">
            <v>Marble powder</v>
          </cell>
          <cell r="G71">
            <v>1</v>
          </cell>
          <cell r="H71" t="str">
            <v>kg</v>
          </cell>
          <cell r="I71">
            <v>12.5</v>
          </cell>
        </row>
        <row r="72">
          <cell r="B72">
            <v>256</v>
          </cell>
          <cell r="C72">
            <v>67</v>
          </cell>
          <cell r="F72" t="str">
            <v>Cement Primer grade-I</v>
          </cell>
          <cell r="G72">
            <v>1</v>
          </cell>
          <cell r="H72" t="str">
            <v>kg</v>
          </cell>
          <cell r="I72">
            <v>65</v>
          </cell>
        </row>
        <row r="73">
          <cell r="B73">
            <v>257</v>
          </cell>
          <cell r="F73" t="str">
            <v>Cement Primer grade-II</v>
          </cell>
          <cell r="G73">
            <v>1</v>
          </cell>
          <cell r="H73" t="str">
            <v>kg</v>
          </cell>
          <cell r="I73">
            <v>50</v>
          </cell>
        </row>
        <row r="74">
          <cell r="B74">
            <v>274</v>
          </cell>
          <cell r="D74" t="str">
            <v>b</v>
          </cell>
          <cell r="F74" t="str">
            <v>Fevicol</v>
          </cell>
          <cell r="G74">
            <v>1</v>
          </cell>
          <cell r="H74" t="str">
            <v>kg</v>
          </cell>
          <cell r="I74">
            <v>100</v>
          </cell>
        </row>
        <row r="75">
          <cell r="B75">
            <v>352</v>
          </cell>
          <cell r="D75" t="str">
            <v>a</v>
          </cell>
          <cell r="F75" t="str">
            <v>Clearing heavy jungle</v>
          </cell>
          <cell r="G75">
            <v>10</v>
          </cell>
          <cell r="H75" t="str">
            <v>sqm</v>
          </cell>
          <cell r="I75">
            <v>6</v>
          </cell>
        </row>
        <row r="76">
          <cell r="B76">
            <v>353</v>
          </cell>
          <cell r="D76" t="str">
            <v>b</v>
          </cell>
          <cell r="F76" t="str">
            <v>Clearing Light jungle</v>
          </cell>
          <cell r="G76">
            <v>10</v>
          </cell>
          <cell r="H76" t="str">
            <v>sqm</v>
          </cell>
          <cell r="I76">
            <v>5</v>
          </cell>
        </row>
        <row r="77">
          <cell r="B77">
            <v>354</v>
          </cell>
          <cell r="D77" t="str">
            <v>c</v>
          </cell>
          <cell r="F77" t="str">
            <v>Clearing Scrub jungle</v>
          </cell>
          <cell r="G77">
            <v>10</v>
          </cell>
          <cell r="H77" t="str">
            <v>sqm</v>
          </cell>
          <cell r="I77">
            <v>3</v>
          </cell>
        </row>
        <row r="78">
          <cell r="B78">
            <v>355</v>
          </cell>
          <cell r="D78" t="str">
            <v>d</v>
          </cell>
          <cell r="F78" t="str">
            <v xml:space="preserve">Cleaing Julie flora </v>
          </cell>
          <cell r="G78">
            <v>10</v>
          </cell>
          <cell r="H78" t="str">
            <v>sqm</v>
          </cell>
          <cell r="I78">
            <v>14</v>
          </cell>
        </row>
        <row r="79">
          <cell r="B79">
            <v>408</v>
          </cell>
          <cell r="D79" t="str">
            <v>a</v>
          </cell>
          <cell r="F79" t="str">
            <v>Loamy &amp; Clay soils like BC soils, Red earth &amp; OG SS 302 &amp; 303</v>
          </cell>
          <cell r="G79">
            <v>10</v>
          </cell>
          <cell r="H79" t="str">
            <v>cum</v>
          </cell>
          <cell r="I79">
            <v>235</v>
          </cell>
        </row>
        <row r="80">
          <cell r="B80">
            <v>409</v>
          </cell>
          <cell r="F80" t="str">
            <v>Loamy &amp; Clay soils like BC soils, Red earth &amp; OG SS 301</v>
          </cell>
          <cell r="G80">
            <v>10</v>
          </cell>
          <cell r="H80" t="str">
            <v>cum</v>
          </cell>
          <cell r="I80">
            <v>215</v>
          </cell>
        </row>
        <row r="81">
          <cell r="B81">
            <v>412</v>
          </cell>
          <cell r="F81" t="str">
            <v>Hard Gravelly Soils SS 302 &amp; 303</v>
          </cell>
          <cell r="G81">
            <v>10</v>
          </cell>
          <cell r="H81" t="str">
            <v>cum</v>
          </cell>
          <cell r="I81">
            <v>250</v>
          </cell>
        </row>
        <row r="82">
          <cell r="B82">
            <v>413</v>
          </cell>
          <cell r="F82" t="str">
            <v>Hard Gravelly Soils SS 301</v>
          </cell>
          <cell r="G82">
            <v>10</v>
          </cell>
          <cell r="H82" t="str">
            <v>cum</v>
          </cell>
          <cell r="I82">
            <v>230</v>
          </cell>
        </row>
        <row r="83">
          <cell r="B83">
            <v>459</v>
          </cell>
          <cell r="C83">
            <v>35</v>
          </cell>
          <cell r="F83" t="str">
            <v>Vibrating Concrete</v>
          </cell>
          <cell r="G83">
            <v>1</v>
          </cell>
          <cell r="H83" t="str">
            <v>cum</v>
          </cell>
          <cell r="I83">
            <v>22.4</v>
          </cell>
        </row>
        <row r="84">
          <cell r="B84">
            <v>460</v>
          </cell>
          <cell r="C84">
            <v>36</v>
          </cell>
          <cell r="F84" t="str">
            <v>Machine mixing Concrete</v>
          </cell>
          <cell r="G84">
            <v>1</v>
          </cell>
          <cell r="H84" t="str">
            <v>cum</v>
          </cell>
          <cell r="I84">
            <v>21.8</v>
          </cell>
        </row>
        <row r="85">
          <cell r="B85">
            <v>461</v>
          </cell>
          <cell r="C85">
            <v>37</v>
          </cell>
          <cell r="F85" t="str">
            <v>Power for Mixer</v>
          </cell>
          <cell r="G85">
            <v>1</v>
          </cell>
          <cell r="H85" t="str">
            <v>cum</v>
          </cell>
          <cell r="I85">
            <v>14.5</v>
          </cell>
        </row>
        <row r="86">
          <cell r="B86">
            <v>495</v>
          </cell>
          <cell r="C86">
            <v>40</v>
          </cell>
          <cell r="D86" t="str">
            <v>a</v>
          </cell>
          <cell r="F86" t="str">
            <v>First Floor</v>
          </cell>
          <cell r="G86">
            <v>1</v>
          </cell>
          <cell r="H86" t="str">
            <v>cum</v>
          </cell>
          <cell r="I86">
            <v>22</v>
          </cell>
        </row>
        <row r="87">
          <cell r="B87">
            <v>496</v>
          </cell>
          <cell r="D87" t="str">
            <v>b</v>
          </cell>
          <cell r="F87" t="str">
            <v>Second Floor</v>
          </cell>
          <cell r="G87">
            <v>1</v>
          </cell>
          <cell r="H87" t="str">
            <v>cum</v>
          </cell>
          <cell r="I87">
            <v>27</v>
          </cell>
        </row>
        <row r="88">
          <cell r="B88">
            <v>497</v>
          </cell>
          <cell r="D88" t="str">
            <v>c</v>
          </cell>
          <cell r="F88" t="str">
            <v>Third Floor</v>
          </cell>
          <cell r="G88">
            <v>1</v>
          </cell>
          <cell r="H88" t="str">
            <v>cum</v>
          </cell>
          <cell r="I88">
            <v>37</v>
          </cell>
        </row>
        <row r="89">
          <cell r="B89">
            <v>498</v>
          </cell>
          <cell r="D89" t="str">
            <v>d</v>
          </cell>
          <cell r="F89" t="str">
            <v>Each Additional Floor</v>
          </cell>
          <cell r="G89">
            <v>1</v>
          </cell>
          <cell r="H89" t="str">
            <v>cum</v>
          </cell>
          <cell r="I89">
            <v>16</v>
          </cell>
        </row>
        <row r="90">
          <cell r="B90">
            <v>499</v>
          </cell>
          <cell r="D90" t="str">
            <v>a</v>
          </cell>
          <cell r="F90" t="str">
            <v>1st &amp; 2nd Floor</v>
          </cell>
          <cell r="G90">
            <v>10</v>
          </cell>
          <cell r="H90" t="str">
            <v>sqm</v>
          </cell>
          <cell r="I90">
            <v>25</v>
          </cell>
        </row>
        <row r="91">
          <cell r="B91">
            <v>500</v>
          </cell>
          <cell r="D91" t="str">
            <v>b</v>
          </cell>
          <cell r="F91" t="str">
            <v>2nd &amp; 3rd Floor</v>
          </cell>
          <cell r="G91">
            <v>10</v>
          </cell>
          <cell r="H91" t="str">
            <v>sqm</v>
          </cell>
          <cell r="I91">
            <v>50</v>
          </cell>
        </row>
        <row r="92">
          <cell r="B92">
            <v>501</v>
          </cell>
          <cell r="D92" t="str">
            <v>c</v>
          </cell>
          <cell r="F92" t="str">
            <v>3rd &amp; 4th Floor</v>
          </cell>
          <cell r="G92">
            <v>10</v>
          </cell>
          <cell r="H92" t="str">
            <v>sqm</v>
          </cell>
          <cell r="I92">
            <v>75</v>
          </cell>
        </row>
        <row r="93">
          <cell r="B93">
            <v>502</v>
          </cell>
          <cell r="D93" t="str">
            <v>d</v>
          </cell>
          <cell r="F93" t="str">
            <v>Each Additional Floor</v>
          </cell>
          <cell r="G93">
            <v>10</v>
          </cell>
          <cell r="H93" t="str">
            <v>sqm</v>
          </cell>
          <cell r="I93">
            <v>18</v>
          </cell>
        </row>
        <row r="94">
          <cell r="B94">
            <v>503</v>
          </cell>
          <cell r="D94" t="str">
            <v>a</v>
          </cell>
          <cell r="F94" t="str">
            <v>upto 150 mm depth</v>
          </cell>
          <cell r="G94">
            <v>10</v>
          </cell>
          <cell r="H94" t="str">
            <v>sqm</v>
          </cell>
          <cell r="I94">
            <v>525</v>
          </cell>
        </row>
        <row r="95">
          <cell r="B95">
            <v>504</v>
          </cell>
          <cell r="D95" t="str">
            <v>b</v>
          </cell>
          <cell r="F95" t="str">
            <v>above 150 mm depth and upto 300 mm depth</v>
          </cell>
          <cell r="G95">
            <v>10</v>
          </cell>
          <cell r="H95" t="str">
            <v>sqm</v>
          </cell>
          <cell r="I95">
            <v>850</v>
          </cell>
        </row>
        <row r="96">
          <cell r="B96">
            <v>510</v>
          </cell>
          <cell r="D96" t="str">
            <v>g</v>
          </cell>
          <cell r="E96" t="str">
            <v xml:space="preserve">i </v>
          </cell>
          <cell r="F96" t="str">
            <v>0.60 m width</v>
          </cell>
          <cell r="G96">
            <v>1</v>
          </cell>
          <cell r="H96" t="str">
            <v>rmt</v>
          </cell>
          <cell r="I96">
            <v>25</v>
          </cell>
        </row>
        <row r="97">
          <cell r="B97">
            <v>511</v>
          </cell>
          <cell r="D97" t="str">
            <v>g</v>
          </cell>
          <cell r="E97" t="str">
            <v>ii</v>
          </cell>
          <cell r="F97" t="str">
            <v>0.80 m width</v>
          </cell>
          <cell r="G97">
            <v>1</v>
          </cell>
          <cell r="H97" t="str">
            <v>rmt</v>
          </cell>
          <cell r="I97">
            <v>30</v>
          </cell>
        </row>
        <row r="98">
          <cell r="B98">
            <v>512</v>
          </cell>
          <cell r="D98" t="str">
            <v>g</v>
          </cell>
          <cell r="E98" t="str">
            <v>iii</v>
          </cell>
          <cell r="F98" t="str">
            <v>1.00 m width</v>
          </cell>
          <cell r="G98">
            <v>1</v>
          </cell>
          <cell r="H98" t="str">
            <v>rmt</v>
          </cell>
          <cell r="I98">
            <v>35</v>
          </cell>
        </row>
        <row r="99">
          <cell r="B99">
            <v>513</v>
          </cell>
          <cell r="D99" t="str">
            <v>h</v>
          </cell>
          <cell r="F99" t="str">
            <v>T.Beams</v>
          </cell>
          <cell r="G99">
            <v>1</v>
          </cell>
          <cell r="H99" t="str">
            <v>cum</v>
          </cell>
          <cell r="I99">
            <v>650</v>
          </cell>
        </row>
        <row r="100">
          <cell r="B100">
            <v>514</v>
          </cell>
          <cell r="F100" t="str">
            <v>Columns, Rectangular beams, L.Beams</v>
          </cell>
          <cell r="G100">
            <v>1</v>
          </cell>
          <cell r="H100" t="str">
            <v>cum</v>
          </cell>
          <cell r="I100">
            <v>550</v>
          </cell>
        </row>
        <row r="101">
          <cell r="B101">
            <v>515</v>
          </cell>
          <cell r="F101" t="str">
            <v>Templates, Bed blocks,Footings</v>
          </cell>
          <cell r="G101">
            <v>1</v>
          </cell>
          <cell r="H101" t="str">
            <v>cum</v>
          </cell>
          <cell r="I101">
            <v>330</v>
          </cell>
        </row>
        <row r="102">
          <cell r="B102">
            <v>518</v>
          </cell>
          <cell r="F102" t="str">
            <v>Lintels, Plinth Beams</v>
          </cell>
          <cell r="G102">
            <v>1</v>
          </cell>
          <cell r="H102" t="str">
            <v>cum</v>
          </cell>
          <cell r="I102">
            <v>450</v>
          </cell>
        </row>
        <row r="103">
          <cell r="B103">
            <v>519</v>
          </cell>
          <cell r="F103" t="str">
            <v>Slabs above 300 mm depth</v>
          </cell>
          <cell r="G103">
            <v>1</v>
          </cell>
          <cell r="H103" t="str">
            <v>cum</v>
          </cell>
          <cell r="I103">
            <v>520</v>
          </cell>
        </row>
        <row r="104">
          <cell r="B104">
            <v>521</v>
          </cell>
          <cell r="D104" t="str">
            <v>a</v>
          </cell>
          <cell r="F104" t="str">
            <v>For mass concrete Piers, Abutments and steining well curb well caps etc.,</v>
          </cell>
          <cell r="G104">
            <v>1</v>
          </cell>
          <cell r="H104" t="str">
            <v>cum</v>
          </cell>
          <cell r="I104">
            <v>380</v>
          </cell>
        </row>
        <row r="105">
          <cell r="B105">
            <v>522</v>
          </cell>
          <cell r="F105" t="str">
            <v>For RCC Piers, Abutments, Wings, Well steining weel curbs, well Caps etc.,</v>
          </cell>
          <cell r="G105">
            <v>1</v>
          </cell>
          <cell r="H105" t="str">
            <v>cum</v>
          </cell>
          <cell r="I105">
            <v>500</v>
          </cell>
        </row>
        <row r="106">
          <cell r="B106">
            <v>523</v>
          </cell>
          <cell r="F106" t="str">
            <v>For RCC Deck Slabs</v>
          </cell>
          <cell r="G106">
            <v>1</v>
          </cell>
          <cell r="H106" t="str">
            <v>cum</v>
          </cell>
          <cell r="I106">
            <v>950</v>
          </cell>
        </row>
        <row r="107">
          <cell r="B107">
            <v>524</v>
          </cell>
          <cell r="F107" t="str">
            <v>For RCC beams</v>
          </cell>
          <cell r="G107">
            <v>1</v>
          </cell>
          <cell r="H107" t="str">
            <v>cum</v>
          </cell>
          <cell r="I107">
            <v>1150</v>
          </cell>
        </row>
        <row r="108">
          <cell r="B108">
            <v>525</v>
          </cell>
          <cell r="F108" t="str">
            <v>RCC hand rails</v>
          </cell>
          <cell r="G108">
            <v>1</v>
          </cell>
          <cell r="H108" t="str">
            <v>cum</v>
          </cell>
          <cell r="I108">
            <v>1250</v>
          </cell>
        </row>
        <row r="109">
          <cell r="B109">
            <v>526</v>
          </cell>
          <cell r="F109" t="str">
            <v>CC pavements, Wearing Coats, approach slabs guide stone JM stone etc.</v>
          </cell>
          <cell r="G109">
            <v>1</v>
          </cell>
          <cell r="H109" t="str">
            <v>cum</v>
          </cell>
          <cell r="I109">
            <v>95</v>
          </cell>
        </row>
        <row r="110">
          <cell r="B110">
            <v>555</v>
          </cell>
          <cell r="D110" t="str">
            <v>a</v>
          </cell>
          <cell r="F110" t="str">
            <v>250 mm dia</v>
          </cell>
          <cell r="G110">
            <v>1</v>
          </cell>
          <cell r="H110" t="str">
            <v>rmt</v>
          </cell>
          <cell r="I110">
            <v>8</v>
          </cell>
        </row>
        <row r="111">
          <cell r="B111">
            <v>556</v>
          </cell>
          <cell r="D111" t="str">
            <v>b</v>
          </cell>
          <cell r="F111" t="str">
            <v>300 mm dia</v>
          </cell>
          <cell r="G111">
            <v>1</v>
          </cell>
          <cell r="H111" t="str">
            <v>rmt</v>
          </cell>
          <cell r="I111">
            <v>11</v>
          </cell>
        </row>
        <row r="112">
          <cell r="B112">
            <v>557</v>
          </cell>
          <cell r="D112" t="str">
            <v>c</v>
          </cell>
          <cell r="F112" t="str">
            <v>450 mm dia</v>
          </cell>
          <cell r="G112">
            <v>1</v>
          </cell>
          <cell r="H112" t="str">
            <v>rmt</v>
          </cell>
          <cell r="I112">
            <v>15</v>
          </cell>
        </row>
        <row r="113">
          <cell r="B113">
            <v>558</v>
          </cell>
          <cell r="D113" t="str">
            <v>d</v>
          </cell>
          <cell r="F113" t="str">
            <v>600 mm dia</v>
          </cell>
          <cell r="G113">
            <v>1</v>
          </cell>
          <cell r="H113" t="str">
            <v>rmt</v>
          </cell>
          <cell r="I113">
            <v>25</v>
          </cell>
        </row>
        <row r="114">
          <cell r="B114">
            <v>559</v>
          </cell>
          <cell r="D114" t="str">
            <v>e</v>
          </cell>
          <cell r="F114" t="str">
            <v>750 mm dia</v>
          </cell>
          <cell r="G114">
            <v>1</v>
          </cell>
          <cell r="H114" t="str">
            <v>rmt</v>
          </cell>
          <cell r="I114">
            <v>30</v>
          </cell>
        </row>
        <row r="115">
          <cell r="B115">
            <v>560</v>
          </cell>
          <cell r="D115" t="str">
            <v>f</v>
          </cell>
          <cell r="F115" t="str">
            <v>800 mm dia</v>
          </cell>
          <cell r="G115">
            <v>1</v>
          </cell>
          <cell r="H115" t="str">
            <v>rmt</v>
          </cell>
          <cell r="I115">
            <v>35</v>
          </cell>
        </row>
        <row r="116">
          <cell r="B116">
            <v>561</v>
          </cell>
          <cell r="D116" t="str">
            <v>g</v>
          </cell>
          <cell r="F116" t="str">
            <v>1000 mm dia</v>
          </cell>
          <cell r="G116">
            <v>1</v>
          </cell>
          <cell r="H116" t="str">
            <v>rmt</v>
          </cell>
          <cell r="I116">
            <v>40</v>
          </cell>
        </row>
        <row r="117">
          <cell r="B117">
            <v>562</v>
          </cell>
          <cell r="D117" t="str">
            <v>h</v>
          </cell>
          <cell r="F117" t="str">
            <v>1220 mm dia</v>
          </cell>
          <cell r="G117">
            <v>1</v>
          </cell>
          <cell r="H117" t="str">
            <v>rmt</v>
          </cell>
          <cell r="I117">
            <v>50</v>
          </cell>
        </row>
        <row r="118">
          <cell r="B118">
            <v>563</v>
          </cell>
          <cell r="D118" t="str">
            <v>a</v>
          </cell>
          <cell r="F118" t="str">
            <v>40 mm</v>
          </cell>
          <cell r="G118">
            <v>1</v>
          </cell>
          <cell r="H118" t="str">
            <v>sqm</v>
          </cell>
          <cell r="I118">
            <v>29</v>
          </cell>
        </row>
        <row r="119">
          <cell r="B119">
            <v>564</v>
          </cell>
          <cell r="D119" t="str">
            <v>b</v>
          </cell>
          <cell r="F119" t="str">
            <v>50 mm</v>
          </cell>
          <cell r="G119">
            <v>1</v>
          </cell>
          <cell r="H119" t="str">
            <v>sqm</v>
          </cell>
          <cell r="I119">
            <v>31</v>
          </cell>
        </row>
        <row r="120">
          <cell r="B120">
            <v>565</v>
          </cell>
          <cell r="D120" t="str">
            <v>c</v>
          </cell>
          <cell r="F120" t="str">
            <v>75 mm</v>
          </cell>
          <cell r="G120">
            <v>1</v>
          </cell>
          <cell r="H120" t="str">
            <v>sqm</v>
          </cell>
          <cell r="I120">
            <v>34</v>
          </cell>
        </row>
        <row r="121">
          <cell r="B121">
            <v>566</v>
          </cell>
          <cell r="D121" t="str">
            <v>d</v>
          </cell>
          <cell r="F121" t="str">
            <v>100 mm</v>
          </cell>
          <cell r="G121">
            <v>1</v>
          </cell>
          <cell r="H121" t="str">
            <v>sqm</v>
          </cell>
          <cell r="I121">
            <v>36</v>
          </cell>
        </row>
        <row r="122">
          <cell r="B122">
            <v>570</v>
          </cell>
          <cell r="C122">
            <v>52</v>
          </cell>
          <cell r="F122" t="str">
            <v>Picking 50mm to 100mm old metalled surface and sectioning</v>
          </cell>
          <cell r="G122">
            <v>10</v>
          </cell>
          <cell r="H122" t="str">
            <v>sqm</v>
          </cell>
          <cell r="I122">
            <v>10</v>
          </cell>
        </row>
        <row r="123">
          <cell r="B123">
            <v>571</v>
          </cell>
          <cell r="C123">
            <v>53</v>
          </cell>
          <cell r="F123" t="str">
            <v>Picking gravelled surface 25mm deep and levelling and sectioning</v>
          </cell>
          <cell r="G123">
            <v>10</v>
          </cell>
          <cell r="H123" t="str">
            <v>sqm</v>
          </cell>
          <cell r="I123">
            <v>2.5</v>
          </cell>
        </row>
        <row r="124">
          <cell r="B124">
            <v>572</v>
          </cell>
          <cell r="C124">
            <v>54</v>
          </cell>
          <cell r="F124" t="str">
            <v>Picking existing BT survace and removal of chips</v>
          </cell>
          <cell r="G124">
            <v>10</v>
          </cell>
          <cell r="H124" t="str">
            <v>sqm</v>
          </cell>
          <cell r="I124">
            <v>9.5</v>
          </cell>
        </row>
      </sheetData>
      <sheetData sheetId="11"/>
      <sheetData sheetId="12" refreshError="1"/>
      <sheetData sheetId="13" refreshError="1"/>
    </sheetDataSet>
  </externalBook>
</externalLink>
</file>

<file path=xl/externalLinks/externalLink100.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50">
          <cell r="G50">
            <v>200</v>
          </cell>
        </row>
      </sheetData>
      <sheetData sheetId="3">
        <row r="13">
          <cell r="D13">
            <v>150</v>
          </cell>
        </row>
      </sheetData>
      <sheetData sheetId="4">
        <row r="53">
          <cell r="D53" t="str">
            <v>Input Rate</v>
          </cell>
        </row>
        <row r="55">
          <cell r="D55" t="str">
            <v>Input Rate</v>
          </cell>
        </row>
        <row r="56">
          <cell r="D56" t="str">
            <v>Input Rate</v>
          </cell>
        </row>
        <row r="58">
          <cell r="D58">
            <v>30</v>
          </cell>
        </row>
        <row r="81">
          <cell r="D81" t="str">
            <v>Input Rate</v>
          </cell>
        </row>
        <row r="84">
          <cell r="D84" t="str">
            <v>Input Rate</v>
          </cell>
        </row>
        <row r="128">
          <cell r="D12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01.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row r="40">
          <cell r="D40" t="str">
            <v>Input Rate</v>
          </cell>
        </row>
        <row r="92">
          <cell r="D92"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2.xml><?xml version="1.0" encoding="utf-8"?>
<externalLink xmlns="http://schemas.openxmlformats.org/spreadsheetml/2006/main">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Set>
  </externalBook>
</externalLink>
</file>

<file path=xl/externalLinks/externalLink103.xml><?xml version="1.0" encoding="utf-8"?>
<externalLink xmlns="http://schemas.openxmlformats.org/spreadsheetml/2006/main">
  <externalBook xmlns:r="http://schemas.openxmlformats.org/officeDocument/2006/relationships" r:id="rId1">
    <sheetNames>
      <sheetName val="Material"/>
      <sheetName val="Plant &amp;  Machinery"/>
      <sheetName val="Sheet1"/>
      <sheetName val="Contents"/>
      <sheetName val="Labour"/>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1" refreshError="1">
        <row r="5">
          <cell r="G5">
            <v>6328</v>
          </cell>
        </row>
        <row r="8">
          <cell r="G8">
            <v>120</v>
          </cell>
        </row>
        <row r="10">
          <cell r="G10">
            <v>692</v>
          </cell>
        </row>
        <row r="19">
          <cell r="G19">
            <v>230</v>
          </cell>
        </row>
        <row r="21">
          <cell r="G21">
            <v>1700</v>
          </cell>
        </row>
        <row r="24">
          <cell r="G24">
            <v>6328</v>
          </cell>
        </row>
        <row r="51">
          <cell r="G51">
            <v>754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4.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5.xml><?xml version="1.0" encoding="utf-8"?>
<externalLink xmlns="http://schemas.openxmlformats.org/spreadsheetml/2006/main">
  <externalBook xmlns:r="http://schemas.openxmlformats.org/officeDocument/2006/relationships" r:id="rId1">
    <sheetNames>
      <sheetName val="Lead"/>
      <sheetName val="Cover-MEstt."/>
      <sheetName val="ABST(PART B) "/>
      <sheetName val="F6-Gnrl Abstrt"/>
      <sheetName val="Data.F8.BTR"/>
      <sheetName val="F6-Estt"/>
      <sheetName val="sub-data -no full"/>
      <sheetName val="Labour"/>
      <sheetName val="Machinery"/>
      <sheetName val="Sheet1"/>
      <sheetName val="Diff stmnt (2)"/>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06.xml><?xml version="1.0" encoding="utf-8"?>
<externalLink xmlns="http://schemas.openxmlformats.org/spreadsheetml/2006/main">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s>
    <sheetDataSet>
      <sheetData sheetId="0" refreshError="1"/>
      <sheetData sheetId="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7.xml><?xml version="1.0" encoding="utf-8"?>
<externalLink xmlns="http://schemas.openxmlformats.org/spreadsheetml/2006/main">
  <externalBook xmlns:r="http://schemas.openxmlformats.org/officeDocument/2006/relationships" r:id="rId1">
    <sheetNames>
      <sheetName val="XXXXX"/>
      <sheetName val="XXXXXXXXXXXXX"/>
      <sheetName val="LEAD"/>
      <sheetName val="Data-Road "/>
      <sheetName val="DATA-CD"/>
      <sheetName val="Road Furniture-Data"/>
      <sheetName val="Hire"/>
      <sheetName val="other rates"/>
      <sheetName val="Conv"/>
      <sheetName val="NP3 pipes"/>
      <sheetName val="NP3 collars"/>
      <sheetName val="temp"/>
      <sheetName val="Gen abs"/>
      <sheetName val="Road est"/>
      <sheetName val="CD abs"/>
      <sheetName val="Sc1m"/>
      <sheetName val="sc2.00m"/>
      <sheetName val="Body walls"/>
      <sheetName val="Drain"/>
      <sheetName val="RW"/>
      <sheetName val="Road Fur est"/>
      <sheetName val="Mts data"/>
      <sheetName val="mtc-abs"/>
      <sheetName val="1y mtc"/>
      <sheetName val="2y-mtc"/>
      <sheetName val="3y-mtc"/>
      <sheetName val="4-y "/>
      <sheetName val="5Y"/>
    </sheetNames>
    <sheetDataSet>
      <sheetData sheetId="0"/>
      <sheetData sheetId="1"/>
      <sheetData sheetId="2">
        <row r="45">
          <cell r="K45">
            <v>0.125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08.xml><?xml version="1.0" encoding="utf-8"?>
<externalLink xmlns="http://schemas.openxmlformats.org/spreadsheetml/2006/main">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109.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ow r="50">
          <cell r="G50">
            <v>200</v>
          </cell>
        </row>
      </sheetData>
      <sheetData sheetId="3"/>
      <sheetData sheetId="4">
        <row r="53">
          <cell r="D53"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rdamdata"/>
      <sheetName val="impRoaddam"/>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v"/>
      <sheetName val="r"/>
    </sheetNames>
    <sheetDataSet>
      <sheetData sheetId="0" refreshError="1">
        <row r="6">
          <cell r="J6">
            <v>336.1</v>
          </cell>
        </row>
        <row r="7">
          <cell r="J7">
            <v>640.6</v>
          </cell>
        </row>
        <row r="8">
          <cell r="J8">
            <v>528.1</v>
          </cell>
        </row>
      </sheetData>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10.xml><?xml version="1.0" encoding="utf-8"?>
<externalLink xmlns="http://schemas.openxmlformats.org/spreadsheetml/2006/main">
  <externalBook xmlns:r="http://schemas.openxmlformats.org/officeDocument/2006/relationships" r:id="rId1">
    <sheetNames>
      <sheetName val="coverpage"/>
      <sheetName val="Road data"/>
      <sheetName val="0000000000000"/>
      <sheetName val="1000000000000"/>
      <sheetName val="certificates"/>
      <sheetName val="Spn report"/>
      <sheetName val="Sheet5"/>
      <sheetName val="BTR"/>
      <sheetName val="RMR"/>
      <sheetName val="Sheet2"/>
      <sheetName val="Sheet1"/>
      <sheetName val="Le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11.xml><?xml version="1.0" encoding="utf-8"?>
<externalLink xmlns="http://schemas.openxmlformats.org/spreadsheetml/2006/main">
  <externalBook xmlns:r="http://schemas.openxmlformats.org/officeDocument/2006/relationships" r:id="rId1">
    <sheetNames>
      <sheetName val="Data"/>
      <sheetName val="0000000000000"/>
      <sheetName val="XXXXXXXXXXXXX"/>
      <sheetName val="XXXXXXXXXXXX0"/>
      <sheetName val="design"/>
      <sheetName val="Lead"/>
      <sheetName val="est "/>
      <sheetName val="Levels"/>
      <sheetName val="Road data"/>
      <sheetName val="Labour"/>
      <sheetName val="Material"/>
      <sheetName val="Plant &amp;  Machinery"/>
      <sheetName val=" data sheet "/>
      <sheetName val="detls"/>
      <sheetName val="LEAD STATEMENT"/>
      <sheetName val="v"/>
      <sheetName val="r"/>
      <sheetName val="Data_Base"/>
      <sheetName val="m"/>
      <sheetName val="leads"/>
      <sheetName val="other rates"/>
      <sheetName val="lead-st"/>
      <sheetName val="DATA SHEET"/>
      <sheetName val="Input"/>
      <sheetName val="pvc-pipe-rates"/>
      <sheetName val="Quarry"/>
      <sheetName val="Road Detail Est."/>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12.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quarry"/>
    </sheetNames>
    <sheetDataSet>
      <sheetData sheetId="0"/>
      <sheetData sheetId="1"/>
      <sheetData sheetId="2"/>
      <sheetData sheetId="3">
        <row r="18">
          <cell r="D18" t="str">
            <v>Input Rate</v>
          </cell>
        </row>
      </sheetData>
      <sheetData sheetId="4">
        <row r="42">
          <cell r="D42"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113.xml><?xml version="1.0" encoding="utf-8"?>
<externalLink xmlns="http://schemas.openxmlformats.org/spreadsheetml/2006/main">
  <externalBook xmlns:r="http://schemas.openxmlformats.org/officeDocument/2006/relationships" r:id="rId1">
    <sheetNames>
      <sheetName val="Road Detail Est."/>
      <sheetName val="Road data"/>
      <sheetName val="RMR"/>
      <sheetName val="Road Abst."/>
      <sheetName val="CD works Abst."/>
      <sheetName val="CC drains Abst."/>
      <sheetName val="CD works detail Est."/>
      <sheetName val="CC drains detail Est."/>
      <sheetName val="Earth work Cal"/>
      <sheetName val="Earth Volume"/>
      <sheetName val="General Abst."/>
      <sheetName val="Lead Statement"/>
      <sheetName val="CD works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14.xml><?xml version="1.0" encoding="utf-8"?>
<externalLink xmlns="http://schemas.openxmlformats.org/spreadsheetml/2006/main">
  <externalBook xmlns:r="http://schemas.openxmlformats.org/officeDocument/2006/relationships" r:id="rId1">
    <sheetNames>
      <sheetName val="Road Detail Est."/>
      <sheetName val="Road data"/>
      <sheetName val="RMR"/>
      <sheetName val="Road Abst."/>
      <sheetName val="CD works Abst."/>
      <sheetName val="CC drains Abst."/>
      <sheetName val="CD works detail Est."/>
      <sheetName val="CC drains detail Est."/>
      <sheetName val="Earth work Cal"/>
      <sheetName val="Earth Volume"/>
      <sheetName val="General Abst."/>
      <sheetName val="Lead Statement"/>
      <sheetName val="CD works data"/>
      <sheetName val="Data"/>
      <sheetName val="quarry"/>
      <sheetName val="Levels"/>
      <sheetName val="Labour"/>
      <sheetName val="Material"/>
      <sheetName val="Specification"/>
      <sheetName val="lead-st"/>
      <sheetName val="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15.xml><?xml version="1.0" encoding="utf-8"?>
<externalLink xmlns="http://schemas.openxmlformats.org/spreadsheetml/2006/main">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s>
    <sheetDataSet>
      <sheetData sheetId="0"/>
      <sheetData sheetId="1"/>
      <sheetData sheetId="2"/>
      <sheetData sheetId="3"/>
      <sheetData sheetId="4"/>
      <sheetData sheetId="5"/>
      <sheetData sheetId="6"/>
      <sheetData sheetId="7"/>
      <sheetData sheetId="8">
        <row r="7">
          <cell r="F7">
            <v>91</v>
          </cell>
        </row>
      </sheetData>
      <sheetData sheetId="9"/>
    </sheetDataSet>
  </externalBook>
</externalLink>
</file>

<file path=xl/externalLinks/externalLink116.xml><?xml version="1.0" encoding="utf-8"?>
<externalLink xmlns="http://schemas.openxmlformats.org/spreadsheetml/2006/main">
  <externalBook xmlns:r="http://schemas.openxmlformats.org/officeDocument/2006/relationships" r:id="rId1">
    <sheetNames>
      <sheetName val="m"/>
      <sheetName val="she-nav"/>
      <sheetName val="m4"/>
      <sheetName val="she"/>
      <sheetName val="m1"/>
      <sheetName val="est"/>
      <sheetName val="est (2)"/>
      <sheetName val="m4 (2)"/>
      <sheetName val="m4 (4)"/>
      <sheetName val="Road Detail Est."/>
      <sheetName val="Road data"/>
      <sheetName val="other rates"/>
      <sheetName val="Lead"/>
      <sheetName val="r"/>
      <sheetName val="maya"/>
      <sheetName val="Data"/>
      <sheetName val="lead-st"/>
      <sheetName val="ewst"/>
      <sheetName val="RMR"/>
      <sheetName val="v"/>
    </sheetNames>
    <sheetDataSet>
      <sheetData sheetId="0" refreshError="1">
        <row r="2">
          <cell r="A2" t="str">
            <v>Name of work: BT to road from PWD Road to Jaggasagari via Chowlamaddi and Kondrikarla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17.xml><?xml version="1.0" encoding="utf-8"?>
<externalLink xmlns="http://schemas.openxmlformats.org/spreadsheetml/2006/main">
  <externalBook xmlns:r="http://schemas.openxmlformats.org/officeDocument/2006/relationships" r:id="rId1">
    <sheetNames>
      <sheetName val="Lead"/>
      <sheetName val="comp statement (2)"/>
      <sheetName val="Data_Renuals"/>
      <sheetName val="Estimate"/>
      <sheetName val="spe"/>
      <sheetName val="Conveyance"/>
    </sheetNames>
    <sheetDataSet>
      <sheetData sheetId="0" refreshError="1">
        <row r="15">
          <cell r="N15">
            <v>992.13</v>
          </cell>
        </row>
      </sheetData>
      <sheetData sheetId="1"/>
      <sheetData sheetId="2"/>
      <sheetData sheetId="3"/>
      <sheetData sheetId="4"/>
      <sheetData sheetId="5"/>
    </sheetDataSet>
  </externalBook>
</externalLink>
</file>

<file path=xl/externalLinks/externalLink118.xml><?xml version="1.0" encoding="utf-8"?>
<externalLink xmlns="http://schemas.openxmlformats.org/spreadsheetml/2006/main">
  <externalBook xmlns:r="http://schemas.openxmlformats.org/officeDocument/2006/relationships" r:id="rId1">
    <sheetNames>
      <sheetName val="v"/>
      <sheetName val="index"/>
      <sheetName val="gen_abst"/>
      <sheetName val="abstract"/>
      <sheetName val="detailed"/>
      <sheetName val="water"/>
      <sheetName val="data_new"/>
      <sheetName val="lead-st"/>
      <sheetName val="r"/>
      <sheetName val="l"/>
      <sheetName val="electrical"/>
      <sheetName val="marking"/>
      <sheetName val="beams"/>
      <sheetName val="features"/>
      <sheetName val="c_wall"/>
      <sheetName val="Lead"/>
      <sheetName val="LEADS"/>
      <sheetName val="ssr-rates"/>
      <sheetName val="Plant &amp;  Machinery"/>
      <sheetName val="Material"/>
      <sheetName val="Labour"/>
      <sheetName val="Road data"/>
      <sheetName val="Lead statement"/>
      <sheetName val="MRATES"/>
      <sheetName val="data existing_do not delete"/>
      <sheetName val="m"/>
      <sheetName val="0000000000000"/>
      <sheetName val="segments-details"/>
      <sheetName val="int-Dia-hdpe"/>
      <sheetName val="habs-list"/>
      <sheetName val="int-Dia-pvc"/>
      <sheetName val="DATA"/>
      <sheetName val="Data_Base"/>
      <sheetName val="pvc-pipe-rates"/>
      <sheetName val="Specification"/>
      <sheetName val="HDPE"/>
      <sheetName val="DI"/>
      <sheetName val="pvc"/>
      <sheetName val="Specification report"/>
      <sheetName val="quarry"/>
      <sheetName val="RMR"/>
      <sheetName val="maya"/>
      <sheetName val="dat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19.xml><?xml version="1.0" encoding="utf-8"?>
<externalLink xmlns="http://schemas.openxmlformats.org/spreadsheetml/2006/main">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rdamdata"/>
      <sheetName val="impRoaddam"/>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v"/>
      <sheetName val="r"/>
    </sheetNames>
    <sheetDataSet>
      <sheetData sheetId="0" refreshError="1">
        <row r="6">
          <cell r="J6">
            <v>336.1</v>
          </cell>
        </row>
        <row r="7">
          <cell r="J7">
            <v>640.6</v>
          </cell>
        </row>
        <row r="8">
          <cell r="J8">
            <v>528.1</v>
          </cell>
        </row>
      </sheetData>
      <sheetData sheetId="1"/>
      <sheetData sheetId="2"/>
      <sheetData sheetId="3"/>
      <sheetData sheetId="4"/>
      <sheetData sheetId="5"/>
      <sheetData sheetId="6"/>
      <sheetData sheetId="7"/>
      <sheetData sheetId="8"/>
      <sheetData sheetId="9"/>
      <sheetData sheetId="10"/>
      <sheetData sheetId="11"/>
      <sheetData sheetId="12" refreshError="1"/>
      <sheetData sheetId="13"/>
      <sheetData sheetId="14"/>
      <sheetData sheetId="15"/>
      <sheetData sheetId="16"/>
      <sheetData sheetId="17"/>
      <sheetData sheetId="18" refreshError="1"/>
      <sheetData sheetId="19" refreshError="1"/>
    </sheetDataSet>
  </externalBook>
</externalLink>
</file>

<file path=xl/externalLinks/externalLink120.xml><?xml version="1.0" encoding="utf-8"?>
<externalLink xmlns="http://schemas.openxmlformats.org/spreadsheetml/2006/main">
  <externalBook xmlns:r="http://schemas.openxmlformats.org/officeDocument/2006/relationships" r:id="rId1">
    <sheetNames>
      <sheetName val="Lead"/>
      <sheetName val="Cover-MEstt."/>
      <sheetName val="ABST(PART B) "/>
      <sheetName val="F6-Gnrl Abstrt"/>
      <sheetName val="Data.F8.BTR"/>
      <sheetName val="F6-Estt"/>
      <sheetName val="sub-data -no full"/>
      <sheetName val="Labour"/>
      <sheetName val="Machinery"/>
      <sheetName val="Sheet1"/>
      <sheetName val="Diff stmnt (2)"/>
      <sheetName val="v"/>
      <sheetName val="r"/>
      <sheetName val="m"/>
      <sheetName val="stone"/>
      <sheetName val="index"/>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21.xml><?xml version="1.0" encoding="utf-8"?>
<externalLink xmlns="http://schemas.openxmlformats.org/spreadsheetml/2006/main">
  <externalBook xmlns:r="http://schemas.openxmlformats.org/officeDocument/2006/relationships" r:id="rId1">
    <sheetNames>
      <sheetName val="Labour"/>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row r="18">
          <cell r="D18">
            <v>137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22.xml><?xml version="1.0" encoding="utf-8"?>
<externalLink xmlns="http://schemas.openxmlformats.org/spreadsheetml/2006/main">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18">
          <cell r="D18">
            <v>137</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23.xml><?xml version="1.0" encoding="utf-8"?>
<externalLink xmlns="http://schemas.openxmlformats.org/spreadsheetml/2006/main">
  <externalBook xmlns:r="http://schemas.openxmlformats.org/officeDocument/2006/relationships" r:id="rId1">
    <sheetNames>
      <sheetName val="Data"/>
      <sheetName val="0000000000000"/>
      <sheetName val="XXXXXXXXXXXXX"/>
      <sheetName val="XXXXXXXXXXXX0"/>
      <sheetName val="connect status"/>
      <sheetName val="Census"/>
      <sheetName val="3 day"/>
      <sheetName val="Hydraulic(3.00) 1vent (2)"/>
      <sheetName val="COVER"/>
      <sheetName val="ave lead (calculation))"/>
      <sheetName val="3m-S1"/>
      <sheetName val="2m-S1"/>
      <sheetName val="Spec Report "/>
      <sheetName val="CBR Cert"/>
      <sheetName val="Inspect Report EE"/>
      <sheetName val="traffic"/>
      <sheetName val="design1"/>
      <sheetName val="design1 (2)"/>
      <sheetName val="Ls 250"/>
      <sheetName val="Ls 200"/>
      <sheetName val="Lead"/>
      <sheetName val="LS"/>
      <sheetName val="CS"/>
      <sheetName val="CS -color"/>
      <sheetName val="Pro-C"/>
      <sheetName val="CS-color les"/>
      <sheetName val="Quarry"/>
      <sheetName val="CD-PC-Data"/>
      <sheetName val="PC1000"/>
      <sheetName val="CC pave"/>
      <sheetName val="Ave lead"/>
      <sheetName val="Gen-abs"/>
      <sheetName val="Prof -C "/>
      <sheetName val="prof-B"/>
      <sheetName val="Hydraulic"/>
      <sheetName val="data(MORD)"/>
      <sheetName val="Esti"/>
      <sheetName val="Esti -part -b"/>
      <sheetName val="Data CD"/>
      <sheetName val="Hydraulic(2.00) 1vent"/>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24.xml><?xml version="1.0" encoding="utf-8"?>
<externalLink xmlns="http://schemas.openxmlformats.org/spreadsheetml/2006/main">
  <externalBook xmlns:r="http://schemas.openxmlformats.org/officeDocument/2006/relationships" r:id="rId1">
    <sheetNames>
      <sheetName val="Est. Lable"/>
      <sheetName val="Spe.Report"/>
      <sheetName val="WE-5.00"/>
      <sheetName val="WE-2.00"/>
      <sheetName val="Seign. charge Final"/>
      <sheetName val="Seign. charge Final (2)"/>
      <sheetName val="DATAS"/>
      <sheetName val="CS 1"/>
      <sheetName val="CR1"/>
      <sheetName val="CC 1"/>
      <sheetName val="CS 2"/>
      <sheetName val="CR 2 "/>
      <sheetName val="CC 2"/>
      <sheetName val="ABSTRACT"/>
      <sheetName val="Lead"/>
      <sheetName val="WE (2)"/>
    </sheetNames>
    <sheetDataSet>
      <sheetData sheetId="0" refreshError="1"/>
      <sheetData sheetId="1" refreshError="1"/>
      <sheetData sheetId="2" refreshError="1">
        <row r="11">
          <cell r="D11" t="str">
            <v>Cum</v>
          </cell>
          <cell r="E11">
            <v>105.71</v>
          </cell>
        </row>
        <row r="17">
          <cell r="E17">
            <v>395.25</v>
          </cell>
        </row>
        <row r="24">
          <cell r="E24">
            <v>3067.35</v>
          </cell>
        </row>
        <row r="71">
          <cell r="B71" t="str">
            <v xml:space="preserve">Providing skirting to internal walls to 15 cm height/risers of steps with 25 mm thick with polished cuddapah slabs length equal to flooring stones, set over base coat of CM (1:3) 12 mm thick with cement slurry of honey like consistency spread at the rate of 3.30 kgs per sqm and jointed with white cement paste mixed with pigment of matching shade to full depth, including cost of all materials like Shahabad stone, cement, sand and water etc., complete including seigniorage charges, etc., complete for finished item of work, </v>
          </cell>
        </row>
        <row r="72">
          <cell r="B72" t="str">
            <v>vp 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5.xml><?xml version="1.0" encoding="utf-8"?>
<externalLink xmlns="http://schemas.openxmlformats.org/spreadsheetml/2006/main">
  <externalBook xmlns:r="http://schemas.openxmlformats.org/officeDocument/2006/relationships" r:id="rId1">
    <sheetNames>
      <sheetName val="Cover "/>
      <sheetName val="Sp.Report"/>
      <sheetName val="SPECIFIC"/>
      <sheetName val="Abstract"/>
      <sheetName val="Specification"/>
      <sheetName val="GEn Abst "/>
      <sheetName val="Abstract (2)"/>
      <sheetName val="GEn Abst"/>
      <sheetName val="AW 7.00 pile (2)"/>
      <sheetName val="Seigniorage (2)"/>
      <sheetName val="Seigniorage"/>
      <sheetName val="Data without water  (2)"/>
      <sheetName val="Detailed"/>
      <sheetName val="SFees"/>
      <sheetName val="Lead statement"/>
      <sheetName val="Data "/>
      <sheetName val="Ele Data"/>
      <sheetName val="Data-San&amp;wat"/>
      <sheetName val="F.F"/>
      <sheetName val="Water Supply"/>
      <sheetName val="Sanitation"/>
      <sheetName val="Electrical"/>
      <sheetName val="Septic Tank"/>
      <sheetName val="Seigniorage-cal"/>
      <sheetName val="Elec.rates"/>
      <sheetName val="Bldg.rates"/>
      <sheetName val="Centring charges"/>
      <sheetName val="Sheet1"/>
      <sheetName val="conveyance 2"/>
      <sheetName val="Sheet2"/>
    </sheetNames>
    <sheetDataSet>
      <sheetData sheetId="0" refreshError="1"/>
      <sheetData sheetId="1" refreshError="1"/>
      <sheetData sheetId="2" refreshError="1"/>
      <sheetData sheetId="3" refreshError="1"/>
      <sheetData sheetId="4" refreshError="1"/>
      <sheetData sheetId="5" refreshError="1">
        <row r="34">
          <cell r="B34" t="str">
            <v>Asst. Exe. Engineer</v>
          </cell>
        </row>
        <row r="35">
          <cell r="B35" t="str">
            <v>MPP, Puthalapattu</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2">
          <cell r="A2" t="str">
            <v>Name of Work:- Construction of   Grama Sachivalayam  Building at  Talapulapalle  of Puthalapattu Mandal</v>
          </cell>
        </row>
        <row r="45">
          <cell r="K45">
            <v>23052</v>
          </cell>
        </row>
        <row r="50">
          <cell r="K50">
            <v>235</v>
          </cell>
        </row>
      </sheetData>
      <sheetData sheetId="22" refreshError="1"/>
      <sheetData sheetId="23" refreshError="1"/>
      <sheetData sheetId="24" refreshError="1">
        <row r="5">
          <cell r="F5">
            <v>25</v>
          </cell>
        </row>
        <row r="8">
          <cell r="F8">
            <v>25</v>
          </cell>
        </row>
        <row r="9">
          <cell r="F9">
            <v>8</v>
          </cell>
        </row>
        <row r="10">
          <cell r="F10">
            <v>1050</v>
          </cell>
        </row>
        <row r="11">
          <cell r="F11">
            <v>15</v>
          </cell>
        </row>
        <row r="12">
          <cell r="F12">
            <v>19</v>
          </cell>
        </row>
        <row r="13">
          <cell r="F13">
            <v>120</v>
          </cell>
        </row>
        <row r="14">
          <cell r="F14">
            <v>24</v>
          </cell>
        </row>
        <row r="15">
          <cell r="F15">
            <v>15</v>
          </cell>
        </row>
        <row r="16">
          <cell r="F16">
            <v>80</v>
          </cell>
        </row>
        <row r="17">
          <cell r="F17">
            <v>145</v>
          </cell>
        </row>
        <row r="18">
          <cell r="F18">
            <v>20</v>
          </cell>
        </row>
        <row r="19">
          <cell r="F19">
            <v>12</v>
          </cell>
        </row>
        <row r="21">
          <cell r="F21">
            <v>55</v>
          </cell>
        </row>
        <row r="22">
          <cell r="F22">
            <v>1510</v>
          </cell>
        </row>
        <row r="23">
          <cell r="F23">
            <v>2440</v>
          </cell>
        </row>
        <row r="24">
          <cell r="F24">
            <v>3725</v>
          </cell>
        </row>
        <row r="25">
          <cell r="F25">
            <v>1300</v>
          </cell>
        </row>
        <row r="28">
          <cell r="F28">
            <v>190</v>
          </cell>
        </row>
        <row r="30">
          <cell r="F30">
            <v>420</v>
          </cell>
        </row>
        <row r="31">
          <cell r="F31">
            <v>70</v>
          </cell>
        </row>
        <row r="32">
          <cell r="F32">
            <v>65</v>
          </cell>
        </row>
        <row r="33">
          <cell r="F33">
            <v>6</v>
          </cell>
        </row>
        <row r="34">
          <cell r="F34">
            <v>12</v>
          </cell>
        </row>
        <row r="35">
          <cell r="F35">
            <v>250</v>
          </cell>
        </row>
        <row r="36">
          <cell r="F36">
            <v>20</v>
          </cell>
        </row>
        <row r="37">
          <cell r="F37">
            <v>15</v>
          </cell>
        </row>
        <row r="38">
          <cell r="F38">
            <v>690</v>
          </cell>
        </row>
        <row r="39">
          <cell r="F39">
            <v>65</v>
          </cell>
        </row>
        <row r="40">
          <cell r="F40">
            <v>325</v>
          </cell>
        </row>
        <row r="41">
          <cell r="F41">
            <v>1150</v>
          </cell>
        </row>
        <row r="42">
          <cell r="F42">
            <v>40</v>
          </cell>
        </row>
        <row r="43">
          <cell r="F43">
            <v>950</v>
          </cell>
        </row>
        <row r="44">
          <cell r="F44">
            <v>100</v>
          </cell>
        </row>
        <row r="45">
          <cell r="F45">
            <v>30</v>
          </cell>
        </row>
        <row r="46">
          <cell r="F46">
            <v>8</v>
          </cell>
        </row>
        <row r="48">
          <cell r="F48">
            <v>180</v>
          </cell>
        </row>
        <row r="50">
          <cell r="F50">
            <v>241</v>
          </cell>
        </row>
        <row r="51">
          <cell r="F51">
            <v>720</v>
          </cell>
        </row>
        <row r="52">
          <cell r="F52">
            <v>16700</v>
          </cell>
        </row>
        <row r="63">
          <cell r="F63">
            <v>500</v>
          </cell>
        </row>
        <row r="71">
          <cell r="F71">
            <v>575</v>
          </cell>
        </row>
        <row r="72">
          <cell r="F72">
            <v>471</v>
          </cell>
        </row>
        <row r="73">
          <cell r="F73">
            <v>550</v>
          </cell>
        </row>
        <row r="74">
          <cell r="F74">
            <v>580</v>
          </cell>
        </row>
        <row r="75">
          <cell r="F75">
            <v>460</v>
          </cell>
        </row>
      </sheetData>
      <sheetData sheetId="25" refreshError="1">
        <row r="8">
          <cell r="F8">
            <v>77</v>
          </cell>
        </row>
        <row r="9">
          <cell r="F9">
            <v>55</v>
          </cell>
        </row>
        <row r="10">
          <cell r="F10">
            <v>17</v>
          </cell>
        </row>
        <row r="12">
          <cell r="F12">
            <v>920</v>
          </cell>
        </row>
        <row r="13">
          <cell r="F13">
            <v>1080</v>
          </cell>
        </row>
        <row r="14">
          <cell r="F14">
            <v>1340</v>
          </cell>
        </row>
        <row r="16">
          <cell r="F16">
            <v>830</v>
          </cell>
        </row>
        <row r="17">
          <cell r="F17">
            <v>1182</v>
          </cell>
        </row>
        <row r="19">
          <cell r="F19">
            <v>860</v>
          </cell>
        </row>
        <row r="20">
          <cell r="L20">
            <v>350</v>
          </cell>
        </row>
        <row r="21">
          <cell r="F21">
            <v>250</v>
          </cell>
        </row>
        <row r="22">
          <cell r="F22">
            <v>1983.33</v>
          </cell>
        </row>
        <row r="25">
          <cell r="F25">
            <v>24000</v>
          </cell>
        </row>
        <row r="26">
          <cell r="F26">
            <v>20000</v>
          </cell>
        </row>
        <row r="30">
          <cell r="F30">
            <v>1610</v>
          </cell>
        </row>
        <row r="32">
          <cell r="F32">
            <v>96</v>
          </cell>
        </row>
        <row r="33">
          <cell r="F33">
            <v>3834</v>
          </cell>
        </row>
        <row r="40">
          <cell r="F40">
            <v>422</v>
          </cell>
        </row>
        <row r="47">
          <cell r="F47">
            <v>46217</v>
          </cell>
          <cell r="H47">
            <v>52453.5</v>
          </cell>
        </row>
        <row r="63">
          <cell r="F63">
            <v>27</v>
          </cell>
        </row>
        <row r="64">
          <cell r="F64">
            <v>141</v>
          </cell>
        </row>
        <row r="65">
          <cell r="F65">
            <v>180</v>
          </cell>
        </row>
        <row r="70">
          <cell r="F70">
            <v>49</v>
          </cell>
        </row>
        <row r="73">
          <cell r="L73">
            <v>3.75</v>
          </cell>
        </row>
        <row r="78">
          <cell r="F78">
            <v>1570</v>
          </cell>
        </row>
        <row r="79">
          <cell r="F79">
            <v>1515</v>
          </cell>
        </row>
        <row r="80">
          <cell r="F80">
            <v>1452</v>
          </cell>
        </row>
        <row r="81">
          <cell r="F81">
            <v>1401</v>
          </cell>
        </row>
        <row r="84">
          <cell r="F84">
            <v>500</v>
          </cell>
        </row>
        <row r="85">
          <cell r="F85">
            <v>460</v>
          </cell>
        </row>
        <row r="86">
          <cell r="F86">
            <v>420</v>
          </cell>
        </row>
        <row r="87">
          <cell r="F87">
            <v>580</v>
          </cell>
        </row>
        <row r="88">
          <cell r="F88">
            <v>460</v>
          </cell>
        </row>
        <row r="96">
          <cell r="F96">
            <v>510</v>
          </cell>
        </row>
        <row r="98">
          <cell r="F98">
            <v>524.70000000000005</v>
          </cell>
        </row>
        <row r="99">
          <cell r="F99">
            <v>209.1</v>
          </cell>
        </row>
      </sheetData>
      <sheetData sheetId="26" refreshError="1">
        <row r="6">
          <cell r="Q6">
            <v>919</v>
          </cell>
        </row>
        <row r="8">
          <cell r="Q8">
            <v>1332</v>
          </cell>
        </row>
        <row r="9">
          <cell r="Q9">
            <v>2911</v>
          </cell>
        </row>
        <row r="15">
          <cell r="O15">
            <v>175</v>
          </cell>
          <cell r="Q15">
            <v>333</v>
          </cell>
          <cell r="U15">
            <v>184</v>
          </cell>
          <cell r="W15">
            <v>342</v>
          </cell>
        </row>
        <row r="19">
          <cell r="W19">
            <v>2957</v>
          </cell>
          <cell r="AC19">
            <v>3118</v>
          </cell>
        </row>
        <row r="21">
          <cell r="W21">
            <v>2850</v>
          </cell>
          <cell r="AC21">
            <v>3077</v>
          </cell>
        </row>
        <row r="22">
          <cell r="W22">
            <v>4178</v>
          </cell>
          <cell r="AC22">
            <v>4369</v>
          </cell>
        </row>
        <row r="23">
          <cell r="W23">
            <v>473</v>
          </cell>
        </row>
        <row r="24">
          <cell r="Q24">
            <v>476</v>
          </cell>
          <cell r="W24">
            <v>487</v>
          </cell>
        </row>
        <row r="27">
          <cell r="Q27">
            <v>89.78</v>
          </cell>
          <cell r="AC27">
            <v>158.41</v>
          </cell>
        </row>
        <row r="28">
          <cell r="Q28">
            <v>124.1</v>
          </cell>
        </row>
        <row r="30">
          <cell r="Q30">
            <v>8.98</v>
          </cell>
        </row>
        <row r="31">
          <cell r="Q31">
            <v>12.41</v>
          </cell>
        </row>
        <row r="34">
          <cell r="Q34">
            <v>25.03</v>
          </cell>
        </row>
      </sheetData>
      <sheetData sheetId="27" refreshError="1">
        <row r="4">
          <cell r="A4">
            <v>1</v>
          </cell>
          <cell r="E4">
            <v>1</v>
          </cell>
          <cell r="F4">
            <v>45.7</v>
          </cell>
        </row>
        <row r="5">
          <cell r="E5">
            <v>2</v>
          </cell>
          <cell r="F5">
            <v>64</v>
          </cell>
        </row>
        <row r="6">
          <cell r="E6">
            <v>3</v>
          </cell>
          <cell r="F6">
            <v>85.4</v>
          </cell>
        </row>
        <row r="7">
          <cell r="E7">
            <v>4</v>
          </cell>
          <cell r="F7">
            <v>103.6</v>
          </cell>
        </row>
        <row r="8">
          <cell r="E8">
            <v>5</v>
          </cell>
          <cell r="F8">
            <v>121.9</v>
          </cell>
        </row>
        <row r="9">
          <cell r="E9">
            <v>6</v>
          </cell>
          <cell r="F9">
            <v>140.20000000000002</v>
          </cell>
        </row>
        <row r="10">
          <cell r="E10">
            <v>7</v>
          </cell>
          <cell r="F10">
            <v>158.50000000000003</v>
          </cell>
        </row>
        <row r="11">
          <cell r="E11">
            <v>8</v>
          </cell>
          <cell r="F11">
            <v>176.80000000000004</v>
          </cell>
        </row>
        <row r="12">
          <cell r="E12">
            <v>9</v>
          </cell>
          <cell r="F12">
            <v>195.10000000000005</v>
          </cell>
        </row>
        <row r="13">
          <cell r="E13">
            <v>10</v>
          </cell>
          <cell r="F13">
            <v>213.40000000000006</v>
          </cell>
        </row>
        <row r="14">
          <cell r="E14">
            <v>11</v>
          </cell>
          <cell r="F14">
            <v>231.70000000000007</v>
          </cell>
        </row>
        <row r="15">
          <cell r="E15">
            <v>12</v>
          </cell>
          <cell r="F15">
            <v>250.00000000000009</v>
          </cell>
        </row>
        <row r="16">
          <cell r="E16">
            <v>13</v>
          </cell>
          <cell r="F16">
            <v>268.30000000000007</v>
          </cell>
        </row>
        <row r="17">
          <cell r="E17">
            <v>14</v>
          </cell>
          <cell r="F17">
            <v>286.60000000000008</v>
          </cell>
        </row>
        <row r="18">
          <cell r="E18">
            <v>15</v>
          </cell>
          <cell r="F18">
            <v>304.90000000000009</v>
          </cell>
        </row>
        <row r="19">
          <cell r="E19">
            <v>16</v>
          </cell>
          <cell r="F19">
            <v>323.2000000000001</v>
          </cell>
        </row>
        <row r="20">
          <cell r="E20">
            <v>17</v>
          </cell>
          <cell r="F20">
            <v>341.50000000000011</v>
          </cell>
        </row>
        <row r="21">
          <cell r="E21">
            <v>18</v>
          </cell>
          <cell r="F21">
            <v>359.80000000000013</v>
          </cell>
        </row>
        <row r="22">
          <cell r="E22">
            <v>19</v>
          </cell>
          <cell r="F22">
            <v>378.10000000000014</v>
          </cell>
        </row>
        <row r="23">
          <cell r="E23">
            <v>20</v>
          </cell>
          <cell r="F23">
            <v>396.40000000000015</v>
          </cell>
        </row>
        <row r="24">
          <cell r="E24">
            <v>21</v>
          </cell>
          <cell r="F24">
            <v>414.70000000000016</v>
          </cell>
        </row>
        <row r="25">
          <cell r="E25">
            <v>22</v>
          </cell>
          <cell r="F25">
            <v>433.00000000000017</v>
          </cell>
        </row>
        <row r="26">
          <cell r="E26">
            <v>23</v>
          </cell>
          <cell r="F26">
            <v>451.30000000000018</v>
          </cell>
        </row>
        <row r="27">
          <cell r="E27">
            <v>24</v>
          </cell>
          <cell r="F27">
            <v>469.60000000000019</v>
          </cell>
        </row>
        <row r="28">
          <cell r="E28">
            <v>25</v>
          </cell>
          <cell r="F28">
            <v>487.9000000000002</v>
          </cell>
        </row>
        <row r="29">
          <cell r="E29">
            <v>26</v>
          </cell>
          <cell r="F29">
            <v>506.20000000000022</v>
          </cell>
        </row>
        <row r="30">
          <cell r="E30">
            <v>27</v>
          </cell>
          <cell r="F30">
            <v>524.50000000000023</v>
          </cell>
        </row>
        <row r="31">
          <cell r="E31">
            <v>28</v>
          </cell>
          <cell r="F31">
            <v>542.80000000000018</v>
          </cell>
        </row>
        <row r="32">
          <cell r="E32">
            <v>29</v>
          </cell>
          <cell r="F32">
            <v>561.10000000000014</v>
          </cell>
        </row>
        <row r="33">
          <cell r="E33">
            <v>30</v>
          </cell>
          <cell r="F33">
            <v>579.40000000000009</v>
          </cell>
        </row>
        <row r="34">
          <cell r="E34">
            <v>31</v>
          </cell>
          <cell r="F34">
            <v>594.60000000000014</v>
          </cell>
        </row>
        <row r="35">
          <cell r="E35">
            <v>32</v>
          </cell>
          <cell r="F35">
            <v>609.80000000000018</v>
          </cell>
        </row>
        <row r="36">
          <cell r="E36">
            <v>33</v>
          </cell>
          <cell r="F36">
            <v>625.00000000000023</v>
          </cell>
        </row>
        <row r="37">
          <cell r="E37">
            <v>34</v>
          </cell>
          <cell r="F37">
            <v>640.20000000000027</v>
          </cell>
        </row>
        <row r="38">
          <cell r="E38">
            <v>35</v>
          </cell>
          <cell r="F38">
            <v>655.40000000000032</v>
          </cell>
        </row>
        <row r="39">
          <cell r="E39">
            <v>36</v>
          </cell>
          <cell r="F39">
            <v>670.60000000000036</v>
          </cell>
        </row>
        <row r="40">
          <cell r="E40">
            <v>37</v>
          </cell>
          <cell r="F40">
            <v>685.80000000000041</v>
          </cell>
        </row>
        <row r="41">
          <cell r="E41">
            <v>38</v>
          </cell>
          <cell r="F41">
            <v>701.00000000000045</v>
          </cell>
        </row>
        <row r="42">
          <cell r="E42">
            <v>39</v>
          </cell>
          <cell r="F42">
            <v>716.2000000000005</v>
          </cell>
        </row>
        <row r="43">
          <cell r="E43">
            <v>40</v>
          </cell>
          <cell r="F43">
            <v>731.40000000000055</v>
          </cell>
        </row>
        <row r="44">
          <cell r="E44">
            <v>41</v>
          </cell>
          <cell r="F44">
            <v>746.60000000000059</v>
          </cell>
        </row>
        <row r="45">
          <cell r="E45">
            <v>42</v>
          </cell>
          <cell r="F45">
            <v>761.80000000000064</v>
          </cell>
        </row>
        <row r="46">
          <cell r="E46">
            <v>43</v>
          </cell>
          <cell r="F46">
            <v>777.00000000000068</v>
          </cell>
        </row>
        <row r="47">
          <cell r="E47">
            <v>44</v>
          </cell>
          <cell r="F47">
            <v>792.20000000000073</v>
          </cell>
        </row>
        <row r="48">
          <cell r="E48">
            <v>45</v>
          </cell>
          <cell r="F48">
            <v>807.40000000000077</v>
          </cell>
        </row>
        <row r="49">
          <cell r="E49">
            <v>46</v>
          </cell>
          <cell r="F49">
            <v>822.60000000000082</v>
          </cell>
        </row>
        <row r="50">
          <cell r="E50">
            <v>47</v>
          </cell>
          <cell r="F50">
            <v>837.80000000000086</v>
          </cell>
        </row>
        <row r="51">
          <cell r="E51">
            <v>48</v>
          </cell>
          <cell r="F51">
            <v>853.00000000000091</v>
          </cell>
        </row>
        <row r="52">
          <cell r="E52">
            <v>49</v>
          </cell>
          <cell r="F52">
            <v>868.20000000000095</v>
          </cell>
        </row>
        <row r="53">
          <cell r="E53">
            <v>50</v>
          </cell>
          <cell r="F53">
            <v>883.400000000001</v>
          </cell>
        </row>
        <row r="54">
          <cell r="E54">
            <v>51</v>
          </cell>
          <cell r="F54">
            <v>898.60000000000105</v>
          </cell>
        </row>
        <row r="55">
          <cell r="E55">
            <v>52</v>
          </cell>
          <cell r="F55">
            <v>913.80000000000109</v>
          </cell>
        </row>
        <row r="56">
          <cell r="E56">
            <v>53</v>
          </cell>
          <cell r="F56">
            <v>929.00000000000114</v>
          </cell>
        </row>
        <row r="57">
          <cell r="E57">
            <v>54</v>
          </cell>
          <cell r="F57">
            <v>944.20000000000118</v>
          </cell>
        </row>
        <row r="58">
          <cell r="E58">
            <v>55</v>
          </cell>
          <cell r="F58">
            <v>959.40000000000123</v>
          </cell>
        </row>
        <row r="59">
          <cell r="E59">
            <v>56</v>
          </cell>
          <cell r="F59">
            <v>974.60000000000127</v>
          </cell>
        </row>
        <row r="60">
          <cell r="E60">
            <v>57</v>
          </cell>
          <cell r="F60">
            <v>989.80000000000132</v>
          </cell>
        </row>
        <row r="61">
          <cell r="E61">
            <v>58</v>
          </cell>
          <cell r="F61">
            <v>1005.0000000000014</v>
          </cell>
        </row>
        <row r="62">
          <cell r="E62">
            <v>59</v>
          </cell>
          <cell r="F62">
            <v>1020.2000000000014</v>
          </cell>
        </row>
        <row r="63">
          <cell r="E63">
            <v>60</v>
          </cell>
          <cell r="F63">
            <v>1035.4000000000015</v>
          </cell>
        </row>
        <row r="64">
          <cell r="E64">
            <v>61</v>
          </cell>
          <cell r="F64">
            <v>1050.6000000000015</v>
          </cell>
        </row>
        <row r="65">
          <cell r="E65">
            <v>62</v>
          </cell>
          <cell r="F65">
            <v>1065.8000000000015</v>
          </cell>
        </row>
        <row r="66">
          <cell r="E66">
            <v>63</v>
          </cell>
          <cell r="F66">
            <v>1081.0000000000016</v>
          </cell>
        </row>
        <row r="67">
          <cell r="E67">
            <v>64</v>
          </cell>
          <cell r="F67">
            <v>1096.2000000000016</v>
          </cell>
        </row>
        <row r="68">
          <cell r="E68">
            <v>65</v>
          </cell>
          <cell r="F68">
            <v>1111.4000000000017</v>
          </cell>
        </row>
        <row r="69">
          <cell r="E69">
            <v>66</v>
          </cell>
          <cell r="F69">
            <v>1126.6000000000017</v>
          </cell>
        </row>
        <row r="70">
          <cell r="E70">
            <v>67</v>
          </cell>
          <cell r="F70">
            <v>1141.8000000000018</v>
          </cell>
        </row>
        <row r="71">
          <cell r="E71">
            <v>68</v>
          </cell>
          <cell r="F71">
            <v>1157.0000000000018</v>
          </cell>
        </row>
        <row r="72">
          <cell r="E72">
            <v>69</v>
          </cell>
          <cell r="F72">
            <v>1172.2000000000019</v>
          </cell>
        </row>
        <row r="73">
          <cell r="E73">
            <v>70</v>
          </cell>
          <cell r="F73">
            <v>1187.4000000000019</v>
          </cell>
        </row>
        <row r="74">
          <cell r="E74">
            <v>71</v>
          </cell>
          <cell r="F74">
            <v>1202.600000000002</v>
          </cell>
        </row>
        <row r="75">
          <cell r="E75">
            <v>72</v>
          </cell>
          <cell r="F75">
            <v>1217.800000000002</v>
          </cell>
        </row>
        <row r="76">
          <cell r="E76">
            <v>73</v>
          </cell>
          <cell r="F76">
            <v>1233.000000000002</v>
          </cell>
        </row>
        <row r="77">
          <cell r="E77">
            <v>74</v>
          </cell>
          <cell r="F77">
            <v>1248.2000000000021</v>
          </cell>
        </row>
        <row r="78">
          <cell r="E78">
            <v>75</v>
          </cell>
          <cell r="F78">
            <v>1263.4000000000021</v>
          </cell>
        </row>
        <row r="79">
          <cell r="E79">
            <v>76</v>
          </cell>
          <cell r="F79">
            <v>1278.6000000000022</v>
          </cell>
        </row>
        <row r="80">
          <cell r="E80">
            <v>77</v>
          </cell>
          <cell r="F80">
            <v>1293.8000000000022</v>
          </cell>
        </row>
        <row r="81">
          <cell r="E81">
            <v>78</v>
          </cell>
          <cell r="F81">
            <v>1309.0000000000023</v>
          </cell>
        </row>
        <row r="82">
          <cell r="E82">
            <v>79</v>
          </cell>
          <cell r="F82">
            <v>1324.2000000000023</v>
          </cell>
        </row>
        <row r="83">
          <cell r="E83">
            <v>80</v>
          </cell>
          <cell r="F83">
            <v>1339.4000000000024</v>
          </cell>
        </row>
        <row r="84">
          <cell r="E84">
            <v>81</v>
          </cell>
          <cell r="F84">
            <v>1354.6000000000024</v>
          </cell>
        </row>
        <row r="85">
          <cell r="E85">
            <v>82</v>
          </cell>
          <cell r="F85">
            <v>1369.8000000000025</v>
          </cell>
        </row>
        <row r="86">
          <cell r="E86">
            <v>83</v>
          </cell>
          <cell r="F86">
            <v>1385.0000000000025</v>
          </cell>
        </row>
        <row r="87">
          <cell r="E87">
            <v>84</v>
          </cell>
          <cell r="F87">
            <v>1400.2000000000025</v>
          </cell>
        </row>
        <row r="88">
          <cell r="E88">
            <v>85</v>
          </cell>
          <cell r="F88">
            <v>1415.4000000000026</v>
          </cell>
        </row>
        <row r="89">
          <cell r="E89">
            <v>86</v>
          </cell>
          <cell r="F89">
            <v>1430.6000000000026</v>
          </cell>
        </row>
        <row r="90">
          <cell r="E90">
            <v>87</v>
          </cell>
          <cell r="F90">
            <v>1445.8000000000027</v>
          </cell>
        </row>
        <row r="91">
          <cell r="E91">
            <v>88</v>
          </cell>
          <cell r="F91">
            <v>1461.0000000000027</v>
          </cell>
        </row>
        <row r="92">
          <cell r="E92">
            <v>89</v>
          </cell>
          <cell r="F92">
            <v>1476.2000000000028</v>
          </cell>
        </row>
        <row r="93">
          <cell r="E93">
            <v>90</v>
          </cell>
          <cell r="F93">
            <v>1491.4000000000028</v>
          </cell>
        </row>
        <row r="94">
          <cell r="E94">
            <v>91</v>
          </cell>
          <cell r="F94">
            <v>1506.6000000000029</v>
          </cell>
        </row>
        <row r="95">
          <cell r="E95">
            <v>92</v>
          </cell>
          <cell r="F95">
            <v>1521.8000000000029</v>
          </cell>
        </row>
        <row r="96">
          <cell r="E96">
            <v>93</v>
          </cell>
          <cell r="F96">
            <v>1537.000000000003</v>
          </cell>
        </row>
        <row r="97">
          <cell r="E97">
            <v>94</v>
          </cell>
          <cell r="F97">
            <v>1552.200000000003</v>
          </cell>
        </row>
        <row r="98">
          <cell r="E98">
            <v>95</v>
          </cell>
          <cell r="F98">
            <v>1567.400000000003</v>
          </cell>
        </row>
        <row r="99">
          <cell r="E99">
            <v>96</v>
          </cell>
          <cell r="F99">
            <v>1582.6000000000031</v>
          </cell>
        </row>
        <row r="100">
          <cell r="E100">
            <v>97</v>
          </cell>
          <cell r="F100">
            <v>1597.8000000000031</v>
          </cell>
        </row>
        <row r="101">
          <cell r="E101">
            <v>98</v>
          </cell>
          <cell r="F101">
            <v>1613.0000000000032</v>
          </cell>
        </row>
        <row r="102">
          <cell r="E102">
            <v>99</v>
          </cell>
          <cell r="F102">
            <v>1628.2000000000032</v>
          </cell>
        </row>
        <row r="103">
          <cell r="E103">
            <v>100</v>
          </cell>
          <cell r="F103">
            <v>1643.4000000000033</v>
          </cell>
        </row>
        <row r="104">
          <cell r="E104">
            <v>101</v>
          </cell>
          <cell r="F104">
            <v>1658.6000000000033</v>
          </cell>
        </row>
        <row r="105">
          <cell r="E105">
            <v>102</v>
          </cell>
          <cell r="F105">
            <v>1673.8000000000034</v>
          </cell>
        </row>
        <row r="106">
          <cell r="E106">
            <v>103</v>
          </cell>
          <cell r="F106">
            <v>1689.0000000000034</v>
          </cell>
        </row>
        <row r="107">
          <cell r="E107">
            <v>104</v>
          </cell>
          <cell r="F107">
            <v>1704.2000000000035</v>
          </cell>
        </row>
        <row r="108">
          <cell r="E108">
            <v>105</v>
          </cell>
          <cell r="F108">
            <v>1719.4000000000035</v>
          </cell>
        </row>
        <row r="109">
          <cell r="E109">
            <v>106</v>
          </cell>
          <cell r="F109">
            <v>1734.6000000000035</v>
          </cell>
        </row>
        <row r="110">
          <cell r="E110">
            <v>107</v>
          </cell>
          <cell r="F110">
            <v>1749.8000000000036</v>
          </cell>
        </row>
        <row r="111">
          <cell r="E111">
            <v>108</v>
          </cell>
          <cell r="F111">
            <v>1765.0000000000036</v>
          </cell>
        </row>
        <row r="112">
          <cell r="E112">
            <v>109</v>
          </cell>
          <cell r="F112">
            <v>1780.2000000000037</v>
          </cell>
        </row>
        <row r="113">
          <cell r="E113">
            <v>110</v>
          </cell>
          <cell r="F113">
            <v>1795.4000000000037</v>
          </cell>
        </row>
      </sheetData>
      <sheetData sheetId="28" refreshError="1"/>
      <sheetData sheetId="29" refreshError="1"/>
    </sheetDataSet>
  </externalBook>
</externalLink>
</file>

<file path=xl/externalLinks/externalLink126.xml><?xml version="1.0" encoding="utf-8"?>
<externalLink xmlns="http://schemas.openxmlformats.org/spreadsheetml/2006/main">
  <externalBook xmlns:r="http://schemas.openxmlformats.org/officeDocument/2006/relationships" r:id="rId1">
    <sheetNames>
      <sheetName val="Conveyance"/>
      <sheetName val="Input"/>
      <sheetName val="LEAD"/>
      <sheetName val="Civil SSR 18-19"/>
      <sheetName val="C-data 18-19"/>
      <sheetName val="WS SSR 18-19"/>
      <sheetName val="WS Data (18-19)"/>
      <sheetName val="Joinery (18-19)"/>
      <sheetName val="Sheet3"/>
      <sheetName val="Civil SSR"/>
      <sheetName val="WS SSR"/>
      <sheetName val="C-data"/>
      <sheetName val="Joinery"/>
      <sheetName val="WS Data"/>
      <sheetName val="XXXXX"/>
      <sheetName val="XXXXXXXXXXXXX"/>
      <sheetName val="Traffic design"/>
      <sheetName val="Traffic survey"/>
      <sheetName val="Sheet1"/>
      <sheetName val="Abstract (2)"/>
      <sheetName val="Cover"/>
      <sheetName val="Abstract"/>
      <sheetName val="Com"/>
      <sheetName val="Spection"/>
      <sheetName val="Sufc detil"/>
      <sheetName val="Estimate"/>
      <sheetName val="Seigneorage"/>
      <sheetName val="ES rf"/>
      <sheetName val="CD_seign"/>
      <sheetName val="CD Ab"/>
      <sheetName val="SF Road"/>
      <sheetName val="SF CD"/>
      <sheetName val="Data-Road "/>
      <sheetName val="Lead Rd"/>
      <sheetName val="Furniture"/>
      <sheetName val="Lead CD"/>
      <sheetName val="DATA-CD "/>
      <sheetName val="3.0 m CD"/>
      <sheetName val="Sheet2"/>
      <sheetName val="600mm dia"/>
      <sheetName val="CC design 62"/>
      <sheetName val="pavement design"/>
      <sheetName val="Pave design (2)"/>
      <sheetName val="TRAFF1 (2)"/>
      <sheetName val="Traf-Sur (2)"/>
      <sheetName val="Hire"/>
      <sheetName val="other rates"/>
      <sheetName val="BT Prices"/>
    </sheetNames>
    <sheetDataSet>
      <sheetData sheetId="0" refreshError="1"/>
      <sheetData sheetId="1" refreshError="1">
        <row r="2">
          <cell r="C2" t="str">
            <v>Name of the Work: Construction works at Chittoor- Chittoor District (MA-25% and with 13.615% Over Heads)</v>
          </cell>
        </row>
        <row r="36">
          <cell r="C36" t="str">
            <v>Add for MA @ 25%</v>
          </cell>
          <cell r="D36">
            <v>0.25</v>
          </cell>
        </row>
      </sheetData>
      <sheetData sheetId="2" refreshError="1"/>
      <sheetData sheetId="3" refreshError="1">
        <row r="169">
          <cell r="F169">
            <v>361</v>
          </cell>
        </row>
        <row r="301">
          <cell r="F301">
            <v>2534.1999999999998</v>
          </cell>
          <cell r="I301">
            <v>257.39999999999998</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27.xml><?xml version="1.0" encoding="utf-8"?>
<externalLink xmlns="http://schemas.openxmlformats.org/spreadsheetml/2006/main">
  <externalBook xmlns:r="http://schemas.openxmlformats.org/officeDocument/2006/relationships" r:id="rId1">
    <sheetNames>
      <sheetName val="Cover "/>
      <sheetName val="Sp.Report"/>
      <sheetName val="SPECIFIC"/>
      <sheetName val="Abstract"/>
      <sheetName val="Specification"/>
      <sheetName val="GEn Abst "/>
      <sheetName val="Abstract (2)"/>
      <sheetName val="GEn Abst"/>
      <sheetName val="AW 7.00 pile (2)"/>
      <sheetName val="Seigniorage (2)"/>
      <sheetName val="Seigniorage"/>
      <sheetName val="Data without water  (2)"/>
      <sheetName val="Elec.rates"/>
      <sheetName val="Water Supply"/>
      <sheetName val="G.F"/>
      <sheetName val="F.F"/>
      <sheetName val="Electrical"/>
      <sheetName val="Septic Tank"/>
      <sheetName val="CS-Ground FLOOR"/>
      <sheetName val="CS-1ST FLOOR"/>
      <sheetName val="CS-Electrical"/>
      <sheetName val="Suppl Data"/>
      <sheetName val="CS-Septic Tank"/>
      <sheetName val="CC"/>
      <sheetName val="Sanitation"/>
      <sheetName val="Lead statement"/>
      <sheetName val="Data "/>
      <sheetName val="Ele Data"/>
      <sheetName val="Data-San&amp;wat"/>
      <sheetName val="simplified tasks"/>
      <sheetName val="Bldg.rates"/>
      <sheetName val="Centring charges"/>
      <sheetName val="Sheet1"/>
      <sheetName val="conveyance 2"/>
      <sheetName val="Sheet2"/>
    </sheetNames>
    <sheetDataSet>
      <sheetData sheetId="0"/>
      <sheetData sheetId="1"/>
      <sheetData sheetId="2"/>
      <sheetData sheetId="3"/>
      <sheetData sheetId="4"/>
      <sheetData sheetId="5"/>
      <sheetData sheetId="6">
        <row r="2">
          <cell r="A2" t="str">
            <v>Name of Work:-   "Construction of   Grama Sachivalayam  Building at  Chitipiralla of Puthalapattu  Mandal</v>
          </cell>
        </row>
      </sheetData>
      <sheetData sheetId="7"/>
      <sheetData sheetId="8"/>
      <sheetData sheetId="9"/>
      <sheetData sheetId="10"/>
      <sheetData sheetId="11"/>
      <sheetData sheetId="12"/>
      <sheetData sheetId="13"/>
      <sheetData sheetId="14"/>
      <sheetData sheetId="15"/>
      <sheetData sheetId="16"/>
      <sheetData sheetId="17">
        <row r="37">
          <cell r="K37" t="str">
            <v>MP, Puthalapattu</v>
          </cell>
        </row>
      </sheetData>
      <sheetData sheetId="18"/>
      <sheetData sheetId="19"/>
      <sheetData sheetId="20"/>
      <sheetData sheetId="21"/>
      <sheetData sheetId="22"/>
      <sheetData sheetId="23"/>
      <sheetData sheetId="24"/>
      <sheetData sheetId="25">
        <row r="6">
          <cell r="J6">
            <v>811.3</v>
          </cell>
        </row>
      </sheetData>
      <sheetData sheetId="26"/>
      <sheetData sheetId="27"/>
      <sheetData sheetId="28"/>
      <sheetData sheetId="29"/>
      <sheetData sheetId="30">
        <row r="8">
          <cell r="F8">
            <v>77</v>
          </cell>
        </row>
      </sheetData>
      <sheetData sheetId="31">
        <row r="6">
          <cell r="Q6">
            <v>919</v>
          </cell>
        </row>
      </sheetData>
      <sheetData sheetId="32"/>
      <sheetData sheetId="33"/>
      <sheetData sheetId="34"/>
    </sheetDataSet>
  </externalBook>
</externalLink>
</file>

<file path=xl/externalLinks/externalLink128.xml><?xml version="1.0" encoding="utf-8"?>
<externalLink xmlns="http://schemas.openxmlformats.org/spreadsheetml/2006/main">
  <externalBook xmlns:r="http://schemas.openxmlformats.org/officeDocument/2006/relationships" r:id="rId1">
    <sheetNames>
      <sheetName val="Conveyance"/>
      <sheetName val="Input"/>
      <sheetName val="LEAD"/>
      <sheetName val="Civil SSR 18-19"/>
      <sheetName val="C-data 18-19"/>
      <sheetName val="WS SSR 18-19"/>
      <sheetName val="WS Data (18-19)"/>
      <sheetName val="Joinery (18-19)"/>
      <sheetName val="Sheet3"/>
      <sheetName val="Civil SSR"/>
      <sheetName val="WS SSR"/>
      <sheetName val="C-data"/>
      <sheetName val="Joinery"/>
      <sheetName val="WS Data"/>
    </sheetNames>
    <sheetDataSet>
      <sheetData sheetId="0"/>
      <sheetData sheetId="1">
        <row r="36">
          <cell r="C36" t="str">
            <v>Add for MA @ 25%</v>
          </cell>
          <cell r="D36">
            <v>0.25</v>
          </cell>
        </row>
        <row r="37">
          <cell r="C37" t="str">
            <v>Overheads&amp;Contractors Profit @13.615%</v>
          </cell>
          <cell r="D37">
            <v>0.13614999999999999</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29.xml><?xml version="1.0" encoding="utf-8"?>
<externalLink xmlns="http://schemas.openxmlformats.org/spreadsheetml/2006/main">
  <externalBook xmlns:r="http://schemas.openxmlformats.org/officeDocument/2006/relationships" r:id="rId1">
    <sheetNames>
      <sheetName val="Conveyance"/>
      <sheetName val="Input"/>
      <sheetName val="LEAD"/>
      <sheetName val="Civil SSR 18-19"/>
      <sheetName val="C-data 18-19"/>
      <sheetName val="WS SSR 18-19"/>
      <sheetName val="WS Data (18-19)"/>
      <sheetName val="Joinery (18-19)"/>
      <sheetName val="Civil SSR"/>
      <sheetName val="WS SSR"/>
      <sheetName val="C-data"/>
      <sheetName val="Joinery"/>
      <sheetName val="WS Data"/>
    </sheetNames>
    <sheetDataSet>
      <sheetData sheetId="0"/>
      <sheetData sheetId="1">
        <row r="36">
          <cell r="D36">
            <v>0.25</v>
          </cell>
        </row>
      </sheetData>
      <sheetData sheetId="2"/>
      <sheetData sheetId="3"/>
      <sheetData sheetId="4"/>
      <sheetData sheetId="5">
        <row r="29">
          <cell r="F29">
            <v>1566</v>
          </cell>
        </row>
        <row r="83">
          <cell r="F83">
            <v>208</v>
          </cell>
        </row>
        <row r="90">
          <cell r="F90">
            <v>452</v>
          </cell>
        </row>
      </sheetData>
      <sheetData sheetId="6"/>
      <sheetData sheetId="7"/>
      <sheetData sheetId="8"/>
      <sheetData sheetId="9"/>
      <sheetData sheetId="10"/>
      <sheetData sheetId="11"/>
      <sheetData sheetId="12"/>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3">
          <cell r="A3" t="str">
            <v>Sno</v>
          </cell>
          <cell r="B3" t="str">
            <v>Lead</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30.xml><?xml version="1.0" encoding="utf-8"?>
<externalLink xmlns="http://schemas.openxmlformats.org/spreadsheetml/2006/main">
  <externalBook xmlns:r="http://schemas.openxmlformats.org/officeDocument/2006/relationships" r:id="rId1">
    <sheetNames>
      <sheetName val="Cover "/>
      <sheetName val="Sp.Report"/>
      <sheetName val="SPECIFIC"/>
      <sheetName val="Abstract"/>
      <sheetName val="Specification"/>
      <sheetName val="GEn Abst "/>
      <sheetName val="Abstract (2)"/>
      <sheetName val="GEn Abst"/>
      <sheetName val="AW 7.00 pile (2)"/>
      <sheetName val="Seigniorage (2)"/>
      <sheetName val="Seigniorage"/>
      <sheetName val="Data without water  (2)"/>
      <sheetName val="G.F"/>
      <sheetName val="F.F"/>
      <sheetName val="Water Supply"/>
      <sheetName val="Sanitation"/>
      <sheetName val="Electrical"/>
      <sheetName val="Septic Tank"/>
      <sheetName val="Lead statement"/>
      <sheetName val="Data "/>
      <sheetName val="Data-San&amp;wat"/>
      <sheetName val="Ele Data"/>
      <sheetName val="Seigniorage-cal"/>
      <sheetName val="Elec.rates"/>
      <sheetName val="Bldg.rates"/>
      <sheetName val="Centring charges"/>
      <sheetName val="Sheet1"/>
      <sheetName val="conveyance 2"/>
      <sheetName val="Sheet2"/>
    </sheetNames>
    <sheetDataSet>
      <sheetData sheetId="0"/>
      <sheetData sheetId="1"/>
      <sheetData sheetId="2"/>
      <sheetData sheetId="3"/>
      <sheetData sheetId="4"/>
      <sheetData sheetId="5">
        <row r="34">
          <cell r="B34" t="str">
            <v>Dy.Exe.Engineer</v>
          </cell>
          <cell r="E34" t="str">
            <v>Asst Exe Engineer</v>
          </cell>
        </row>
        <row r="35">
          <cell r="B35" t="str">
            <v>PRI, Palamaner</v>
          </cell>
          <cell r="E35" t="str">
            <v>MP, Baireddipalli</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6">
          <cell r="G16">
            <v>211</v>
          </cell>
        </row>
        <row r="152">
          <cell r="G152">
            <v>3770.81</v>
          </cell>
        </row>
        <row r="168">
          <cell r="G168">
            <v>5006.21</v>
          </cell>
        </row>
        <row r="314">
          <cell r="G314">
            <v>981.13</v>
          </cell>
        </row>
        <row r="482">
          <cell r="G482">
            <v>5266.17</v>
          </cell>
        </row>
        <row r="1028">
          <cell r="G1028">
            <v>54.7</v>
          </cell>
        </row>
      </sheetData>
      <sheetData sheetId="20">
        <row r="255">
          <cell r="G255">
            <v>463</v>
          </cell>
        </row>
      </sheetData>
      <sheetData sheetId="21"/>
      <sheetData sheetId="22"/>
      <sheetData sheetId="23"/>
      <sheetData sheetId="24"/>
      <sheetData sheetId="25"/>
      <sheetData sheetId="26"/>
      <sheetData sheetId="27"/>
      <sheetData sheetId="28"/>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3">
          <cell r="A3" t="str">
            <v>Sno</v>
          </cell>
          <cell r="B3" t="str">
            <v>Lead</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s>
    <sheetDataSet>
      <sheetData sheetId="0"/>
      <sheetData sheetId="1"/>
      <sheetData sheetId="2"/>
      <sheetData sheetId="3" refreshError="1"/>
      <sheetData sheetId="4"/>
      <sheetData sheetId="5"/>
      <sheetData sheetId="6"/>
      <sheetData sheetId="7" refreshError="1"/>
      <sheetData sheetId="8">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s>
    <sheetDataSet>
      <sheetData sheetId="0"/>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D6">
            <v>2500</v>
          </cell>
          <cell r="E6" t="str">
            <v>/MT</v>
          </cell>
        </row>
        <row r="7">
          <cell r="A7">
            <v>6</v>
          </cell>
          <cell r="B7" t="str">
            <v>Steel</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F1" t="str">
            <v>DETAILS</v>
          </cell>
          <cell r="G1" t="str">
            <v>Unit</v>
          </cell>
          <cell r="H1" t="str">
            <v>PER</v>
          </cell>
          <cell r="I1" t="str">
            <v>RATE</v>
          </cell>
        </row>
        <row r="2">
          <cell r="B2">
            <v>1</v>
          </cell>
          <cell r="C2" t="str">
            <v>1ab</v>
          </cell>
          <cell r="F2" t="str">
            <v>1st Class Mason</v>
          </cell>
          <cell r="G2">
            <v>1</v>
          </cell>
          <cell r="H2" t="str">
            <v>each</v>
          </cell>
          <cell r="I2">
            <v>86</v>
          </cell>
        </row>
        <row r="3">
          <cell r="B3">
            <v>26</v>
          </cell>
          <cell r="C3">
            <v>17</v>
          </cell>
          <cell r="F3" t="str">
            <v>Spl.grade Mason</v>
          </cell>
          <cell r="G3">
            <v>1</v>
          </cell>
          <cell r="H3" t="str">
            <v>each</v>
          </cell>
          <cell r="I3">
            <v>0</v>
          </cell>
        </row>
        <row r="4">
          <cell r="B4">
            <v>28</v>
          </cell>
          <cell r="C4" t="str">
            <v>1a</v>
          </cell>
          <cell r="F4" t="str">
            <v>2nd Class Mason</v>
          </cell>
          <cell r="G4">
            <v>1</v>
          </cell>
          <cell r="H4" t="str">
            <v>each</v>
          </cell>
          <cell r="I4">
            <v>75</v>
          </cell>
        </row>
        <row r="5">
          <cell r="B5">
            <v>53</v>
          </cell>
          <cell r="C5">
            <v>2</v>
          </cell>
          <cell r="F5" t="str">
            <v>Man Mazdoor</v>
          </cell>
          <cell r="G5">
            <v>1</v>
          </cell>
          <cell r="H5" t="str">
            <v>each</v>
          </cell>
          <cell r="I5">
            <v>55</v>
          </cell>
        </row>
        <row r="6">
          <cell r="B6">
            <v>54</v>
          </cell>
          <cell r="C6">
            <v>3</v>
          </cell>
          <cell r="F6" t="str">
            <v>Woman Mazdoor</v>
          </cell>
          <cell r="G6">
            <v>1</v>
          </cell>
          <cell r="H6" t="str">
            <v>each</v>
          </cell>
          <cell r="I6">
            <v>55</v>
          </cell>
        </row>
        <row r="7">
          <cell r="B7">
            <v>60</v>
          </cell>
          <cell r="C7" t="str">
            <v>1a</v>
          </cell>
          <cell r="F7" t="str">
            <v>2nd Class Bricks</v>
          </cell>
          <cell r="G7">
            <v>1000</v>
          </cell>
          <cell r="H7" t="str">
            <v>Nos</v>
          </cell>
          <cell r="I7">
            <v>1200</v>
          </cell>
        </row>
        <row r="8">
          <cell r="B8">
            <v>67</v>
          </cell>
          <cell r="C8" t="str">
            <v>2c</v>
          </cell>
          <cell r="F8" t="str">
            <v>RR stone Granite Variety</v>
          </cell>
          <cell r="G8">
            <v>1</v>
          </cell>
          <cell r="H8" t="str">
            <v>cum</v>
          </cell>
          <cell r="I8">
            <v>75</v>
          </cell>
        </row>
        <row r="9">
          <cell r="B9">
            <v>72</v>
          </cell>
          <cell r="C9" t="str">
            <v>3a</v>
          </cell>
          <cell r="F9" t="str">
            <v>CR stone Granite Variety</v>
          </cell>
          <cell r="G9">
            <v>1</v>
          </cell>
          <cell r="H9" t="str">
            <v>cum</v>
          </cell>
          <cell r="I9">
            <v>109</v>
          </cell>
        </row>
        <row r="10">
          <cell r="B10">
            <v>80</v>
          </cell>
          <cell r="F10" t="str">
            <v>6 mm SS</v>
          </cell>
          <cell r="G10">
            <v>1</v>
          </cell>
          <cell r="H10" t="str">
            <v>cum</v>
          </cell>
          <cell r="I10">
            <v>170</v>
          </cell>
        </row>
        <row r="11">
          <cell r="B11">
            <v>81</v>
          </cell>
          <cell r="F11" t="str">
            <v>5 to 7 mm IRC</v>
          </cell>
          <cell r="G11">
            <v>1</v>
          </cell>
          <cell r="H11" t="str">
            <v>cum</v>
          </cell>
          <cell r="I11">
            <v>170</v>
          </cell>
        </row>
        <row r="12">
          <cell r="B12">
            <v>82</v>
          </cell>
          <cell r="F12" t="str">
            <v>10 mm SS</v>
          </cell>
          <cell r="G12">
            <v>1</v>
          </cell>
          <cell r="H12" t="str">
            <v>cum</v>
          </cell>
          <cell r="I12">
            <v>250</v>
          </cell>
        </row>
        <row r="13">
          <cell r="B13">
            <v>83</v>
          </cell>
          <cell r="F13" t="str">
            <v>10 to 11.2 IRC</v>
          </cell>
          <cell r="G13">
            <v>1</v>
          </cell>
          <cell r="H13" t="str">
            <v>cum</v>
          </cell>
          <cell r="I13">
            <v>250</v>
          </cell>
        </row>
        <row r="14">
          <cell r="B14">
            <v>84</v>
          </cell>
          <cell r="F14" t="str">
            <v>12 mm SS</v>
          </cell>
          <cell r="G14">
            <v>1</v>
          </cell>
          <cell r="H14" t="str">
            <v>cum</v>
          </cell>
          <cell r="I14">
            <v>300</v>
          </cell>
        </row>
        <row r="15">
          <cell r="B15">
            <v>85</v>
          </cell>
          <cell r="F15" t="str">
            <v>12 to 14 mm IRC</v>
          </cell>
          <cell r="G15">
            <v>1</v>
          </cell>
          <cell r="H15" t="str">
            <v>cum</v>
          </cell>
          <cell r="I15">
            <v>300</v>
          </cell>
        </row>
        <row r="16">
          <cell r="B16">
            <v>86</v>
          </cell>
          <cell r="F16" t="str">
            <v>20 mm SS</v>
          </cell>
          <cell r="G16">
            <v>1</v>
          </cell>
          <cell r="H16" t="str">
            <v>cum</v>
          </cell>
          <cell r="I16">
            <v>380</v>
          </cell>
        </row>
        <row r="17">
          <cell r="B17">
            <v>87</v>
          </cell>
          <cell r="F17" t="str">
            <v>20 to 22 mm IRC</v>
          </cell>
          <cell r="G17">
            <v>1</v>
          </cell>
          <cell r="H17" t="str">
            <v>cum</v>
          </cell>
          <cell r="I17">
            <v>375</v>
          </cell>
        </row>
        <row r="18">
          <cell r="B18">
            <v>88</v>
          </cell>
          <cell r="F18" t="str">
            <v>25 mm SS</v>
          </cell>
          <cell r="G18">
            <v>1</v>
          </cell>
          <cell r="H18" t="str">
            <v>cum</v>
          </cell>
          <cell r="I18">
            <v>300</v>
          </cell>
        </row>
        <row r="19">
          <cell r="B19">
            <v>89</v>
          </cell>
          <cell r="F19" t="str">
            <v>25 to 27 mm IRC</v>
          </cell>
          <cell r="G19">
            <v>1</v>
          </cell>
          <cell r="H19" t="str">
            <v>cum</v>
          </cell>
          <cell r="I19">
            <v>300</v>
          </cell>
        </row>
        <row r="20">
          <cell r="B20">
            <v>90</v>
          </cell>
          <cell r="F20" t="str">
            <v>40 mm SS</v>
          </cell>
          <cell r="G20">
            <v>1</v>
          </cell>
          <cell r="H20" t="str">
            <v>cum</v>
          </cell>
          <cell r="I20">
            <v>215</v>
          </cell>
        </row>
        <row r="21">
          <cell r="B21">
            <v>91</v>
          </cell>
          <cell r="F21" t="str">
            <v>40 to 45 mm IRC</v>
          </cell>
          <cell r="G21">
            <v>1</v>
          </cell>
          <cell r="H21" t="str">
            <v>cum</v>
          </cell>
          <cell r="I21">
            <v>200</v>
          </cell>
        </row>
        <row r="22">
          <cell r="B22">
            <v>92</v>
          </cell>
          <cell r="F22" t="str">
            <v>50 mm SS</v>
          </cell>
          <cell r="G22">
            <v>1</v>
          </cell>
          <cell r="H22" t="str">
            <v>cum</v>
          </cell>
          <cell r="I22">
            <v>150</v>
          </cell>
        </row>
        <row r="23">
          <cell r="B23">
            <v>93</v>
          </cell>
          <cell r="F23" t="str">
            <v>50 to 55mm IRC</v>
          </cell>
          <cell r="G23">
            <v>1</v>
          </cell>
          <cell r="H23" t="str">
            <v>cum</v>
          </cell>
          <cell r="I23">
            <v>120</v>
          </cell>
        </row>
        <row r="24">
          <cell r="B24">
            <v>94</v>
          </cell>
          <cell r="F24" t="str">
            <v>60 mm SS</v>
          </cell>
          <cell r="G24">
            <v>1</v>
          </cell>
          <cell r="H24" t="str">
            <v>cum</v>
          </cell>
          <cell r="I24">
            <v>150</v>
          </cell>
        </row>
        <row r="25">
          <cell r="B25">
            <v>95</v>
          </cell>
          <cell r="F25" t="str">
            <v>60 to 63 mm IRC</v>
          </cell>
          <cell r="G25">
            <v>1</v>
          </cell>
          <cell r="H25" t="str">
            <v>cum</v>
          </cell>
          <cell r="I25">
            <v>110</v>
          </cell>
        </row>
        <row r="26">
          <cell r="B26">
            <v>96</v>
          </cell>
          <cell r="F26" t="str">
            <v>65 mm SS</v>
          </cell>
          <cell r="G26">
            <v>1</v>
          </cell>
          <cell r="H26" t="str">
            <v>cum</v>
          </cell>
          <cell r="I26">
            <v>150</v>
          </cell>
        </row>
        <row r="27">
          <cell r="B27">
            <v>97</v>
          </cell>
          <cell r="F27" t="str">
            <v>65 mm IRC</v>
          </cell>
          <cell r="G27">
            <v>1</v>
          </cell>
          <cell r="H27" t="str">
            <v>cum</v>
          </cell>
          <cell r="I27">
            <v>120</v>
          </cell>
        </row>
        <row r="28">
          <cell r="B28">
            <v>98</v>
          </cell>
          <cell r="F28" t="str">
            <v>75 mm SS</v>
          </cell>
          <cell r="G28">
            <v>1</v>
          </cell>
          <cell r="H28" t="str">
            <v>cum</v>
          </cell>
          <cell r="I28">
            <v>95</v>
          </cell>
        </row>
        <row r="29">
          <cell r="B29">
            <v>99</v>
          </cell>
          <cell r="F29" t="str">
            <v>75 mm IRC</v>
          </cell>
          <cell r="G29">
            <v>1</v>
          </cell>
          <cell r="H29" t="str">
            <v>cum</v>
          </cell>
          <cell r="I29">
            <v>95</v>
          </cell>
        </row>
        <row r="30">
          <cell r="B30">
            <v>100</v>
          </cell>
          <cell r="F30" t="str">
            <v>Blasting</v>
          </cell>
          <cell r="G30">
            <v>1</v>
          </cell>
          <cell r="H30" t="str">
            <v>cum</v>
          </cell>
          <cell r="I30">
            <v>40</v>
          </cell>
        </row>
        <row r="31">
          <cell r="B31">
            <v>101</v>
          </cell>
          <cell r="F31" t="str">
            <v>Metal Crushing</v>
          </cell>
          <cell r="G31">
            <v>1</v>
          </cell>
          <cell r="H31" t="str">
            <v>cum</v>
          </cell>
          <cell r="I31">
            <v>0.25</v>
          </cell>
        </row>
        <row r="32">
          <cell r="B32">
            <v>127</v>
          </cell>
          <cell r="C32">
            <v>9</v>
          </cell>
          <cell r="F32" t="str">
            <v>Gravel</v>
          </cell>
          <cell r="G32">
            <v>1</v>
          </cell>
          <cell r="H32" t="str">
            <v>cum</v>
          </cell>
          <cell r="I32">
            <v>25</v>
          </cell>
        </row>
        <row r="33">
          <cell r="B33">
            <v>128</v>
          </cell>
          <cell r="F33" t="str">
            <v>Quarry rubbish</v>
          </cell>
          <cell r="G33">
            <v>1</v>
          </cell>
          <cell r="H33" t="str">
            <v>cum</v>
          </cell>
          <cell r="I33">
            <v>11</v>
          </cell>
        </row>
        <row r="34">
          <cell r="B34">
            <v>129</v>
          </cell>
          <cell r="F34" t="str">
            <v>Sand for Mortar, Seal coat</v>
          </cell>
          <cell r="G34">
            <v>1</v>
          </cell>
          <cell r="H34" t="str">
            <v>cum</v>
          </cell>
          <cell r="I34">
            <v>50</v>
          </cell>
        </row>
        <row r="35">
          <cell r="B35">
            <v>130</v>
          </cell>
          <cell r="F35" t="str">
            <v>Sand for Filling, Blindage</v>
          </cell>
          <cell r="G35">
            <v>1</v>
          </cell>
          <cell r="H35" t="str">
            <v>cum</v>
          </cell>
          <cell r="I35">
            <v>20</v>
          </cell>
        </row>
        <row r="36">
          <cell r="B36">
            <v>133</v>
          </cell>
          <cell r="C36">
            <v>15</v>
          </cell>
          <cell r="F36" t="str">
            <v>40 mm thick 0.762 m x.457 m</v>
          </cell>
          <cell r="G36">
            <v>1</v>
          </cell>
          <cell r="H36" t="str">
            <v>sqm</v>
          </cell>
          <cell r="I36">
            <v>70</v>
          </cell>
        </row>
        <row r="37">
          <cell r="B37">
            <v>134</v>
          </cell>
          <cell r="C37">
            <v>16</v>
          </cell>
          <cell r="F37" t="str">
            <v>50 mm thick 0.762 m x.457 m</v>
          </cell>
          <cell r="G37">
            <v>1</v>
          </cell>
          <cell r="H37" t="str">
            <v>sqm</v>
          </cell>
          <cell r="I37">
            <v>80</v>
          </cell>
        </row>
        <row r="38">
          <cell r="B38">
            <v>136</v>
          </cell>
          <cell r="F38" t="str">
            <v>25.4 mm thick White</v>
          </cell>
          <cell r="G38">
            <v>10</v>
          </cell>
          <cell r="H38" t="str">
            <v>sqm</v>
          </cell>
          <cell r="I38">
            <v>550</v>
          </cell>
        </row>
        <row r="39">
          <cell r="B39">
            <v>137</v>
          </cell>
          <cell r="F39" t="str">
            <v>25.4 mm thick Blue</v>
          </cell>
          <cell r="G39">
            <v>10</v>
          </cell>
          <cell r="H39" t="str">
            <v>sqm</v>
          </cell>
          <cell r="I39">
            <v>600</v>
          </cell>
        </row>
        <row r="40">
          <cell r="B40">
            <v>138</v>
          </cell>
          <cell r="F40" t="str">
            <v>25.4 mm thick White</v>
          </cell>
          <cell r="G40">
            <v>10</v>
          </cell>
          <cell r="H40" t="str">
            <v>sqm</v>
          </cell>
          <cell r="I40">
            <v>600</v>
          </cell>
        </row>
        <row r="41">
          <cell r="B41">
            <v>139</v>
          </cell>
          <cell r="F41" t="str">
            <v>25.4 mm thick Blue</v>
          </cell>
          <cell r="G41">
            <v>10</v>
          </cell>
          <cell r="H41" t="str">
            <v>sqm</v>
          </cell>
          <cell r="I41">
            <v>700</v>
          </cell>
        </row>
        <row r="42">
          <cell r="B42">
            <v>140</v>
          </cell>
          <cell r="F42" t="str">
            <v>25.4 mm thick White  0.457mx0.457 m</v>
          </cell>
          <cell r="G42">
            <v>10</v>
          </cell>
          <cell r="H42" t="str">
            <v>sqm</v>
          </cell>
          <cell r="I42">
            <v>1000</v>
          </cell>
        </row>
        <row r="43">
          <cell r="B43">
            <v>141</v>
          </cell>
          <cell r="F43" t="str">
            <v>25.4 mm thick Blue  0.457mx0.457 m</v>
          </cell>
          <cell r="G43">
            <v>10</v>
          </cell>
          <cell r="H43" t="str">
            <v>sqm</v>
          </cell>
          <cell r="I43">
            <v>1150</v>
          </cell>
        </row>
        <row r="44">
          <cell r="B44">
            <v>142</v>
          </cell>
          <cell r="C44">
            <v>20</v>
          </cell>
          <cell r="F44" t="str">
            <v>25.4 mm thick   0.457mx0.457 m</v>
          </cell>
          <cell r="G44">
            <v>10</v>
          </cell>
          <cell r="H44" t="str">
            <v>sqm</v>
          </cell>
          <cell r="I44">
            <v>900</v>
          </cell>
        </row>
        <row r="45">
          <cell r="B45">
            <v>143</v>
          </cell>
          <cell r="C45">
            <v>21</v>
          </cell>
          <cell r="F45" t="str">
            <v>25.4 mm thick 0.254mx0.254 m White</v>
          </cell>
          <cell r="G45">
            <v>10</v>
          </cell>
          <cell r="H45" t="str">
            <v>sqm</v>
          </cell>
          <cell r="I45">
            <v>2700</v>
          </cell>
        </row>
        <row r="46">
          <cell r="B46">
            <v>168</v>
          </cell>
          <cell r="F46" t="str">
            <v>Cement Mortar</v>
          </cell>
          <cell r="G46">
            <v>1</v>
          </cell>
          <cell r="H46" t="str">
            <v>cum</v>
          </cell>
          <cell r="I46">
            <v>15</v>
          </cell>
        </row>
        <row r="47">
          <cell r="B47">
            <v>169</v>
          </cell>
          <cell r="F47" t="str">
            <v>By Machine</v>
          </cell>
          <cell r="G47">
            <v>1</v>
          </cell>
          <cell r="H47" t="str">
            <v>cum</v>
          </cell>
          <cell r="I47">
            <v>25</v>
          </cell>
        </row>
        <row r="48">
          <cell r="B48">
            <v>175</v>
          </cell>
          <cell r="F48" t="str">
            <v>White Cement</v>
          </cell>
          <cell r="G48">
            <v>1</v>
          </cell>
          <cell r="H48" t="str">
            <v>kg</v>
          </cell>
          <cell r="I48">
            <v>9</v>
          </cell>
        </row>
        <row r="49">
          <cell r="B49">
            <v>176</v>
          </cell>
          <cell r="F49" t="str">
            <v xml:space="preserve">Scantling below 2m </v>
          </cell>
          <cell r="G49">
            <v>1</v>
          </cell>
          <cell r="H49" t="str">
            <v>cum</v>
          </cell>
          <cell r="I49">
            <v>50000</v>
          </cell>
        </row>
        <row r="50">
          <cell r="B50">
            <v>177</v>
          </cell>
          <cell r="F50" t="str">
            <v xml:space="preserve">Scantling above 2m </v>
          </cell>
          <cell r="G50">
            <v>1</v>
          </cell>
          <cell r="H50" t="str">
            <v>cum</v>
          </cell>
          <cell r="I50">
            <v>52000</v>
          </cell>
        </row>
        <row r="51">
          <cell r="B51">
            <v>178</v>
          </cell>
          <cell r="F51" t="str">
            <v>Planks of all sizes</v>
          </cell>
          <cell r="G51">
            <v>1</v>
          </cell>
          <cell r="H51" t="str">
            <v>cum</v>
          </cell>
          <cell r="I51">
            <v>55000</v>
          </cell>
        </row>
        <row r="52">
          <cell r="B52">
            <v>176</v>
          </cell>
          <cell r="F52" t="str">
            <v xml:space="preserve">Scantling below 2m </v>
          </cell>
          <cell r="G52">
            <v>1</v>
          </cell>
          <cell r="H52" t="str">
            <v>cum</v>
          </cell>
          <cell r="I52">
            <v>40000</v>
          </cell>
        </row>
        <row r="53">
          <cell r="B53">
            <v>177</v>
          </cell>
          <cell r="F53" t="str">
            <v xml:space="preserve">Scantling above 2m </v>
          </cell>
          <cell r="G53">
            <v>1</v>
          </cell>
          <cell r="H53" t="str">
            <v>cum</v>
          </cell>
          <cell r="I53">
            <v>42000</v>
          </cell>
        </row>
        <row r="54">
          <cell r="B54">
            <v>178</v>
          </cell>
          <cell r="F54" t="str">
            <v>Planks of all sizes</v>
          </cell>
          <cell r="G54">
            <v>1</v>
          </cell>
          <cell r="H54" t="str">
            <v>cum</v>
          </cell>
          <cell r="I54">
            <v>45000</v>
          </cell>
        </row>
        <row r="55">
          <cell r="B55">
            <v>187</v>
          </cell>
          <cell r="F55" t="str">
            <v>Steel fabrication</v>
          </cell>
          <cell r="G55">
            <v>1</v>
          </cell>
          <cell r="H55" t="str">
            <v>kg</v>
          </cell>
          <cell r="I55">
            <v>3.25</v>
          </cell>
        </row>
        <row r="56">
          <cell r="B56">
            <v>234</v>
          </cell>
          <cell r="F56" t="str">
            <v>25 mm thick</v>
          </cell>
          <cell r="G56">
            <v>1</v>
          </cell>
          <cell r="H56" t="str">
            <v>sqm</v>
          </cell>
          <cell r="I56">
            <v>80</v>
          </cell>
        </row>
        <row r="57">
          <cell r="B57">
            <v>235</v>
          </cell>
          <cell r="F57" t="str">
            <v>40 mm thick</v>
          </cell>
          <cell r="G57">
            <v>1</v>
          </cell>
          <cell r="H57" t="str">
            <v>sqm</v>
          </cell>
          <cell r="I57">
            <v>105</v>
          </cell>
        </row>
        <row r="58">
          <cell r="B58">
            <v>236</v>
          </cell>
          <cell r="F58" t="str">
            <v>50 mm thick</v>
          </cell>
          <cell r="G58">
            <v>1</v>
          </cell>
          <cell r="H58" t="str">
            <v>sqm</v>
          </cell>
          <cell r="I58">
            <v>140</v>
          </cell>
        </row>
        <row r="59">
          <cell r="B59">
            <v>239</v>
          </cell>
          <cell r="F59" t="str">
            <v>Dry powder Distemper</v>
          </cell>
          <cell r="G59">
            <v>1</v>
          </cell>
          <cell r="H59" t="str">
            <v>kg</v>
          </cell>
          <cell r="I59">
            <v>20</v>
          </cell>
        </row>
        <row r="60">
          <cell r="B60">
            <v>240</v>
          </cell>
          <cell r="F60" t="str">
            <v>Oil bound washable Distemper</v>
          </cell>
          <cell r="G60">
            <v>1</v>
          </cell>
          <cell r="H60" t="str">
            <v>kg</v>
          </cell>
          <cell r="I60">
            <v>60</v>
          </cell>
        </row>
        <row r="61">
          <cell r="B61">
            <v>245</v>
          </cell>
          <cell r="F61" t="str">
            <v>Alluminium paint 1st grade</v>
          </cell>
          <cell r="G61">
            <v>1</v>
          </cell>
          <cell r="H61" t="str">
            <v>litre</v>
          </cell>
          <cell r="I61">
            <v>176</v>
          </cell>
        </row>
        <row r="62">
          <cell r="B62">
            <v>246</v>
          </cell>
          <cell r="F62" t="str">
            <v>Anti corrosive bitument pain (Black) grade -1</v>
          </cell>
          <cell r="G62">
            <v>1</v>
          </cell>
          <cell r="H62" t="str">
            <v>litre</v>
          </cell>
          <cell r="I62">
            <v>250</v>
          </cell>
        </row>
        <row r="63">
          <cell r="B63">
            <v>247</v>
          </cell>
          <cell r="F63" t="str">
            <v>Red oxide Primer Paint grade-I</v>
          </cell>
          <cell r="G63">
            <v>1</v>
          </cell>
          <cell r="H63" t="str">
            <v>litre</v>
          </cell>
          <cell r="I63">
            <v>55</v>
          </cell>
        </row>
        <row r="64">
          <cell r="B64">
            <v>248</v>
          </cell>
          <cell r="F64" t="str">
            <v>Red oxide Primer Paint grade-II</v>
          </cell>
          <cell r="G64">
            <v>1</v>
          </cell>
          <cell r="H64" t="str">
            <v>litre</v>
          </cell>
          <cell r="I64">
            <v>45</v>
          </cell>
        </row>
        <row r="65">
          <cell r="B65">
            <v>249</v>
          </cell>
          <cell r="F65" t="str">
            <v>Synthetic enamel paints in all shades grade-I</v>
          </cell>
          <cell r="G65">
            <v>1</v>
          </cell>
          <cell r="H65" t="str">
            <v>litre</v>
          </cell>
          <cell r="I65">
            <v>130</v>
          </cell>
        </row>
        <row r="66">
          <cell r="B66">
            <v>250</v>
          </cell>
          <cell r="F66" t="str">
            <v>Synthetic enamel paints in all shades grade-II</v>
          </cell>
          <cell r="G66">
            <v>1</v>
          </cell>
          <cell r="H66" t="str">
            <v>litre</v>
          </cell>
          <cell r="I66">
            <v>95</v>
          </cell>
        </row>
        <row r="67">
          <cell r="B67">
            <v>251</v>
          </cell>
          <cell r="F67" t="str">
            <v>Plastic emultion paint grade-I</v>
          </cell>
          <cell r="G67">
            <v>1</v>
          </cell>
          <cell r="H67" t="str">
            <v>litre</v>
          </cell>
          <cell r="I67">
            <v>200</v>
          </cell>
        </row>
        <row r="68">
          <cell r="B68">
            <v>252</v>
          </cell>
          <cell r="C68">
            <v>63</v>
          </cell>
          <cell r="F68" t="str">
            <v>Oil Bound Distemper</v>
          </cell>
          <cell r="G68">
            <v>1</v>
          </cell>
          <cell r="H68" t="str">
            <v>kg</v>
          </cell>
          <cell r="I68">
            <v>40</v>
          </cell>
        </row>
        <row r="69">
          <cell r="B69">
            <v>253</v>
          </cell>
          <cell r="C69">
            <v>64</v>
          </cell>
          <cell r="F69" t="str">
            <v>Water proof cement paint of Superior Quality</v>
          </cell>
          <cell r="G69">
            <v>1</v>
          </cell>
          <cell r="H69" t="str">
            <v>kg</v>
          </cell>
          <cell r="I69">
            <v>30</v>
          </cell>
        </row>
        <row r="70">
          <cell r="B70">
            <v>254</v>
          </cell>
          <cell r="C70">
            <v>65</v>
          </cell>
          <cell r="F70" t="str">
            <v>White lead</v>
          </cell>
          <cell r="G70">
            <v>1</v>
          </cell>
          <cell r="H70" t="str">
            <v>kg</v>
          </cell>
          <cell r="I70">
            <v>50</v>
          </cell>
        </row>
        <row r="71">
          <cell r="B71">
            <v>255</v>
          </cell>
          <cell r="C71">
            <v>66</v>
          </cell>
          <cell r="F71" t="str">
            <v>Marble powder</v>
          </cell>
          <cell r="G71">
            <v>1</v>
          </cell>
          <cell r="H71" t="str">
            <v>kg</v>
          </cell>
          <cell r="I71">
            <v>12.5</v>
          </cell>
        </row>
        <row r="72">
          <cell r="B72">
            <v>256</v>
          </cell>
          <cell r="C72">
            <v>67</v>
          </cell>
          <cell r="F72" t="str">
            <v>Cement Primer grade-I</v>
          </cell>
          <cell r="G72">
            <v>1</v>
          </cell>
          <cell r="H72" t="str">
            <v>kg</v>
          </cell>
          <cell r="I72">
            <v>65</v>
          </cell>
        </row>
        <row r="73">
          <cell r="B73">
            <v>257</v>
          </cell>
          <cell r="F73" t="str">
            <v>Cement Primer grade-II</v>
          </cell>
          <cell r="G73">
            <v>1</v>
          </cell>
          <cell r="H73" t="str">
            <v>kg</v>
          </cell>
          <cell r="I73">
            <v>50</v>
          </cell>
        </row>
        <row r="74">
          <cell r="B74">
            <v>274</v>
          </cell>
          <cell r="D74" t="str">
            <v>b</v>
          </cell>
          <cell r="F74" t="str">
            <v>Fevicol</v>
          </cell>
          <cell r="G74">
            <v>1</v>
          </cell>
          <cell r="H74" t="str">
            <v>kg</v>
          </cell>
          <cell r="I74">
            <v>100</v>
          </cell>
        </row>
        <row r="75">
          <cell r="B75">
            <v>352</v>
          </cell>
          <cell r="D75" t="str">
            <v>a</v>
          </cell>
          <cell r="F75" t="str">
            <v>Clearing heavy jungle</v>
          </cell>
          <cell r="G75">
            <v>10</v>
          </cell>
          <cell r="H75" t="str">
            <v>sqm</v>
          </cell>
          <cell r="I75">
            <v>6</v>
          </cell>
        </row>
        <row r="76">
          <cell r="B76">
            <v>353</v>
          </cell>
          <cell r="D76" t="str">
            <v>b</v>
          </cell>
          <cell r="F76" t="str">
            <v>Clearing Light jungle</v>
          </cell>
          <cell r="G76">
            <v>10</v>
          </cell>
          <cell r="H76" t="str">
            <v>sqm</v>
          </cell>
          <cell r="I76">
            <v>5</v>
          </cell>
        </row>
        <row r="77">
          <cell r="B77">
            <v>354</v>
          </cell>
          <cell r="D77" t="str">
            <v>c</v>
          </cell>
          <cell r="F77" t="str">
            <v>Clearing Scrub jungle</v>
          </cell>
          <cell r="G77">
            <v>10</v>
          </cell>
          <cell r="H77" t="str">
            <v>sqm</v>
          </cell>
          <cell r="I77">
            <v>3</v>
          </cell>
        </row>
        <row r="78">
          <cell r="B78">
            <v>355</v>
          </cell>
          <cell r="D78" t="str">
            <v>d</v>
          </cell>
          <cell r="F78" t="str">
            <v xml:space="preserve">Cleaing Julie flora </v>
          </cell>
          <cell r="G78">
            <v>10</v>
          </cell>
          <cell r="H78" t="str">
            <v>sqm</v>
          </cell>
          <cell r="I78">
            <v>14</v>
          </cell>
        </row>
        <row r="79">
          <cell r="B79">
            <v>408</v>
          </cell>
          <cell r="D79" t="str">
            <v>a</v>
          </cell>
          <cell r="F79" t="str">
            <v>Loamy &amp; Clay soils like BC soils, Red earth &amp; OG SS 302 &amp; 303</v>
          </cell>
          <cell r="G79">
            <v>10</v>
          </cell>
          <cell r="H79" t="str">
            <v>cum</v>
          </cell>
          <cell r="I79">
            <v>235</v>
          </cell>
        </row>
        <row r="80">
          <cell r="B80">
            <v>409</v>
          </cell>
          <cell r="F80" t="str">
            <v>Loamy &amp; Clay soils like BC soils, Red earth &amp; OG SS 301</v>
          </cell>
          <cell r="G80">
            <v>10</v>
          </cell>
          <cell r="H80" t="str">
            <v>cum</v>
          </cell>
          <cell r="I80">
            <v>215</v>
          </cell>
        </row>
        <row r="81">
          <cell r="B81">
            <v>412</v>
          </cell>
          <cell r="F81" t="str">
            <v>Hard Gravelly Soils SS 302 &amp; 303</v>
          </cell>
          <cell r="G81">
            <v>10</v>
          </cell>
          <cell r="H81" t="str">
            <v>cum</v>
          </cell>
          <cell r="I81">
            <v>250</v>
          </cell>
        </row>
        <row r="82">
          <cell r="B82">
            <v>413</v>
          </cell>
          <cell r="F82" t="str">
            <v>Hard Gravelly Soils SS 301</v>
          </cell>
          <cell r="G82">
            <v>10</v>
          </cell>
          <cell r="H82" t="str">
            <v>cum</v>
          </cell>
          <cell r="I82">
            <v>230</v>
          </cell>
        </row>
        <row r="83">
          <cell r="B83">
            <v>459</v>
          </cell>
          <cell r="C83">
            <v>35</v>
          </cell>
          <cell r="F83" t="str">
            <v>Vibrating Concrete</v>
          </cell>
          <cell r="G83">
            <v>1</v>
          </cell>
          <cell r="H83" t="str">
            <v>cum</v>
          </cell>
          <cell r="I83">
            <v>22.4</v>
          </cell>
        </row>
        <row r="84">
          <cell r="B84">
            <v>460</v>
          </cell>
          <cell r="C84">
            <v>36</v>
          </cell>
          <cell r="F84" t="str">
            <v>Machine mixing Concrete</v>
          </cell>
          <cell r="G84">
            <v>1</v>
          </cell>
          <cell r="H84" t="str">
            <v>cum</v>
          </cell>
          <cell r="I84">
            <v>21.8</v>
          </cell>
        </row>
        <row r="85">
          <cell r="B85">
            <v>461</v>
          </cell>
          <cell r="C85">
            <v>37</v>
          </cell>
          <cell r="F85" t="str">
            <v>Power for Mixer</v>
          </cell>
          <cell r="G85">
            <v>1</v>
          </cell>
          <cell r="H85" t="str">
            <v>cum</v>
          </cell>
          <cell r="I85">
            <v>14.5</v>
          </cell>
        </row>
        <row r="86">
          <cell r="B86">
            <v>495</v>
          </cell>
          <cell r="C86">
            <v>40</v>
          </cell>
          <cell r="D86" t="str">
            <v>a</v>
          </cell>
          <cell r="F86" t="str">
            <v>First Floor</v>
          </cell>
          <cell r="G86">
            <v>1</v>
          </cell>
          <cell r="H86" t="str">
            <v>cum</v>
          </cell>
          <cell r="I86">
            <v>22</v>
          </cell>
        </row>
        <row r="87">
          <cell r="B87">
            <v>496</v>
          </cell>
          <cell r="D87" t="str">
            <v>b</v>
          </cell>
          <cell r="F87" t="str">
            <v>Second Floor</v>
          </cell>
          <cell r="G87">
            <v>1</v>
          </cell>
          <cell r="H87" t="str">
            <v>cum</v>
          </cell>
          <cell r="I87">
            <v>27</v>
          </cell>
        </row>
        <row r="88">
          <cell r="B88">
            <v>497</v>
          </cell>
          <cell r="D88" t="str">
            <v>c</v>
          </cell>
          <cell r="F88" t="str">
            <v>Third Floor</v>
          </cell>
          <cell r="G88">
            <v>1</v>
          </cell>
          <cell r="H88" t="str">
            <v>cum</v>
          </cell>
          <cell r="I88">
            <v>37</v>
          </cell>
        </row>
        <row r="89">
          <cell r="B89">
            <v>498</v>
          </cell>
          <cell r="D89" t="str">
            <v>d</v>
          </cell>
          <cell r="F89" t="str">
            <v>Each Additional Floor</v>
          </cell>
          <cell r="G89">
            <v>1</v>
          </cell>
          <cell r="H89" t="str">
            <v>cum</v>
          </cell>
          <cell r="I89">
            <v>16</v>
          </cell>
        </row>
        <row r="90">
          <cell r="B90">
            <v>499</v>
          </cell>
          <cell r="D90" t="str">
            <v>a</v>
          </cell>
          <cell r="F90" t="str">
            <v>1st &amp; 2nd Floor</v>
          </cell>
          <cell r="G90">
            <v>10</v>
          </cell>
          <cell r="H90" t="str">
            <v>sqm</v>
          </cell>
          <cell r="I90">
            <v>25</v>
          </cell>
        </row>
        <row r="91">
          <cell r="B91">
            <v>500</v>
          </cell>
          <cell r="D91" t="str">
            <v>b</v>
          </cell>
          <cell r="F91" t="str">
            <v>2nd &amp; 3rd Floor</v>
          </cell>
          <cell r="G91">
            <v>10</v>
          </cell>
          <cell r="H91" t="str">
            <v>sqm</v>
          </cell>
          <cell r="I91">
            <v>50</v>
          </cell>
        </row>
        <row r="92">
          <cell r="B92">
            <v>501</v>
          </cell>
          <cell r="D92" t="str">
            <v>c</v>
          </cell>
          <cell r="F92" t="str">
            <v>3rd &amp; 4th Floor</v>
          </cell>
          <cell r="G92">
            <v>10</v>
          </cell>
          <cell r="H92" t="str">
            <v>sqm</v>
          </cell>
          <cell r="I92">
            <v>75</v>
          </cell>
        </row>
        <row r="93">
          <cell r="B93">
            <v>502</v>
          </cell>
          <cell r="D93" t="str">
            <v>d</v>
          </cell>
          <cell r="F93" t="str">
            <v>Each Additional Floor</v>
          </cell>
          <cell r="G93">
            <v>10</v>
          </cell>
          <cell r="H93" t="str">
            <v>sqm</v>
          </cell>
          <cell r="I93">
            <v>18</v>
          </cell>
        </row>
        <row r="94">
          <cell r="B94">
            <v>503</v>
          </cell>
          <cell r="D94" t="str">
            <v>a</v>
          </cell>
          <cell r="F94" t="str">
            <v>upto 150 mm depth</v>
          </cell>
          <cell r="G94">
            <v>10</v>
          </cell>
          <cell r="H94" t="str">
            <v>sqm</v>
          </cell>
          <cell r="I94">
            <v>525</v>
          </cell>
        </row>
        <row r="95">
          <cell r="B95">
            <v>504</v>
          </cell>
          <cell r="D95" t="str">
            <v>b</v>
          </cell>
          <cell r="F95" t="str">
            <v>above 150 mm depth and upto 300 mm depth</v>
          </cell>
          <cell r="G95">
            <v>10</v>
          </cell>
          <cell r="H95" t="str">
            <v>sqm</v>
          </cell>
          <cell r="I95">
            <v>850</v>
          </cell>
        </row>
        <row r="96">
          <cell r="B96">
            <v>510</v>
          </cell>
          <cell r="D96" t="str">
            <v>g</v>
          </cell>
          <cell r="E96" t="str">
            <v xml:space="preserve">i </v>
          </cell>
          <cell r="F96" t="str">
            <v>0.60 m width</v>
          </cell>
          <cell r="G96">
            <v>1</v>
          </cell>
          <cell r="H96" t="str">
            <v>rmt</v>
          </cell>
          <cell r="I96">
            <v>25</v>
          </cell>
        </row>
        <row r="97">
          <cell r="B97">
            <v>511</v>
          </cell>
          <cell r="D97" t="str">
            <v>g</v>
          </cell>
          <cell r="E97" t="str">
            <v>ii</v>
          </cell>
          <cell r="F97" t="str">
            <v>0.80 m width</v>
          </cell>
          <cell r="G97">
            <v>1</v>
          </cell>
          <cell r="H97" t="str">
            <v>rmt</v>
          </cell>
          <cell r="I97">
            <v>30</v>
          </cell>
        </row>
        <row r="98">
          <cell r="B98">
            <v>512</v>
          </cell>
          <cell r="D98" t="str">
            <v>g</v>
          </cell>
          <cell r="E98" t="str">
            <v>iii</v>
          </cell>
          <cell r="F98" t="str">
            <v>1.00 m width</v>
          </cell>
          <cell r="G98">
            <v>1</v>
          </cell>
          <cell r="H98" t="str">
            <v>rmt</v>
          </cell>
          <cell r="I98">
            <v>35</v>
          </cell>
        </row>
        <row r="99">
          <cell r="B99">
            <v>513</v>
          </cell>
          <cell r="D99" t="str">
            <v>h</v>
          </cell>
          <cell r="F99" t="str">
            <v>T.Beams</v>
          </cell>
          <cell r="G99">
            <v>1</v>
          </cell>
          <cell r="H99" t="str">
            <v>cum</v>
          </cell>
          <cell r="I99">
            <v>650</v>
          </cell>
        </row>
        <row r="100">
          <cell r="B100">
            <v>514</v>
          </cell>
          <cell r="F100" t="str">
            <v>Columns, Rectangular beams, L.Beams</v>
          </cell>
          <cell r="G100">
            <v>1</v>
          </cell>
          <cell r="H100" t="str">
            <v>cum</v>
          </cell>
          <cell r="I100">
            <v>550</v>
          </cell>
        </row>
        <row r="101">
          <cell r="B101">
            <v>515</v>
          </cell>
          <cell r="F101" t="str">
            <v>Templates, Bed blocks,Footings</v>
          </cell>
          <cell r="G101">
            <v>1</v>
          </cell>
          <cell r="H101" t="str">
            <v>cum</v>
          </cell>
          <cell r="I101">
            <v>330</v>
          </cell>
        </row>
        <row r="102">
          <cell r="B102">
            <v>518</v>
          </cell>
          <cell r="F102" t="str">
            <v>Lintels, Plinth Beams</v>
          </cell>
          <cell r="G102">
            <v>1</v>
          </cell>
          <cell r="H102" t="str">
            <v>cum</v>
          </cell>
          <cell r="I102">
            <v>450</v>
          </cell>
        </row>
        <row r="103">
          <cell r="B103">
            <v>519</v>
          </cell>
          <cell r="F103" t="str">
            <v>Slabs above 300 mm depth</v>
          </cell>
          <cell r="G103">
            <v>1</v>
          </cell>
          <cell r="H103" t="str">
            <v>cum</v>
          </cell>
          <cell r="I103">
            <v>520</v>
          </cell>
        </row>
        <row r="104">
          <cell r="B104">
            <v>521</v>
          </cell>
          <cell r="D104" t="str">
            <v>a</v>
          </cell>
          <cell r="F104" t="str">
            <v>For mass concrete Piers, Abutments and steining well curb well caps etc.,</v>
          </cell>
          <cell r="G104">
            <v>1</v>
          </cell>
          <cell r="H104" t="str">
            <v>cum</v>
          </cell>
          <cell r="I104">
            <v>380</v>
          </cell>
        </row>
        <row r="105">
          <cell r="B105">
            <v>522</v>
          </cell>
          <cell r="F105" t="str">
            <v>For RCC Piers, Abutments, Wings, Well steining weel curbs, well Caps etc.,</v>
          </cell>
          <cell r="G105">
            <v>1</v>
          </cell>
          <cell r="H105" t="str">
            <v>cum</v>
          </cell>
          <cell r="I105">
            <v>500</v>
          </cell>
        </row>
        <row r="106">
          <cell r="B106">
            <v>523</v>
          </cell>
          <cell r="F106" t="str">
            <v>For RCC Deck Slabs</v>
          </cell>
          <cell r="G106">
            <v>1</v>
          </cell>
          <cell r="H106" t="str">
            <v>cum</v>
          </cell>
          <cell r="I106">
            <v>950</v>
          </cell>
        </row>
        <row r="107">
          <cell r="B107">
            <v>524</v>
          </cell>
          <cell r="F107" t="str">
            <v>For RCC beams</v>
          </cell>
          <cell r="G107">
            <v>1</v>
          </cell>
          <cell r="H107" t="str">
            <v>cum</v>
          </cell>
          <cell r="I107">
            <v>1150</v>
          </cell>
        </row>
        <row r="108">
          <cell r="B108">
            <v>525</v>
          </cell>
          <cell r="F108" t="str">
            <v>RCC hand rails</v>
          </cell>
          <cell r="G108">
            <v>1</v>
          </cell>
          <cell r="H108" t="str">
            <v>cum</v>
          </cell>
          <cell r="I108">
            <v>1250</v>
          </cell>
        </row>
        <row r="109">
          <cell r="B109">
            <v>526</v>
          </cell>
          <cell r="F109" t="str">
            <v>CC pavements, Wearing Coats, approach slabs guide stone JM stone etc.</v>
          </cell>
          <cell r="G109">
            <v>1</v>
          </cell>
          <cell r="H109" t="str">
            <v>cum</v>
          </cell>
          <cell r="I109">
            <v>95</v>
          </cell>
        </row>
        <row r="110">
          <cell r="B110">
            <v>555</v>
          </cell>
          <cell r="D110" t="str">
            <v>a</v>
          </cell>
          <cell r="F110" t="str">
            <v>250 mm dia</v>
          </cell>
          <cell r="G110">
            <v>1</v>
          </cell>
          <cell r="H110" t="str">
            <v>rmt</v>
          </cell>
          <cell r="I110">
            <v>8</v>
          </cell>
        </row>
        <row r="111">
          <cell r="B111">
            <v>556</v>
          </cell>
          <cell r="D111" t="str">
            <v>b</v>
          </cell>
          <cell r="F111" t="str">
            <v>300 mm dia</v>
          </cell>
          <cell r="G111">
            <v>1</v>
          </cell>
          <cell r="H111" t="str">
            <v>rmt</v>
          </cell>
          <cell r="I111">
            <v>11</v>
          </cell>
        </row>
        <row r="112">
          <cell r="B112">
            <v>557</v>
          </cell>
          <cell r="D112" t="str">
            <v>c</v>
          </cell>
          <cell r="F112" t="str">
            <v>450 mm dia</v>
          </cell>
          <cell r="G112">
            <v>1</v>
          </cell>
          <cell r="H112" t="str">
            <v>rmt</v>
          </cell>
          <cell r="I112">
            <v>15</v>
          </cell>
        </row>
        <row r="113">
          <cell r="B113">
            <v>558</v>
          </cell>
          <cell r="D113" t="str">
            <v>d</v>
          </cell>
          <cell r="F113" t="str">
            <v>600 mm dia</v>
          </cell>
          <cell r="G113">
            <v>1</v>
          </cell>
          <cell r="H113" t="str">
            <v>rmt</v>
          </cell>
          <cell r="I113">
            <v>25</v>
          </cell>
        </row>
        <row r="114">
          <cell r="B114">
            <v>559</v>
          </cell>
          <cell r="D114" t="str">
            <v>e</v>
          </cell>
          <cell r="F114" t="str">
            <v>750 mm dia</v>
          </cell>
          <cell r="G114">
            <v>1</v>
          </cell>
          <cell r="H114" t="str">
            <v>rmt</v>
          </cell>
          <cell r="I114">
            <v>30</v>
          </cell>
        </row>
        <row r="115">
          <cell r="B115">
            <v>560</v>
          </cell>
          <cell r="D115" t="str">
            <v>f</v>
          </cell>
          <cell r="F115" t="str">
            <v>800 mm dia</v>
          </cell>
          <cell r="G115">
            <v>1</v>
          </cell>
          <cell r="H115" t="str">
            <v>rmt</v>
          </cell>
          <cell r="I115">
            <v>35</v>
          </cell>
        </row>
        <row r="116">
          <cell r="B116">
            <v>561</v>
          </cell>
          <cell r="D116" t="str">
            <v>g</v>
          </cell>
          <cell r="F116" t="str">
            <v>1000 mm dia</v>
          </cell>
          <cell r="G116">
            <v>1</v>
          </cell>
          <cell r="H116" t="str">
            <v>rmt</v>
          </cell>
          <cell r="I116">
            <v>40</v>
          </cell>
        </row>
        <row r="117">
          <cell r="B117">
            <v>562</v>
          </cell>
          <cell r="D117" t="str">
            <v>h</v>
          </cell>
          <cell r="F117" t="str">
            <v>1220 mm dia</v>
          </cell>
          <cell r="G117">
            <v>1</v>
          </cell>
          <cell r="H117" t="str">
            <v>rmt</v>
          </cell>
          <cell r="I117">
            <v>50</v>
          </cell>
        </row>
        <row r="118">
          <cell r="B118">
            <v>563</v>
          </cell>
          <cell r="D118" t="str">
            <v>a</v>
          </cell>
          <cell r="F118" t="str">
            <v>40 mm</v>
          </cell>
          <cell r="G118">
            <v>1</v>
          </cell>
          <cell r="H118" t="str">
            <v>sqm</v>
          </cell>
          <cell r="I118">
            <v>29</v>
          </cell>
        </row>
        <row r="119">
          <cell r="B119">
            <v>564</v>
          </cell>
          <cell r="D119" t="str">
            <v>b</v>
          </cell>
          <cell r="F119" t="str">
            <v>50 mm</v>
          </cell>
          <cell r="G119">
            <v>1</v>
          </cell>
          <cell r="H119" t="str">
            <v>sqm</v>
          </cell>
          <cell r="I119">
            <v>31</v>
          </cell>
        </row>
        <row r="120">
          <cell r="B120">
            <v>565</v>
          </cell>
          <cell r="D120" t="str">
            <v>c</v>
          </cell>
          <cell r="F120" t="str">
            <v>75 mm</v>
          </cell>
          <cell r="G120">
            <v>1</v>
          </cell>
          <cell r="H120" t="str">
            <v>sqm</v>
          </cell>
          <cell r="I120">
            <v>34</v>
          </cell>
        </row>
        <row r="121">
          <cell r="B121">
            <v>566</v>
          </cell>
          <cell r="D121" t="str">
            <v>d</v>
          </cell>
          <cell r="F121" t="str">
            <v>100 mm</v>
          </cell>
          <cell r="G121">
            <v>1</v>
          </cell>
          <cell r="H121" t="str">
            <v>sqm</v>
          </cell>
          <cell r="I121">
            <v>36</v>
          </cell>
        </row>
        <row r="122">
          <cell r="B122">
            <v>570</v>
          </cell>
          <cell r="C122">
            <v>52</v>
          </cell>
          <cell r="F122" t="str">
            <v>Picking 50mm to 100mm old metalled surface and sectioning</v>
          </cell>
          <cell r="G122">
            <v>10</v>
          </cell>
          <cell r="H122" t="str">
            <v>sqm</v>
          </cell>
          <cell r="I122">
            <v>10</v>
          </cell>
        </row>
        <row r="123">
          <cell r="B123">
            <v>571</v>
          </cell>
          <cell r="C123">
            <v>53</v>
          </cell>
          <cell r="F123" t="str">
            <v>Picking gravelled surface 25mm deep and levelling and sectioning</v>
          </cell>
          <cell r="G123">
            <v>10</v>
          </cell>
          <cell r="H123" t="str">
            <v>sqm</v>
          </cell>
          <cell r="I123">
            <v>2.5</v>
          </cell>
        </row>
        <row r="124">
          <cell r="B124">
            <v>572</v>
          </cell>
          <cell r="C124">
            <v>54</v>
          </cell>
          <cell r="F124" t="str">
            <v>Picking existing BT survace and removal of chips</v>
          </cell>
          <cell r="G124">
            <v>10</v>
          </cell>
          <cell r="H124" t="str">
            <v>sqm</v>
          </cell>
          <cell r="I124">
            <v>9.5</v>
          </cell>
        </row>
      </sheetData>
      <sheetData sheetId="11"/>
      <sheetData sheetId="12" refreshError="1"/>
      <sheetData sheetId="13"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rdamdata"/>
      <sheetName val="lead-st"/>
      <sheetName val="impRoaddam"/>
      <sheetName val="CDdata (2)"/>
      <sheetName val="1v600stone"/>
      <sheetName val="2v900stone"/>
      <sheetName val="3v900stone"/>
      <sheetName val="CDdata"/>
      <sheetName val="F7hp600"/>
      <sheetName val="1v900"/>
      <sheetName val="cwaydata (2)"/>
      <sheetName val="LLCWay"/>
      <sheetName val="1v900stone"/>
      <sheetName val="CDdata (3)"/>
      <sheetName val="F7hp1v900"/>
      <sheetName val="F7hp2v900"/>
      <sheetName val="F7hp3v900"/>
      <sheetName val="Hydra"/>
    </sheetNames>
    <sheetDataSet>
      <sheetData sheetId="0" refreshError="1">
        <row r="6">
          <cell r="J6">
            <v>336.1</v>
          </cell>
        </row>
        <row r="7">
          <cell r="J7">
            <v>640.6</v>
          </cell>
        </row>
        <row r="8">
          <cell r="J8">
            <v>528.1</v>
          </cell>
        </row>
        <row r="9">
          <cell r="J9">
            <v>181.1</v>
          </cell>
        </row>
        <row r="10">
          <cell r="J10">
            <v>226.1</v>
          </cell>
        </row>
        <row r="11">
          <cell r="J11">
            <v>90.1</v>
          </cell>
        </row>
        <row r="12">
          <cell r="J12">
            <v>94.4</v>
          </cell>
        </row>
      </sheetData>
      <sheetData sheetId="1" refreshError="1">
        <row r="7">
          <cell r="L7">
            <v>470</v>
          </cell>
        </row>
        <row r="8">
          <cell r="L8">
            <v>774.5</v>
          </cell>
        </row>
        <row r="9">
          <cell r="L9">
            <v>662</v>
          </cell>
        </row>
        <row r="10">
          <cell r="L10">
            <v>252.79999999999998</v>
          </cell>
        </row>
        <row r="11">
          <cell r="L11">
            <v>315</v>
          </cell>
        </row>
        <row r="12">
          <cell r="L12">
            <v>360</v>
          </cell>
        </row>
        <row r="13">
          <cell r="L13">
            <v>162.1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leads"/>
      <sheetName val="cover"/>
      <sheetName val="abstract"/>
      <sheetName val="detailed"/>
      <sheetName val="btrates"/>
      <sheetName val="cost"/>
      <sheetName val="thick"/>
      <sheetName val="Leadcost"/>
      <sheetName val="data"/>
      <sheetName val="hp900"/>
      <sheetName val="CDdata (2)"/>
      <sheetName val="1v900"/>
      <sheetName val="2v900"/>
      <sheetName val="3v900"/>
      <sheetName val="impRdam"/>
      <sheetName val="lchart"/>
      <sheetName val="lchart1"/>
    </sheetNames>
    <sheetDataSet>
      <sheetData sheetId="0" refreshError="1">
        <row r="7">
          <cell r="H7">
            <v>48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Lead"/>
      <sheetName val="Materials"/>
      <sheetName val="Data "/>
      <sheetName val="Retaing"/>
      <sheetName val="Abstract(F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7">
          <cell r="H7">
            <v>48</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lead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s>
    <sheetDataSet>
      <sheetData sheetId="0" refreshError="1">
        <row r="3">
          <cell r="A3" t="str">
            <v>Sno</v>
          </cell>
          <cell r="B3" t="str">
            <v>Lead</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eet1"/>
      <sheetName val="F6pave"/>
      <sheetName val="F7hp900"/>
      <sheetName val="F7hp600"/>
      <sheetName val="F7slb3m"/>
      <sheetName val="F7slb4m"/>
      <sheetName val="F8rate"/>
      <sheetName val="Sheet2"/>
      <sheetName val="CDdata"/>
    </sheetNames>
    <sheetDataSet>
      <sheetData sheetId="0"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1"/>
      <sheetData sheetId="2"/>
      <sheetData sheetId="3"/>
      <sheetData sheetId="4" refreshError="1"/>
      <sheetData sheetId="5" refreshError="1"/>
      <sheetData sheetId="6" refreshError="1"/>
      <sheetData sheetId="7" refreshError="1"/>
      <sheetData sheetId="8"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r"/>
      <sheetName val="index"/>
      <sheetName val="gen_abst"/>
      <sheetName val="abstract"/>
      <sheetName val="detailed"/>
      <sheetName val="water"/>
      <sheetName val="data_new"/>
      <sheetName val="lead-st"/>
      <sheetName val="v"/>
      <sheetName val="l"/>
      <sheetName val="electrical"/>
      <sheetName val="marking"/>
      <sheetName val="beams"/>
      <sheetName val="features"/>
      <sheetName val="c_wall"/>
    </sheetNames>
    <sheetDataSet>
      <sheetData sheetId="0" refreshError="1">
        <row r="4">
          <cell r="F4">
            <v>65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v"/>
      <sheetName val="r"/>
      <sheetName val="mro_bldg"/>
      <sheetName val="mpp_bldg"/>
      <sheetName val="abstract"/>
      <sheetName val="detailed"/>
      <sheetName val="sanitory"/>
      <sheetName val="septic_tank"/>
      <sheetName val="electri"/>
      <sheetName val="c_wall"/>
      <sheetName val="data_sein"/>
      <sheetName val="l"/>
      <sheetName val="door"/>
      <sheetName val="win"/>
    </sheetNames>
    <sheetDataSet>
      <sheetData sheetId="0"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D6">
            <v>2500</v>
          </cell>
          <cell r="E6" t="str">
            <v>/MT</v>
          </cell>
        </row>
        <row r="7">
          <cell r="A7">
            <v>6</v>
          </cell>
          <cell r="B7" t="str">
            <v>Steel</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 refreshError="1">
        <row r="1">
          <cell r="B1" t="str">
            <v>SNO</v>
          </cell>
          <cell r="C1" t="str">
            <v>SSITEMNO</v>
          </cell>
          <cell r="F1" t="str">
            <v>DETAILS</v>
          </cell>
          <cell r="G1" t="str">
            <v>Unit</v>
          </cell>
          <cell r="H1" t="str">
            <v>PER</v>
          </cell>
          <cell r="I1" t="str">
            <v>RATE</v>
          </cell>
        </row>
        <row r="2">
          <cell r="B2">
            <v>1</v>
          </cell>
          <cell r="C2" t="str">
            <v>1ab</v>
          </cell>
          <cell r="F2" t="str">
            <v>1st Class Mason</v>
          </cell>
          <cell r="G2">
            <v>1</v>
          </cell>
          <cell r="H2" t="str">
            <v>each</v>
          </cell>
          <cell r="I2">
            <v>86</v>
          </cell>
        </row>
        <row r="3">
          <cell r="B3">
            <v>26</v>
          </cell>
          <cell r="C3">
            <v>17</v>
          </cell>
          <cell r="F3" t="str">
            <v>Spl.grade Mason</v>
          </cell>
          <cell r="G3">
            <v>1</v>
          </cell>
          <cell r="H3" t="str">
            <v>each</v>
          </cell>
          <cell r="I3">
            <v>0</v>
          </cell>
        </row>
        <row r="4">
          <cell r="B4">
            <v>28</v>
          </cell>
          <cell r="C4" t="str">
            <v>1a</v>
          </cell>
          <cell r="F4" t="str">
            <v>2nd Class Mason</v>
          </cell>
          <cell r="G4">
            <v>1</v>
          </cell>
          <cell r="H4" t="str">
            <v>each</v>
          </cell>
          <cell r="I4">
            <v>75</v>
          </cell>
        </row>
        <row r="5">
          <cell r="B5">
            <v>53</v>
          </cell>
          <cell r="C5">
            <v>2</v>
          </cell>
          <cell r="F5" t="str">
            <v>Man Mazdoor</v>
          </cell>
          <cell r="G5">
            <v>1</v>
          </cell>
          <cell r="H5" t="str">
            <v>each</v>
          </cell>
          <cell r="I5">
            <v>55</v>
          </cell>
        </row>
        <row r="6">
          <cell r="B6">
            <v>54</v>
          </cell>
          <cell r="C6">
            <v>3</v>
          </cell>
          <cell r="F6" t="str">
            <v>Woman Mazdoor</v>
          </cell>
          <cell r="G6">
            <v>1</v>
          </cell>
          <cell r="H6" t="str">
            <v>each</v>
          </cell>
          <cell r="I6">
            <v>55</v>
          </cell>
        </row>
        <row r="7">
          <cell r="B7">
            <v>60</v>
          </cell>
          <cell r="C7" t="str">
            <v>1a</v>
          </cell>
          <cell r="F7" t="str">
            <v>2nd Class Bricks</v>
          </cell>
          <cell r="G7">
            <v>1000</v>
          </cell>
          <cell r="H7" t="str">
            <v>Nos</v>
          </cell>
          <cell r="I7">
            <v>1200</v>
          </cell>
        </row>
        <row r="8">
          <cell r="B8">
            <v>67</v>
          </cell>
          <cell r="C8" t="str">
            <v>2c</v>
          </cell>
          <cell r="F8" t="str">
            <v>RR stone Granite Variety</v>
          </cell>
          <cell r="G8">
            <v>1</v>
          </cell>
          <cell r="H8" t="str">
            <v>cum</v>
          </cell>
          <cell r="I8">
            <v>75</v>
          </cell>
        </row>
        <row r="9">
          <cell r="B9">
            <v>72</v>
          </cell>
          <cell r="C9" t="str">
            <v>3a</v>
          </cell>
          <cell r="F9" t="str">
            <v>CR stone Granite Variety</v>
          </cell>
          <cell r="G9">
            <v>1</v>
          </cell>
          <cell r="H9" t="str">
            <v>cum</v>
          </cell>
          <cell r="I9">
            <v>109</v>
          </cell>
        </row>
        <row r="10">
          <cell r="B10">
            <v>80</v>
          </cell>
          <cell r="F10" t="str">
            <v>6 mm SS</v>
          </cell>
          <cell r="G10">
            <v>1</v>
          </cell>
          <cell r="H10" t="str">
            <v>cum</v>
          </cell>
          <cell r="I10">
            <v>170</v>
          </cell>
        </row>
        <row r="11">
          <cell r="B11">
            <v>81</v>
          </cell>
          <cell r="F11" t="str">
            <v>5 to 7 mm IRC</v>
          </cell>
          <cell r="G11">
            <v>1</v>
          </cell>
          <cell r="H11" t="str">
            <v>cum</v>
          </cell>
          <cell r="I11">
            <v>170</v>
          </cell>
        </row>
        <row r="12">
          <cell r="B12">
            <v>82</v>
          </cell>
          <cell r="F12" t="str">
            <v>10 mm SS</v>
          </cell>
          <cell r="G12">
            <v>1</v>
          </cell>
          <cell r="H12" t="str">
            <v>cum</v>
          </cell>
          <cell r="I12">
            <v>250</v>
          </cell>
        </row>
        <row r="13">
          <cell r="B13">
            <v>83</v>
          </cell>
          <cell r="F13" t="str">
            <v>10 to 11.2 IRC</v>
          </cell>
          <cell r="G13">
            <v>1</v>
          </cell>
          <cell r="H13" t="str">
            <v>cum</v>
          </cell>
          <cell r="I13">
            <v>250</v>
          </cell>
        </row>
        <row r="14">
          <cell r="B14">
            <v>84</v>
          </cell>
          <cell r="F14" t="str">
            <v>12 mm SS</v>
          </cell>
          <cell r="G14">
            <v>1</v>
          </cell>
          <cell r="H14" t="str">
            <v>cum</v>
          </cell>
          <cell r="I14">
            <v>300</v>
          </cell>
        </row>
        <row r="15">
          <cell r="B15">
            <v>85</v>
          </cell>
          <cell r="F15" t="str">
            <v>12 to 14 mm IRC</v>
          </cell>
          <cell r="G15">
            <v>1</v>
          </cell>
          <cell r="H15" t="str">
            <v>cum</v>
          </cell>
          <cell r="I15">
            <v>300</v>
          </cell>
        </row>
        <row r="16">
          <cell r="B16">
            <v>86</v>
          </cell>
          <cell r="F16" t="str">
            <v>20 mm SS</v>
          </cell>
          <cell r="G16">
            <v>1</v>
          </cell>
          <cell r="H16" t="str">
            <v>cum</v>
          </cell>
          <cell r="I16">
            <v>380</v>
          </cell>
        </row>
        <row r="17">
          <cell r="B17">
            <v>87</v>
          </cell>
          <cell r="F17" t="str">
            <v>20 to 22 mm IRC</v>
          </cell>
          <cell r="G17">
            <v>1</v>
          </cell>
          <cell r="H17" t="str">
            <v>cum</v>
          </cell>
          <cell r="I17">
            <v>375</v>
          </cell>
        </row>
        <row r="18">
          <cell r="B18">
            <v>88</v>
          </cell>
          <cell r="F18" t="str">
            <v>25 mm SS</v>
          </cell>
          <cell r="G18">
            <v>1</v>
          </cell>
          <cell r="H18" t="str">
            <v>cum</v>
          </cell>
          <cell r="I18">
            <v>300</v>
          </cell>
        </row>
        <row r="19">
          <cell r="B19">
            <v>89</v>
          </cell>
          <cell r="F19" t="str">
            <v>25 to 27 mm IRC</v>
          </cell>
          <cell r="G19">
            <v>1</v>
          </cell>
          <cell r="H19" t="str">
            <v>cum</v>
          </cell>
          <cell r="I19">
            <v>300</v>
          </cell>
        </row>
        <row r="20">
          <cell r="B20">
            <v>90</v>
          </cell>
          <cell r="F20" t="str">
            <v>40 mm SS</v>
          </cell>
          <cell r="G20">
            <v>1</v>
          </cell>
          <cell r="H20" t="str">
            <v>cum</v>
          </cell>
          <cell r="I20">
            <v>215</v>
          </cell>
        </row>
        <row r="21">
          <cell r="B21">
            <v>91</v>
          </cell>
          <cell r="F21" t="str">
            <v>40 to 45 mm IRC</v>
          </cell>
          <cell r="G21">
            <v>1</v>
          </cell>
          <cell r="H21" t="str">
            <v>cum</v>
          </cell>
          <cell r="I21">
            <v>200</v>
          </cell>
        </row>
        <row r="22">
          <cell r="B22">
            <v>92</v>
          </cell>
          <cell r="F22" t="str">
            <v>50 mm SS</v>
          </cell>
          <cell r="G22">
            <v>1</v>
          </cell>
          <cell r="H22" t="str">
            <v>cum</v>
          </cell>
          <cell r="I22">
            <v>150</v>
          </cell>
        </row>
        <row r="23">
          <cell r="B23">
            <v>93</v>
          </cell>
          <cell r="F23" t="str">
            <v>50 to 55mm IRC</v>
          </cell>
          <cell r="G23">
            <v>1</v>
          </cell>
          <cell r="H23" t="str">
            <v>cum</v>
          </cell>
          <cell r="I23">
            <v>120</v>
          </cell>
        </row>
        <row r="24">
          <cell r="B24">
            <v>94</v>
          </cell>
          <cell r="F24" t="str">
            <v>60 mm SS</v>
          </cell>
          <cell r="G24">
            <v>1</v>
          </cell>
          <cell r="H24" t="str">
            <v>cum</v>
          </cell>
          <cell r="I24">
            <v>150</v>
          </cell>
        </row>
        <row r="25">
          <cell r="B25">
            <v>95</v>
          </cell>
          <cell r="F25" t="str">
            <v>60 to 63 mm IRC</v>
          </cell>
          <cell r="G25">
            <v>1</v>
          </cell>
          <cell r="H25" t="str">
            <v>cum</v>
          </cell>
          <cell r="I25">
            <v>110</v>
          </cell>
        </row>
        <row r="26">
          <cell r="B26">
            <v>96</v>
          </cell>
          <cell r="F26" t="str">
            <v>65 mm SS</v>
          </cell>
          <cell r="G26">
            <v>1</v>
          </cell>
          <cell r="H26" t="str">
            <v>cum</v>
          </cell>
          <cell r="I26">
            <v>150</v>
          </cell>
        </row>
        <row r="27">
          <cell r="B27">
            <v>97</v>
          </cell>
          <cell r="F27" t="str">
            <v>65 mm IRC</v>
          </cell>
          <cell r="G27">
            <v>1</v>
          </cell>
          <cell r="H27" t="str">
            <v>cum</v>
          </cell>
          <cell r="I27">
            <v>120</v>
          </cell>
        </row>
        <row r="28">
          <cell r="B28">
            <v>98</v>
          </cell>
          <cell r="F28" t="str">
            <v>75 mm SS</v>
          </cell>
          <cell r="G28">
            <v>1</v>
          </cell>
          <cell r="H28" t="str">
            <v>cum</v>
          </cell>
          <cell r="I28">
            <v>95</v>
          </cell>
        </row>
        <row r="29">
          <cell r="B29">
            <v>99</v>
          </cell>
          <cell r="F29" t="str">
            <v>75 mm IRC</v>
          </cell>
          <cell r="G29">
            <v>1</v>
          </cell>
          <cell r="H29" t="str">
            <v>cum</v>
          </cell>
          <cell r="I29">
            <v>95</v>
          </cell>
        </row>
        <row r="30">
          <cell r="B30">
            <v>100</v>
          </cell>
          <cell r="F30" t="str">
            <v>Blasting</v>
          </cell>
          <cell r="G30">
            <v>1</v>
          </cell>
          <cell r="H30" t="str">
            <v>cum</v>
          </cell>
          <cell r="I30">
            <v>40</v>
          </cell>
        </row>
        <row r="31">
          <cell r="B31">
            <v>101</v>
          </cell>
          <cell r="F31" t="str">
            <v>Metal Crushing</v>
          </cell>
          <cell r="G31">
            <v>1</v>
          </cell>
          <cell r="H31" t="str">
            <v>cum</v>
          </cell>
          <cell r="I31">
            <v>0.25</v>
          </cell>
        </row>
        <row r="32">
          <cell r="B32">
            <v>127</v>
          </cell>
          <cell r="C32">
            <v>9</v>
          </cell>
          <cell r="F32" t="str">
            <v>Gravel</v>
          </cell>
          <cell r="G32">
            <v>1</v>
          </cell>
          <cell r="H32" t="str">
            <v>cum</v>
          </cell>
          <cell r="I32">
            <v>25</v>
          </cell>
        </row>
        <row r="33">
          <cell r="B33">
            <v>128</v>
          </cell>
          <cell r="F33" t="str">
            <v>Quarry rubbish</v>
          </cell>
          <cell r="G33">
            <v>1</v>
          </cell>
          <cell r="H33" t="str">
            <v>cum</v>
          </cell>
          <cell r="I33">
            <v>11</v>
          </cell>
        </row>
        <row r="34">
          <cell r="B34">
            <v>129</v>
          </cell>
          <cell r="F34" t="str">
            <v>Sand for Mortar, Seal coat</v>
          </cell>
          <cell r="G34">
            <v>1</v>
          </cell>
          <cell r="H34" t="str">
            <v>cum</v>
          </cell>
          <cell r="I34">
            <v>50</v>
          </cell>
        </row>
        <row r="35">
          <cell r="B35">
            <v>130</v>
          </cell>
          <cell r="F35" t="str">
            <v>Sand for Filling, Blindage</v>
          </cell>
          <cell r="G35">
            <v>1</v>
          </cell>
          <cell r="H35" t="str">
            <v>cum</v>
          </cell>
          <cell r="I35">
            <v>20</v>
          </cell>
        </row>
        <row r="36">
          <cell r="B36">
            <v>133</v>
          </cell>
          <cell r="C36">
            <v>15</v>
          </cell>
          <cell r="F36" t="str">
            <v>40 mm thick 0.762 m x.457 m</v>
          </cell>
          <cell r="G36">
            <v>1</v>
          </cell>
          <cell r="H36" t="str">
            <v>sqm</v>
          </cell>
          <cell r="I36">
            <v>70</v>
          </cell>
        </row>
        <row r="37">
          <cell r="B37">
            <v>134</v>
          </cell>
          <cell r="C37">
            <v>16</v>
          </cell>
          <cell r="F37" t="str">
            <v>50 mm thick 0.762 m x.457 m</v>
          </cell>
          <cell r="G37">
            <v>1</v>
          </cell>
          <cell r="H37" t="str">
            <v>sqm</v>
          </cell>
          <cell r="I37">
            <v>80</v>
          </cell>
        </row>
        <row r="38">
          <cell r="B38">
            <v>136</v>
          </cell>
          <cell r="F38" t="str">
            <v>25.4 mm thick White</v>
          </cell>
          <cell r="G38">
            <v>10</v>
          </cell>
          <cell r="H38" t="str">
            <v>sqm</v>
          </cell>
          <cell r="I38">
            <v>550</v>
          </cell>
        </row>
        <row r="39">
          <cell r="B39">
            <v>137</v>
          </cell>
          <cell r="F39" t="str">
            <v>25.4 mm thick Blue</v>
          </cell>
          <cell r="G39">
            <v>10</v>
          </cell>
          <cell r="H39" t="str">
            <v>sqm</v>
          </cell>
          <cell r="I39">
            <v>600</v>
          </cell>
        </row>
        <row r="40">
          <cell r="B40">
            <v>138</v>
          </cell>
          <cell r="F40" t="str">
            <v>25.4 mm thick White</v>
          </cell>
          <cell r="G40">
            <v>10</v>
          </cell>
          <cell r="H40" t="str">
            <v>sqm</v>
          </cell>
          <cell r="I40">
            <v>600</v>
          </cell>
        </row>
        <row r="41">
          <cell r="B41">
            <v>139</v>
          </cell>
          <cell r="F41" t="str">
            <v>25.4 mm thick Blue</v>
          </cell>
          <cell r="G41">
            <v>10</v>
          </cell>
          <cell r="H41" t="str">
            <v>sqm</v>
          </cell>
          <cell r="I41">
            <v>700</v>
          </cell>
        </row>
        <row r="42">
          <cell r="B42">
            <v>140</v>
          </cell>
          <cell r="F42" t="str">
            <v>25.4 mm thick White  0.457mx0.457 m</v>
          </cell>
          <cell r="G42">
            <v>10</v>
          </cell>
          <cell r="H42" t="str">
            <v>sqm</v>
          </cell>
          <cell r="I42">
            <v>1000</v>
          </cell>
        </row>
        <row r="43">
          <cell r="B43">
            <v>141</v>
          </cell>
          <cell r="F43" t="str">
            <v>25.4 mm thick Blue  0.457mx0.457 m</v>
          </cell>
          <cell r="G43">
            <v>10</v>
          </cell>
          <cell r="H43" t="str">
            <v>sqm</v>
          </cell>
          <cell r="I43">
            <v>1150</v>
          </cell>
        </row>
        <row r="44">
          <cell r="B44">
            <v>142</v>
          </cell>
          <cell r="C44">
            <v>20</v>
          </cell>
          <cell r="F44" t="str">
            <v>25.4 mm thick   0.457mx0.457 m</v>
          </cell>
          <cell r="G44">
            <v>10</v>
          </cell>
          <cell r="H44" t="str">
            <v>sqm</v>
          </cell>
          <cell r="I44">
            <v>900</v>
          </cell>
        </row>
        <row r="45">
          <cell r="B45">
            <v>143</v>
          </cell>
          <cell r="C45">
            <v>21</v>
          </cell>
          <cell r="F45" t="str">
            <v>25.4 mm thick 0.254mx0.254 m White</v>
          </cell>
          <cell r="G45">
            <v>10</v>
          </cell>
          <cell r="H45" t="str">
            <v>sqm</v>
          </cell>
          <cell r="I45">
            <v>2700</v>
          </cell>
        </row>
        <row r="46">
          <cell r="B46">
            <v>168</v>
          </cell>
          <cell r="F46" t="str">
            <v>Cement Mortar</v>
          </cell>
          <cell r="G46">
            <v>1</v>
          </cell>
          <cell r="H46" t="str">
            <v>cum</v>
          </cell>
          <cell r="I46">
            <v>15</v>
          </cell>
        </row>
        <row r="47">
          <cell r="B47">
            <v>169</v>
          </cell>
          <cell r="F47" t="str">
            <v>By Machine</v>
          </cell>
          <cell r="G47">
            <v>1</v>
          </cell>
          <cell r="H47" t="str">
            <v>cum</v>
          </cell>
          <cell r="I47">
            <v>25</v>
          </cell>
        </row>
        <row r="48">
          <cell r="B48">
            <v>175</v>
          </cell>
          <cell r="F48" t="str">
            <v>White Cement</v>
          </cell>
          <cell r="G48">
            <v>1</v>
          </cell>
          <cell r="H48" t="str">
            <v>kg</v>
          </cell>
          <cell r="I48">
            <v>9</v>
          </cell>
        </row>
        <row r="49">
          <cell r="B49">
            <v>176</v>
          </cell>
          <cell r="F49" t="str">
            <v xml:space="preserve">Scantling below 2m </v>
          </cell>
          <cell r="G49">
            <v>1</v>
          </cell>
          <cell r="H49" t="str">
            <v>cum</v>
          </cell>
          <cell r="I49">
            <v>50000</v>
          </cell>
        </row>
        <row r="50">
          <cell r="B50">
            <v>177</v>
          </cell>
          <cell r="F50" t="str">
            <v xml:space="preserve">Scantling above 2m </v>
          </cell>
          <cell r="G50">
            <v>1</v>
          </cell>
          <cell r="H50" t="str">
            <v>cum</v>
          </cell>
          <cell r="I50">
            <v>52000</v>
          </cell>
        </row>
        <row r="51">
          <cell r="B51">
            <v>178</v>
          </cell>
          <cell r="F51" t="str">
            <v>Planks of all sizes</v>
          </cell>
          <cell r="G51">
            <v>1</v>
          </cell>
          <cell r="H51" t="str">
            <v>cum</v>
          </cell>
          <cell r="I51">
            <v>55000</v>
          </cell>
        </row>
        <row r="52">
          <cell r="B52">
            <v>176</v>
          </cell>
          <cell r="F52" t="str">
            <v xml:space="preserve">Scantling below 2m </v>
          </cell>
          <cell r="G52">
            <v>1</v>
          </cell>
          <cell r="H52" t="str">
            <v>cum</v>
          </cell>
          <cell r="I52">
            <v>40000</v>
          </cell>
        </row>
        <row r="53">
          <cell r="B53">
            <v>177</v>
          </cell>
          <cell r="F53" t="str">
            <v xml:space="preserve">Scantling above 2m </v>
          </cell>
          <cell r="G53">
            <v>1</v>
          </cell>
          <cell r="H53" t="str">
            <v>cum</v>
          </cell>
          <cell r="I53">
            <v>42000</v>
          </cell>
        </row>
        <row r="54">
          <cell r="B54">
            <v>178</v>
          </cell>
          <cell r="F54" t="str">
            <v>Planks of all sizes</v>
          </cell>
          <cell r="G54">
            <v>1</v>
          </cell>
          <cell r="H54" t="str">
            <v>cum</v>
          </cell>
          <cell r="I54">
            <v>45000</v>
          </cell>
        </row>
        <row r="55">
          <cell r="B55">
            <v>187</v>
          </cell>
          <cell r="F55" t="str">
            <v>Steel fabrication</v>
          </cell>
          <cell r="G55">
            <v>1</v>
          </cell>
          <cell r="H55" t="str">
            <v>kg</v>
          </cell>
          <cell r="I55">
            <v>3.25</v>
          </cell>
        </row>
        <row r="56">
          <cell r="B56">
            <v>234</v>
          </cell>
          <cell r="F56" t="str">
            <v>25 mm thick</v>
          </cell>
          <cell r="G56">
            <v>1</v>
          </cell>
          <cell r="H56" t="str">
            <v>sqm</v>
          </cell>
          <cell r="I56">
            <v>80</v>
          </cell>
        </row>
        <row r="57">
          <cell r="B57">
            <v>235</v>
          </cell>
          <cell r="F57" t="str">
            <v>40 mm thick</v>
          </cell>
          <cell r="G57">
            <v>1</v>
          </cell>
          <cell r="H57" t="str">
            <v>sqm</v>
          </cell>
          <cell r="I57">
            <v>105</v>
          </cell>
        </row>
        <row r="58">
          <cell r="B58">
            <v>236</v>
          </cell>
          <cell r="F58" t="str">
            <v>50 mm thick</v>
          </cell>
          <cell r="G58">
            <v>1</v>
          </cell>
          <cell r="H58" t="str">
            <v>sqm</v>
          </cell>
          <cell r="I58">
            <v>140</v>
          </cell>
        </row>
        <row r="59">
          <cell r="B59">
            <v>239</v>
          </cell>
          <cell r="F59" t="str">
            <v>Dry powder Distemper</v>
          </cell>
          <cell r="G59">
            <v>1</v>
          </cell>
          <cell r="H59" t="str">
            <v>kg</v>
          </cell>
          <cell r="I59">
            <v>20</v>
          </cell>
        </row>
        <row r="60">
          <cell r="B60">
            <v>240</v>
          </cell>
          <cell r="F60" t="str">
            <v>Oil bound washable Distemper</v>
          </cell>
          <cell r="G60">
            <v>1</v>
          </cell>
          <cell r="H60" t="str">
            <v>kg</v>
          </cell>
          <cell r="I60">
            <v>60</v>
          </cell>
        </row>
        <row r="61">
          <cell r="B61">
            <v>245</v>
          </cell>
          <cell r="F61" t="str">
            <v>Alluminium paint 1st grade</v>
          </cell>
          <cell r="G61">
            <v>1</v>
          </cell>
          <cell r="H61" t="str">
            <v>litre</v>
          </cell>
          <cell r="I61">
            <v>176</v>
          </cell>
        </row>
        <row r="62">
          <cell r="B62">
            <v>246</v>
          </cell>
          <cell r="F62" t="str">
            <v>Anti corrosive bitument pain (Black) grade -1</v>
          </cell>
          <cell r="G62">
            <v>1</v>
          </cell>
          <cell r="H62" t="str">
            <v>litre</v>
          </cell>
          <cell r="I62">
            <v>250</v>
          </cell>
        </row>
        <row r="63">
          <cell r="B63">
            <v>247</v>
          </cell>
          <cell r="F63" t="str">
            <v>Red oxide Primer Paint grade-I</v>
          </cell>
          <cell r="G63">
            <v>1</v>
          </cell>
          <cell r="H63" t="str">
            <v>litre</v>
          </cell>
          <cell r="I63">
            <v>55</v>
          </cell>
        </row>
        <row r="64">
          <cell r="B64">
            <v>248</v>
          </cell>
          <cell r="F64" t="str">
            <v>Red oxide Primer Paint grade-II</v>
          </cell>
          <cell r="G64">
            <v>1</v>
          </cell>
          <cell r="H64" t="str">
            <v>litre</v>
          </cell>
          <cell r="I64">
            <v>45</v>
          </cell>
        </row>
        <row r="65">
          <cell r="B65">
            <v>249</v>
          </cell>
          <cell r="F65" t="str">
            <v>Synthetic enamel paints in all shades grade-I</v>
          </cell>
          <cell r="G65">
            <v>1</v>
          </cell>
          <cell r="H65" t="str">
            <v>litre</v>
          </cell>
          <cell r="I65">
            <v>130</v>
          </cell>
        </row>
        <row r="66">
          <cell r="B66">
            <v>250</v>
          </cell>
          <cell r="F66" t="str">
            <v>Synthetic enamel paints in all shades grade-II</v>
          </cell>
          <cell r="G66">
            <v>1</v>
          </cell>
          <cell r="H66" t="str">
            <v>litre</v>
          </cell>
          <cell r="I66">
            <v>95</v>
          </cell>
        </row>
        <row r="67">
          <cell r="B67">
            <v>251</v>
          </cell>
          <cell r="F67" t="str">
            <v>Plastic emultion paint grade-I</v>
          </cell>
          <cell r="G67">
            <v>1</v>
          </cell>
          <cell r="H67" t="str">
            <v>litre</v>
          </cell>
          <cell r="I67">
            <v>200</v>
          </cell>
        </row>
        <row r="68">
          <cell r="B68">
            <v>252</v>
          </cell>
          <cell r="C68">
            <v>63</v>
          </cell>
          <cell r="F68" t="str">
            <v>Oil Bound Distemper</v>
          </cell>
          <cell r="G68">
            <v>1</v>
          </cell>
          <cell r="H68" t="str">
            <v>kg</v>
          </cell>
          <cell r="I68">
            <v>40</v>
          </cell>
        </row>
        <row r="69">
          <cell r="B69">
            <v>253</v>
          </cell>
          <cell r="C69">
            <v>64</v>
          </cell>
          <cell r="F69" t="str">
            <v>Water proof cement paint of Superior Quality</v>
          </cell>
          <cell r="G69">
            <v>1</v>
          </cell>
          <cell r="H69" t="str">
            <v>kg</v>
          </cell>
          <cell r="I69">
            <v>30</v>
          </cell>
        </row>
        <row r="70">
          <cell r="B70">
            <v>254</v>
          </cell>
          <cell r="C70">
            <v>65</v>
          </cell>
          <cell r="F70" t="str">
            <v>White lead</v>
          </cell>
          <cell r="G70">
            <v>1</v>
          </cell>
          <cell r="H70" t="str">
            <v>kg</v>
          </cell>
          <cell r="I70">
            <v>50</v>
          </cell>
        </row>
        <row r="71">
          <cell r="B71">
            <v>255</v>
          </cell>
          <cell r="C71">
            <v>66</v>
          </cell>
          <cell r="F71" t="str">
            <v>Marble powder</v>
          </cell>
          <cell r="G71">
            <v>1</v>
          </cell>
          <cell r="H71" t="str">
            <v>kg</v>
          </cell>
          <cell r="I71">
            <v>12.5</v>
          </cell>
        </row>
        <row r="72">
          <cell r="B72">
            <v>256</v>
          </cell>
          <cell r="C72">
            <v>67</v>
          </cell>
          <cell r="F72" t="str">
            <v>Cement Primer grade-I</v>
          </cell>
          <cell r="G72">
            <v>1</v>
          </cell>
          <cell r="H72" t="str">
            <v>kg</v>
          </cell>
          <cell r="I72">
            <v>65</v>
          </cell>
        </row>
        <row r="73">
          <cell r="B73">
            <v>257</v>
          </cell>
          <cell r="F73" t="str">
            <v>Cement Primer grade-II</v>
          </cell>
          <cell r="G73">
            <v>1</v>
          </cell>
          <cell r="H73" t="str">
            <v>kg</v>
          </cell>
          <cell r="I73">
            <v>50</v>
          </cell>
        </row>
        <row r="74">
          <cell r="B74">
            <v>274</v>
          </cell>
          <cell r="D74" t="str">
            <v>b</v>
          </cell>
          <cell r="F74" t="str">
            <v>Fevicol</v>
          </cell>
          <cell r="G74">
            <v>1</v>
          </cell>
          <cell r="H74" t="str">
            <v>kg</v>
          </cell>
          <cell r="I74">
            <v>100</v>
          </cell>
        </row>
        <row r="75">
          <cell r="B75">
            <v>352</v>
          </cell>
          <cell r="D75" t="str">
            <v>a</v>
          </cell>
          <cell r="F75" t="str">
            <v>Clearing heavy jungle</v>
          </cell>
          <cell r="G75">
            <v>10</v>
          </cell>
          <cell r="H75" t="str">
            <v>sqm</v>
          </cell>
          <cell r="I75">
            <v>6</v>
          </cell>
        </row>
        <row r="76">
          <cell r="B76">
            <v>353</v>
          </cell>
          <cell r="D76" t="str">
            <v>b</v>
          </cell>
          <cell r="F76" t="str">
            <v>Clearing Light jungle</v>
          </cell>
          <cell r="G76">
            <v>10</v>
          </cell>
          <cell r="H76" t="str">
            <v>sqm</v>
          </cell>
          <cell r="I76">
            <v>5</v>
          </cell>
        </row>
        <row r="77">
          <cell r="B77">
            <v>354</v>
          </cell>
          <cell r="D77" t="str">
            <v>c</v>
          </cell>
          <cell r="F77" t="str">
            <v>Clearing Scrub jungle</v>
          </cell>
          <cell r="G77">
            <v>10</v>
          </cell>
          <cell r="H77" t="str">
            <v>sqm</v>
          </cell>
          <cell r="I77">
            <v>3</v>
          </cell>
        </row>
        <row r="78">
          <cell r="B78">
            <v>355</v>
          </cell>
          <cell r="D78" t="str">
            <v>d</v>
          </cell>
          <cell r="F78" t="str">
            <v xml:space="preserve">Cleaing Julie flora </v>
          </cell>
          <cell r="G78">
            <v>10</v>
          </cell>
          <cell r="H78" t="str">
            <v>sqm</v>
          </cell>
          <cell r="I78">
            <v>14</v>
          </cell>
        </row>
        <row r="79">
          <cell r="B79">
            <v>408</v>
          </cell>
          <cell r="D79" t="str">
            <v>a</v>
          </cell>
          <cell r="F79" t="str">
            <v>Loamy &amp; Clay soils like BC soils, Red earth &amp; OG SS 302 &amp; 303</v>
          </cell>
          <cell r="G79">
            <v>10</v>
          </cell>
          <cell r="H79" t="str">
            <v>cum</v>
          </cell>
          <cell r="I79">
            <v>235</v>
          </cell>
        </row>
        <row r="80">
          <cell r="B80">
            <v>409</v>
          </cell>
          <cell r="F80" t="str">
            <v>Loamy &amp; Clay soils like BC soils, Red earth &amp; OG SS 301</v>
          </cell>
          <cell r="G80">
            <v>10</v>
          </cell>
          <cell r="H80" t="str">
            <v>cum</v>
          </cell>
          <cell r="I80">
            <v>215</v>
          </cell>
        </row>
        <row r="81">
          <cell r="B81">
            <v>412</v>
          </cell>
          <cell r="F81" t="str">
            <v>Hard Gravelly Soils SS 302 &amp; 303</v>
          </cell>
          <cell r="G81">
            <v>10</v>
          </cell>
          <cell r="H81" t="str">
            <v>cum</v>
          </cell>
          <cell r="I81">
            <v>250</v>
          </cell>
        </row>
        <row r="82">
          <cell r="B82">
            <v>413</v>
          </cell>
          <cell r="F82" t="str">
            <v>Hard Gravelly Soils SS 301</v>
          </cell>
          <cell r="G82">
            <v>10</v>
          </cell>
          <cell r="H82" t="str">
            <v>cum</v>
          </cell>
          <cell r="I82">
            <v>230</v>
          </cell>
        </row>
        <row r="83">
          <cell r="B83">
            <v>459</v>
          </cell>
          <cell r="C83">
            <v>35</v>
          </cell>
          <cell r="F83" t="str">
            <v>Vibrating Concrete</v>
          </cell>
          <cell r="G83">
            <v>1</v>
          </cell>
          <cell r="H83" t="str">
            <v>cum</v>
          </cell>
          <cell r="I83">
            <v>22.4</v>
          </cell>
        </row>
        <row r="84">
          <cell r="B84">
            <v>460</v>
          </cell>
          <cell r="C84">
            <v>36</v>
          </cell>
          <cell r="F84" t="str">
            <v>Machine mixing Concrete</v>
          </cell>
          <cell r="G84">
            <v>1</v>
          </cell>
          <cell r="H84" t="str">
            <v>cum</v>
          </cell>
          <cell r="I84">
            <v>21.8</v>
          </cell>
        </row>
        <row r="85">
          <cell r="B85">
            <v>461</v>
          </cell>
          <cell r="C85">
            <v>37</v>
          </cell>
          <cell r="F85" t="str">
            <v>Power for Mixer</v>
          </cell>
          <cell r="G85">
            <v>1</v>
          </cell>
          <cell r="H85" t="str">
            <v>cum</v>
          </cell>
          <cell r="I85">
            <v>14.5</v>
          </cell>
        </row>
        <row r="86">
          <cell r="B86">
            <v>495</v>
          </cell>
          <cell r="C86">
            <v>40</v>
          </cell>
          <cell r="D86" t="str">
            <v>a</v>
          </cell>
          <cell r="F86" t="str">
            <v>First Floor</v>
          </cell>
          <cell r="G86">
            <v>1</v>
          </cell>
          <cell r="H86" t="str">
            <v>cum</v>
          </cell>
          <cell r="I86">
            <v>22</v>
          </cell>
        </row>
        <row r="87">
          <cell r="B87">
            <v>496</v>
          </cell>
          <cell r="D87" t="str">
            <v>b</v>
          </cell>
          <cell r="F87" t="str">
            <v>Second Floor</v>
          </cell>
          <cell r="G87">
            <v>1</v>
          </cell>
          <cell r="H87" t="str">
            <v>cum</v>
          </cell>
          <cell r="I87">
            <v>27</v>
          </cell>
        </row>
        <row r="88">
          <cell r="B88">
            <v>497</v>
          </cell>
          <cell r="D88" t="str">
            <v>c</v>
          </cell>
          <cell r="F88" t="str">
            <v>Third Floor</v>
          </cell>
          <cell r="G88">
            <v>1</v>
          </cell>
          <cell r="H88" t="str">
            <v>cum</v>
          </cell>
          <cell r="I88">
            <v>37</v>
          </cell>
        </row>
        <row r="89">
          <cell r="B89">
            <v>498</v>
          </cell>
          <cell r="D89" t="str">
            <v>d</v>
          </cell>
          <cell r="F89" t="str">
            <v>Each Additional Floor</v>
          </cell>
          <cell r="G89">
            <v>1</v>
          </cell>
          <cell r="H89" t="str">
            <v>cum</v>
          </cell>
          <cell r="I89">
            <v>16</v>
          </cell>
        </row>
        <row r="90">
          <cell r="B90">
            <v>499</v>
          </cell>
          <cell r="D90" t="str">
            <v>a</v>
          </cell>
          <cell r="F90" t="str">
            <v>1st &amp; 2nd Floor</v>
          </cell>
          <cell r="G90">
            <v>10</v>
          </cell>
          <cell r="H90" t="str">
            <v>sqm</v>
          </cell>
          <cell r="I90">
            <v>25</v>
          </cell>
        </row>
        <row r="91">
          <cell r="B91">
            <v>500</v>
          </cell>
          <cell r="D91" t="str">
            <v>b</v>
          </cell>
          <cell r="F91" t="str">
            <v>2nd &amp; 3rd Floor</v>
          </cell>
          <cell r="G91">
            <v>10</v>
          </cell>
          <cell r="H91" t="str">
            <v>sqm</v>
          </cell>
          <cell r="I91">
            <v>50</v>
          </cell>
        </row>
        <row r="92">
          <cell r="B92">
            <v>501</v>
          </cell>
          <cell r="D92" t="str">
            <v>c</v>
          </cell>
          <cell r="F92" t="str">
            <v>3rd &amp; 4th Floor</v>
          </cell>
          <cell r="G92">
            <v>10</v>
          </cell>
          <cell r="H92" t="str">
            <v>sqm</v>
          </cell>
          <cell r="I92">
            <v>75</v>
          </cell>
        </row>
        <row r="93">
          <cell r="B93">
            <v>502</v>
          </cell>
          <cell r="D93" t="str">
            <v>d</v>
          </cell>
          <cell r="F93" t="str">
            <v>Each Additional Floor</v>
          </cell>
          <cell r="G93">
            <v>10</v>
          </cell>
          <cell r="H93" t="str">
            <v>sqm</v>
          </cell>
          <cell r="I93">
            <v>18</v>
          </cell>
        </row>
        <row r="94">
          <cell r="B94">
            <v>503</v>
          </cell>
          <cell r="D94" t="str">
            <v>a</v>
          </cell>
          <cell r="F94" t="str">
            <v>upto 150 mm depth</v>
          </cell>
          <cell r="G94">
            <v>10</v>
          </cell>
          <cell r="H94" t="str">
            <v>sqm</v>
          </cell>
          <cell r="I94">
            <v>525</v>
          </cell>
        </row>
        <row r="95">
          <cell r="B95">
            <v>504</v>
          </cell>
          <cell r="D95" t="str">
            <v>b</v>
          </cell>
          <cell r="F95" t="str">
            <v>above 150 mm depth and upto 300 mm depth</v>
          </cell>
          <cell r="G95">
            <v>10</v>
          </cell>
          <cell r="H95" t="str">
            <v>sqm</v>
          </cell>
          <cell r="I95">
            <v>850</v>
          </cell>
        </row>
        <row r="96">
          <cell r="B96">
            <v>510</v>
          </cell>
          <cell r="D96" t="str">
            <v>g</v>
          </cell>
          <cell r="E96" t="str">
            <v xml:space="preserve">i </v>
          </cell>
          <cell r="F96" t="str">
            <v>0.60 m width</v>
          </cell>
          <cell r="G96">
            <v>1</v>
          </cell>
          <cell r="H96" t="str">
            <v>rmt</v>
          </cell>
          <cell r="I96">
            <v>25</v>
          </cell>
        </row>
        <row r="97">
          <cell r="B97">
            <v>511</v>
          </cell>
          <cell r="D97" t="str">
            <v>g</v>
          </cell>
          <cell r="E97" t="str">
            <v>ii</v>
          </cell>
          <cell r="F97" t="str">
            <v>0.80 m width</v>
          </cell>
          <cell r="G97">
            <v>1</v>
          </cell>
          <cell r="H97" t="str">
            <v>rmt</v>
          </cell>
          <cell r="I97">
            <v>30</v>
          </cell>
        </row>
        <row r="98">
          <cell r="B98">
            <v>512</v>
          </cell>
          <cell r="D98" t="str">
            <v>g</v>
          </cell>
          <cell r="E98" t="str">
            <v>iii</v>
          </cell>
          <cell r="F98" t="str">
            <v>1.00 m width</v>
          </cell>
          <cell r="G98">
            <v>1</v>
          </cell>
          <cell r="H98" t="str">
            <v>rmt</v>
          </cell>
          <cell r="I98">
            <v>35</v>
          </cell>
        </row>
        <row r="99">
          <cell r="B99">
            <v>513</v>
          </cell>
          <cell r="D99" t="str">
            <v>h</v>
          </cell>
          <cell r="F99" t="str">
            <v>T.Beams</v>
          </cell>
          <cell r="G99">
            <v>1</v>
          </cell>
          <cell r="H99" t="str">
            <v>cum</v>
          </cell>
          <cell r="I99">
            <v>650</v>
          </cell>
        </row>
        <row r="100">
          <cell r="B100">
            <v>514</v>
          </cell>
          <cell r="F100" t="str">
            <v>Columns, Rectangular beams, L.Beams</v>
          </cell>
          <cell r="G100">
            <v>1</v>
          </cell>
          <cell r="H100" t="str">
            <v>cum</v>
          </cell>
          <cell r="I100">
            <v>550</v>
          </cell>
        </row>
        <row r="101">
          <cell r="B101">
            <v>515</v>
          </cell>
          <cell r="F101" t="str">
            <v>Templates, Bed blocks,Footings</v>
          </cell>
          <cell r="G101">
            <v>1</v>
          </cell>
          <cell r="H101" t="str">
            <v>cum</v>
          </cell>
          <cell r="I101">
            <v>330</v>
          </cell>
        </row>
        <row r="102">
          <cell r="B102">
            <v>518</v>
          </cell>
          <cell r="F102" t="str">
            <v>Lintels, Plinth Beams</v>
          </cell>
          <cell r="G102">
            <v>1</v>
          </cell>
          <cell r="H102" t="str">
            <v>cum</v>
          </cell>
          <cell r="I102">
            <v>450</v>
          </cell>
        </row>
        <row r="103">
          <cell r="B103">
            <v>519</v>
          </cell>
          <cell r="F103" t="str">
            <v>Slabs above 300 mm depth</v>
          </cell>
          <cell r="G103">
            <v>1</v>
          </cell>
          <cell r="H103" t="str">
            <v>cum</v>
          </cell>
          <cell r="I103">
            <v>520</v>
          </cell>
        </row>
        <row r="104">
          <cell r="B104">
            <v>521</v>
          </cell>
          <cell r="D104" t="str">
            <v>a</v>
          </cell>
          <cell r="F104" t="str">
            <v>For mass concrete Piers, Abutments and steining well curb well caps etc.,</v>
          </cell>
          <cell r="G104">
            <v>1</v>
          </cell>
          <cell r="H104" t="str">
            <v>cum</v>
          </cell>
          <cell r="I104">
            <v>380</v>
          </cell>
        </row>
        <row r="105">
          <cell r="B105">
            <v>522</v>
          </cell>
          <cell r="F105" t="str">
            <v>For RCC Piers, Abutments, Wings, Well steining weel curbs, well Caps etc.,</v>
          </cell>
          <cell r="G105">
            <v>1</v>
          </cell>
          <cell r="H105" t="str">
            <v>cum</v>
          </cell>
          <cell r="I105">
            <v>500</v>
          </cell>
        </row>
        <row r="106">
          <cell r="B106">
            <v>523</v>
          </cell>
          <cell r="F106" t="str">
            <v>For RCC Deck Slabs</v>
          </cell>
          <cell r="G106">
            <v>1</v>
          </cell>
          <cell r="H106" t="str">
            <v>cum</v>
          </cell>
          <cell r="I106">
            <v>950</v>
          </cell>
        </row>
        <row r="107">
          <cell r="B107">
            <v>524</v>
          </cell>
          <cell r="F107" t="str">
            <v>For RCC beams</v>
          </cell>
          <cell r="G107">
            <v>1</v>
          </cell>
          <cell r="H107" t="str">
            <v>cum</v>
          </cell>
          <cell r="I107">
            <v>1150</v>
          </cell>
        </row>
        <row r="108">
          <cell r="B108">
            <v>525</v>
          </cell>
          <cell r="F108" t="str">
            <v>RCC hand rails</v>
          </cell>
          <cell r="G108">
            <v>1</v>
          </cell>
          <cell r="H108" t="str">
            <v>cum</v>
          </cell>
          <cell r="I108">
            <v>1250</v>
          </cell>
        </row>
        <row r="109">
          <cell r="B109">
            <v>526</v>
          </cell>
          <cell r="F109" t="str">
            <v>CC pavements, Wearing Coats, approach slabs guide stone JM stone etc.</v>
          </cell>
          <cell r="G109">
            <v>1</v>
          </cell>
          <cell r="H109" t="str">
            <v>cum</v>
          </cell>
          <cell r="I109">
            <v>95</v>
          </cell>
        </row>
        <row r="110">
          <cell r="B110">
            <v>555</v>
          </cell>
          <cell r="D110" t="str">
            <v>a</v>
          </cell>
          <cell r="F110" t="str">
            <v>250 mm dia</v>
          </cell>
          <cell r="G110">
            <v>1</v>
          </cell>
          <cell r="H110" t="str">
            <v>rmt</v>
          </cell>
          <cell r="I110">
            <v>8</v>
          </cell>
        </row>
        <row r="111">
          <cell r="B111">
            <v>556</v>
          </cell>
          <cell r="D111" t="str">
            <v>b</v>
          </cell>
          <cell r="F111" t="str">
            <v>300 mm dia</v>
          </cell>
          <cell r="G111">
            <v>1</v>
          </cell>
          <cell r="H111" t="str">
            <v>rmt</v>
          </cell>
          <cell r="I111">
            <v>11</v>
          </cell>
        </row>
        <row r="112">
          <cell r="B112">
            <v>557</v>
          </cell>
          <cell r="D112" t="str">
            <v>c</v>
          </cell>
          <cell r="F112" t="str">
            <v>450 mm dia</v>
          </cell>
          <cell r="G112">
            <v>1</v>
          </cell>
          <cell r="H112" t="str">
            <v>rmt</v>
          </cell>
          <cell r="I112">
            <v>15</v>
          </cell>
        </row>
        <row r="113">
          <cell r="B113">
            <v>558</v>
          </cell>
          <cell r="D113" t="str">
            <v>d</v>
          </cell>
          <cell r="F113" t="str">
            <v>600 mm dia</v>
          </cell>
          <cell r="G113">
            <v>1</v>
          </cell>
          <cell r="H113" t="str">
            <v>rmt</v>
          </cell>
          <cell r="I113">
            <v>25</v>
          </cell>
        </row>
        <row r="114">
          <cell r="B114">
            <v>559</v>
          </cell>
          <cell r="D114" t="str">
            <v>e</v>
          </cell>
          <cell r="F114" t="str">
            <v>750 mm dia</v>
          </cell>
          <cell r="G114">
            <v>1</v>
          </cell>
          <cell r="H114" t="str">
            <v>rmt</v>
          </cell>
          <cell r="I114">
            <v>30</v>
          </cell>
        </row>
        <row r="115">
          <cell r="B115">
            <v>560</v>
          </cell>
          <cell r="D115" t="str">
            <v>f</v>
          </cell>
          <cell r="F115" t="str">
            <v>800 mm dia</v>
          </cell>
          <cell r="G115">
            <v>1</v>
          </cell>
          <cell r="H115" t="str">
            <v>rmt</v>
          </cell>
          <cell r="I115">
            <v>35</v>
          </cell>
        </row>
        <row r="116">
          <cell r="B116">
            <v>561</v>
          </cell>
          <cell r="D116" t="str">
            <v>g</v>
          </cell>
          <cell r="F116" t="str">
            <v>1000 mm dia</v>
          </cell>
          <cell r="G116">
            <v>1</v>
          </cell>
          <cell r="H116" t="str">
            <v>rmt</v>
          </cell>
          <cell r="I116">
            <v>40</v>
          </cell>
        </row>
        <row r="117">
          <cell r="B117">
            <v>562</v>
          </cell>
          <cell r="D117" t="str">
            <v>h</v>
          </cell>
          <cell r="F117" t="str">
            <v>1220 mm dia</v>
          </cell>
          <cell r="G117">
            <v>1</v>
          </cell>
          <cell r="H117" t="str">
            <v>rmt</v>
          </cell>
          <cell r="I117">
            <v>50</v>
          </cell>
        </row>
        <row r="118">
          <cell r="B118">
            <v>563</v>
          </cell>
          <cell r="D118" t="str">
            <v>a</v>
          </cell>
          <cell r="F118" t="str">
            <v>40 mm</v>
          </cell>
          <cell r="G118">
            <v>1</v>
          </cell>
          <cell r="H118" t="str">
            <v>sqm</v>
          </cell>
          <cell r="I118">
            <v>29</v>
          </cell>
        </row>
        <row r="119">
          <cell r="B119">
            <v>564</v>
          </cell>
          <cell r="D119" t="str">
            <v>b</v>
          </cell>
          <cell r="F119" t="str">
            <v>50 mm</v>
          </cell>
          <cell r="G119">
            <v>1</v>
          </cell>
          <cell r="H119" t="str">
            <v>sqm</v>
          </cell>
          <cell r="I119">
            <v>31</v>
          </cell>
        </row>
        <row r="120">
          <cell r="B120">
            <v>565</v>
          </cell>
          <cell r="D120" t="str">
            <v>c</v>
          </cell>
          <cell r="F120" t="str">
            <v>75 mm</v>
          </cell>
          <cell r="G120">
            <v>1</v>
          </cell>
          <cell r="H120" t="str">
            <v>sqm</v>
          </cell>
          <cell r="I120">
            <v>34</v>
          </cell>
        </row>
        <row r="121">
          <cell r="B121">
            <v>566</v>
          </cell>
          <cell r="D121" t="str">
            <v>d</v>
          </cell>
          <cell r="F121" t="str">
            <v>100 mm</v>
          </cell>
          <cell r="G121">
            <v>1</v>
          </cell>
          <cell r="H121" t="str">
            <v>sqm</v>
          </cell>
          <cell r="I121">
            <v>36</v>
          </cell>
        </row>
        <row r="122">
          <cell r="B122">
            <v>570</v>
          </cell>
          <cell r="C122">
            <v>52</v>
          </cell>
          <cell r="F122" t="str">
            <v>Picking 50mm to 100mm old metalled surface and sectioning</v>
          </cell>
          <cell r="G122">
            <v>10</v>
          </cell>
          <cell r="H122" t="str">
            <v>sqm</v>
          </cell>
          <cell r="I122">
            <v>10</v>
          </cell>
        </row>
        <row r="123">
          <cell r="B123">
            <v>571</v>
          </cell>
          <cell r="C123">
            <v>53</v>
          </cell>
          <cell r="F123" t="str">
            <v>Picking gravelled surface 25mm deep and levelling and sectioning</v>
          </cell>
          <cell r="G123">
            <v>10</v>
          </cell>
          <cell r="H123" t="str">
            <v>sqm</v>
          </cell>
          <cell r="I123">
            <v>2.5</v>
          </cell>
        </row>
        <row r="124">
          <cell r="B124">
            <v>572</v>
          </cell>
          <cell r="C124">
            <v>54</v>
          </cell>
          <cell r="F124" t="str">
            <v>Picking existing BT survace and removal of chips</v>
          </cell>
          <cell r="G124">
            <v>10</v>
          </cell>
          <cell r="H124" t="str">
            <v>sqm</v>
          </cell>
          <cell r="I124">
            <v>9.5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rdamdata"/>
      <sheetName val="impRoaddam"/>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s>
    <sheetDataSet>
      <sheetData sheetId="0" refreshError="1">
        <row r="6">
          <cell r="J6">
            <v>336.1</v>
          </cell>
        </row>
        <row r="7">
          <cell r="J7">
            <v>640.6</v>
          </cell>
        </row>
        <row r="8">
          <cell r="J8">
            <v>528.1</v>
          </cell>
        </row>
      </sheetData>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final abstract"/>
      <sheetName val="PART-I (2)"/>
      <sheetName val="ANALY-BOQ"/>
      <sheetName val="ANALYS-LS"/>
      <sheetName val="BOQ"/>
      <sheetName val="PART-I"/>
      <sheetName val="I-11"/>
      <sheetName val="I-15"/>
      <sheetName val="sumps"/>
      <sheetName val="GATES(21,22)"/>
      <sheetName val="Bed Class"/>
      <sheetName val="Cd"/>
      <sheetName val="Fee Rate Summary"/>
      <sheetName val="Estimate "/>
      <sheetName val="Rates"/>
      <sheetName val="PH data"/>
      <sheetName val="labour"/>
      <sheetName val="Details (3)"/>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ates-May-14"/>
      <sheetName val="rdamdata"/>
      <sheetName val="HDPE"/>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Lead"/>
      <sheetName val="Usage"/>
      <sheetName val="Common "/>
      <sheetName val="Gener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final abstract"/>
      <sheetName val="PART-I (2)"/>
      <sheetName val="ANALY-BOQ"/>
      <sheetName val="ANALYS-LS"/>
      <sheetName val="BOQ"/>
      <sheetName val="PART-I"/>
      <sheetName val="I-11"/>
      <sheetName val="I-15"/>
      <sheetName val="sumps"/>
      <sheetName val="GATES(21,22)"/>
      <sheetName val="Bed Class"/>
      <sheetName val="Cd"/>
      <sheetName val="Fee Rate Summary"/>
      <sheetName val="Estimate "/>
      <sheetName val="Rates"/>
      <sheetName val="PH data"/>
      <sheetName val="labour"/>
      <sheetName val="Details (3)"/>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ates-May-14"/>
      <sheetName val="rdamdata"/>
      <sheetName val="HDPE"/>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Lead"/>
      <sheetName val="Usage"/>
      <sheetName val="Common "/>
      <sheetName val="Gener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7">
          <cell r="H7">
            <v>48</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Lead"/>
      <sheetName val="Materials"/>
      <sheetName val="Data "/>
      <sheetName val="Retaing"/>
      <sheetName val="Abstract(F6)"/>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7">
          <cell r="H7">
            <v>48</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lead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abour"/>
      <sheetName val="Material"/>
      <sheetName val="Plant &amp;  Machinery"/>
    </sheetNames>
    <sheetDataSet>
      <sheetData sheetId="0" refreshError="1">
        <row r="3">
          <cell r="A3" t="str">
            <v>Sno</v>
          </cell>
          <cell r="B3" t="str">
            <v>Lead</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row r="16">
          <cell r="D16">
            <v>116</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3">
          <cell r="A3" t="str">
            <v>Sno</v>
          </cell>
          <cell r="B3" t="str">
            <v>Lead</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s>
    <sheetDataSet>
      <sheetData sheetId="0"/>
      <sheetData sheetId="1"/>
      <sheetData sheetId="2"/>
      <sheetData sheetId="3" refreshError="1"/>
      <sheetData sheetId="4"/>
      <sheetData sheetId="5"/>
      <sheetData sheetId="6"/>
      <sheetData sheetId="7" refreshError="1"/>
      <sheetData sheetId="8">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s>
    <sheetDataSet>
      <sheetData sheetId="0"/>
      <sheetData sheetId="1"/>
      <sheetData sheetId="2"/>
      <sheetData sheetId="3"/>
      <sheetData sheetId="4"/>
      <sheetData sheetId="5"/>
      <sheetData sheetId="6"/>
      <sheetData sheetId="7"/>
      <sheetData sheetId="8" refreshError="1">
        <row r="4">
          <cell r="F4">
            <v>65</v>
          </cell>
        </row>
      </sheetData>
      <sheetData sheetId="9"/>
      <sheetData sheetId="10"/>
      <sheetData sheetId="11"/>
      <sheetData sheetId="12"/>
      <sheetData sheetId="13"/>
      <sheetData sheetId="14"/>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s>
    <sheetDataSet>
      <sheetData sheetId="0"/>
      <sheetData sheetId="1"/>
      <sheetData sheetId="2"/>
      <sheetData sheetId="3"/>
      <sheetData sheetId="4"/>
      <sheetData sheetId="5"/>
      <sheetData sheetId="6"/>
      <sheetData sheetId="7"/>
      <sheetData sheetId="8" refreshError="1">
        <row r="4">
          <cell r="F4">
            <v>65</v>
          </cell>
        </row>
      </sheetData>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3">
          <cell r="A3" t="str">
            <v>Sno</v>
          </cell>
          <cell r="B3" t="str">
            <v>Lead</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D6">
            <v>2500</v>
          </cell>
          <cell r="E6" t="str">
            <v>/MT</v>
          </cell>
        </row>
        <row r="7">
          <cell r="A7">
            <v>6</v>
          </cell>
          <cell r="B7" t="str">
            <v>Steel</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F1" t="str">
            <v>DETAILS</v>
          </cell>
          <cell r="G1" t="str">
            <v>Unit</v>
          </cell>
          <cell r="H1" t="str">
            <v>PER</v>
          </cell>
          <cell r="I1" t="str">
            <v>RATE</v>
          </cell>
        </row>
        <row r="2">
          <cell r="B2">
            <v>1</v>
          </cell>
          <cell r="C2" t="str">
            <v>1ab</v>
          </cell>
          <cell r="F2" t="str">
            <v>1st Class Mason</v>
          </cell>
          <cell r="G2">
            <v>1</v>
          </cell>
          <cell r="H2" t="str">
            <v>each</v>
          </cell>
          <cell r="I2">
            <v>86</v>
          </cell>
        </row>
        <row r="3">
          <cell r="B3">
            <v>26</v>
          </cell>
          <cell r="C3">
            <v>17</v>
          </cell>
          <cell r="F3" t="str">
            <v>Spl.grade Mason</v>
          </cell>
          <cell r="G3">
            <v>1</v>
          </cell>
          <cell r="H3" t="str">
            <v>each</v>
          </cell>
          <cell r="I3">
            <v>0</v>
          </cell>
        </row>
        <row r="4">
          <cell r="B4">
            <v>28</v>
          </cell>
          <cell r="C4" t="str">
            <v>1a</v>
          </cell>
          <cell r="F4" t="str">
            <v>2nd Class Mason</v>
          </cell>
          <cell r="G4">
            <v>1</v>
          </cell>
          <cell r="H4" t="str">
            <v>each</v>
          </cell>
          <cell r="I4">
            <v>75</v>
          </cell>
        </row>
        <row r="5">
          <cell r="B5">
            <v>53</v>
          </cell>
          <cell r="C5">
            <v>2</v>
          </cell>
          <cell r="F5" t="str">
            <v>Man Mazdoor</v>
          </cell>
          <cell r="G5">
            <v>1</v>
          </cell>
          <cell r="H5" t="str">
            <v>each</v>
          </cell>
          <cell r="I5">
            <v>55</v>
          </cell>
        </row>
        <row r="6">
          <cell r="B6">
            <v>54</v>
          </cell>
          <cell r="C6">
            <v>3</v>
          </cell>
          <cell r="F6" t="str">
            <v>Woman Mazdoor</v>
          </cell>
          <cell r="G6">
            <v>1</v>
          </cell>
          <cell r="H6" t="str">
            <v>each</v>
          </cell>
          <cell r="I6">
            <v>55</v>
          </cell>
        </row>
        <row r="7">
          <cell r="B7">
            <v>60</v>
          </cell>
          <cell r="C7" t="str">
            <v>1a</v>
          </cell>
          <cell r="F7" t="str">
            <v>2nd Class Bricks</v>
          </cell>
          <cell r="G7">
            <v>1000</v>
          </cell>
          <cell r="H7" t="str">
            <v>Nos</v>
          </cell>
          <cell r="I7">
            <v>1200</v>
          </cell>
        </row>
        <row r="8">
          <cell r="B8">
            <v>67</v>
          </cell>
          <cell r="C8" t="str">
            <v>2c</v>
          </cell>
          <cell r="F8" t="str">
            <v>RR stone Granite Variety</v>
          </cell>
          <cell r="G8">
            <v>1</v>
          </cell>
          <cell r="H8" t="str">
            <v>cum</v>
          </cell>
          <cell r="I8">
            <v>75</v>
          </cell>
        </row>
        <row r="9">
          <cell r="B9">
            <v>72</v>
          </cell>
          <cell r="C9" t="str">
            <v>3a</v>
          </cell>
          <cell r="F9" t="str">
            <v>CR stone Granite Variety</v>
          </cell>
          <cell r="G9">
            <v>1</v>
          </cell>
          <cell r="H9" t="str">
            <v>cum</v>
          </cell>
          <cell r="I9">
            <v>109</v>
          </cell>
        </row>
        <row r="10">
          <cell r="B10">
            <v>80</v>
          </cell>
          <cell r="F10" t="str">
            <v>6 mm SS</v>
          </cell>
          <cell r="G10">
            <v>1</v>
          </cell>
          <cell r="H10" t="str">
            <v>cum</v>
          </cell>
          <cell r="I10">
            <v>170</v>
          </cell>
        </row>
        <row r="11">
          <cell r="B11">
            <v>81</v>
          </cell>
          <cell r="F11" t="str">
            <v>5 to 7 mm IRC</v>
          </cell>
          <cell r="G11">
            <v>1</v>
          </cell>
          <cell r="H11" t="str">
            <v>cum</v>
          </cell>
          <cell r="I11">
            <v>170</v>
          </cell>
        </row>
        <row r="12">
          <cell r="B12">
            <v>82</v>
          </cell>
          <cell r="F12" t="str">
            <v>10 mm SS</v>
          </cell>
          <cell r="G12">
            <v>1</v>
          </cell>
          <cell r="H12" t="str">
            <v>cum</v>
          </cell>
          <cell r="I12">
            <v>250</v>
          </cell>
        </row>
        <row r="13">
          <cell r="B13">
            <v>83</v>
          </cell>
          <cell r="F13" t="str">
            <v>10 to 11.2 IRC</v>
          </cell>
          <cell r="G13">
            <v>1</v>
          </cell>
          <cell r="H13" t="str">
            <v>cum</v>
          </cell>
          <cell r="I13">
            <v>250</v>
          </cell>
        </row>
        <row r="14">
          <cell r="B14">
            <v>84</v>
          </cell>
          <cell r="F14" t="str">
            <v>12 mm SS</v>
          </cell>
          <cell r="G14">
            <v>1</v>
          </cell>
          <cell r="H14" t="str">
            <v>cum</v>
          </cell>
          <cell r="I14">
            <v>300</v>
          </cell>
        </row>
        <row r="15">
          <cell r="B15">
            <v>85</v>
          </cell>
          <cell r="F15" t="str">
            <v>12 to 14 mm IRC</v>
          </cell>
          <cell r="G15">
            <v>1</v>
          </cell>
          <cell r="H15" t="str">
            <v>cum</v>
          </cell>
          <cell r="I15">
            <v>300</v>
          </cell>
        </row>
        <row r="16">
          <cell r="B16">
            <v>86</v>
          </cell>
          <cell r="F16" t="str">
            <v>20 mm SS</v>
          </cell>
          <cell r="G16">
            <v>1</v>
          </cell>
          <cell r="H16" t="str">
            <v>cum</v>
          </cell>
          <cell r="I16">
            <v>380</v>
          </cell>
        </row>
        <row r="17">
          <cell r="B17">
            <v>87</v>
          </cell>
          <cell r="F17" t="str">
            <v>20 to 22 mm IRC</v>
          </cell>
          <cell r="G17">
            <v>1</v>
          </cell>
          <cell r="H17" t="str">
            <v>cum</v>
          </cell>
          <cell r="I17">
            <v>375</v>
          </cell>
        </row>
        <row r="18">
          <cell r="B18">
            <v>88</v>
          </cell>
          <cell r="F18" t="str">
            <v>25 mm SS</v>
          </cell>
          <cell r="G18">
            <v>1</v>
          </cell>
          <cell r="H18" t="str">
            <v>cum</v>
          </cell>
          <cell r="I18">
            <v>300</v>
          </cell>
        </row>
        <row r="19">
          <cell r="B19">
            <v>89</v>
          </cell>
          <cell r="F19" t="str">
            <v>25 to 27 mm IRC</v>
          </cell>
          <cell r="G19">
            <v>1</v>
          </cell>
          <cell r="H19" t="str">
            <v>cum</v>
          </cell>
          <cell r="I19">
            <v>300</v>
          </cell>
        </row>
        <row r="20">
          <cell r="B20">
            <v>90</v>
          </cell>
          <cell r="F20" t="str">
            <v>40 mm SS</v>
          </cell>
          <cell r="G20">
            <v>1</v>
          </cell>
          <cell r="H20" t="str">
            <v>cum</v>
          </cell>
          <cell r="I20">
            <v>215</v>
          </cell>
        </row>
        <row r="21">
          <cell r="B21">
            <v>91</v>
          </cell>
          <cell r="F21" t="str">
            <v>40 to 45 mm IRC</v>
          </cell>
          <cell r="G21">
            <v>1</v>
          </cell>
          <cell r="H21" t="str">
            <v>cum</v>
          </cell>
          <cell r="I21">
            <v>200</v>
          </cell>
        </row>
        <row r="22">
          <cell r="B22">
            <v>92</v>
          </cell>
          <cell r="F22" t="str">
            <v>50 mm SS</v>
          </cell>
          <cell r="G22">
            <v>1</v>
          </cell>
          <cell r="H22" t="str">
            <v>cum</v>
          </cell>
          <cell r="I22">
            <v>150</v>
          </cell>
        </row>
        <row r="23">
          <cell r="B23">
            <v>93</v>
          </cell>
          <cell r="F23" t="str">
            <v>50 to 55mm IRC</v>
          </cell>
          <cell r="G23">
            <v>1</v>
          </cell>
          <cell r="H23" t="str">
            <v>cum</v>
          </cell>
          <cell r="I23">
            <v>120</v>
          </cell>
        </row>
        <row r="24">
          <cell r="B24">
            <v>94</v>
          </cell>
          <cell r="F24" t="str">
            <v>60 mm SS</v>
          </cell>
          <cell r="G24">
            <v>1</v>
          </cell>
          <cell r="H24" t="str">
            <v>cum</v>
          </cell>
          <cell r="I24">
            <v>150</v>
          </cell>
        </row>
        <row r="25">
          <cell r="B25">
            <v>95</v>
          </cell>
          <cell r="F25" t="str">
            <v>60 to 63 mm IRC</v>
          </cell>
          <cell r="G25">
            <v>1</v>
          </cell>
          <cell r="H25" t="str">
            <v>cum</v>
          </cell>
          <cell r="I25">
            <v>110</v>
          </cell>
        </row>
        <row r="26">
          <cell r="B26">
            <v>96</v>
          </cell>
          <cell r="F26" t="str">
            <v>65 mm SS</v>
          </cell>
          <cell r="G26">
            <v>1</v>
          </cell>
          <cell r="H26" t="str">
            <v>cum</v>
          </cell>
          <cell r="I26">
            <v>150</v>
          </cell>
        </row>
        <row r="27">
          <cell r="B27">
            <v>97</v>
          </cell>
          <cell r="F27" t="str">
            <v>65 mm IRC</v>
          </cell>
          <cell r="G27">
            <v>1</v>
          </cell>
          <cell r="H27" t="str">
            <v>cum</v>
          </cell>
          <cell r="I27">
            <v>120</v>
          </cell>
        </row>
        <row r="28">
          <cell r="B28">
            <v>98</v>
          </cell>
          <cell r="F28" t="str">
            <v>75 mm SS</v>
          </cell>
          <cell r="G28">
            <v>1</v>
          </cell>
          <cell r="H28" t="str">
            <v>cum</v>
          </cell>
          <cell r="I28">
            <v>95</v>
          </cell>
        </row>
        <row r="29">
          <cell r="B29">
            <v>99</v>
          </cell>
          <cell r="F29" t="str">
            <v>75 mm IRC</v>
          </cell>
          <cell r="G29">
            <v>1</v>
          </cell>
          <cell r="H29" t="str">
            <v>cum</v>
          </cell>
          <cell r="I29">
            <v>95</v>
          </cell>
        </row>
        <row r="30">
          <cell r="B30">
            <v>100</v>
          </cell>
          <cell r="F30" t="str">
            <v>Blasting</v>
          </cell>
          <cell r="G30">
            <v>1</v>
          </cell>
          <cell r="H30" t="str">
            <v>cum</v>
          </cell>
          <cell r="I30">
            <v>40</v>
          </cell>
        </row>
        <row r="31">
          <cell r="B31">
            <v>101</v>
          </cell>
          <cell r="F31" t="str">
            <v>Metal Crushing</v>
          </cell>
          <cell r="G31">
            <v>1</v>
          </cell>
          <cell r="H31" t="str">
            <v>cum</v>
          </cell>
          <cell r="I31">
            <v>0.25</v>
          </cell>
        </row>
        <row r="32">
          <cell r="B32">
            <v>127</v>
          </cell>
          <cell r="C32">
            <v>9</v>
          </cell>
          <cell r="F32" t="str">
            <v>Gravel</v>
          </cell>
          <cell r="G32">
            <v>1</v>
          </cell>
          <cell r="H32" t="str">
            <v>cum</v>
          </cell>
          <cell r="I32">
            <v>25</v>
          </cell>
        </row>
        <row r="33">
          <cell r="B33">
            <v>128</v>
          </cell>
          <cell r="F33" t="str">
            <v>Quarry rubbish</v>
          </cell>
          <cell r="G33">
            <v>1</v>
          </cell>
          <cell r="H33" t="str">
            <v>cum</v>
          </cell>
          <cell r="I33">
            <v>11</v>
          </cell>
        </row>
        <row r="34">
          <cell r="B34">
            <v>129</v>
          </cell>
          <cell r="F34" t="str">
            <v>Sand for Mortar, Seal coat</v>
          </cell>
          <cell r="G34">
            <v>1</v>
          </cell>
          <cell r="H34" t="str">
            <v>cum</v>
          </cell>
          <cell r="I34">
            <v>50</v>
          </cell>
        </row>
        <row r="35">
          <cell r="B35">
            <v>130</v>
          </cell>
          <cell r="F35" t="str">
            <v>Sand for Filling, Blindage</v>
          </cell>
          <cell r="G35">
            <v>1</v>
          </cell>
          <cell r="H35" t="str">
            <v>cum</v>
          </cell>
          <cell r="I35">
            <v>20</v>
          </cell>
        </row>
        <row r="36">
          <cell r="B36">
            <v>133</v>
          </cell>
          <cell r="C36">
            <v>15</v>
          </cell>
          <cell r="F36" t="str">
            <v>40 mm thick 0.762 m x.457 m</v>
          </cell>
          <cell r="G36">
            <v>1</v>
          </cell>
          <cell r="H36" t="str">
            <v>sqm</v>
          </cell>
          <cell r="I36">
            <v>70</v>
          </cell>
        </row>
        <row r="37">
          <cell r="B37">
            <v>134</v>
          </cell>
          <cell r="C37">
            <v>16</v>
          </cell>
          <cell r="F37" t="str">
            <v>50 mm thick 0.762 m x.457 m</v>
          </cell>
          <cell r="G37">
            <v>1</v>
          </cell>
          <cell r="H37" t="str">
            <v>sqm</v>
          </cell>
          <cell r="I37">
            <v>80</v>
          </cell>
        </row>
        <row r="38">
          <cell r="B38">
            <v>136</v>
          </cell>
          <cell r="F38" t="str">
            <v>25.4 mm thick White</v>
          </cell>
          <cell r="G38">
            <v>10</v>
          </cell>
          <cell r="H38" t="str">
            <v>sqm</v>
          </cell>
          <cell r="I38">
            <v>550</v>
          </cell>
        </row>
        <row r="39">
          <cell r="B39">
            <v>137</v>
          </cell>
          <cell r="F39" t="str">
            <v>25.4 mm thick Blue</v>
          </cell>
          <cell r="G39">
            <v>10</v>
          </cell>
          <cell r="H39" t="str">
            <v>sqm</v>
          </cell>
          <cell r="I39">
            <v>600</v>
          </cell>
        </row>
        <row r="40">
          <cell r="B40">
            <v>138</v>
          </cell>
          <cell r="F40" t="str">
            <v>25.4 mm thick White</v>
          </cell>
          <cell r="G40">
            <v>10</v>
          </cell>
          <cell r="H40" t="str">
            <v>sqm</v>
          </cell>
          <cell r="I40">
            <v>600</v>
          </cell>
        </row>
        <row r="41">
          <cell r="B41">
            <v>139</v>
          </cell>
          <cell r="F41" t="str">
            <v>25.4 mm thick Blue</v>
          </cell>
          <cell r="G41">
            <v>10</v>
          </cell>
          <cell r="H41" t="str">
            <v>sqm</v>
          </cell>
          <cell r="I41">
            <v>700</v>
          </cell>
        </row>
        <row r="42">
          <cell r="B42">
            <v>140</v>
          </cell>
          <cell r="F42" t="str">
            <v>25.4 mm thick White  0.457mx0.457 m</v>
          </cell>
          <cell r="G42">
            <v>10</v>
          </cell>
          <cell r="H42" t="str">
            <v>sqm</v>
          </cell>
          <cell r="I42">
            <v>1000</v>
          </cell>
        </row>
        <row r="43">
          <cell r="B43">
            <v>141</v>
          </cell>
          <cell r="F43" t="str">
            <v>25.4 mm thick Blue  0.457mx0.457 m</v>
          </cell>
          <cell r="G43">
            <v>10</v>
          </cell>
          <cell r="H43" t="str">
            <v>sqm</v>
          </cell>
          <cell r="I43">
            <v>1150</v>
          </cell>
        </row>
        <row r="44">
          <cell r="B44">
            <v>142</v>
          </cell>
          <cell r="C44">
            <v>20</v>
          </cell>
          <cell r="F44" t="str">
            <v>25.4 mm thick   0.457mx0.457 m</v>
          </cell>
          <cell r="G44">
            <v>10</v>
          </cell>
          <cell r="H44" t="str">
            <v>sqm</v>
          </cell>
          <cell r="I44">
            <v>900</v>
          </cell>
        </row>
        <row r="45">
          <cell r="B45">
            <v>143</v>
          </cell>
          <cell r="C45">
            <v>21</v>
          </cell>
          <cell r="F45" t="str">
            <v>25.4 mm thick 0.254mx0.254 m White</v>
          </cell>
          <cell r="G45">
            <v>10</v>
          </cell>
          <cell r="H45" t="str">
            <v>sqm</v>
          </cell>
          <cell r="I45">
            <v>2700</v>
          </cell>
        </row>
        <row r="46">
          <cell r="B46">
            <v>168</v>
          </cell>
          <cell r="F46" t="str">
            <v>Cement Mortar</v>
          </cell>
          <cell r="G46">
            <v>1</v>
          </cell>
          <cell r="H46" t="str">
            <v>cum</v>
          </cell>
          <cell r="I46">
            <v>15</v>
          </cell>
        </row>
        <row r="47">
          <cell r="B47">
            <v>169</v>
          </cell>
          <cell r="F47" t="str">
            <v>By Machine</v>
          </cell>
          <cell r="G47">
            <v>1</v>
          </cell>
          <cell r="H47" t="str">
            <v>cum</v>
          </cell>
          <cell r="I47">
            <v>25</v>
          </cell>
        </row>
        <row r="48">
          <cell r="B48">
            <v>175</v>
          </cell>
          <cell r="F48" t="str">
            <v>White Cement</v>
          </cell>
          <cell r="G48">
            <v>1</v>
          </cell>
          <cell r="H48" t="str">
            <v>kg</v>
          </cell>
          <cell r="I48">
            <v>9</v>
          </cell>
        </row>
        <row r="49">
          <cell r="B49">
            <v>176</v>
          </cell>
          <cell r="F49" t="str">
            <v xml:space="preserve">Scantling below 2m </v>
          </cell>
          <cell r="G49">
            <v>1</v>
          </cell>
          <cell r="H49" t="str">
            <v>cum</v>
          </cell>
          <cell r="I49">
            <v>50000</v>
          </cell>
        </row>
        <row r="50">
          <cell r="B50">
            <v>177</v>
          </cell>
          <cell r="F50" t="str">
            <v xml:space="preserve">Scantling above 2m </v>
          </cell>
          <cell r="G50">
            <v>1</v>
          </cell>
          <cell r="H50" t="str">
            <v>cum</v>
          </cell>
          <cell r="I50">
            <v>52000</v>
          </cell>
        </row>
        <row r="51">
          <cell r="B51">
            <v>178</v>
          </cell>
          <cell r="F51" t="str">
            <v>Planks of all sizes</v>
          </cell>
          <cell r="G51">
            <v>1</v>
          </cell>
          <cell r="H51" t="str">
            <v>cum</v>
          </cell>
          <cell r="I51">
            <v>55000</v>
          </cell>
        </row>
        <row r="52">
          <cell r="B52">
            <v>176</v>
          </cell>
          <cell r="F52" t="str">
            <v xml:space="preserve">Scantling below 2m </v>
          </cell>
          <cell r="G52">
            <v>1</v>
          </cell>
          <cell r="H52" t="str">
            <v>cum</v>
          </cell>
          <cell r="I52">
            <v>40000</v>
          </cell>
        </row>
        <row r="53">
          <cell r="B53">
            <v>177</v>
          </cell>
          <cell r="F53" t="str">
            <v xml:space="preserve">Scantling above 2m </v>
          </cell>
          <cell r="G53">
            <v>1</v>
          </cell>
          <cell r="H53" t="str">
            <v>cum</v>
          </cell>
          <cell r="I53">
            <v>42000</v>
          </cell>
        </row>
        <row r="54">
          <cell r="B54">
            <v>178</v>
          </cell>
          <cell r="F54" t="str">
            <v>Planks of all sizes</v>
          </cell>
          <cell r="G54">
            <v>1</v>
          </cell>
          <cell r="H54" t="str">
            <v>cum</v>
          </cell>
          <cell r="I54">
            <v>45000</v>
          </cell>
        </row>
        <row r="55">
          <cell r="B55">
            <v>187</v>
          </cell>
          <cell r="F55" t="str">
            <v>Steel fabrication</v>
          </cell>
          <cell r="G55">
            <v>1</v>
          </cell>
          <cell r="H55" t="str">
            <v>kg</v>
          </cell>
          <cell r="I55">
            <v>3.25</v>
          </cell>
        </row>
        <row r="56">
          <cell r="B56">
            <v>234</v>
          </cell>
          <cell r="F56" t="str">
            <v>25 mm thick</v>
          </cell>
          <cell r="G56">
            <v>1</v>
          </cell>
          <cell r="H56" t="str">
            <v>sqm</v>
          </cell>
          <cell r="I56">
            <v>80</v>
          </cell>
        </row>
        <row r="57">
          <cell r="B57">
            <v>235</v>
          </cell>
          <cell r="F57" t="str">
            <v>40 mm thick</v>
          </cell>
          <cell r="G57">
            <v>1</v>
          </cell>
          <cell r="H57" t="str">
            <v>sqm</v>
          </cell>
          <cell r="I57">
            <v>105</v>
          </cell>
        </row>
        <row r="58">
          <cell r="B58">
            <v>236</v>
          </cell>
          <cell r="F58" t="str">
            <v>50 mm thick</v>
          </cell>
          <cell r="G58">
            <v>1</v>
          </cell>
          <cell r="H58" t="str">
            <v>sqm</v>
          </cell>
          <cell r="I58">
            <v>140</v>
          </cell>
        </row>
        <row r="59">
          <cell r="B59">
            <v>239</v>
          </cell>
          <cell r="F59" t="str">
            <v>Dry powder Distemper</v>
          </cell>
          <cell r="G59">
            <v>1</v>
          </cell>
          <cell r="H59" t="str">
            <v>kg</v>
          </cell>
          <cell r="I59">
            <v>20</v>
          </cell>
        </row>
        <row r="60">
          <cell r="B60">
            <v>240</v>
          </cell>
          <cell r="F60" t="str">
            <v>Oil bound washable Distemper</v>
          </cell>
          <cell r="G60">
            <v>1</v>
          </cell>
          <cell r="H60" t="str">
            <v>kg</v>
          </cell>
          <cell r="I60">
            <v>60</v>
          </cell>
        </row>
        <row r="61">
          <cell r="B61">
            <v>245</v>
          </cell>
          <cell r="F61" t="str">
            <v>Alluminium paint 1st grade</v>
          </cell>
          <cell r="G61">
            <v>1</v>
          </cell>
          <cell r="H61" t="str">
            <v>litre</v>
          </cell>
          <cell r="I61">
            <v>176</v>
          </cell>
        </row>
        <row r="62">
          <cell r="B62">
            <v>246</v>
          </cell>
          <cell r="F62" t="str">
            <v>Anti corrosive bitument pain (Black) grade -1</v>
          </cell>
          <cell r="G62">
            <v>1</v>
          </cell>
          <cell r="H62" t="str">
            <v>litre</v>
          </cell>
          <cell r="I62">
            <v>250</v>
          </cell>
        </row>
        <row r="63">
          <cell r="B63">
            <v>247</v>
          </cell>
          <cell r="F63" t="str">
            <v>Red oxide Primer Paint grade-I</v>
          </cell>
          <cell r="G63">
            <v>1</v>
          </cell>
          <cell r="H63" t="str">
            <v>litre</v>
          </cell>
          <cell r="I63">
            <v>55</v>
          </cell>
        </row>
        <row r="64">
          <cell r="B64">
            <v>248</v>
          </cell>
          <cell r="F64" t="str">
            <v>Red oxide Primer Paint grade-II</v>
          </cell>
          <cell r="G64">
            <v>1</v>
          </cell>
          <cell r="H64" t="str">
            <v>litre</v>
          </cell>
          <cell r="I64">
            <v>45</v>
          </cell>
        </row>
        <row r="65">
          <cell r="B65">
            <v>249</v>
          </cell>
          <cell r="F65" t="str">
            <v>Synthetic enamel paints in all shades grade-I</v>
          </cell>
          <cell r="G65">
            <v>1</v>
          </cell>
          <cell r="H65" t="str">
            <v>litre</v>
          </cell>
          <cell r="I65">
            <v>130</v>
          </cell>
        </row>
        <row r="66">
          <cell r="B66">
            <v>250</v>
          </cell>
          <cell r="F66" t="str">
            <v>Synthetic enamel paints in all shades grade-II</v>
          </cell>
          <cell r="G66">
            <v>1</v>
          </cell>
          <cell r="H66" t="str">
            <v>litre</v>
          </cell>
          <cell r="I66">
            <v>95</v>
          </cell>
        </row>
        <row r="67">
          <cell r="B67">
            <v>251</v>
          </cell>
          <cell r="F67" t="str">
            <v>Plastic emultion paint grade-I</v>
          </cell>
          <cell r="G67">
            <v>1</v>
          </cell>
          <cell r="H67" t="str">
            <v>litre</v>
          </cell>
          <cell r="I67">
            <v>200</v>
          </cell>
        </row>
        <row r="68">
          <cell r="B68">
            <v>252</v>
          </cell>
          <cell r="C68">
            <v>63</v>
          </cell>
          <cell r="F68" t="str">
            <v>Oil Bound Distemper</v>
          </cell>
          <cell r="G68">
            <v>1</v>
          </cell>
          <cell r="H68" t="str">
            <v>kg</v>
          </cell>
          <cell r="I68">
            <v>40</v>
          </cell>
        </row>
        <row r="69">
          <cell r="B69">
            <v>253</v>
          </cell>
          <cell r="C69">
            <v>64</v>
          </cell>
          <cell r="F69" t="str">
            <v>Water proof cement paint of Superior Quality</v>
          </cell>
          <cell r="G69">
            <v>1</v>
          </cell>
          <cell r="H69" t="str">
            <v>kg</v>
          </cell>
          <cell r="I69">
            <v>30</v>
          </cell>
        </row>
        <row r="70">
          <cell r="B70">
            <v>254</v>
          </cell>
          <cell r="C70">
            <v>65</v>
          </cell>
          <cell r="F70" t="str">
            <v>White lead</v>
          </cell>
          <cell r="G70">
            <v>1</v>
          </cell>
          <cell r="H70" t="str">
            <v>kg</v>
          </cell>
          <cell r="I70">
            <v>50</v>
          </cell>
        </row>
        <row r="71">
          <cell r="B71">
            <v>255</v>
          </cell>
          <cell r="C71">
            <v>66</v>
          </cell>
          <cell r="F71" t="str">
            <v>Marble powder</v>
          </cell>
          <cell r="G71">
            <v>1</v>
          </cell>
          <cell r="H71" t="str">
            <v>kg</v>
          </cell>
          <cell r="I71">
            <v>12.5</v>
          </cell>
        </row>
        <row r="72">
          <cell r="B72">
            <v>256</v>
          </cell>
          <cell r="C72">
            <v>67</v>
          </cell>
          <cell r="F72" t="str">
            <v>Cement Primer grade-I</v>
          </cell>
          <cell r="G72">
            <v>1</v>
          </cell>
          <cell r="H72" t="str">
            <v>kg</v>
          </cell>
          <cell r="I72">
            <v>65</v>
          </cell>
        </row>
        <row r="73">
          <cell r="B73">
            <v>257</v>
          </cell>
          <cell r="F73" t="str">
            <v>Cement Primer grade-II</v>
          </cell>
          <cell r="G73">
            <v>1</v>
          </cell>
          <cell r="H73" t="str">
            <v>kg</v>
          </cell>
          <cell r="I73">
            <v>50</v>
          </cell>
        </row>
        <row r="74">
          <cell r="B74">
            <v>274</v>
          </cell>
          <cell r="D74" t="str">
            <v>b</v>
          </cell>
          <cell r="F74" t="str">
            <v>Fevicol</v>
          </cell>
          <cell r="G74">
            <v>1</v>
          </cell>
          <cell r="H74" t="str">
            <v>kg</v>
          </cell>
          <cell r="I74">
            <v>100</v>
          </cell>
        </row>
        <row r="75">
          <cell r="B75">
            <v>352</v>
          </cell>
          <cell r="D75" t="str">
            <v>a</v>
          </cell>
          <cell r="F75" t="str">
            <v>Clearing heavy jungle</v>
          </cell>
          <cell r="G75">
            <v>10</v>
          </cell>
          <cell r="H75" t="str">
            <v>sqm</v>
          </cell>
          <cell r="I75">
            <v>6</v>
          </cell>
        </row>
        <row r="76">
          <cell r="B76">
            <v>353</v>
          </cell>
          <cell r="D76" t="str">
            <v>b</v>
          </cell>
          <cell r="F76" t="str">
            <v>Clearing Light jungle</v>
          </cell>
          <cell r="G76">
            <v>10</v>
          </cell>
          <cell r="H76" t="str">
            <v>sqm</v>
          </cell>
          <cell r="I76">
            <v>5</v>
          </cell>
        </row>
        <row r="77">
          <cell r="B77">
            <v>354</v>
          </cell>
          <cell r="D77" t="str">
            <v>c</v>
          </cell>
          <cell r="F77" t="str">
            <v>Clearing Scrub jungle</v>
          </cell>
          <cell r="G77">
            <v>10</v>
          </cell>
          <cell r="H77" t="str">
            <v>sqm</v>
          </cell>
          <cell r="I77">
            <v>3</v>
          </cell>
        </row>
        <row r="78">
          <cell r="B78">
            <v>355</v>
          </cell>
          <cell r="D78" t="str">
            <v>d</v>
          </cell>
          <cell r="F78" t="str">
            <v xml:space="preserve">Cleaing Julie flora </v>
          </cell>
          <cell r="G78">
            <v>10</v>
          </cell>
          <cell r="H78" t="str">
            <v>sqm</v>
          </cell>
          <cell r="I78">
            <v>14</v>
          </cell>
        </row>
        <row r="79">
          <cell r="B79">
            <v>408</v>
          </cell>
          <cell r="D79" t="str">
            <v>a</v>
          </cell>
          <cell r="F79" t="str">
            <v>Loamy &amp; Clay soils like BC soils, Red earth &amp; OG SS 302 &amp; 303</v>
          </cell>
          <cell r="G79">
            <v>10</v>
          </cell>
          <cell r="H79" t="str">
            <v>cum</v>
          </cell>
          <cell r="I79">
            <v>235</v>
          </cell>
        </row>
        <row r="80">
          <cell r="B80">
            <v>409</v>
          </cell>
          <cell r="F80" t="str">
            <v>Loamy &amp; Clay soils like BC soils, Red earth &amp; OG SS 301</v>
          </cell>
          <cell r="G80">
            <v>10</v>
          </cell>
          <cell r="H80" t="str">
            <v>cum</v>
          </cell>
          <cell r="I80">
            <v>215</v>
          </cell>
        </row>
        <row r="81">
          <cell r="B81">
            <v>412</v>
          </cell>
          <cell r="F81" t="str">
            <v>Hard Gravelly Soils SS 302 &amp; 303</v>
          </cell>
          <cell r="G81">
            <v>10</v>
          </cell>
          <cell r="H81" t="str">
            <v>cum</v>
          </cell>
          <cell r="I81">
            <v>250</v>
          </cell>
        </row>
        <row r="82">
          <cell r="B82">
            <v>413</v>
          </cell>
          <cell r="F82" t="str">
            <v>Hard Gravelly Soils SS 301</v>
          </cell>
          <cell r="G82">
            <v>10</v>
          </cell>
          <cell r="H82" t="str">
            <v>cum</v>
          </cell>
          <cell r="I82">
            <v>230</v>
          </cell>
        </row>
        <row r="83">
          <cell r="B83">
            <v>459</v>
          </cell>
          <cell r="C83">
            <v>35</v>
          </cell>
          <cell r="F83" t="str">
            <v>Vibrating Concrete</v>
          </cell>
          <cell r="G83">
            <v>1</v>
          </cell>
          <cell r="H83" t="str">
            <v>cum</v>
          </cell>
          <cell r="I83">
            <v>22.4</v>
          </cell>
        </row>
        <row r="84">
          <cell r="B84">
            <v>460</v>
          </cell>
          <cell r="C84">
            <v>36</v>
          </cell>
          <cell r="F84" t="str">
            <v>Machine mixing Concrete</v>
          </cell>
          <cell r="G84">
            <v>1</v>
          </cell>
          <cell r="H84" t="str">
            <v>cum</v>
          </cell>
          <cell r="I84">
            <v>21.8</v>
          </cell>
        </row>
        <row r="85">
          <cell r="B85">
            <v>461</v>
          </cell>
          <cell r="C85">
            <v>37</v>
          </cell>
          <cell r="F85" t="str">
            <v>Power for Mixer</v>
          </cell>
          <cell r="G85">
            <v>1</v>
          </cell>
          <cell r="H85" t="str">
            <v>cum</v>
          </cell>
          <cell r="I85">
            <v>14.5</v>
          </cell>
        </row>
        <row r="86">
          <cell r="B86">
            <v>495</v>
          </cell>
          <cell r="C86">
            <v>40</v>
          </cell>
          <cell r="D86" t="str">
            <v>a</v>
          </cell>
          <cell r="F86" t="str">
            <v>First Floor</v>
          </cell>
          <cell r="G86">
            <v>1</v>
          </cell>
          <cell r="H86" t="str">
            <v>cum</v>
          </cell>
          <cell r="I86">
            <v>22</v>
          </cell>
        </row>
        <row r="87">
          <cell r="B87">
            <v>496</v>
          </cell>
          <cell r="D87" t="str">
            <v>b</v>
          </cell>
          <cell r="F87" t="str">
            <v>Second Floor</v>
          </cell>
          <cell r="G87">
            <v>1</v>
          </cell>
          <cell r="H87" t="str">
            <v>cum</v>
          </cell>
          <cell r="I87">
            <v>27</v>
          </cell>
        </row>
        <row r="88">
          <cell r="B88">
            <v>497</v>
          </cell>
          <cell r="D88" t="str">
            <v>c</v>
          </cell>
          <cell r="F88" t="str">
            <v>Third Floor</v>
          </cell>
          <cell r="G88">
            <v>1</v>
          </cell>
          <cell r="H88" t="str">
            <v>cum</v>
          </cell>
          <cell r="I88">
            <v>37</v>
          </cell>
        </row>
        <row r="89">
          <cell r="B89">
            <v>498</v>
          </cell>
          <cell r="D89" t="str">
            <v>d</v>
          </cell>
          <cell r="F89" t="str">
            <v>Each Additional Floor</v>
          </cell>
          <cell r="G89">
            <v>1</v>
          </cell>
          <cell r="H89" t="str">
            <v>cum</v>
          </cell>
          <cell r="I89">
            <v>16</v>
          </cell>
        </row>
        <row r="90">
          <cell r="B90">
            <v>499</v>
          </cell>
          <cell r="D90" t="str">
            <v>a</v>
          </cell>
          <cell r="F90" t="str">
            <v>1st &amp; 2nd Floor</v>
          </cell>
          <cell r="G90">
            <v>10</v>
          </cell>
          <cell r="H90" t="str">
            <v>sqm</v>
          </cell>
          <cell r="I90">
            <v>25</v>
          </cell>
        </row>
        <row r="91">
          <cell r="B91">
            <v>500</v>
          </cell>
          <cell r="D91" t="str">
            <v>b</v>
          </cell>
          <cell r="F91" t="str">
            <v>2nd &amp; 3rd Floor</v>
          </cell>
          <cell r="G91">
            <v>10</v>
          </cell>
          <cell r="H91" t="str">
            <v>sqm</v>
          </cell>
          <cell r="I91">
            <v>50</v>
          </cell>
        </row>
        <row r="92">
          <cell r="B92">
            <v>501</v>
          </cell>
          <cell r="D92" t="str">
            <v>c</v>
          </cell>
          <cell r="F92" t="str">
            <v>3rd &amp; 4th Floor</v>
          </cell>
          <cell r="G92">
            <v>10</v>
          </cell>
          <cell r="H92" t="str">
            <v>sqm</v>
          </cell>
          <cell r="I92">
            <v>75</v>
          </cell>
        </row>
        <row r="93">
          <cell r="B93">
            <v>502</v>
          </cell>
          <cell r="D93" t="str">
            <v>d</v>
          </cell>
          <cell r="F93" t="str">
            <v>Each Additional Floor</v>
          </cell>
          <cell r="G93">
            <v>10</v>
          </cell>
          <cell r="H93" t="str">
            <v>sqm</v>
          </cell>
          <cell r="I93">
            <v>18</v>
          </cell>
        </row>
        <row r="94">
          <cell r="B94">
            <v>503</v>
          </cell>
          <cell r="D94" t="str">
            <v>a</v>
          </cell>
          <cell r="F94" t="str">
            <v>upto 150 mm depth</v>
          </cell>
          <cell r="G94">
            <v>10</v>
          </cell>
          <cell r="H94" t="str">
            <v>sqm</v>
          </cell>
          <cell r="I94">
            <v>525</v>
          </cell>
        </row>
        <row r="95">
          <cell r="B95">
            <v>504</v>
          </cell>
          <cell r="D95" t="str">
            <v>b</v>
          </cell>
          <cell r="F95" t="str">
            <v>above 150 mm depth and upto 300 mm depth</v>
          </cell>
          <cell r="G95">
            <v>10</v>
          </cell>
          <cell r="H95" t="str">
            <v>sqm</v>
          </cell>
          <cell r="I95">
            <v>850</v>
          </cell>
        </row>
        <row r="96">
          <cell r="B96">
            <v>510</v>
          </cell>
          <cell r="D96" t="str">
            <v>g</v>
          </cell>
          <cell r="E96" t="str">
            <v xml:space="preserve">i </v>
          </cell>
          <cell r="F96" t="str">
            <v>0.60 m width</v>
          </cell>
          <cell r="G96">
            <v>1</v>
          </cell>
          <cell r="H96" t="str">
            <v>rmt</v>
          </cell>
          <cell r="I96">
            <v>25</v>
          </cell>
        </row>
        <row r="97">
          <cell r="B97">
            <v>511</v>
          </cell>
          <cell r="D97" t="str">
            <v>g</v>
          </cell>
          <cell r="E97" t="str">
            <v>ii</v>
          </cell>
          <cell r="F97" t="str">
            <v>0.80 m width</v>
          </cell>
          <cell r="G97">
            <v>1</v>
          </cell>
          <cell r="H97" t="str">
            <v>rmt</v>
          </cell>
          <cell r="I97">
            <v>30</v>
          </cell>
        </row>
        <row r="98">
          <cell r="B98">
            <v>512</v>
          </cell>
          <cell r="D98" t="str">
            <v>g</v>
          </cell>
          <cell r="E98" t="str">
            <v>iii</v>
          </cell>
          <cell r="F98" t="str">
            <v>1.00 m width</v>
          </cell>
          <cell r="G98">
            <v>1</v>
          </cell>
          <cell r="H98" t="str">
            <v>rmt</v>
          </cell>
          <cell r="I98">
            <v>35</v>
          </cell>
        </row>
        <row r="99">
          <cell r="B99">
            <v>513</v>
          </cell>
          <cell r="D99" t="str">
            <v>h</v>
          </cell>
          <cell r="F99" t="str">
            <v>T.Beams</v>
          </cell>
          <cell r="G99">
            <v>1</v>
          </cell>
          <cell r="H99" t="str">
            <v>cum</v>
          </cell>
          <cell r="I99">
            <v>650</v>
          </cell>
        </row>
        <row r="100">
          <cell r="B100">
            <v>514</v>
          </cell>
          <cell r="F100" t="str">
            <v>Columns, Rectangular beams, L.Beams</v>
          </cell>
          <cell r="G100">
            <v>1</v>
          </cell>
          <cell r="H100" t="str">
            <v>cum</v>
          </cell>
          <cell r="I100">
            <v>550</v>
          </cell>
        </row>
        <row r="101">
          <cell r="B101">
            <v>515</v>
          </cell>
          <cell r="F101" t="str">
            <v>Templates, Bed blocks,Footings</v>
          </cell>
          <cell r="G101">
            <v>1</v>
          </cell>
          <cell r="H101" t="str">
            <v>cum</v>
          </cell>
          <cell r="I101">
            <v>330</v>
          </cell>
        </row>
        <row r="102">
          <cell r="B102">
            <v>518</v>
          </cell>
          <cell r="F102" t="str">
            <v>Lintels, Plinth Beams</v>
          </cell>
          <cell r="G102">
            <v>1</v>
          </cell>
          <cell r="H102" t="str">
            <v>cum</v>
          </cell>
          <cell r="I102">
            <v>450</v>
          </cell>
        </row>
        <row r="103">
          <cell r="B103">
            <v>519</v>
          </cell>
          <cell r="F103" t="str">
            <v>Slabs above 300 mm depth</v>
          </cell>
          <cell r="G103">
            <v>1</v>
          </cell>
          <cell r="H103" t="str">
            <v>cum</v>
          </cell>
          <cell r="I103">
            <v>520</v>
          </cell>
        </row>
        <row r="104">
          <cell r="B104">
            <v>521</v>
          </cell>
          <cell r="D104" t="str">
            <v>a</v>
          </cell>
          <cell r="F104" t="str">
            <v>For mass concrete Piers, Abutments and steining well curb well caps etc.,</v>
          </cell>
          <cell r="G104">
            <v>1</v>
          </cell>
          <cell r="H104" t="str">
            <v>cum</v>
          </cell>
          <cell r="I104">
            <v>380</v>
          </cell>
        </row>
        <row r="105">
          <cell r="B105">
            <v>522</v>
          </cell>
          <cell r="F105" t="str">
            <v>For RCC Piers, Abutments, Wings, Well steining weel curbs, well Caps etc.,</v>
          </cell>
          <cell r="G105">
            <v>1</v>
          </cell>
          <cell r="H105" t="str">
            <v>cum</v>
          </cell>
          <cell r="I105">
            <v>500</v>
          </cell>
        </row>
        <row r="106">
          <cell r="B106">
            <v>523</v>
          </cell>
          <cell r="F106" t="str">
            <v>For RCC Deck Slabs</v>
          </cell>
          <cell r="G106">
            <v>1</v>
          </cell>
          <cell r="H106" t="str">
            <v>cum</v>
          </cell>
          <cell r="I106">
            <v>950</v>
          </cell>
        </row>
        <row r="107">
          <cell r="B107">
            <v>524</v>
          </cell>
          <cell r="F107" t="str">
            <v>For RCC beams</v>
          </cell>
          <cell r="G107">
            <v>1</v>
          </cell>
          <cell r="H107" t="str">
            <v>cum</v>
          </cell>
          <cell r="I107">
            <v>1150</v>
          </cell>
        </row>
        <row r="108">
          <cell r="B108">
            <v>525</v>
          </cell>
          <cell r="F108" t="str">
            <v>RCC hand rails</v>
          </cell>
          <cell r="G108">
            <v>1</v>
          </cell>
          <cell r="H108" t="str">
            <v>cum</v>
          </cell>
          <cell r="I108">
            <v>1250</v>
          </cell>
        </row>
        <row r="109">
          <cell r="B109">
            <v>526</v>
          </cell>
          <cell r="F109" t="str">
            <v>CC pavements, Wearing Coats, approach slabs guide stone JM stone etc.</v>
          </cell>
          <cell r="G109">
            <v>1</v>
          </cell>
          <cell r="H109" t="str">
            <v>cum</v>
          </cell>
          <cell r="I109">
            <v>95</v>
          </cell>
        </row>
        <row r="110">
          <cell r="B110">
            <v>555</v>
          </cell>
          <cell r="D110" t="str">
            <v>a</v>
          </cell>
          <cell r="F110" t="str">
            <v>250 mm dia</v>
          </cell>
          <cell r="G110">
            <v>1</v>
          </cell>
          <cell r="H110" t="str">
            <v>rmt</v>
          </cell>
          <cell r="I110">
            <v>8</v>
          </cell>
        </row>
        <row r="111">
          <cell r="B111">
            <v>556</v>
          </cell>
          <cell r="D111" t="str">
            <v>b</v>
          </cell>
          <cell r="F111" t="str">
            <v>300 mm dia</v>
          </cell>
          <cell r="G111">
            <v>1</v>
          </cell>
          <cell r="H111" t="str">
            <v>rmt</v>
          </cell>
          <cell r="I111">
            <v>11</v>
          </cell>
        </row>
        <row r="112">
          <cell r="B112">
            <v>557</v>
          </cell>
          <cell r="D112" t="str">
            <v>c</v>
          </cell>
          <cell r="F112" t="str">
            <v>450 mm dia</v>
          </cell>
          <cell r="G112">
            <v>1</v>
          </cell>
          <cell r="H112" t="str">
            <v>rmt</v>
          </cell>
          <cell r="I112">
            <v>15</v>
          </cell>
        </row>
        <row r="113">
          <cell r="B113">
            <v>558</v>
          </cell>
          <cell r="D113" t="str">
            <v>d</v>
          </cell>
          <cell r="F113" t="str">
            <v>600 mm dia</v>
          </cell>
          <cell r="G113">
            <v>1</v>
          </cell>
          <cell r="H113" t="str">
            <v>rmt</v>
          </cell>
          <cell r="I113">
            <v>25</v>
          </cell>
        </row>
        <row r="114">
          <cell r="B114">
            <v>559</v>
          </cell>
          <cell r="D114" t="str">
            <v>e</v>
          </cell>
          <cell r="F114" t="str">
            <v>750 mm dia</v>
          </cell>
          <cell r="G114">
            <v>1</v>
          </cell>
          <cell r="H114" t="str">
            <v>rmt</v>
          </cell>
          <cell r="I114">
            <v>30</v>
          </cell>
        </row>
        <row r="115">
          <cell r="B115">
            <v>560</v>
          </cell>
          <cell r="D115" t="str">
            <v>f</v>
          </cell>
          <cell r="F115" t="str">
            <v>800 mm dia</v>
          </cell>
          <cell r="G115">
            <v>1</v>
          </cell>
          <cell r="H115" t="str">
            <v>rmt</v>
          </cell>
          <cell r="I115">
            <v>35</v>
          </cell>
        </row>
        <row r="116">
          <cell r="B116">
            <v>561</v>
          </cell>
          <cell r="D116" t="str">
            <v>g</v>
          </cell>
          <cell r="F116" t="str">
            <v>1000 mm dia</v>
          </cell>
          <cell r="G116">
            <v>1</v>
          </cell>
          <cell r="H116" t="str">
            <v>rmt</v>
          </cell>
          <cell r="I116">
            <v>40</v>
          </cell>
        </row>
        <row r="117">
          <cell r="B117">
            <v>562</v>
          </cell>
          <cell r="D117" t="str">
            <v>h</v>
          </cell>
          <cell r="F117" t="str">
            <v>1220 mm dia</v>
          </cell>
          <cell r="G117">
            <v>1</v>
          </cell>
          <cell r="H117" t="str">
            <v>rmt</v>
          </cell>
          <cell r="I117">
            <v>50</v>
          </cell>
        </row>
        <row r="118">
          <cell r="B118">
            <v>563</v>
          </cell>
          <cell r="D118" t="str">
            <v>a</v>
          </cell>
          <cell r="F118" t="str">
            <v>40 mm</v>
          </cell>
          <cell r="G118">
            <v>1</v>
          </cell>
          <cell r="H118" t="str">
            <v>sqm</v>
          </cell>
          <cell r="I118">
            <v>29</v>
          </cell>
        </row>
        <row r="119">
          <cell r="B119">
            <v>564</v>
          </cell>
          <cell r="D119" t="str">
            <v>b</v>
          </cell>
          <cell r="F119" t="str">
            <v>50 mm</v>
          </cell>
          <cell r="G119">
            <v>1</v>
          </cell>
          <cell r="H119" t="str">
            <v>sqm</v>
          </cell>
          <cell r="I119">
            <v>31</v>
          </cell>
        </row>
        <row r="120">
          <cell r="B120">
            <v>565</v>
          </cell>
          <cell r="D120" t="str">
            <v>c</v>
          </cell>
          <cell r="F120" t="str">
            <v>75 mm</v>
          </cell>
          <cell r="G120">
            <v>1</v>
          </cell>
          <cell r="H120" t="str">
            <v>sqm</v>
          </cell>
          <cell r="I120">
            <v>34</v>
          </cell>
        </row>
        <row r="121">
          <cell r="B121">
            <v>566</v>
          </cell>
          <cell r="D121" t="str">
            <v>d</v>
          </cell>
          <cell r="F121" t="str">
            <v>100 mm</v>
          </cell>
          <cell r="G121">
            <v>1</v>
          </cell>
          <cell r="H121" t="str">
            <v>sqm</v>
          </cell>
          <cell r="I121">
            <v>36</v>
          </cell>
        </row>
        <row r="122">
          <cell r="B122">
            <v>570</v>
          </cell>
          <cell r="C122">
            <v>52</v>
          </cell>
          <cell r="F122" t="str">
            <v>Picking 50mm to 100mm old metalled surface and sectioning</v>
          </cell>
          <cell r="G122">
            <v>10</v>
          </cell>
          <cell r="H122" t="str">
            <v>sqm</v>
          </cell>
          <cell r="I122">
            <v>10</v>
          </cell>
        </row>
        <row r="123">
          <cell r="B123">
            <v>571</v>
          </cell>
          <cell r="C123">
            <v>53</v>
          </cell>
          <cell r="F123" t="str">
            <v>Picking gravelled surface 25mm deep and levelling and sectioning</v>
          </cell>
          <cell r="G123">
            <v>10</v>
          </cell>
          <cell r="H123" t="str">
            <v>sqm</v>
          </cell>
          <cell r="I123">
            <v>2.5</v>
          </cell>
        </row>
        <row r="124">
          <cell r="B124">
            <v>572</v>
          </cell>
          <cell r="C124">
            <v>54</v>
          </cell>
          <cell r="F124" t="str">
            <v>Picking existing BT survace and removal of chips</v>
          </cell>
          <cell r="G124">
            <v>10</v>
          </cell>
          <cell r="H124" t="str">
            <v>sqm</v>
          </cell>
          <cell r="I124">
            <v>9.5</v>
          </cell>
        </row>
      </sheetData>
      <sheetData sheetId="11" refreshError="1"/>
      <sheetData sheetId="12" refreshError="1"/>
      <sheetData sheetId="13" refreshError="1"/>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D6">
            <v>2500</v>
          </cell>
          <cell r="E6" t="str">
            <v>/MT</v>
          </cell>
        </row>
        <row r="7">
          <cell r="A7">
            <v>6</v>
          </cell>
          <cell r="B7" t="str">
            <v>Steel</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F1" t="str">
            <v>DETAILS</v>
          </cell>
          <cell r="G1" t="str">
            <v>Unit</v>
          </cell>
          <cell r="H1" t="str">
            <v>PER</v>
          </cell>
          <cell r="I1" t="str">
            <v>RATE</v>
          </cell>
        </row>
        <row r="2">
          <cell r="B2">
            <v>1</v>
          </cell>
          <cell r="C2" t="str">
            <v>1ab</v>
          </cell>
          <cell r="F2" t="str">
            <v>1st Class Mason</v>
          </cell>
          <cell r="G2">
            <v>1</v>
          </cell>
          <cell r="H2" t="str">
            <v>each</v>
          </cell>
          <cell r="I2">
            <v>86</v>
          </cell>
        </row>
        <row r="3">
          <cell r="B3">
            <v>26</v>
          </cell>
          <cell r="C3">
            <v>17</v>
          </cell>
          <cell r="F3" t="str">
            <v>Spl.grade Mason</v>
          </cell>
          <cell r="G3">
            <v>1</v>
          </cell>
          <cell r="H3" t="str">
            <v>each</v>
          </cell>
          <cell r="I3">
            <v>0</v>
          </cell>
        </row>
        <row r="4">
          <cell r="B4">
            <v>28</v>
          </cell>
          <cell r="C4" t="str">
            <v>1a</v>
          </cell>
          <cell r="F4" t="str">
            <v>2nd Class Mason</v>
          </cell>
          <cell r="G4">
            <v>1</v>
          </cell>
          <cell r="H4" t="str">
            <v>each</v>
          </cell>
          <cell r="I4">
            <v>75</v>
          </cell>
        </row>
        <row r="5">
          <cell r="B5">
            <v>53</v>
          </cell>
          <cell r="C5">
            <v>2</v>
          </cell>
          <cell r="F5" t="str">
            <v>Man Mazdoor</v>
          </cell>
          <cell r="G5">
            <v>1</v>
          </cell>
          <cell r="H5" t="str">
            <v>each</v>
          </cell>
          <cell r="I5">
            <v>55</v>
          </cell>
        </row>
        <row r="6">
          <cell r="B6">
            <v>54</v>
          </cell>
          <cell r="C6">
            <v>3</v>
          </cell>
          <cell r="F6" t="str">
            <v>Woman Mazdoor</v>
          </cell>
          <cell r="G6">
            <v>1</v>
          </cell>
          <cell r="H6" t="str">
            <v>each</v>
          </cell>
          <cell r="I6">
            <v>55</v>
          </cell>
        </row>
        <row r="7">
          <cell r="B7">
            <v>60</v>
          </cell>
          <cell r="C7" t="str">
            <v>1a</v>
          </cell>
          <cell r="F7" t="str">
            <v>2nd Class Bricks</v>
          </cell>
          <cell r="G7">
            <v>1000</v>
          </cell>
          <cell r="H7" t="str">
            <v>Nos</v>
          </cell>
          <cell r="I7">
            <v>1200</v>
          </cell>
        </row>
        <row r="8">
          <cell r="B8">
            <v>67</v>
          </cell>
          <cell r="C8" t="str">
            <v>2c</v>
          </cell>
          <cell r="F8" t="str">
            <v>RR stone Granite Variety</v>
          </cell>
          <cell r="G8">
            <v>1</v>
          </cell>
          <cell r="H8" t="str">
            <v>cum</v>
          </cell>
          <cell r="I8">
            <v>75</v>
          </cell>
        </row>
        <row r="9">
          <cell r="B9">
            <v>72</v>
          </cell>
          <cell r="C9" t="str">
            <v>3a</v>
          </cell>
          <cell r="F9" t="str">
            <v>CR stone Granite Variety</v>
          </cell>
          <cell r="G9">
            <v>1</v>
          </cell>
          <cell r="H9" t="str">
            <v>cum</v>
          </cell>
          <cell r="I9">
            <v>109</v>
          </cell>
        </row>
        <row r="10">
          <cell r="B10">
            <v>80</v>
          </cell>
          <cell r="F10" t="str">
            <v>6 mm SS</v>
          </cell>
          <cell r="G10">
            <v>1</v>
          </cell>
          <cell r="H10" t="str">
            <v>cum</v>
          </cell>
          <cell r="I10">
            <v>170</v>
          </cell>
        </row>
        <row r="11">
          <cell r="B11">
            <v>81</v>
          </cell>
          <cell r="F11" t="str">
            <v>5 to 7 mm IRC</v>
          </cell>
          <cell r="G11">
            <v>1</v>
          </cell>
          <cell r="H11" t="str">
            <v>cum</v>
          </cell>
          <cell r="I11">
            <v>170</v>
          </cell>
        </row>
        <row r="12">
          <cell r="B12">
            <v>82</v>
          </cell>
          <cell r="F12" t="str">
            <v>10 mm SS</v>
          </cell>
          <cell r="G12">
            <v>1</v>
          </cell>
          <cell r="H12" t="str">
            <v>cum</v>
          </cell>
          <cell r="I12">
            <v>250</v>
          </cell>
        </row>
        <row r="13">
          <cell r="B13">
            <v>83</v>
          </cell>
          <cell r="F13" t="str">
            <v>10 to 11.2 IRC</v>
          </cell>
          <cell r="G13">
            <v>1</v>
          </cell>
          <cell r="H13" t="str">
            <v>cum</v>
          </cell>
          <cell r="I13">
            <v>250</v>
          </cell>
        </row>
        <row r="14">
          <cell r="B14">
            <v>84</v>
          </cell>
          <cell r="F14" t="str">
            <v>12 mm SS</v>
          </cell>
          <cell r="G14">
            <v>1</v>
          </cell>
          <cell r="H14" t="str">
            <v>cum</v>
          </cell>
          <cell r="I14">
            <v>300</v>
          </cell>
        </row>
        <row r="15">
          <cell r="B15">
            <v>85</v>
          </cell>
          <cell r="F15" t="str">
            <v>12 to 14 mm IRC</v>
          </cell>
          <cell r="G15">
            <v>1</v>
          </cell>
          <cell r="H15" t="str">
            <v>cum</v>
          </cell>
          <cell r="I15">
            <v>300</v>
          </cell>
        </row>
        <row r="16">
          <cell r="B16">
            <v>86</v>
          </cell>
          <cell r="F16" t="str">
            <v>20 mm SS</v>
          </cell>
          <cell r="G16">
            <v>1</v>
          </cell>
          <cell r="H16" t="str">
            <v>cum</v>
          </cell>
          <cell r="I16">
            <v>380</v>
          </cell>
        </row>
        <row r="17">
          <cell r="B17">
            <v>87</v>
          </cell>
          <cell r="F17" t="str">
            <v>20 to 22 mm IRC</v>
          </cell>
          <cell r="G17">
            <v>1</v>
          </cell>
          <cell r="H17" t="str">
            <v>cum</v>
          </cell>
          <cell r="I17">
            <v>375</v>
          </cell>
        </row>
        <row r="18">
          <cell r="B18">
            <v>88</v>
          </cell>
          <cell r="F18" t="str">
            <v>25 mm SS</v>
          </cell>
          <cell r="G18">
            <v>1</v>
          </cell>
          <cell r="H18" t="str">
            <v>cum</v>
          </cell>
          <cell r="I18">
            <v>300</v>
          </cell>
        </row>
        <row r="19">
          <cell r="B19">
            <v>89</v>
          </cell>
          <cell r="F19" t="str">
            <v>25 to 27 mm IRC</v>
          </cell>
          <cell r="G19">
            <v>1</v>
          </cell>
          <cell r="H19" t="str">
            <v>cum</v>
          </cell>
          <cell r="I19">
            <v>300</v>
          </cell>
        </row>
        <row r="20">
          <cell r="B20">
            <v>90</v>
          </cell>
          <cell r="F20" t="str">
            <v>40 mm SS</v>
          </cell>
          <cell r="G20">
            <v>1</v>
          </cell>
          <cell r="H20" t="str">
            <v>cum</v>
          </cell>
          <cell r="I20">
            <v>215</v>
          </cell>
        </row>
        <row r="21">
          <cell r="B21">
            <v>91</v>
          </cell>
          <cell r="F21" t="str">
            <v>40 to 45 mm IRC</v>
          </cell>
          <cell r="G21">
            <v>1</v>
          </cell>
          <cell r="H21" t="str">
            <v>cum</v>
          </cell>
          <cell r="I21">
            <v>200</v>
          </cell>
        </row>
        <row r="22">
          <cell r="B22">
            <v>92</v>
          </cell>
          <cell r="F22" t="str">
            <v>50 mm SS</v>
          </cell>
          <cell r="G22">
            <v>1</v>
          </cell>
          <cell r="H22" t="str">
            <v>cum</v>
          </cell>
          <cell r="I22">
            <v>150</v>
          </cell>
        </row>
        <row r="23">
          <cell r="B23">
            <v>93</v>
          </cell>
          <cell r="F23" t="str">
            <v>50 to 55mm IRC</v>
          </cell>
          <cell r="G23">
            <v>1</v>
          </cell>
          <cell r="H23" t="str">
            <v>cum</v>
          </cell>
          <cell r="I23">
            <v>120</v>
          </cell>
        </row>
        <row r="24">
          <cell r="B24">
            <v>94</v>
          </cell>
          <cell r="F24" t="str">
            <v>60 mm SS</v>
          </cell>
          <cell r="G24">
            <v>1</v>
          </cell>
          <cell r="H24" t="str">
            <v>cum</v>
          </cell>
          <cell r="I24">
            <v>150</v>
          </cell>
        </row>
        <row r="25">
          <cell r="B25">
            <v>95</v>
          </cell>
          <cell r="F25" t="str">
            <v>60 to 63 mm IRC</v>
          </cell>
          <cell r="G25">
            <v>1</v>
          </cell>
          <cell r="H25" t="str">
            <v>cum</v>
          </cell>
          <cell r="I25">
            <v>110</v>
          </cell>
        </row>
        <row r="26">
          <cell r="B26">
            <v>96</v>
          </cell>
          <cell r="F26" t="str">
            <v>65 mm SS</v>
          </cell>
          <cell r="G26">
            <v>1</v>
          </cell>
          <cell r="H26" t="str">
            <v>cum</v>
          </cell>
          <cell r="I26">
            <v>150</v>
          </cell>
        </row>
        <row r="27">
          <cell r="B27">
            <v>97</v>
          </cell>
          <cell r="F27" t="str">
            <v>65 mm IRC</v>
          </cell>
          <cell r="G27">
            <v>1</v>
          </cell>
          <cell r="H27" t="str">
            <v>cum</v>
          </cell>
          <cell r="I27">
            <v>120</v>
          </cell>
        </row>
        <row r="28">
          <cell r="B28">
            <v>98</v>
          </cell>
          <cell r="F28" t="str">
            <v>75 mm SS</v>
          </cell>
          <cell r="G28">
            <v>1</v>
          </cell>
          <cell r="H28" t="str">
            <v>cum</v>
          </cell>
          <cell r="I28">
            <v>95</v>
          </cell>
        </row>
        <row r="29">
          <cell r="B29">
            <v>99</v>
          </cell>
          <cell r="F29" t="str">
            <v>75 mm IRC</v>
          </cell>
          <cell r="G29">
            <v>1</v>
          </cell>
          <cell r="H29" t="str">
            <v>cum</v>
          </cell>
          <cell r="I29">
            <v>95</v>
          </cell>
        </row>
        <row r="30">
          <cell r="B30">
            <v>100</v>
          </cell>
          <cell r="F30" t="str">
            <v>Blasting</v>
          </cell>
          <cell r="G30">
            <v>1</v>
          </cell>
          <cell r="H30" t="str">
            <v>cum</v>
          </cell>
          <cell r="I30">
            <v>40</v>
          </cell>
        </row>
        <row r="31">
          <cell r="B31">
            <v>101</v>
          </cell>
          <cell r="F31" t="str">
            <v>Metal Crushing</v>
          </cell>
          <cell r="G31">
            <v>1</v>
          </cell>
          <cell r="H31" t="str">
            <v>cum</v>
          </cell>
          <cell r="I31">
            <v>0.25</v>
          </cell>
        </row>
        <row r="32">
          <cell r="B32">
            <v>127</v>
          </cell>
          <cell r="C32">
            <v>9</v>
          </cell>
          <cell r="F32" t="str">
            <v>Gravel</v>
          </cell>
          <cell r="G32">
            <v>1</v>
          </cell>
          <cell r="H32" t="str">
            <v>cum</v>
          </cell>
          <cell r="I32">
            <v>25</v>
          </cell>
        </row>
        <row r="33">
          <cell r="B33">
            <v>128</v>
          </cell>
          <cell r="F33" t="str">
            <v>Quarry rubbish</v>
          </cell>
          <cell r="G33">
            <v>1</v>
          </cell>
          <cell r="H33" t="str">
            <v>cum</v>
          </cell>
          <cell r="I33">
            <v>11</v>
          </cell>
        </row>
        <row r="34">
          <cell r="B34">
            <v>129</v>
          </cell>
          <cell r="F34" t="str">
            <v>Sand for Mortar, Seal coat</v>
          </cell>
          <cell r="G34">
            <v>1</v>
          </cell>
          <cell r="H34" t="str">
            <v>cum</v>
          </cell>
          <cell r="I34">
            <v>50</v>
          </cell>
        </row>
        <row r="35">
          <cell r="B35">
            <v>130</v>
          </cell>
          <cell r="F35" t="str">
            <v>Sand for Filling, Blindage</v>
          </cell>
          <cell r="G35">
            <v>1</v>
          </cell>
          <cell r="H35" t="str">
            <v>cum</v>
          </cell>
          <cell r="I35">
            <v>20</v>
          </cell>
        </row>
        <row r="36">
          <cell r="B36">
            <v>133</v>
          </cell>
          <cell r="C36">
            <v>15</v>
          </cell>
          <cell r="F36" t="str">
            <v>40 mm thick 0.762 m x.457 m</v>
          </cell>
          <cell r="G36">
            <v>1</v>
          </cell>
          <cell r="H36" t="str">
            <v>sqm</v>
          </cell>
          <cell r="I36">
            <v>70</v>
          </cell>
        </row>
        <row r="37">
          <cell r="B37">
            <v>134</v>
          </cell>
          <cell r="C37">
            <v>16</v>
          </cell>
          <cell r="F37" t="str">
            <v>50 mm thick 0.762 m x.457 m</v>
          </cell>
          <cell r="G37">
            <v>1</v>
          </cell>
          <cell r="H37" t="str">
            <v>sqm</v>
          </cell>
          <cell r="I37">
            <v>80</v>
          </cell>
        </row>
        <row r="38">
          <cell r="B38">
            <v>136</v>
          </cell>
          <cell r="F38" t="str">
            <v>25.4 mm thick White</v>
          </cell>
          <cell r="G38">
            <v>10</v>
          </cell>
          <cell r="H38" t="str">
            <v>sqm</v>
          </cell>
          <cell r="I38">
            <v>550</v>
          </cell>
        </row>
        <row r="39">
          <cell r="B39">
            <v>137</v>
          </cell>
          <cell r="F39" t="str">
            <v>25.4 mm thick Blue</v>
          </cell>
          <cell r="G39">
            <v>10</v>
          </cell>
          <cell r="H39" t="str">
            <v>sqm</v>
          </cell>
          <cell r="I39">
            <v>600</v>
          </cell>
        </row>
        <row r="40">
          <cell r="B40">
            <v>138</v>
          </cell>
          <cell r="F40" t="str">
            <v>25.4 mm thick White</v>
          </cell>
          <cell r="G40">
            <v>10</v>
          </cell>
          <cell r="H40" t="str">
            <v>sqm</v>
          </cell>
          <cell r="I40">
            <v>600</v>
          </cell>
        </row>
        <row r="41">
          <cell r="B41">
            <v>139</v>
          </cell>
          <cell r="F41" t="str">
            <v>25.4 mm thick Blue</v>
          </cell>
          <cell r="G41">
            <v>10</v>
          </cell>
          <cell r="H41" t="str">
            <v>sqm</v>
          </cell>
          <cell r="I41">
            <v>700</v>
          </cell>
        </row>
        <row r="42">
          <cell r="B42">
            <v>140</v>
          </cell>
          <cell r="F42" t="str">
            <v>25.4 mm thick White  0.457mx0.457 m</v>
          </cell>
          <cell r="G42">
            <v>10</v>
          </cell>
          <cell r="H42" t="str">
            <v>sqm</v>
          </cell>
          <cell r="I42">
            <v>1000</v>
          </cell>
        </row>
        <row r="43">
          <cell r="B43">
            <v>141</v>
          </cell>
          <cell r="F43" t="str">
            <v>25.4 mm thick Blue  0.457mx0.457 m</v>
          </cell>
          <cell r="G43">
            <v>10</v>
          </cell>
          <cell r="H43" t="str">
            <v>sqm</v>
          </cell>
          <cell r="I43">
            <v>1150</v>
          </cell>
        </row>
        <row r="44">
          <cell r="B44">
            <v>142</v>
          </cell>
          <cell r="C44">
            <v>20</v>
          </cell>
          <cell r="F44" t="str">
            <v>25.4 mm thick   0.457mx0.457 m</v>
          </cell>
          <cell r="G44">
            <v>10</v>
          </cell>
          <cell r="H44" t="str">
            <v>sqm</v>
          </cell>
          <cell r="I44">
            <v>900</v>
          </cell>
        </row>
        <row r="45">
          <cell r="B45">
            <v>143</v>
          </cell>
          <cell r="C45">
            <v>21</v>
          </cell>
          <cell r="F45" t="str">
            <v>25.4 mm thick 0.254mx0.254 m White</v>
          </cell>
          <cell r="G45">
            <v>10</v>
          </cell>
          <cell r="H45" t="str">
            <v>sqm</v>
          </cell>
          <cell r="I45">
            <v>2700</v>
          </cell>
        </row>
        <row r="46">
          <cell r="B46">
            <v>168</v>
          </cell>
          <cell r="F46" t="str">
            <v>Cement Mortar</v>
          </cell>
          <cell r="G46">
            <v>1</v>
          </cell>
          <cell r="H46" t="str">
            <v>cum</v>
          </cell>
          <cell r="I46">
            <v>15</v>
          </cell>
        </row>
        <row r="47">
          <cell r="B47">
            <v>169</v>
          </cell>
          <cell r="F47" t="str">
            <v>By Machine</v>
          </cell>
          <cell r="G47">
            <v>1</v>
          </cell>
          <cell r="H47" t="str">
            <v>cum</v>
          </cell>
          <cell r="I47">
            <v>25</v>
          </cell>
        </row>
        <row r="48">
          <cell r="B48">
            <v>175</v>
          </cell>
          <cell r="F48" t="str">
            <v>White Cement</v>
          </cell>
          <cell r="G48">
            <v>1</v>
          </cell>
          <cell r="H48" t="str">
            <v>kg</v>
          </cell>
          <cell r="I48">
            <v>9</v>
          </cell>
        </row>
        <row r="49">
          <cell r="B49">
            <v>176</v>
          </cell>
          <cell r="F49" t="str">
            <v xml:space="preserve">Scantling below 2m </v>
          </cell>
          <cell r="G49">
            <v>1</v>
          </cell>
          <cell r="H49" t="str">
            <v>cum</v>
          </cell>
          <cell r="I49">
            <v>50000</v>
          </cell>
        </row>
        <row r="50">
          <cell r="B50">
            <v>177</v>
          </cell>
          <cell r="F50" t="str">
            <v xml:space="preserve">Scantling above 2m </v>
          </cell>
          <cell r="G50">
            <v>1</v>
          </cell>
          <cell r="H50" t="str">
            <v>cum</v>
          </cell>
          <cell r="I50">
            <v>52000</v>
          </cell>
        </row>
        <row r="51">
          <cell r="B51">
            <v>178</v>
          </cell>
          <cell r="F51" t="str">
            <v>Planks of all sizes</v>
          </cell>
          <cell r="G51">
            <v>1</v>
          </cell>
          <cell r="H51" t="str">
            <v>cum</v>
          </cell>
          <cell r="I51">
            <v>55000</v>
          </cell>
        </row>
        <row r="52">
          <cell r="B52">
            <v>176</v>
          </cell>
          <cell r="F52" t="str">
            <v xml:space="preserve">Scantling below 2m </v>
          </cell>
          <cell r="G52">
            <v>1</v>
          </cell>
          <cell r="H52" t="str">
            <v>cum</v>
          </cell>
          <cell r="I52">
            <v>40000</v>
          </cell>
        </row>
        <row r="53">
          <cell r="B53">
            <v>177</v>
          </cell>
          <cell r="F53" t="str">
            <v xml:space="preserve">Scantling above 2m </v>
          </cell>
          <cell r="G53">
            <v>1</v>
          </cell>
          <cell r="H53" t="str">
            <v>cum</v>
          </cell>
          <cell r="I53">
            <v>42000</v>
          </cell>
        </row>
        <row r="54">
          <cell r="B54">
            <v>178</v>
          </cell>
          <cell r="F54" t="str">
            <v>Planks of all sizes</v>
          </cell>
          <cell r="G54">
            <v>1</v>
          </cell>
          <cell r="H54" t="str">
            <v>cum</v>
          </cell>
          <cell r="I54">
            <v>45000</v>
          </cell>
        </row>
        <row r="55">
          <cell r="B55">
            <v>187</v>
          </cell>
          <cell r="F55" t="str">
            <v>Steel fabrication</v>
          </cell>
          <cell r="G55">
            <v>1</v>
          </cell>
          <cell r="H55" t="str">
            <v>kg</v>
          </cell>
          <cell r="I55">
            <v>3.25</v>
          </cell>
        </row>
        <row r="56">
          <cell r="B56">
            <v>234</v>
          </cell>
          <cell r="F56" t="str">
            <v>25 mm thick</v>
          </cell>
          <cell r="G56">
            <v>1</v>
          </cell>
          <cell r="H56" t="str">
            <v>sqm</v>
          </cell>
          <cell r="I56">
            <v>80</v>
          </cell>
        </row>
        <row r="57">
          <cell r="B57">
            <v>235</v>
          </cell>
          <cell r="F57" t="str">
            <v>40 mm thick</v>
          </cell>
          <cell r="G57">
            <v>1</v>
          </cell>
          <cell r="H57" t="str">
            <v>sqm</v>
          </cell>
          <cell r="I57">
            <v>105</v>
          </cell>
        </row>
        <row r="58">
          <cell r="B58">
            <v>236</v>
          </cell>
          <cell r="F58" t="str">
            <v>50 mm thick</v>
          </cell>
          <cell r="G58">
            <v>1</v>
          </cell>
          <cell r="H58" t="str">
            <v>sqm</v>
          </cell>
          <cell r="I58">
            <v>140</v>
          </cell>
        </row>
        <row r="59">
          <cell r="B59">
            <v>239</v>
          </cell>
          <cell r="F59" t="str">
            <v>Dry powder Distemper</v>
          </cell>
          <cell r="G59">
            <v>1</v>
          </cell>
          <cell r="H59" t="str">
            <v>kg</v>
          </cell>
          <cell r="I59">
            <v>20</v>
          </cell>
        </row>
        <row r="60">
          <cell r="B60">
            <v>240</v>
          </cell>
          <cell r="F60" t="str">
            <v>Oil bound washable Distemper</v>
          </cell>
          <cell r="G60">
            <v>1</v>
          </cell>
          <cell r="H60" t="str">
            <v>kg</v>
          </cell>
          <cell r="I60">
            <v>60</v>
          </cell>
        </row>
        <row r="61">
          <cell r="B61">
            <v>245</v>
          </cell>
          <cell r="F61" t="str">
            <v>Alluminium paint 1st grade</v>
          </cell>
          <cell r="G61">
            <v>1</v>
          </cell>
          <cell r="H61" t="str">
            <v>litre</v>
          </cell>
          <cell r="I61">
            <v>176</v>
          </cell>
        </row>
        <row r="62">
          <cell r="B62">
            <v>246</v>
          </cell>
          <cell r="F62" t="str">
            <v>Anti corrosive bitument pain (Black) grade -1</v>
          </cell>
          <cell r="G62">
            <v>1</v>
          </cell>
          <cell r="H62" t="str">
            <v>litre</v>
          </cell>
          <cell r="I62">
            <v>250</v>
          </cell>
        </row>
        <row r="63">
          <cell r="B63">
            <v>247</v>
          </cell>
          <cell r="F63" t="str">
            <v>Red oxide Primer Paint grade-I</v>
          </cell>
          <cell r="G63">
            <v>1</v>
          </cell>
          <cell r="H63" t="str">
            <v>litre</v>
          </cell>
          <cell r="I63">
            <v>55</v>
          </cell>
        </row>
        <row r="64">
          <cell r="B64">
            <v>248</v>
          </cell>
          <cell r="F64" t="str">
            <v>Red oxide Primer Paint grade-II</v>
          </cell>
          <cell r="G64">
            <v>1</v>
          </cell>
          <cell r="H64" t="str">
            <v>litre</v>
          </cell>
          <cell r="I64">
            <v>45</v>
          </cell>
        </row>
        <row r="65">
          <cell r="B65">
            <v>249</v>
          </cell>
          <cell r="F65" t="str">
            <v>Synthetic enamel paints in all shades grade-I</v>
          </cell>
          <cell r="G65">
            <v>1</v>
          </cell>
          <cell r="H65" t="str">
            <v>litre</v>
          </cell>
          <cell r="I65">
            <v>130</v>
          </cell>
        </row>
        <row r="66">
          <cell r="B66">
            <v>250</v>
          </cell>
          <cell r="F66" t="str">
            <v>Synthetic enamel paints in all shades grade-II</v>
          </cell>
          <cell r="G66">
            <v>1</v>
          </cell>
          <cell r="H66" t="str">
            <v>litre</v>
          </cell>
          <cell r="I66">
            <v>95</v>
          </cell>
        </row>
        <row r="67">
          <cell r="B67">
            <v>251</v>
          </cell>
          <cell r="F67" t="str">
            <v>Plastic emultion paint grade-I</v>
          </cell>
          <cell r="G67">
            <v>1</v>
          </cell>
          <cell r="H67" t="str">
            <v>litre</v>
          </cell>
          <cell r="I67">
            <v>200</v>
          </cell>
        </row>
        <row r="68">
          <cell r="B68">
            <v>252</v>
          </cell>
          <cell r="C68">
            <v>63</v>
          </cell>
          <cell r="F68" t="str">
            <v>Oil Bound Distemper</v>
          </cell>
          <cell r="G68">
            <v>1</v>
          </cell>
          <cell r="H68" t="str">
            <v>kg</v>
          </cell>
          <cell r="I68">
            <v>40</v>
          </cell>
        </row>
        <row r="69">
          <cell r="B69">
            <v>253</v>
          </cell>
          <cell r="C69">
            <v>64</v>
          </cell>
          <cell r="F69" t="str">
            <v>Water proof cement paint of Superior Quality</v>
          </cell>
          <cell r="G69">
            <v>1</v>
          </cell>
          <cell r="H69" t="str">
            <v>kg</v>
          </cell>
          <cell r="I69">
            <v>30</v>
          </cell>
        </row>
        <row r="70">
          <cell r="B70">
            <v>254</v>
          </cell>
          <cell r="C70">
            <v>65</v>
          </cell>
          <cell r="F70" t="str">
            <v>White lead</v>
          </cell>
          <cell r="G70">
            <v>1</v>
          </cell>
          <cell r="H70" t="str">
            <v>kg</v>
          </cell>
          <cell r="I70">
            <v>50</v>
          </cell>
        </row>
        <row r="71">
          <cell r="B71">
            <v>255</v>
          </cell>
          <cell r="C71">
            <v>66</v>
          </cell>
          <cell r="F71" t="str">
            <v>Marble powder</v>
          </cell>
          <cell r="G71">
            <v>1</v>
          </cell>
          <cell r="H71" t="str">
            <v>kg</v>
          </cell>
          <cell r="I71">
            <v>12.5</v>
          </cell>
        </row>
        <row r="72">
          <cell r="B72">
            <v>256</v>
          </cell>
          <cell r="C72">
            <v>67</v>
          </cell>
          <cell r="F72" t="str">
            <v>Cement Primer grade-I</v>
          </cell>
          <cell r="G72">
            <v>1</v>
          </cell>
          <cell r="H72" t="str">
            <v>kg</v>
          </cell>
          <cell r="I72">
            <v>65</v>
          </cell>
        </row>
        <row r="73">
          <cell r="B73">
            <v>257</v>
          </cell>
          <cell r="F73" t="str">
            <v>Cement Primer grade-II</v>
          </cell>
          <cell r="G73">
            <v>1</v>
          </cell>
          <cell r="H73" t="str">
            <v>kg</v>
          </cell>
          <cell r="I73">
            <v>50</v>
          </cell>
        </row>
        <row r="74">
          <cell r="B74">
            <v>274</v>
          </cell>
          <cell r="D74" t="str">
            <v>b</v>
          </cell>
          <cell r="F74" t="str">
            <v>Fevicol</v>
          </cell>
          <cell r="G74">
            <v>1</v>
          </cell>
          <cell r="H74" t="str">
            <v>kg</v>
          </cell>
          <cell r="I74">
            <v>100</v>
          </cell>
        </row>
        <row r="75">
          <cell r="B75">
            <v>352</v>
          </cell>
          <cell r="D75" t="str">
            <v>a</v>
          </cell>
          <cell r="F75" t="str">
            <v>Clearing heavy jungle</v>
          </cell>
          <cell r="G75">
            <v>10</v>
          </cell>
          <cell r="H75" t="str">
            <v>sqm</v>
          </cell>
          <cell r="I75">
            <v>6</v>
          </cell>
        </row>
        <row r="76">
          <cell r="B76">
            <v>353</v>
          </cell>
          <cell r="D76" t="str">
            <v>b</v>
          </cell>
          <cell r="F76" t="str">
            <v>Clearing Light jungle</v>
          </cell>
          <cell r="G76">
            <v>10</v>
          </cell>
          <cell r="H76" t="str">
            <v>sqm</v>
          </cell>
          <cell r="I76">
            <v>5</v>
          </cell>
        </row>
        <row r="77">
          <cell r="B77">
            <v>354</v>
          </cell>
          <cell r="D77" t="str">
            <v>c</v>
          </cell>
          <cell r="F77" t="str">
            <v>Clearing Scrub jungle</v>
          </cell>
          <cell r="G77">
            <v>10</v>
          </cell>
          <cell r="H77" t="str">
            <v>sqm</v>
          </cell>
          <cell r="I77">
            <v>3</v>
          </cell>
        </row>
        <row r="78">
          <cell r="B78">
            <v>355</v>
          </cell>
          <cell r="D78" t="str">
            <v>d</v>
          </cell>
          <cell r="F78" t="str">
            <v xml:space="preserve">Cleaing Julie flora </v>
          </cell>
          <cell r="G78">
            <v>10</v>
          </cell>
          <cell r="H78" t="str">
            <v>sqm</v>
          </cell>
          <cell r="I78">
            <v>14</v>
          </cell>
        </row>
        <row r="79">
          <cell r="B79">
            <v>408</v>
          </cell>
          <cell r="D79" t="str">
            <v>a</v>
          </cell>
          <cell r="F79" t="str">
            <v>Loamy &amp; Clay soils like BC soils, Red earth &amp; OG SS 302 &amp; 303</v>
          </cell>
          <cell r="G79">
            <v>10</v>
          </cell>
          <cell r="H79" t="str">
            <v>cum</v>
          </cell>
          <cell r="I79">
            <v>235</v>
          </cell>
        </row>
        <row r="80">
          <cell r="B80">
            <v>409</v>
          </cell>
          <cell r="F80" t="str">
            <v>Loamy &amp; Clay soils like BC soils, Red earth &amp; OG SS 301</v>
          </cell>
          <cell r="G80">
            <v>10</v>
          </cell>
          <cell r="H80" t="str">
            <v>cum</v>
          </cell>
          <cell r="I80">
            <v>215</v>
          </cell>
        </row>
        <row r="81">
          <cell r="B81">
            <v>412</v>
          </cell>
          <cell r="F81" t="str">
            <v>Hard Gravelly Soils SS 302 &amp; 303</v>
          </cell>
          <cell r="G81">
            <v>10</v>
          </cell>
          <cell r="H81" t="str">
            <v>cum</v>
          </cell>
          <cell r="I81">
            <v>250</v>
          </cell>
        </row>
        <row r="82">
          <cell r="B82">
            <v>413</v>
          </cell>
          <cell r="F82" t="str">
            <v>Hard Gravelly Soils SS 301</v>
          </cell>
          <cell r="G82">
            <v>10</v>
          </cell>
          <cell r="H82" t="str">
            <v>cum</v>
          </cell>
          <cell r="I82">
            <v>230</v>
          </cell>
        </row>
        <row r="83">
          <cell r="B83">
            <v>459</v>
          </cell>
          <cell r="C83">
            <v>35</v>
          </cell>
          <cell r="F83" t="str">
            <v>Vibrating Concrete</v>
          </cell>
          <cell r="G83">
            <v>1</v>
          </cell>
          <cell r="H83" t="str">
            <v>cum</v>
          </cell>
          <cell r="I83">
            <v>22.4</v>
          </cell>
        </row>
        <row r="84">
          <cell r="B84">
            <v>460</v>
          </cell>
          <cell r="C84">
            <v>36</v>
          </cell>
          <cell r="F84" t="str">
            <v>Machine mixing Concrete</v>
          </cell>
          <cell r="G84">
            <v>1</v>
          </cell>
          <cell r="H84" t="str">
            <v>cum</v>
          </cell>
          <cell r="I84">
            <v>21.8</v>
          </cell>
        </row>
        <row r="85">
          <cell r="B85">
            <v>461</v>
          </cell>
          <cell r="C85">
            <v>37</v>
          </cell>
          <cell r="F85" t="str">
            <v>Power for Mixer</v>
          </cell>
          <cell r="G85">
            <v>1</v>
          </cell>
          <cell r="H85" t="str">
            <v>cum</v>
          </cell>
          <cell r="I85">
            <v>14.5</v>
          </cell>
        </row>
        <row r="86">
          <cell r="B86">
            <v>495</v>
          </cell>
          <cell r="C86">
            <v>40</v>
          </cell>
          <cell r="D86" t="str">
            <v>a</v>
          </cell>
          <cell r="F86" t="str">
            <v>First Floor</v>
          </cell>
          <cell r="G86">
            <v>1</v>
          </cell>
          <cell r="H86" t="str">
            <v>cum</v>
          </cell>
          <cell r="I86">
            <v>22</v>
          </cell>
        </row>
        <row r="87">
          <cell r="B87">
            <v>496</v>
          </cell>
          <cell r="D87" t="str">
            <v>b</v>
          </cell>
          <cell r="F87" t="str">
            <v>Second Floor</v>
          </cell>
          <cell r="G87">
            <v>1</v>
          </cell>
          <cell r="H87" t="str">
            <v>cum</v>
          </cell>
          <cell r="I87">
            <v>27</v>
          </cell>
        </row>
        <row r="88">
          <cell r="B88">
            <v>497</v>
          </cell>
          <cell r="D88" t="str">
            <v>c</v>
          </cell>
          <cell r="F88" t="str">
            <v>Third Floor</v>
          </cell>
          <cell r="G88">
            <v>1</v>
          </cell>
          <cell r="H88" t="str">
            <v>cum</v>
          </cell>
          <cell r="I88">
            <v>37</v>
          </cell>
        </row>
        <row r="89">
          <cell r="B89">
            <v>498</v>
          </cell>
          <cell r="D89" t="str">
            <v>d</v>
          </cell>
          <cell r="F89" t="str">
            <v>Each Additional Floor</v>
          </cell>
          <cell r="G89">
            <v>1</v>
          </cell>
          <cell r="H89" t="str">
            <v>cum</v>
          </cell>
          <cell r="I89">
            <v>16</v>
          </cell>
        </row>
        <row r="90">
          <cell r="B90">
            <v>499</v>
          </cell>
          <cell r="D90" t="str">
            <v>a</v>
          </cell>
          <cell r="F90" t="str">
            <v>1st &amp; 2nd Floor</v>
          </cell>
          <cell r="G90">
            <v>10</v>
          </cell>
          <cell r="H90" t="str">
            <v>sqm</v>
          </cell>
          <cell r="I90">
            <v>25</v>
          </cell>
        </row>
        <row r="91">
          <cell r="B91">
            <v>500</v>
          </cell>
          <cell r="D91" t="str">
            <v>b</v>
          </cell>
          <cell r="F91" t="str">
            <v>2nd &amp; 3rd Floor</v>
          </cell>
          <cell r="G91">
            <v>10</v>
          </cell>
          <cell r="H91" t="str">
            <v>sqm</v>
          </cell>
          <cell r="I91">
            <v>50</v>
          </cell>
        </row>
        <row r="92">
          <cell r="B92">
            <v>501</v>
          </cell>
          <cell r="D92" t="str">
            <v>c</v>
          </cell>
          <cell r="F92" t="str">
            <v>3rd &amp; 4th Floor</v>
          </cell>
          <cell r="G92">
            <v>10</v>
          </cell>
          <cell r="H92" t="str">
            <v>sqm</v>
          </cell>
          <cell r="I92">
            <v>75</v>
          </cell>
        </row>
        <row r="93">
          <cell r="B93">
            <v>502</v>
          </cell>
          <cell r="D93" t="str">
            <v>d</v>
          </cell>
          <cell r="F93" t="str">
            <v>Each Additional Floor</v>
          </cell>
          <cell r="G93">
            <v>10</v>
          </cell>
          <cell r="H93" t="str">
            <v>sqm</v>
          </cell>
          <cell r="I93">
            <v>18</v>
          </cell>
        </row>
        <row r="94">
          <cell r="B94">
            <v>503</v>
          </cell>
          <cell r="D94" t="str">
            <v>a</v>
          </cell>
          <cell r="F94" t="str">
            <v>upto 150 mm depth</v>
          </cell>
          <cell r="G94">
            <v>10</v>
          </cell>
          <cell r="H94" t="str">
            <v>sqm</v>
          </cell>
          <cell r="I94">
            <v>525</v>
          </cell>
        </row>
        <row r="95">
          <cell r="B95">
            <v>504</v>
          </cell>
          <cell r="D95" t="str">
            <v>b</v>
          </cell>
          <cell r="F95" t="str">
            <v>above 150 mm depth and upto 300 mm depth</v>
          </cell>
          <cell r="G95">
            <v>10</v>
          </cell>
          <cell r="H95" t="str">
            <v>sqm</v>
          </cell>
          <cell r="I95">
            <v>850</v>
          </cell>
        </row>
        <row r="96">
          <cell r="B96">
            <v>510</v>
          </cell>
          <cell r="D96" t="str">
            <v>g</v>
          </cell>
          <cell r="E96" t="str">
            <v xml:space="preserve">i </v>
          </cell>
          <cell r="F96" t="str">
            <v>0.60 m width</v>
          </cell>
          <cell r="G96">
            <v>1</v>
          </cell>
          <cell r="H96" t="str">
            <v>rmt</v>
          </cell>
          <cell r="I96">
            <v>25</v>
          </cell>
        </row>
        <row r="97">
          <cell r="B97">
            <v>511</v>
          </cell>
          <cell r="D97" t="str">
            <v>g</v>
          </cell>
          <cell r="E97" t="str">
            <v>ii</v>
          </cell>
          <cell r="F97" t="str">
            <v>0.80 m width</v>
          </cell>
          <cell r="G97">
            <v>1</v>
          </cell>
          <cell r="H97" t="str">
            <v>rmt</v>
          </cell>
          <cell r="I97">
            <v>30</v>
          </cell>
        </row>
        <row r="98">
          <cell r="B98">
            <v>512</v>
          </cell>
          <cell r="D98" t="str">
            <v>g</v>
          </cell>
          <cell r="E98" t="str">
            <v>iii</v>
          </cell>
          <cell r="F98" t="str">
            <v>1.00 m width</v>
          </cell>
          <cell r="G98">
            <v>1</v>
          </cell>
          <cell r="H98" t="str">
            <v>rmt</v>
          </cell>
          <cell r="I98">
            <v>35</v>
          </cell>
        </row>
        <row r="99">
          <cell r="B99">
            <v>513</v>
          </cell>
          <cell r="D99" t="str">
            <v>h</v>
          </cell>
          <cell r="F99" t="str">
            <v>T.Beams</v>
          </cell>
          <cell r="G99">
            <v>1</v>
          </cell>
          <cell r="H99" t="str">
            <v>cum</v>
          </cell>
          <cell r="I99">
            <v>650</v>
          </cell>
        </row>
        <row r="100">
          <cell r="B100">
            <v>514</v>
          </cell>
          <cell r="F100" t="str">
            <v>Columns, Rectangular beams, L.Beams</v>
          </cell>
          <cell r="G100">
            <v>1</v>
          </cell>
          <cell r="H100" t="str">
            <v>cum</v>
          </cell>
          <cell r="I100">
            <v>550</v>
          </cell>
        </row>
        <row r="101">
          <cell r="B101">
            <v>515</v>
          </cell>
          <cell r="F101" t="str">
            <v>Templates, Bed blocks,Footings</v>
          </cell>
          <cell r="G101">
            <v>1</v>
          </cell>
          <cell r="H101" t="str">
            <v>cum</v>
          </cell>
          <cell r="I101">
            <v>330</v>
          </cell>
        </row>
        <row r="102">
          <cell r="B102">
            <v>518</v>
          </cell>
          <cell r="F102" t="str">
            <v>Lintels, Plinth Beams</v>
          </cell>
          <cell r="G102">
            <v>1</v>
          </cell>
          <cell r="H102" t="str">
            <v>cum</v>
          </cell>
          <cell r="I102">
            <v>450</v>
          </cell>
        </row>
        <row r="103">
          <cell r="B103">
            <v>519</v>
          </cell>
          <cell r="F103" t="str">
            <v>Slabs above 300 mm depth</v>
          </cell>
          <cell r="G103">
            <v>1</v>
          </cell>
          <cell r="H103" t="str">
            <v>cum</v>
          </cell>
          <cell r="I103">
            <v>520</v>
          </cell>
        </row>
        <row r="104">
          <cell r="B104">
            <v>521</v>
          </cell>
          <cell r="D104" t="str">
            <v>a</v>
          </cell>
          <cell r="F104" t="str">
            <v>For mass concrete Piers, Abutments and steining well curb well caps etc.,</v>
          </cell>
          <cell r="G104">
            <v>1</v>
          </cell>
          <cell r="H104" t="str">
            <v>cum</v>
          </cell>
          <cell r="I104">
            <v>380</v>
          </cell>
        </row>
        <row r="105">
          <cell r="B105">
            <v>522</v>
          </cell>
          <cell r="F105" t="str">
            <v>For RCC Piers, Abutments, Wings, Well steining weel curbs, well Caps etc.,</v>
          </cell>
          <cell r="G105">
            <v>1</v>
          </cell>
          <cell r="H105" t="str">
            <v>cum</v>
          </cell>
          <cell r="I105">
            <v>500</v>
          </cell>
        </row>
        <row r="106">
          <cell r="B106">
            <v>523</v>
          </cell>
          <cell r="F106" t="str">
            <v>For RCC Deck Slabs</v>
          </cell>
          <cell r="G106">
            <v>1</v>
          </cell>
          <cell r="H106" t="str">
            <v>cum</v>
          </cell>
          <cell r="I106">
            <v>950</v>
          </cell>
        </row>
        <row r="107">
          <cell r="B107">
            <v>524</v>
          </cell>
          <cell r="F107" t="str">
            <v>For RCC beams</v>
          </cell>
          <cell r="G107">
            <v>1</v>
          </cell>
          <cell r="H107" t="str">
            <v>cum</v>
          </cell>
          <cell r="I107">
            <v>1150</v>
          </cell>
        </row>
        <row r="108">
          <cell r="B108">
            <v>525</v>
          </cell>
          <cell r="F108" t="str">
            <v>RCC hand rails</v>
          </cell>
          <cell r="G108">
            <v>1</v>
          </cell>
          <cell r="H108" t="str">
            <v>cum</v>
          </cell>
          <cell r="I108">
            <v>1250</v>
          </cell>
        </row>
        <row r="109">
          <cell r="B109">
            <v>526</v>
          </cell>
          <cell r="F109" t="str">
            <v>CC pavements, Wearing Coats, approach slabs guide stone JM stone etc.</v>
          </cell>
          <cell r="G109">
            <v>1</v>
          </cell>
          <cell r="H109" t="str">
            <v>cum</v>
          </cell>
          <cell r="I109">
            <v>95</v>
          </cell>
        </row>
        <row r="110">
          <cell r="B110">
            <v>555</v>
          </cell>
          <cell r="D110" t="str">
            <v>a</v>
          </cell>
          <cell r="F110" t="str">
            <v>250 mm dia</v>
          </cell>
          <cell r="G110">
            <v>1</v>
          </cell>
          <cell r="H110" t="str">
            <v>rmt</v>
          </cell>
          <cell r="I110">
            <v>8</v>
          </cell>
        </row>
        <row r="111">
          <cell r="B111">
            <v>556</v>
          </cell>
          <cell r="D111" t="str">
            <v>b</v>
          </cell>
          <cell r="F111" t="str">
            <v>300 mm dia</v>
          </cell>
          <cell r="G111">
            <v>1</v>
          </cell>
          <cell r="H111" t="str">
            <v>rmt</v>
          </cell>
          <cell r="I111">
            <v>11</v>
          </cell>
        </row>
        <row r="112">
          <cell r="B112">
            <v>557</v>
          </cell>
          <cell r="D112" t="str">
            <v>c</v>
          </cell>
          <cell r="F112" t="str">
            <v>450 mm dia</v>
          </cell>
          <cell r="G112">
            <v>1</v>
          </cell>
          <cell r="H112" t="str">
            <v>rmt</v>
          </cell>
          <cell r="I112">
            <v>15</v>
          </cell>
        </row>
        <row r="113">
          <cell r="B113">
            <v>558</v>
          </cell>
          <cell r="D113" t="str">
            <v>d</v>
          </cell>
          <cell r="F113" t="str">
            <v>600 mm dia</v>
          </cell>
          <cell r="G113">
            <v>1</v>
          </cell>
          <cell r="H113" t="str">
            <v>rmt</v>
          </cell>
          <cell r="I113">
            <v>25</v>
          </cell>
        </row>
        <row r="114">
          <cell r="B114">
            <v>559</v>
          </cell>
          <cell r="D114" t="str">
            <v>e</v>
          </cell>
          <cell r="F114" t="str">
            <v>750 mm dia</v>
          </cell>
          <cell r="G114">
            <v>1</v>
          </cell>
          <cell r="H114" t="str">
            <v>rmt</v>
          </cell>
          <cell r="I114">
            <v>30</v>
          </cell>
        </row>
        <row r="115">
          <cell r="B115">
            <v>560</v>
          </cell>
          <cell r="D115" t="str">
            <v>f</v>
          </cell>
          <cell r="F115" t="str">
            <v>800 mm dia</v>
          </cell>
          <cell r="G115">
            <v>1</v>
          </cell>
          <cell r="H115" t="str">
            <v>rmt</v>
          </cell>
          <cell r="I115">
            <v>35</v>
          </cell>
        </row>
        <row r="116">
          <cell r="B116">
            <v>561</v>
          </cell>
          <cell r="D116" t="str">
            <v>g</v>
          </cell>
          <cell r="F116" t="str">
            <v>1000 mm dia</v>
          </cell>
          <cell r="G116">
            <v>1</v>
          </cell>
          <cell r="H116" t="str">
            <v>rmt</v>
          </cell>
          <cell r="I116">
            <v>40</v>
          </cell>
        </row>
        <row r="117">
          <cell r="B117">
            <v>562</v>
          </cell>
          <cell r="D117" t="str">
            <v>h</v>
          </cell>
          <cell r="F117" t="str">
            <v>1220 mm dia</v>
          </cell>
          <cell r="G117">
            <v>1</v>
          </cell>
          <cell r="H117" t="str">
            <v>rmt</v>
          </cell>
          <cell r="I117">
            <v>50</v>
          </cell>
        </row>
        <row r="118">
          <cell r="B118">
            <v>563</v>
          </cell>
          <cell r="D118" t="str">
            <v>a</v>
          </cell>
          <cell r="F118" t="str">
            <v>40 mm</v>
          </cell>
          <cell r="G118">
            <v>1</v>
          </cell>
          <cell r="H118" t="str">
            <v>sqm</v>
          </cell>
          <cell r="I118">
            <v>29</v>
          </cell>
        </row>
        <row r="119">
          <cell r="B119">
            <v>564</v>
          </cell>
          <cell r="D119" t="str">
            <v>b</v>
          </cell>
          <cell r="F119" t="str">
            <v>50 mm</v>
          </cell>
          <cell r="G119">
            <v>1</v>
          </cell>
          <cell r="H119" t="str">
            <v>sqm</v>
          </cell>
          <cell r="I119">
            <v>31</v>
          </cell>
        </row>
        <row r="120">
          <cell r="B120">
            <v>565</v>
          </cell>
          <cell r="D120" t="str">
            <v>c</v>
          </cell>
          <cell r="F120" t="str">
            <v>75 mm</v>
          </cell>
          <cell r="G120">
            <v>1</v>
          </cell>
          <cell r="H120" t="str">
            <v>sqm</v>
          </cell>
          <cell r="I120">
            <v>34</v>
          </cell>
        </row>
        <row r="121">
          <cell r="B121">
            <v>566</v>
          </cell>
          <cell r="D121" t="str">
            <v>d</v>
          </cell>
          <cell r="F121" t="str">
            <v>100 mm</v>
          </cell>
          <cell r="G121">
            <v>1</v>
          </cell>
          <cell r="H121" t="str">
            <v>sqm</v>
          </cell>
          <cell r="I121">
            <v>36</v>
          </cell>
        </row>
        <row r="122">
          <cell r="B122">
            <v>570</v>
          </cell>
          <cell r="C122">
            <v>52</v>
          </cell>
          <cell r="F122" t="str">
            <v>Picking 50mm to 100mm old metalled surface and sectioning</v>
          </cell>
          <cell r="G122">
            <v>10</v>
          </cell>
          <cell r="H122" t="str">
            <v>sqm</v>
          </cell>
          <cell r="I122">
            <v>10</v>
          </cell>
        </row>
        <row r="123">
          <cell r="B123">
            <v>571</v>
          </cell>
          <cell r="C123">
            <v>53</v>
          </cell>
          <cell r="F123" t="str">
            <v>Picking gravelled surface 25mm deep and levelling and sectioning</v>
          </cell>
          <cell r="G123">
            <v>10</v>
          </cell>
          <cell r="H123" t="str">
            <v>sqm</v>
          </cell>
          <cell r="I123">
            <v>2.5</v>
          </cell>
        </row>
        <row r="124">
          <cell r="B124">
            <v>572</v>
          </cell>
          <cell r="C124">
            <v>54</v>
          </cell>
          <cell r="F124" t="str">
            <v>Picking existing BT survace and removal of chips</v>
          </cell>
          <cell r="G124">
            <v>10</v>
          </cell>
          <cell r="H124" t="str">
            <v>sqm</v>
          </cell>
          <cell r="I124">
            <v>9.5</v>
          </cell>
        </row>
      </sheetData>
      <sheetData sheetId="11"/>
      <sheetData sheetId="12" refreshError="1"/>
      <sheetData sheetId="13" refreshError="1"/>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MRoad data"/>
      <sheetName val="0000000000000"/>
      <sheetName val="1000000000000"/>
      <sheetName val="Letter"/>
      <sheetName val="Report"/>
      <sheetName val="DATA_ENTRY"/>
      <sheetName val="Cover"/>
      <sheetName val="SP RT"/>
      <sheetName val="G Abs"/>
      <sheetName val="Detailed estimate"/>
      <sheetName val="Road"/>
      <sheetName val="CC Pavement"/>
      <sheetName val="Pipe culvert"/>
      <sheetName val="Seignarages"/>
      <sheetName val="DetEst"/>
      <sheetName val="lead (2)"/>
      <sheetName val="Lead"/>
      <sheetName val="WorkSlip"/>
      <sheetName val="AS"/>
      <sheetName val="BTLeads"/>
      <sheetName val="TS"/>
      <sheetName val="RMR"/>
      <sheetName val="Sheet2"/>
      <sheetName val="Certificates"/>
      <sheetName val="MRATES"/>
      <sheetName val="Sheet3"/>
      <sheetName val="Sheet4"/>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s>
    <sheetDataSet>
      <sheetData sheetId="0"/>
      <sheetData sheetId="1" refreshError="1">
        <row r="6">
          <cell r="J6">
            <v>336.1</v>
          </cell>
        </row>
        <row r="7">
          <cell r="J7">
            <v>640.6</v>
          </cell>
        </row>
        <row r="8">
          <cell r="J8">
            <v>528.1</v>
          </cell>
        </row>
      </sheetData>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s>
    <sheetDataSet>
      <sheetData sheetId="0"/>
      <sheetData sheetId="1" refreshError="1">
        <row r="6">
          <cell r="J6">
            <v>336.1</v>
          </cell>
        </row>
        <row r="7">
          <cell r="J7">
            <v>640.6</v>
          </cell>
        </row>
        <row r="8">
          <cell r="J8">
            <v>528.1</v>
          </cell>
        </row>
      </sheetData>
      <sheetData sheetId="2"/>
      <sheetData sheetId="3"/>
      <sheetData sheetId="4"/>
      <sheetData sheetId="5"/>
      <sheetData sheetId="6"/>
      <sheetData sheetId="7"/>
      <sheetData sheetId="8"/>
      <sheetData sheetId="9"/>
      <sheetData sheetId="10"/>
      <sheetData sheetId="11"/>
      <sheetData sheetId="12" refreshError="1"/>
      <sheetData sheetId="13"/>
      <sheetData sheetId="14"/>
      <sheetData sheetId="15"/>
      <sheetData sheetId="16"/>
      <sheetData sheetId="17"/>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row r="16">
          <cell r="D16"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Lead"/>
      <sheetName val="XXXXX"/>
      <sheetName val="XXXXXXXXXXXXX"/>
      <sheetName val="KM &amp; HM DATA"/>
      <sheetName val="COVER"/>
      <sheetName val="SPECIFICATION"/>
      <sheetName val="inspection (2)"/>
      <sheetName val="inspection"/>
      <sheetName val="Gen Abs"/>
      <sheetName val=" road est"/>
      <sheetName val="modified data"/>
      <sheetName val="Seignorage"/>
      <sheetName val="Jakkampudi"/>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Lead"/>
      <sheetName val="XXXXX"/>
      <sheetName val="XXXXXXXXXXXXX"/>
      <sheetName val="cover"/>
      <sheetName val="gen"/>
      <sheetName val="DET CD"/>
      <sheetName val="EST CD"/>
      <sheetName val="DATA-CD "/>
      <sheetName val="DET ROAD"/>
      <sheetName val="EST RAOD"/>
      <sheetName val="Data-Road "/>
      <sheetName val="PART A"/>
      <sheetName val="Part-B"/>
      <sheetName val="EWR"/>
      <sheetName val="DESIGN"/>
      <sheetName val="RR"/>
      <sheetName val="trans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F6pave"/>
      <sheetName val="F7hp900"/>
      <sheetName val="F7hp600"/>
      <sheetName val="F7slb3m"/>
      <sheetName val="F7slb4m"/>
      <sheetName val="F8rate"/>
      <sheetName val="Sheet2"/>
      <sheetName val="CDdata"/>
      <sheetName val="leads"/>
    </sheetNames>
    <sheetDataSet>
      <sheetData sheetId="0"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SUMP1420KL@HW"/>
      <sheetName val="Sheet2"/>
      <sheetName val="Sheet3"/>
      <sheetName val="GLBR1000KL"/>
      <sheetName val="XXXXXXXXXXXXX"/>
      <sheetName val="XXXXXXXXXXXX0"/>
      <sheetName val="XXXXXXXXXXXX1"/>
      <sheetName val="XXXXXXXXXXXX2"/>
      <sheetName val="XXXXXXXXXXXX3"/>
      <sheetName val="XXXXXXXXXXXX4"/>
      <sheetName val="XXXXXXXXXXXX5"/>
      <sheetName val="G.Abst m"/>
      <sheetName val="G.Abst"/>
      <sheetName val="civil abst"/>
      <sheetName val="civ.abst(m)"/>
      <sheetName val="Anchor"/>
      <sheetName val="pipe abst( m)"/>
      <sheetName val="pipe abst"/>
      <sheetName val="pumpsetabst m"/>
      <sheetName val="pumpset abst"/>
      <sheetName val="Pumpset Designs"/>
      <sheetName val="hyd_design_sumps"/>
      <sheetName val="Protec work"/>
      <sheetName val="Culvert"/>
      <sheetName val="Approach Rd"/>
      <sheetName val="Soil test &amp; Jun cl"/>
      <sheetName val="KON - DATA GLBR, Wat"/>
      <sheetName val="GLBR1000EST(M)"/>
      <sheetName val="GLBR1000EST"/>
      <sheetName val="GLBR1000KLDESG"/>
      <sheetName val="piles(pvc)(m)"/>
      <sheetName val="piles (m)"/>
      <sheetName val="piles"/>
      <sheetName val="Data IBM Jn"/>
      <sheetName val="OHSR per Lt _2.5"/>
      <sheetName val="9x4 P.H GK"/>
      <sheetName val="9x4 P.H"/>
      <sheetName val="Wat at IBM GLSR"/>
      <sheetName val="W.M.Qtr@K.palliGLBR(m)"/>
      <sheetName val="Watch  Qtr @ KDP GLBR"/>
      <sheetName val="Data IBM Jn GLSR"/>
      <sheetName val="Watch @ H.W"/>
      <sheetName val="Prote at GLSR"/>
      <sheetName val="footing desn"/>
      <sheetName val="6x4m footing(m)"/>
      <sheetName val="6 X 4 P.H"/>
      <sheetName val="DataGKJN"/>
      <sheetName val="GKRSump(506kl)"/>
      <sheetName val="IBM SUMP904KLDESG"/>
      <sheetName val="DES-1000KL-GLBRKON"/>
      <sheetName val="Sump 904 KL est"/>
      <sheetName val="SSR"/>
      <sheetName val="RSF (m)"/>
      <sheetName val="RSF"/>
      <sheetName val="W.h.Coeff"/>
      <sheetName val="Valve Chambers"/>
      <sheetName val="diff steel qty"/>
      <sheetName val="Pipe rate"/>
      <sheetName val="1.50lakhltrt"/>
      <sheetName val="40000ltsOHSR Ch.M"/>
      <sheetName val="40000ltsOHSR Pi"/>
      <sheetName val="60000lts OHSR"/>
    </sheetNames>
    <sheetDataSet>
      <sheetData sheetId="0"/>
      <sheetData sheetId="1">
        <row r="3">
          <cell r="A3">
            <v>0.4</v>
          </cell>
          <cell r="B3">
            <v>0.47399999999999998</v>
          </cell>
          <cell r="D3">
            <v>0.4</v>
          </cell>
          <cell r="E3">
            <v>0.1205</v>
          </cell>
          <cell r="F3">
            <v>2.0999999999999999E-3</v>
          </cell>
        </row>
        <row r="4">
          <cell r="A4">
            <v>0.8</v>
          </cell>
          <cell r="B4">
            <v>0.42299999999999999</v>
          </cell>
          <cell r="D4">
            <v>0.8</v>
          </cell>
          <cell r="E4">
            <v>7.9500000000000001E-2</v>
          </cell>
          <cell r="F4">
            <v>8.0000000000000002E-3</v>
          </cell>
        </row>
        <row r="5">
          <cell r="A5">
            <v>1.2</v>
          </cell>
          <cell r="B5">
            <v>0.36199999999999999</v>
          </cell>
          <cell r="D5">
            <v>1.2</v>
          </cell>
          <cell r="E5">
            <v>6.0199999999999997E-2</v>
          </cell>
          <cell r="F5">
            <v>1.12E-2</v>
          </cell>
        </row>
        <row r="6">
          <cell r="A6">
            <v>1.6</v>
          </cell>
          <cell r="B6">
            <v>0.38500000000000001</v>
          </cell>
          <cell r="D6">
            <v>1.6</v>
          </cell>
          <cell r="E6">
            <v>5.0500000000000003E-2</v>
          </cell>
          <cell r="F6">
            <v>1.21E-2</v>
          </cell>
        </row>
        <row r="7">
          <cell r="A7">
            <v>2</v>
          </cell>
          <cell r="B7">
            <v>0.434</v>
          </cell>
          <cell r="D7">
            <v>2</v>
          </cell>
          <cell r="E7">
            <v>4.36E-2</v>
          </cell>
          <cell r="F7">
            <v>1.2E-2</v>
          </cell>
        </row>
        <row r="8">
          <cell r="A8">
            <v>3</v>
          </cell>
          <cell r="B8">
            <v>0.51900000000000002</v>
          </cell>
          <cell r="D8">
            <v>3</v>
          </cell>
          <cell r="E8">
            <v>3.3300000000000003E-2</v>
          </cell>
          <cell r="F8">
            <v>9.7000000000000003E-3</v>
          </cell>
        </row>
        <row r="9">
          <cell r="A9">
            <v>4</v>
          </cell>
          <cell r="B9">
            <v>0.57899999999999996</v>
          </cell>
          <cell r="D9">
            <v>4</v>
          </cell>
          <cell r="E9">
            <v>2.6800000000000001E-2</v>
          </cell>
          <cell r="F9">
            <v>7.7000000000000002E-3</v>
          </cell>
        </row>
        <row r="10">
          <cell r="A10">
            <v>5</v>
          </cell>
          <cell r="B10">
            <v>0.61699999999999999</v>
          </cell>
          <cell r="D10">
            <v>5</v>
          </cell>
          <cell r="E10">
            <v>2.2200000000000001E-2</v>
          </cell>
          <cell r="F10">
            <v>5.8999999999999999E-3</v>
          </cell>
        </row>
        <row r="11">
          <cell r="A11">
            <v>6</v>
          </cell>
          <cell r="B11">
            <v>0.64300000000000002</v>
          </cell>
          <cell r="D11">
            <v>6</v>
          </cell>
          <cell r="E11">
            <v>1.8700000000000001E-2</v>
          </cell>
          <cell r="F11">
            <v>5.1000000000000004E-3</v>
          </cell>
        </row>
        <row r="12">
          <cell r="A12">
            <v>8</v>
          </cell>
          <cell r="B12">
            <v>0.69699999999999995</v>
          </cell>
          <cell r="D12">
            <v>8</v>
          </cell>
          <cell r="E12">
            <v>1.46E-2</v>
          </cell>
          <cell r="F12">
            <v>3.8E-3</v>
          </cell>
        </row>
        <row r="13">
          <cell r="A13">
            <v>10</v>
          </cell>
          <cell r="B13">
            <v>0.73</v>
          </cell>
          <cell r="D13">
            <v>10</v>
          </cell>
          <cell r="E13">
            <v>1.2200000000000001E-2</v>
          </cell>
          <cell r="F13">
            <v>2.8999999999999998E-3</v>
          </cell>
        </row>
        <row r="14">
          <cell r="A14">
            <v>12</v>
          </cell>
          <cell r="B14">
            <v>0.75</v>
          </cell>
          <cell r="D14">
            <v>12</v>
          </cell>
          <cell r="E14">
            <v>1.04E-2</v>
          </cell>
          <cell r="F14">
            <v>2.5999999999999999E-3</v>
          </cell>
        </row>
        <row r="15">
          <cell r="A15">
            <v>14</v>
          </cell>
          <cell r="B15">
            <v>0.76100000000000001</v>
          </cell>
          <cell r="D15">
            <v>14</v>
          </cell>
          <cell r="E15">
            <v>8.9999999999999993E-3</v>
          </cell>
          <cell r="F15">
            <v>2.3E-3</v>
          </cell>
        </row>
        <row r="16">
          <cell r="A16">
            <v>16</v>
          </cell>
          <cell r="B16">
            <v>0.77600000000000002</v>
          </cell>
          <cell r="D16">
            <v>16</v>
          </cell>
          <cell r="E16">
            <v>7.9000000000000008E-3</v>
          </cell>
          <cell r="F16">
            <v>1.9E-3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UMP1420KL@HW"/>
      <sheetName val="Sheet2"/>
      <sheetName val="Sheet3"/>
      <sheetName val="GLBR1000KL"/>
      <sheetName val="XXXXXXXXXXXXX"/>
      <sheetName val="XXXXXXXXXXXX0"/>
      <sheetName val="XXXXXXXXXXXX1"/>
      <sheetName val="XXXXXXXXXXXX2"/>
      <sheetName val="XXXXXXXXXXXX3"/>
      <sheetName val="XXXXXXXXXXXX4"/>
      <sheetName val="XXXXXXXXXXXX5"/>
      <sheetName val="G.Abst m"/>
      <sheetName val="G.Abst"/>
      <sheetName val="civil abst"/>
      <sheetName val="civ.abst(m)"/>
      <sheetName val="Anchor"/>
      <sheetName val="pipe abst( m)"/>
      <sheetName val="pipe abst"/>
      <sheetName val="pumpsetabst m"/>
      <sheetName val="pumpset abst"/>
      <sheetName val="Pumpset Designs"/>
      <sheetName val="hyd_design_sumps"/>
      <sheetName val="Protec work"/>
      <sheetName val="Culvert"/>
      <sheetName val="Approach Rd"/>
      <sheetName val="Soil test &amp; Jun cl"/>
      <sheetName val="KON - DATA GLBR, Wat"/>
      <sheetName val="GLBR1000EST(M)"/>
      <sheetName val="GLBR1000EST"/>
      <sheetName val="GLBR1000KLDESG"/>
      <sheetName val="piles(pvc)(m)"/>
      <sheetName val="piles (m)"/>
      <sheetName val="piles"/>
      <sheetName val="Data IBM Jn"/>
      <sheetName val="OHSR per Lt _2.5"/>
      <sheetName val="9x4 P.H GK"/>
      <sheetName val="9x4 P.H"/>
      <sheetName val="Wat at IBM GLSR"/>
      <sheetName val="W.M.Qtr@K.palliGLBR(m)"/>
      <sheetName val="Watch  Qtr @ KDP GLBR"/>
      <sheetName val="Data IBM Jn GLSR"/>
      <sheetName val="Watch @ H.W"/>
      <sheetName val="Prote at GLSR"/>
      <sheetName val="footing desn"/>
      <sheetName val="6x4m footing(m)"/>
      <sheetName val="6 X 4 P.H"/>
      <sheetName val="DataGKJN"/>
      <sheetName val="GKRSump(506kl)"/>
      <sheetName val="IBM SUMP904KLDESG"/>
      <sheetName val="DES-1000KL-GLBRKON"/>
      <sheetName val="Sump 904 KL est"/>
      <sheetName val="SSR"/>
      <sheetName val="RSF (m)"/>
      <sheetName val="RSF"/>
      <sheetName val="W.h.Coeff"/>
      <sheetName val="Valve Chambers"/>
      <sheetName val="diff steel qty"/>
      <sheetName val="Pipe rate"/>
      <sheetName val="1.50lakhltrt"/>
      <sheetName val="40000ltsOHSR Ch.M"/>
      <sheetName val="40000ltsOHSR Pi"/>
      <sheetName val="60000lts OHSR"/>
    </sheetNames>
    <sheetDataSet>
      <sheetData sheetId="0"/>
      <sheetData sheetId="1">
        <row r="3">
          <cell r="A3">
            <v>0.4</v>
          </cell>
        </row>
      </sheetData>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SUMP1420KL@HW"/>
      <sheetName val="Sheet2"/>
      <sheetName val="Sheet3"/>
      <sheetName val="GLBR1000KL"/>
      <sheetName val="XXXXXXXXXXXXX"/>
      <sheetName val="XXXXXXXXXXXX0"/>
      <sheetName val="XXXXXXXXXXXX1"/>
      <sheetName val="XXXXXXXXXXXX2"/>
      <sheetName val="XXXXXXXXXXXX3"/>
      <sheetName val="XXXXXXXXXXXX4"/>
      <sheetName val="XXXXXXXXXXXX5"/>
      <sheetName val="G.Abst m"/>
      <sheetName val="G.Abst"/>
      <sheetName val="civil abst"/>
      <sheetName val="civ.abst(m)"/>
      <sheetName val="Anchor"/>
      <sheetName val="pipe abst( m)"/>
      <sheetName val="pipe abst"/>
      <sheetName val="pumpsetabst m"/>
      <sheetName val="pumpset abst"/>
      <sheetName val="Pumpset Designs"/>
      <sheetName val="hyd_design_sumps"/>
      <sheetName val="Protec work"/>
      <sheetName val="Culvert"/>
      <sheetName val="Approach Rd"/>
      <sheetName val="Soil test &amp; Jun cl"/>
      <sheetName val="KON - DATA GLBR, Wat"/>
      <sheetName val="GLBR1000EST(M)"/>
      <sheetName val="GLBR1000EST"/>
      <sheetName val="GLBR1000KLDESG"/>
      <sheetName val="piles(pvc)(m)"/>
      <sheetName val="piles (m)"/>
      <sheetName val="piles"/>
      <sheetName val="Data IBM Jn"/>
      <sheetName val="OHSR per Lt _2.5"/>
      <sheetName val="9x4 P.H GK"/>
      <sheetName val="9x4 P.H"/>
      <sheetName val="Wat at IBM GLSR"/>
      <sheetName val="W.M.Qtr@K.palliGLBR(m)"/>
      <sheetName val="Watch  Qtr @ KDP GLBR"/>
      <sheetName val="Data IBM Jn GLSR"/>
      <sheetName val="Watch @ H.W"/>
      <sheetName val="Prote at GLSR"/>
      <sheetName val="footing desn"/>
      <sheetName val="6x4m footing(m)"/>
      <sheetName val="6 X 4 P.H"/>
      <sheetName val="DataGKJN"/>
      <sheetName val="GKRSump(506kl)"/>
      <sheetName val="IBM SUMP904KLDESG"/>
      <sheetName val="DES-1000KL-GLBRKON"/>
      <sheetName val="Sump 904 KL est"/>
      <sheetName val="SSR"/>
      <sheetName val="RSF (m)"/>
      <sheetName val="RSF"/>
      <sheetName val="W.h.Coeff"/>
      <sheetName val="Valve Chambers"/>
      <sheetName val="diff steel qty"/>
      <sheetName val="Pipe rate"/>
      <sheetName val="1.50lakhltrt"/>
      <sheetName val="40000ltsOHSR Ch.M"/>
      <sheetName val="40000ltsOHSR Pi"/>
      <sheetName val="60000lts OHSR"/>
    </sheetNames>
    <sheetDataSet>
      <sheetData sheetId="0"/>
      <sheetData sheetId="1">
        <row r="3">
          <cell r="A3">
            <v>0.4</v>
          </cell>
          <cell r="B3">
            <v>0.47399999999999998</v>
          </cell>
          <cell r="D3">
            <v>0.4</v>
          </cell>
          <cell r="E3">
            <v>0.1205</v>
          </cell>
          <cell r="F3">
            <v>2.0999999999999999E-3</v>
          </cell>
        </row>
        <row r="4">
          <cell r="A4">
            <v>0.8</v>
          </cell>
          <cell r="B4">
            <v>0.42299999999999999</v>
          </cell>
          <cell r="D4">
            <v>0.8</v>
          </cell>
          <cell r="E4">
            <v>7.9500000000000001E-2</v>
          </cell>
          <cell r="F4">
            <v>8.0000000000000002E-3</v>
          </cell>
        </row>
        <row r="5">
          <cell r="A5">
            <v>1.2</v>
          </cell>
          <cell r="B5">
            <v>0.36199999999999999</v>
          </cell>
          <cell r="D5">
            <v>1.2</v>
          </cell>
          <cell r="E5">
            <v>6.0199999999999997E-2</v>
          </cell>
          <cell r="F5">
            <v>1.12E-2</v>
          </cell>
        </row>
        <row r="6">
          <cell r="A6">
            <v>1.6</v>
          </cell>
          <cell r="B6">
            <v>0.38500000000000001</v>
          </cell>
          <cell r="D6">
            <v>1.6</v>
          </cell>
          <cell r="E6">
            <v>5.0500000000000003E-2</v>
          </cell>
          <cell r="F6">
            <v>1.21E-2</v>
          </cell>
        </row>
        <row r="7">
          <cell r="A7">
            <v>2</v>
          </cell>
          <cell r="B7">
            <v>0.434</v>
          </cell>
          <cell r="D7">
            <v>2</v>
          </cell>
          <cell r="E7">
            <v>4.36E-2</v>
          </cell>
          <cell r="F7">
            <v>1.2E-2</v>
          </cell>
        </row>
        <row r="8">
          <cell r="A8">
            <v>3</v>
          </cell>
          <cell r="B8">
            <v>0.51900000000000002</v>
          </cell>
          <cell r="D8">
            <v>3</v>
          </cell>
          <cell r="E8">
            <v>3.3300000000000003E-2</v>
          </cell>
          <cell r="F8">
            <v>9.7000000000000003E-3</v>
          </cell>
        </row>
        <row r="9">
          <cell r="A9">
            <v>4</v>
          </cell>
          <cell r="B9">
            <v>0.57899999999999996</v>
          </cell>
          <cell r="D9">
            <v>4</v>
          </cell>
          <cell r="E9">
            <v>2.6800000000000001E-2</v>
          </cell>
          <cell r="F9">
            <v>7.7000000000000002E-3</v>
          </cell>
        </row>
        <row r="10">
          <cell r="A10">
            <v>5</v>
          </cell>
          <cell r="B10">
            <v>0.61699999999999999</v>
          </cell>
          <cell r="D10">
            <v>5</v>
          </cell>
          <cell r="E10">
            <v>2.2200000000000001E-2</v>
          </cell>
          <cell r="F10">
            <v>5.8999999999999999E-3</v>
          </cell>
        </row>
        <row r="11">
          <cell r="A11">
            <v>6</v>
          </cell>
          <cell r="B11">
            <v>0.64300000000000002</v>
          </cell>
          <cell r="D11">
            <v>6</v>
          </cell>
          <cell r="E11">
            <v>1.8700000000000001E-2</v>
          </cell>
          <cell r="F11">
            <v>5.1000000000000004E-3</v>
          </cell>
        </row>
        <row r="12">
          <cell r="A12">
            <v>8</v>
          </cell>
          <cell r="B12">
            <v>0.69699999999999995</v>
          </cell>
          <cell r="D12">
            <v>8</v>
          </cell>
          <cell r="E12">
            <v>1.46E-2</v>
          </cell>
          <cell r="F12">
            <v>3.8E-3</v>
          </cell>
        </row>
        <row r="13">
          <cell r="A13">
            <v>10</v>
          </cell>
          <cell r="B13">
            <v>0.73</v>
          </cell>
          <cell r="D13">
            <v>10</v>
          </cell>
          <cell r="E13">
            <v>1.2200000000000001E-2</v>
          </cell>
          <cell r="F13">
            <v>2.8999999999999998E-3</v>
          </cell>
        </row>
        <row r="14">
          <cell r="A14">
            <v>12</v>
          </cell>
          <cell r="B14">
            <v>0.75</v>
          </cell>
          <cell r="D14">
            <v>12</v>
          </cell>
          <cell r="E14">
            <v>1.04E-2</v>
          </cell>
          <cell r="F14">
            <v>2.5999999999999999E-3</v>
          </cell>
        </row>
        <row r="15">
          <cell r="A15">
            <v>14</v>
          </cell>
          <cell r="B15">
            <v>0.76100000000000001</v>
          </cell>
          <cell r="D15">
            <v>14</v>
          </cell>
          <cell r="E15">
            <v>8.9999999999999993E-3</v>
          </cell>
          <cell r="F15">
            <v>2.3E-3</v>
          </cell>
        </row>
        <row r="16">
          <cell r="A16">
            <v>16</v>
          </cell>
          <cell r="B16">
            <v>0.77600000000000002</v>
          </cell>
          <cell r="D16">
            <v>16</v>
          </cell>
          <cell r="E16">
            <v>7.9000000000000008E-3</v>
          </cell>
          <cell r="F16">
            <v>1.9E-3</v>
          </cell>
        </row>
      </sheetData>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s>
    <sheetDataSet>
      <sheetData sheetId="0"/>
      <sheetData sheetId="1"/>
      <sheetData sheetId="2"/>
      <sheetData sheetId="3" refreshError="1"/>
      <sheetData sheetId="4" refreshError="1">
        <row r="49">
          <cell r="D49" t="str">
            <v>Input Rate</v>
          </cell>
        </row>
        <row r="88">
          <cell r="D88" t="str">
            <v>Input Rate</v>
          </cell>
        </row>
        <row r="129">
          <cell r="D129" t="str">
            <v>Input Rate</v>
          </cell>
        </row>
        <row r="131">
          <cell r="D131"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mpp"/>
      <sheetName val="data_new"/>
      <sheetName val="lead-st"/>
      <sheetName val="v"/>
      <sheetName val="r"/>
      <sheetName val="l"/>
      <sheetName val="Lead statement ss5"/>
      <sheetName val="Lead_statement_ss5"/>
      <sheetName val="leads"/>
      <sheetName val="rdamdata"/>
      <sheetName val="other rates"/>
      <sheetName val="Data_Base"/>
      <sheetName val="Labour"/>
      <sheetName val="Material"/>
      <sheetName val="Plant &amp;  Machinery"/>
      <sheetName val="Lead"/>
      <sheetName val="maya"/>
      <sheetName val="MTC-estimate"/>
      <sheetName val="Gen Abs"/>
      <sheetName val="Data"/>
      <sheetName val="Work_sheet"/>
      <sheetName val="coverpage"/>
      <sheetName val="Road data"/>
      <sheetName val="SUMP1420KL@HW"/>
      <sheetName val="Sheet2"/>
      <sheetName val="data existing_do not delete"/>
    </sheetNames>
    <sheetDataSet>
      <sheetData sheetId="0" refreshError="1"/>
      <sheetData sheetId="1" refreshError="1"/>
      <sheetData sheetId="2" refreshError="1"/>
      <sheetData sheetId="3" refreshError="1"/>
      <sheetData sheetId="4" refreshError="1">
        <row r="29">
          <cell r="F29">
            <v>44</v>
          </cell>
        </row>
      </sheetData>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Set>
  </externalBook>
</externalLink>
</file>

<file path=xl/externalLinks/externalLink56.xml><?xml version="1.0" encoding="utf-8"?>
<externalLink xmlns="http://schemas.openxmlformats.org/spreadsheetml/2006/main">
  <externalBook xmlns:r="http://schemas.openxmlformats.org/officeDocument/2006/relationships" r:id="rId1">
    <sheetNames>
      <sheetName val="mpp"/>
      <sheetName val="data_new"/>
      <sheetName val="lead-st"/>
      <sheetName val="v"/>
      <sheetName val="r"/>
      <sheetName val="l"/>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Set>
  </externalBook>
</externalLink>
</file>

<file path=xl/externalLinks/externalLink57.xml><?xml version="1.0" encoding="utf-8"?>
<externalLink xmlns="http://schemas.openxmlformats.org/spreadsheetml/2006/main">
  <externalBook xmlns:r="http://schemas.openxmlformats.org/officeDocument/2006/relationships" r:id="rId1">
    <sheetNames>
      <sheetName val="C-data"/>
      <sheetName val="LEAD"/>
      <sheetName val="Estimate-Civil"/>
      <sheetName val="det-qty"/>
      <sheetName val="Joinary"/>
    </sheetNames>
    <sheetDataSet>
      <sheetData sheetId="0" refreshError="1"/>
      <sheetData sheetId="1" refreshError="1"/>
      <sheetData sheetId="2" refreshError="1"/>
      <sheetData sheetId="3" refreshError="1"/>
      <sheetData sheetId="4" refreshError="1"/>
    </sheetDataSet>
  </externalBook>
</externalLink>
</file>

<file path=xl/externalLinks/externalLink58.xml><?xml version="1.0" encoding="utf-8"?>
<externalLink xmlns="http://schemas.openxmlformats.org/spreadsheetml/2006/main">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8">
          <cell r="D18">
            <v>893.73</v>
          </cell>
        </row>
        <row r="70">
          <cell r="D70">
            <v>10</v>
          </cell>
        </row>
        <row r="109">
          <cell r="D109">
            <v>48.6</v>
          </cell>
        </row>
      </sheetData>
      <sheetData sheetId="12" refreshError="1"/>
      <sheetData sheetId="13" refreshError="1"/>
      <sheetData sheetId="14" refreshError="1">
        <row r="30">
          <cell r="G30">
            <v>30</v>
          </cell>
        </row>
      </sheetData>
      <sheetData sheetId="15" refreshError="1">
        <row r="5">
          <cell r="D5">
            <v>137</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59.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row r="11">
          <cell r="D11">
            <v>150</v>
          </cell>
        </row>
      </sheetData>
      <sheetData sheetId="4" refreshError="1">
        <row r="49">
          <cell r="D49" t="str">
            <v>Input Rate</v>
          </cell>
        </row>
        <row r="139">
          <cell r="D139"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
    </sheetNames>
    <sheetDataSet>
      <sheetData sheetId="0"/>
      <sheetData sheetId="1"/>
      <sheetData sheetId="2"/>
      <sheetData sheetId="3" refreshError="1"/>
      <sheetData sheetId="4"/>
      <sheetData sheetId="5"/>
      <sheetData sheetId="6"/>
      <sheetData sheetId="7" refreshError="1"/>
      <sheetData sheetId="8">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Set>
  </externalBook>
</externalLink>
</file>

<file path=xl/externalLinks/externalLink60.xml><?xml version="1.0" encoding="utf-8"?>
<externalLink xmlns="http://schemas.openxmlformats.org/spreadsheetml/2006/main">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F7-1v1000-0_(3)"/>
      <sheetName val="ABST(PART_B)_"/>
      <sheetName val="F6-Gnrl_Abstrt"/>
      <sheetName val="Cover-MEstt_"/>
      <sheetName val="Road Detail Est."/>
      <sheetName val="Road data"/>
      <sheetName val="r"/>
      <sheetName val="detls"/>
      <sheetName val="Levels"/>
      <sheetName val="Specification"/>
      <sheetName val="cert"/>
      <sheetName val="F7-1v1000-0_(3)1"/>
      <sheetName val="ABST(PART_B)_1"/>
      <sheetName val="F6-Gnrl_Abstrt1"/>
      <sheetName val="Cover-MEstt_1"/>
      <sheetName val="Road_Detail_Est_"/>
      <sheetName val="Road_data"/>
      <sheetName val="R/ad Detail Est."/>
      <sheetName val="Plant &amp;  Machinery"/>
      <sheetName val="R_ad Detail Est."/>
      <sheetName val="rdamdata"/>
      <sheetName val="leads"/>
      <sheetName val="pvc-pipe-rates"/>
      <sheetName val="sch"/>
      <sheetName val="RMR"/>
      <sheetName val="ssr-rates"/>
      <sheetName val="0000000000000"/>
      <sheetName val="R_Det"/>
      <sheetName val="Material"/>
      <sheetName val="Labour"/>
      <sheetName val="MRATES"/>
      <sheetName val="t_prsr"/>
      <sheetName val="wh"/>
      <sheetName val="int-Dia-pvc"/>
      <sheetName val="Input"/>
      <sheetName val="[Yamanapalli to Mahamutharam (M"/>
      <sheetName val="LEAD STATEMENT"/>
      <sheetName val="maya"/>
      <sheetName val="_Yamanapalli to Mahamutharam (M"/>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61.xml><?xml version="1.0" encoding="utf-8"?>
<externalLink xmlns="http://schemas.openxmlformats.org/spreadsheetml/2006/main">
  <externalBook xmlns:r="http://schemas.openxmlformats.org/officeDocument/2006/relationships" r:id="rId1">
    <sheetNames>
      <sheetName val="Lead"/>
      <sheetName val="Cover-MEstt."/>
      <sheetName val="ABST(PART B) "/>
      <sheetName val="F6-Gnrl Abstrt"/>
      <sheetName val="Data.F8.BTR"/>
      <sheetName val="F6-Estt"/>
      <sheetName val="sub-data -no full"/>
      <sheetName val="Labour"/>
      <sheetName val="Machinery"/>
      <sheetName val="Sheet1"/>
      <sheetName val="Diff stmnt (2)"/>
      <sheetName val="coverpage"/>
      <sheetName val="Road data"/>
      <sheetName val="Plant &amp;  Machinery"/>
      <sheetName val="Mate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2.xml><?xml version="1.0" encoding="utf-8"?>
<externalLink xmlns="http://schemas.openxmlformats.org/spreadsheetml/2006/main">
  <externalBook xmlns:r="http://schemas.openxmlformats.org/officeDocument/2006/relationships" r:id="rId1">
    <sheetNames>
      <sheetName val="SUMP1420KL@HW"/>
      <sheetName val="Sheet2"/>
      <sheetName val="Sheet3"/>
      <sheetName val="GLBR1000KL"/>
      <sheetName val="XXXXXXXXXXXXX"/>
      <sheetName val="XXXXXXXXXXXX0"/>
      <sheetName val="XXXXXXXXXXXX1"/>
      <sheetName val="XXXXXXXXXXXX2"/>
      <sheetName val="XXXXXXXXXXXX3"/>
      <sheetName val="XXXXXXXXXXXX4"/>
      <sheetName val="XXXXXXXXXXXX5"/>
      <sheetName val="G.Abst m"/>
      <sheetName val="G.Abst"/>
      <sheetName val="civil abst"/>
      <sheetName val="civ.abst(m)"/>
      <sheetName val="Anchor"/>
      <sheetName val="pipe abst( m)"/>
      <sheetName val="pipe abst"/>
      <sheetName val="pumpsetabst m"/>
      <sheetName val="pumpset abst"/>
      <sheetName val="Pumpset Designs"/>
      <sheetName val="hyd_design_sumps"/>
      <sheetName val="Protec work"/>
      <sheetName val="Culvert"/>
      <sheetName val="Approach Rd"/>
      <sheetName val="Soil test &amp; Jun cl"/>
      <sheetName val="KON - DATA GLBR, Wat"/>
      <sheetName val="GLBR1000EST(M)"/>
      <sheetName val="GLBR1000EST"/>
      <sheetName val="GLBR1000KLDESG"/>
      <sheetName val="piles(pvc)(m)"/>
      <sheetName val="piles (m)"/>
      <sheetName val="piles"/>
      <sheetName val="Data IBM Jn"/>
      <sheetName val="OHSR per Lt _2.5"/>
      <sheetName val="9x4 P.H GK"/>
      <sheetName val="9x4 P.H"/>
      <sheetName val="Wat at IBM GLSR"/>
      <sheetName val="W.M.Qtr@K.palliGLBR(m)"/>
      <sheetName val="Watch  Qtr @ KDP GLBR"/>
      <sheetName val="Data IBM Jn GLSR"/>
      <sheetName val="Watch @ H.W"/>
      <sheetName val="Prote at GLSR"/>
      <sheetName val="footing desn"/>
      <sheetName val="6x4m footing(m)"/>
      <sheetName val="6 X 4 P.H"/>
      <sheetName val="DataGKJN"/>
      <sheetName val="GKRSump(506kl)"/>
      <sheetName val="IBM SUMP904KLDESG"/>
      <sheetName val="DES-1000KL-GLBRKON"/>
      <sheetName val="Sump 904 KL est"/>
      <sheetName val="SSR"/>
      <sheetName val="RSF (m)"/>
      <sheetName val="RSF"/>
      <sheetName val="W.h.Coeff"/>
      <sheetName val="Valve Chambers"/>
      <sheetName val="diff steel qty"/>
      <sheetName val="Pipe rate"/>
      <sheetName val="1.50lakhltrt"/>
      <sheetName val="40000ltsOHSR Ch.M"/>
      <sheetName val="40000ltsOHSR Pi"/>
      <sheetName val="60000lts OHSR"/>
    </sheetNames>
    <sheetDataSet>
      <sheetData sheetId="0"/>
      <sheetData sheetId="1">
        <row r="3">
          <cell r="A3">
            <v>0.4</v>
          </cell>
          <cell r="B3">
            <v>0.47399999999999998</v>
          </cell>
        </row>
        <row r="4">
          <cell r="A4">
            <v>0.8</v>
          </cell>
          <cell r="B4">
            <v>0.42299999999999999</v>
          </cell>
        </row>
        <row r="5">
          <cell r="A5">
            <v>1.2</v>
          </cell>
          <cell r="B5">
            <v>0.36199999999999999</v>
          </cell>
        </row>
        <row r="6">
          <cell r="A6">
            <v>1.6</v>
          </cell>
          <cell r="B6">
            <v>0.38500000000000001</v>
          </cell>
        </row>
        <row r="7">
          <cell r="A7">
            <v>2</v>
          </cell>
          <cell r="B7">
            <v>0.434</v>
          </cell>
        </row>
        <row r="8">
          <cell r="A8">
            <v>3</v>
          </cell>
          <cell r="B8">
            <v>0.51900000000000002</v>
          </cell>
        </row>
        <row r="9">
          <cell r="A9">
            <v>4</v>
          </cell>
          <cell r="B9">
            <v>0.57899999999999996</v>
          </cell>
        </row>
        <row r="10">
          <cell r="A10">
            <v>5</v>
          </cell>
          <cell r="B10">
            <v>0.61699999999999999</v>
          </cell>
        </row>
        <row r="11">
          <cell r="A11">
            <v>6</v>
          </cell>
          <cell r="B11">
            <v>0.64300000000000002</v>
          </cell>
        </row>
        <row r="12">
          <cell r="A12">
            <v>8</v>
          </cell>
          <cell r="B12">
            <v>0.69699999999999995</v>
          </cell>
        </row>
        <row r="13">
          <cell r="A13">
            <v>10</v>
          </cell>
          <cell r="B13">
            <v>0.73</v>
          </cell>
        </row>
        <row r="14">
          <cell r="A14">
            <v>12</v>
          </cell>
          <cell r="B14">
            <v>0.75</v>
          </cell>
        </row>
        <row r="15">
          <cell r="A15">
            <v>14</v>
          </cell>
          <cell r="B15">
            <v>0.76100000000000001</v>
          </cell>
        </row>
        <row r="16">
          <cell r="A16">
            <v>16</v>
          </cell>
          <cell r="B16">
            <v>0.77600000000000002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63.xml><?xml version="1.0" encoding="utf-8"?>
<externalLink xmlns="http://schemas.openxmlformats.org/spreadsheetml/2006/main">
  <externalBook xmlns:r="http://schemas.openxmlformats.org/officeDocument/2006/relationships" r:id="rId1">
    <sheetNames>
      <sheetName val="SUMP1420KL@HW"/>
      <sheetName val="Sheet2"/>
      <sheetName val="Sheet3"/>
      <sheetName val="GLBR1000KL"/>
      <sheetName val="XXXXXXXXXXXXX"/>
      <sheetName val="XXXXXXXXXXXX0"/>
      <sheetName val="XXXXXXXXXXXX1"/>
      <sheetName val="XXXXXXXXXXXX2"/>
      <sheetName val="XXXXXXXXXXXX3"/>
      <sheetName val="XXXXXXXXXXXX4"/>
      <sheetName val="XXXXXXXXXXXX5"/>
      <sheetName val="G.Abst m"/>
      <sheetName val="G.Abst"/>
      <sheetName val="civil abst"/>
      <sheetName val="civ.abst(m)"/>
      <sheetName val="Anchor"/>
      <sheetName val="pipe abst( m)"/>
      <sheetName val="pipe abst"/>
      <sheetName val="pumpsetabst m"/>
      <sheetName val="pumpset abst"/>
      <sheetName val="Pumpset Designs"/>
      <sheetName val="hyd_design_sumps"/>
      <sheetName val="Protec work"/>
      <sheetName val="Culvert"/>
      <sheetName val="Approach Rd"/>
      <sheetName val="Soil test &amp; Jun cl"/>
      <sheetName val="KON - DATA GLBR, Wat"/>
      <sheetName val="GLBR1000EST(M)"/>
      <sheetName val="GLBR1000EST"/>
      <sheetName val="GLBR1000KLDESG"/>
      <sheetName val="piles(pvc)(m)"/>
      <sheetName val="piles (m)"/>
      <sheetName val="piles"/>
      <sheetName val="Data IBM Jn"/>
      <sheetName val="OHSR per Lt _2.5"/>
      <sheetName val="9x4 P.H GK"/>
      <sheetName val="9x4 P.H"/>
      <sheetName val="Wat at IBM GLSR"/>
      <sheetName val="W.M.Qtr@K.palliGLBR(m)"/>
      <sheetName val="Watch  Qtr @ KDP GLBR"/>
      <sheetName val="Data IBM Jn GLSR"/>
      <sheetName val="Watch @ H.W"/>
      <sheetName val="Prote at GLSR"/>
      <sheetName val="footing desn"/>
      <sheetName val="6x4m footing(m)"/>
      <sheetName val="6 X 4 P.H"/>
      <sheetName val="DataGKJN"/>
      <sheetName val="GKRSump(506kl)"/>
      <sheetName val="IBM SUMP904KLDESG"/>
      <sheetName val="DES-1000KL-GLBRKON"/>
      <sheetName val="Sump 904 KL est"/>
      <sheetName val="SSR"/>
      <sheetName val="RSF (m)"/>
      <sheetName val="RSF"/>
      <sheetName val="W.h.Coeff"/>
      <sheetName val="Valve Chambers"/>
      <sheetName val="diff steel qty"/>
      <sheetName val="Pipe rate"/>
      <sheetName val="1.50lakhltrt"/>
      <sheetName val="40000ltsOHSR Ch.M"/>
      <sheetName val="40000ltsOHSR Pi"/>
      <sheetName val="60000lts OHSR"/>
    </sheetNames>
    <sheetDataSet>
      <sheetData sheetId="0"/>
      <sheetData sheetId="1">
        <row r="3">
          <cell r="A3">
            <v>0.4</v>
          </cell>
        </row>
      </sheetData>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externalLinks/externalLink64.xml><?xml version="1.0" encoding="utf-8"?>
<externalLink xmlns="http://schemas.openxmlformats.org/spreadsheetml/2006/main">
  <externalBook xmlns:r="http://schemas.openxmlformats.org/officeDocument/2006/relationships" r:id="rId1">
    <sheetNames>
      <sheetName val="SUMP1420KL@HW"/>
      <sheetName val="Sheet2"/>
      <sheetName val="Sheet3"/>
      <sheetName val="GLBR1000KL"/>
      <sheetName val="XXXXXXXXXXXXX"/>
      <sheetName val="XXXXXXXXXXXX0"/>
      <sheetName val="XXXXXXXXXXXX1"/>
      <sheetName val="XXXXXXXXXXXX2"/>
      <sheetName val="XXXXXXXXXXXX3"/>
      <sheetName val="XXXXXXXXXXXX4"/>
      <sheetName val="XXXXXXXXXXXX5"/>
      <sheetName val="G.Abst m"/>
      <sheetName val="G.Abst"/>
      <sheetName val="civil abst"/>
      <sheetName val="civ.abst(m)"/>
      <sheetName val="Anchor"/>
      <sheetName val="pipe abst( m)"/>
      <sheetName val="pipe abst"/>
      <sheetName val="pumpsetabst m"/>
      <sheetName val="pumpset abst"/>
      <sheetName val="Pumpset Designs"/>
      <sheetName val="hyd_design_sumps"/>
      <sheetName val="Protec work"/>
      <sheetName val="Culvert"/>
      <sheetName val="Approach Rd"/>
      <sheetName val="Soil test &amp; Jun cl"/>
      <sheetName val="KON - DATA GLBR, Wat"/>
      <sheetName val="GLBR1000EST(M)"/>
      <sheetName val="GLBR1000EST"/>
      <sheetName val="GLBR1000KLDESG"/>
      <sheetName val="piles(pvc)(m)"/>
      <sheetName val="piles (m)"/>
      <sheetName val="piles"/>
      <sheetName val="Data IBM Jn"/>
      <sheetName val="OHSR per Lt _2.5"/>
      <sheetName val="9x4 P.H GK"/>
      <sheetName val="9x4 P.H"/>
      <sheetName val="Wat at IBM GLSR"/>
      <sheetName val="W.M.Qtr@K.palliGLBR(m)"/>
      <sheetName val="Watch  Qtr @ KDP GLBR"/>
      <sheetName val="Data IBM Jn GLSR"/>
      <sheetName val="Watch @ H.W"/>
      <sheetName val="Prote at GLSR"/>
      <sheetName val="footing desn"/>
      <sheetName val="6x4m footing(m)"/>
      <sheetName val="6 X 4 P.H"/>
      <sheetName val="DataGKJN"/>
      <sheetName val="GKRSump(506kl)"/>
      <sheetName val="IBM SUMP904KLDESG"/>
      <sheetName val="DES-1000KL-GLBRKON"/>
      <sheetName val="Sump 904 KL est"/>
      <sheetName val="SSR"/>
      <sheetName val="RSF (m)"/>
      <sheetName val="RSF"/>
      <sheetName val="W.h.Coeff"/>
      <sheetName val="Valve Chambers"/>
      <sheetName val="diff steel qty"/>
      <sheetName val="Pipe rate"/>
      <sheetName val="1.50lakhltrt"/>
      <sheetName val="40000ltsOHSR Ch.M"/>
      <sheetName val="40000ltsOHSR Pi"/>
      <sheetName val="60000lts OHSR"/>
    </sheetNames>
    <sheetDataSet>
      <sheetData sheetId="0"/>
      <sheetData sheetId="1">
        <row r="3">
          <cell r="A3">
            <v>0.4</v>
          </cell>
          <cell r="B3">
            <v>0.47399999999999998</v>
          </cell>
        </row>
        <row r="4">
          <cell r="A4">
            <v>0.8</v>
          </cell>
          <cell r="B4">
            <v>0.42299999999999999</v>
          </cell>
        </row>
        <row r="5">
          <cell r="A5">
            <v>1.2</v>
          </cell>
          <cell r="B5">
            <v>0.36199999999999999</v>
          </cell>
        </row>
        <row r="6">
          <cell r="A6">
            <v>1.6</v>
          </cell>
          <cell r="B6">
            <v>0.38500000000000001</v>
          </cell>
        </row>
        <row r="7">
          <cell r="A7">
            <v>2</v>
          </cell>
          <cell r="B7">
            <v>0.434</v>
          </cell>
        </row>
        <row r="8">
          <cell r="A8">
            <v>3</v>
          </cell>
          <cell r="B8">
            <v>0.51900000000000002</v>
          </cell>
        </row>
        <row r="9">
          <cell r="A9">
            <v>4</v>
          </cell>
          <cell r="B9">
            <v>0.57899999999999996</v>
          </cell>
        </row>
        <row r="10">
          <cell r="A10">
            <v>5</v>
          </cell>
          <cell r="B10">
            <v>0.61699999999999999</v>
          </cell>
        </row>
        <row r="11">
          <cell r="A11">
            <v>6</v>
          </cell>
          <cell r="B11">
            <v>0.64300000000000002</v>
          </cell>
        </row>
        <row r="12">
          <cell r="A12">
            <v>8</v>
          </cell>
          <cell r="B12">
            <v>0.69699999999999995</v>
          </cell>
        </row>
        <row r="13">
          <cell r="A13">
            <v>10</v>
          </cell>
          <cell r="B13">
            <v>0.73</v>
          </cell>
        </row>
        <row r="14">
          <cell r="A14">
            <v>12</v>
          </cell>
          <cell r="B14">
            <v>0.75</v>
          </cell>
        </row>
        <row r="15">
          <cell r="A15">
            <v>14</v>
          </cell>
          <cell r="B15">
            <v>0.76100000000000001</v>
          </cell>
        </row>
        <row r="16">
          <cell r="A16">
            <v>16</v>
          </cell>
          <cell r="B16">
            <v>0.77600000000000002</v>
          </cell>
        </row>
      </sheetData>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externalLinks/externalLink65.xml><?xml version="1.0" encoding="utf-8"?>
<externalLink xmlns="http://schemas.openxmlformats.org/spreadsheetml/2006/main">
  <externalBook xmlns:r="http://schemas.openxmlformats.org/officeDocument/2006/relationships" r:id="rId1">
    <sheetNames>
      <sheetName val="Data.F8.BTR"/>
      <sheetName val="Cover-MEstt."/>
      <sheetName val="ABST(PART B) "/>
      <sheetName val="F6-Gnrl Abstrt"/>
      <sheetName val="04-05"/>
      <sheetName val="Lead"/>
      <sheetName val="sub-data "/>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r"/>
      <sheetName val="Work_sheet"/>
      <sheetName val="Common "/>
      <sheetName val="Lead statement ss5"/>
      <sheetName val="Cover-MEstt_1"/>
      <sheetName val="ABST(PART_B)_1"/>
      <sheetName val="F6-Gnrl_Abstrt1"/>
      <sheetName val="sub-data_1"/>
      <sheetName val="Data_F8_BTR1"/>
      <sheetName val="sub_estt1"/>
      <sheetName val="Common_"/>
      <sheetName val="MRATES"/>
      <sheetName val="Material"/>
      <sheetName val="Plant &amp;  Machinery"/>
      <sheetName val="DATA_PRG"/>
      <sheetName val="CI"/>
      <sheetName val="DI"/>
      <sheetName val="G.R.P"/>
      <sheetName val="HDPE"/>
      <sheetName val="PSC REVISED"/>
      <sheetName val="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Lead statement"/>
      <sheetName val="m"/>
      <sheetName val="Levels"/>
      <sheetName val="leads"/>
      <sheetName val="segments-details"/>
      <sheetName val="int-Dia-hdpe"/>
      <sheetName val="habs-list"/>
      <sheetName val="int-Dia-pvc"/>
      <sheetName val="maya"/>
      <sheetName val="PUMP_DATA"/>
      <sheetName val="SUMP1420KL@HW"/>
      <sheetName val="Sheet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66.xml><?xml version="1.0" encoding="utf-8"?>
<externalLink xmlns="http://schemas.openxmlformats.org/spreadsheetml/2006/main">
  <externalBook xmlns:r="http://schemas.openxmlformats.org/officeDocument/2006/relationships" r:id="rId1">
    <sheetNames>
      <sheetName val="Lead"/>
      <sheetName val="Cover-MEstt."/>
      <sheetName val="ABST(PART B) "/>
      <sheetName val="F6-Gnrl Abstrt"/>
      <sheetName val="Data.F8.BTR"/>
      <sheetName val="F6-Estt"/>
      <sheetName val="sub-data -no full"/>
      <sheetName val="Labour"/>
      <sheetName val="Machinery"/>
      <sheetName val="Sheet1"/>
      <sheetName val="Diff stmnt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7.xml><?xml version="1.0" encoding="utf-8"?>
<externalLink xmlns="http://schemas.openxmlformats.org/spreadsheetml/2006/main">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Levels"/>
      <sheetName val="DATA-BASE"/>
      <sheetName val="DATA-ABSTRACT"/>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68.xml><?xml version="1.0" encoding="utf-8"?>
<externalLink xmlns="http://schemas.openxmlformats.org/spreadsheetml/2006/main">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69.xml><?xml version="1.0" encoding="utf-8"?>
<externalLink xmlns="http://schemas.openxmlformats.org/spreadsheetml/2006/main">
  <externalBook xmlns:r="http://schemas.openxmlformats.org/officeDocument/2006/relationships" r:id="rId1">
    <sheetNames>
      <sheetName val="data"/>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data existing_do not delete"/>
      <sheetName val="r"/>
      <sheetName val="HDPE"/>
      <sheetName val="DI"/>
      <sheetName val="pvc"/>
      <sheetName val="pvc_basic"/>
      <sheetName val="hdpe_basic"/>
      <sheetName val="Work_sheet"/>
      <sheetName val="t_prsr"/>
      <sheetName val="id"/>
      <sheetName val="GN_ST_10"/>
      <sheetName val="GN-ST-10"/>
      <sheetName val="Usage"/>
      <sheetName val="Common "/>
      <sheetName val="General"/>
      <sheetName val="Cover"/>
      <sheetName val="MRATES"/>
      <sheetName val="coverpage"/>
      <sheetName val="Road data"/>
      <sheetName val="leads"/>
      <sheetName val="maya"/>
      <sheetName val="segments-details"/>
      <sheetName val="int-Dia-hdpe"/>
      <sheetName val="habs-list"/>
      <sheetName val="int-Dia-pvc"/>
      <sheetName val="Sheet1"/>
      <sheetName val="rdamdata"/>
      <sheetName val="Levels"/>
      <sheetName val="Sheet1 (2)"/>
      <sheetName val="DATA-BASE"/>
      <sheetName val="DATA-ABSTRACT"/>
      <sheetName val="Bitumen trunk"/>
      <sheetName val="Feeder"/>
      <sheetName val="R99 etc"/>
      <sheetName val="Trunk unpaved"/>
      <sheetName val="GF SB Ok "/>
      <sheetName val="lead-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r"/>
      <sheetName val="index"/>
      <sheetName val="gen_abst"/>
      <sheetName val="abstract"/>
      <sheetName val="detailed"/>
      <sheetName val="water"/>
      <sheetName val="data_new"/>
      <sheetName val="lead-st"/>
      <sheetName val="v"/>
      <sheetName val="l"/>
      <sheetName val="electrical"/>
      <sheetName val="marking"/>
      <sheetName val="beams"/>
      <sheetName val="features"/>
      <sheetName val="c_wall"/>
      <sheetName val="Sheet1"/>
    </sheetNames>
    <sheetDataSet>
      <sheetData sheetId="0" refreshError="1">
        <row r="4">
          <cell r="F4">
            <v>65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70.xml><?xml version="1.0" encoding="utf-8"?>
<externalLink xmlns="http://schemas.openxmlformats.org/spreadsheetml/2006/main">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1.xml><?xml version="1.0" encoding="utf-8"?>
<externalLink xmlns="http://schemas.openxmlformats.org/spreadsheetml/2006/main">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Lead statement ss5"/>
      <sheetName val="DATA-BASE"/>
      <sheetName val="DATA-ABSTRACT"/>
      <sheetName val="v"/>
      <sheetName val="Abstrct_"/>
      <sheetName val="Part_A"/>
      <sheetName val="r"/>
      <sheetName val="Abstr#t "/>
      <sheetName val="Sheet1"/>
      <sheetName val="LEADS"/>
      <sheetName val="ewst"/>
      <sheetName val="Labour"/>
      <sheetName val="m"/>
      <sheetName val="maya"/>
      <sheetName val="Lead statement"/>
      <sheetName val="DATA_PRG"/>
      <sheetName val="segments-details"/>
      <sheetName val="int-Dia-hdpe"/>
      <sheetName val="habs-list"/>
      <sheetName val="int-Dia-pvc"/>
      <sheetName val="MRAT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2.xml><?xml version="1.0" encoding="utf-8"?>
<externalLink xmlns="http://schemas.openxmlformats.org/spreadsheetml/2006/main">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Lead"/>
      <sheetName val="Materials"/>
      <sheetName val="Data "/>
      <sheetName val="Retaing"/>
      <sheetName val="Abstract(F6)"/>
      <sheetName val="rdam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7">
          <cell r="H7">
            <v>48</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73.xml><?xml version="1.0" encoding="utf-8"?>
<externalLink xmlns="http://schemas.openxmlformats.org/spreadsheetml/2006/main">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Specification"/>
      <sheetName val="F7-1v1000-0_(3)"/>
      <sheetName val="ABST(PART_B)_"/>
      <sheetName val="F6-Gnrl_Abstrt"/>
      <sheetName val="Cover-MEstt_"/>
      <sheetName val="Road Detail Est."/>
      <sheetName val="Road data"/>
      <sheetName val="r"/>
      <sheetName val="detls"/>
      <sheetName val="maya"/>
      <sheetName val="Labour"/>
      <sheetName val="Material"/>
      <sheetName val="Plant &amp;  Machinery"/>
      <sheetName val="Sheet3"/>
      <sheetName val="leads"/>
      <sheetName val="v"/>
      <sheetName val="stone"/>
      <sheetName val="index"/>
      <sheetName val="FF WRK"/>
      <sheetName val="AB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74.xml><?xml version="1.0" encoding="utf-8"?>
<externalLink xmlns="http://schemas.openxmlformats.org/spreadsheetml/2006/main">
  <externalBook xmlns:r="http://schemas.openxmlformats.org/officeDocument/2006/relationships" r:id="rId1">
    <sheetNames>
      <sheetName val="Lead"/>
      <sheetName val="Cover-MEstt."/>
      <sheetName val="ABST(PART B) "/>
      <sheetName val="F6-Gnrl Abstrt"/>
      <sheetName val="Data.F8.BTR"/>
      <sheetName val="F6-Estt"/>
      <sheetName val="sub-data -no full"/>
      <sheetName val="Labour"/>
      <sheetName val="Machinery"/>
      <sheetName val="Sheet1"/>
      <sheetName val="Diff stmnt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75.xml><?xml version="1.0" encoding="utf-8"?>
<externalLink xmlns="http://schemas.openxmlformats.org/spreadsheetml/2006/main">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76.xml><?xml version="1.0" encoding="utf-8"?>
<externalLink xmlns="http://schemas.openxmlformats.org/spreadsheetml/2006/main">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77.xml><?xml version="1.0" encoding="utf-8"?>
<externalLink xmlns="http://schemas.openxmlformats.org/spreadsheetml/2006/main">
  <externalBook xmlns:r="http://schemas.openxmlformats.org/officeDocument/2006/relationships" r:id="rId1">
    <sheetNames>
      <sheetName val="Plant &amp;  Machinery"/>
      <sheetName val="Labour"/>
      <sheetName val="Material"/>
      <sheetName val="Sheet1"/>
      <sheetName val="Contents"/>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LEAD (2)"/>
      <sheetName val="other rates (2)"/>
    </sheetNames>
    <sheetDataSet>
      <sheetData sheetId="0" refreshError="1">
        <row r="4">
          <cell r="G4" t="str">
            <v>Input Rate</v>
          </cell>
        </row>
        <row r="13">
          <cell r="G13" t="str">
            <v>Input Rate</v>
          </cell>
        </row>
      </sheetData>
      <sheetData sheetId="1" refreshError="1">
        <row r="5">
          <cell r="D5">
            <v>137</v>
          </cell>
        </row>
      </sheetData>
      <sheetData sheetId="2" refreshError="1">
        <row r="130">
          <cell r="D130">
            <v>26000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Set>
  </externalBook>
</externalLink>
</file>

<file path=xl/externalLinks/externalLink78.xml><?xml version="1.0" encoding="utf-8"?>
<externalLink xmlns="http://schemas.openxmlformats.org/spreadsheetml/2006/main">
  <externalBook xmlns:r="http://schemas.openxmlformats.org/officeDocument/2006/relationships" r:id="rId1">
    <sheetNames>
      <sheetName val="Labour"/>
      <sheetName val="Material"/>
      <sheetName val="Plant &amp;  Machinery"/>
      <sheetName val="Sheet1"/>
      <sheetName val="Contents"/>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ow r="5">
          <cell r="D5">
            <v>137</v>
          </cell>
        </row>
        <row r="19">
          <cell r="D19">
            <v>156</v>
          </cell>
        </row>
      </sheetData>
      <sheetData sheetId="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2">
        <row r="4">
          <cell r="G4" t="str">
            <v>Input Rate</v>
          </cell>
        </row>
        <row r="13">
          <cell r="G13" t="str">
            <v>Input Rate</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79.xml><?xml version="1.0" encoding="utf-8"?>
<externalLink xmlns="http://schemas.openxmlformats.org/spreadsheetml/2006/main">
  <externalBook xmlns:r="http://schemas.openxmlformats.org/officeDocument/2006/relationships" r:id="rId1">
    <sheetNames>
      <sheetName val="Data.F8.BTR"/>
      <sheetName val="Cover-MEstt."/>
      <sheetName val="ABST(PART B) "/>
      <sheetName val="F6-Gnrl Abstrt"/>
      <sheetName val="04-05"/>
      <sheetName val="Lead"/>
      <sheetName val="sub-data "/>
      <sheetName val="F6-Estt"/>
      <sheetName val="sub estt"/>
      <sheetName val="Labour"/>
      <sheetName val="Machinery"/>
      <sheetName val="Sheet1"/>
      <sheetName val="Data_F8_BT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s>
    <sheetDataSet>
      <sheetData sheetId="0"/>
      <sheetData sheetId="1"/>
      <sheetData sheetId="2"/>
      <sheetData sheetId="3"/>
      <sheetData sheetId="4"/>
      <sheetData sheetId="5"/>
      <sheetData sheetId="6"/>
      <sheetData sheetId="7"/>
      <sheetData sheetId="8" refreshError="1">
        <row r="4">
          <cell r="F4">
            <v>65</v>
          </cell>
        </row>
      </sheetData>
      <sheetData sheetId="9"/>
      <sheetData sheetId="10"/>
      <sheetData sheetId="11"/>
      <sheetData sheetId="12"/>
      <sheetData sheetId="13"/>
      <sheetData sheetId="14"/>
      <sheetData sheetId="15" refreshError="1"/>
    </sheetDataSet>
  </externalBook>
</externalLink>
</file>

<file path=xl/externalLinks/externalLink80.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F8.BTR"/>
    </sheetNames>
    <sheetDataSet>
      <sheetData sheetId="0"/>
      <sheetData sheetId="1"/>
      <sheetData sheetId="2" refreshError="1">
        <row r="4">
          <cell r="G4" t="str">
            <v>Input Rate</v>
          </cell>
        </row>
      </sheetData>
      <sheetData sheetId="3"/>
      <sheetData sheetId="4" refreshError="1">
        <row r="47">
          <cell r="D47" t="str">
            <v>Input Rate</v>
          </cell>
        </row>
        <row r="51">
          <cell r="D51">
            <v>2400</v>
          </cell>
        </row>
        <row r="70">
          <cell r="D70" t="str">
            <v>Input Rate</v>
          </cell>
        </row>
        <row r="126">
          <cell r="D126" t="str">
            <v>Input Rate</v>
          </cell>
        </row>
        <row r="129">
          <cell r="D129">
            <v>27000</v>
          </cell>
        </row>
        <row r="130">
          <cell r="D130">
            <v>26000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81.xml><?xml version="1.0" encoding="utf-8"?>
<externalLink xmlns="http://schemas.openxmlformats.org/spreadsheetml/2006/main">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Estimate "/>
      <sheetName val="Levels"/>
      <sheetName val="r"/>
      <sheetName val="leads"/>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HDPE"/>
      <sheetName val="DI"/>
      <sheetName val="pvc"/>
      <sheetName val="hdpe_basic"/>
      <sheetName val="pvc_basic"/>
      <sheetName val="final abstract"/>
      <sheetName val="l"/>
      <sheetName val="HDPE-pipe-rates"/>
      <sheetName val="pvc-pipe-rates"/>
      <sheetName val="rdamdata"/>
      <sheetName val="Specification report"/>
      <sheetName val="coverpage"/>
      <sheetName val="R_Det"/>
      <sheetName val="Road data"/>
      <sheetName val="mlead"/>
      <sheetName val="abs road"/>
      <sheetName val="sector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Set>
  </externalBook>
</externalLink>
</file>

<file path=xl/externalLinks/externalLink82.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Data"/>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One vent Pipe"/>
      <sheetName val="Four vents"/>
      <sheetName val="two vents"/>
      <sheetName val="Lead"/>
      <sheetName val="Designs"/>
      <sheetName val="3Vents"/>
      <sheetName val="Abut"/>
      <sheetName val="Pier"/>
      <sheetName val="Speci"/>
      <sheetName val="One vent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83.xml><?xml version="1.0" encoding="utf-8"?>
<externalLink xmlns="http://schemas.openxmlformats.org/spreadsheetml/2006/main">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s>
    <sheetDataSet>
      <sheetData sheetId="0" refreshError="1"/>
      <sheetData sheetId="1">
        <row r="5">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84.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sheetData sheetId="3" refreshError="1"/>
      <sheetData sheetId="4" refreshError="1">
        <row r="41">
          <cell r="D41"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85.xml><?xml version="1.0" encoding="utf-8"?>
<externalLink xmlns="http://schemas.openxmlformats.org/spreadsheetml/2006/main">
  <externalBook xmlns:r="http://schemas.openxmlformats.org/officeDocument/2006/relationships" r:id="rId1">
    <sheetNames>
      <sheetName val="Plant &amp;  Machinery"/>
      <sheetName val="Material"/>
      <sheetName val="Labour"/>
      <sheetName val="Sheet1"/>
      <sheetName val="Contents"/>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ow r="4">
          <cell r="G4" t="str">
            <v>Input Rate</v>
          </cell>
        </row>
      </sheetData>
      <sheetData sheetId="1">
        <row r="47">
          <cell r="D47" t="str">
            <v>Input Rate</v>
          </cell>
        </row>
        <row r="129">
          <cell r="D129">
            <v>27000</v>
          </cell>
        </row>
      </sheetData>
      <sheetData sheetId="2">
        <row r="5">
          <cell r="D5">
            <v>137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86.xml><?xml version="1.0" encoding="utf-8"?>
<externalLink xmlns="http://schemas.openxmlformats.org/spreadsheetml/2006/main">
  <externalBook xmlns:r="http://schemas.openxmlformats.org/officeDocument/2006/relationships" r:id="rId1">
    <sheetNames>
      <sheetName val="SUMP1420KL@HW"/>
      <sheetName val="Sheet2"/>
      <sheetName val="Sheet3"/>
      <sheetName val="GLBR1000KL"/>
      <sheetName val="XXXXXXXXXXXXX"/>
      <sheetName val="XXXXXXXXXXXX0"/>
      <sheetName val="XXXXXXXXXXXX1"/>
      <sheetName val="XXXXXXXXXXXX2"/>
      <sheetName val="XXXXXXXXXXXX3"/>
      <sheetName val="XXXXXXXXXXXX4"/>
      <sheetName val="XXXXXXXXXXXX5"/>
      <sheetName val="G.Abst m"/>
      <sheetName val="G.Abst"/>
      <sheetName val="civil abst"/>
      <sheetName val="civ.abst(m)"/>
      <sheetName val="Anchor"/>
      <sheetName val="pipe abst( m)"/>
      <sheetName val="pipe abst"/>
      <sheetName val="pumpsetabst m"/>
      <sheetName val="pumpset abst"/>
      <sheetName val="Pumpset Designs"/>
      <sheetName val="hyd_design_sumps"/>
      <sheetName val="Protec work"/>
      <sheetName val="Culvert"/>
      <sheetName val="Approach Rd"/>
      <sheetName val="Soil test &amp; Jun cl"/>
      <sheetName val="KON - DATA GLBR, Wat"/>
      <sheetName val="GLBR1000EST(M)"/>
      <sheetName val="GLBR1000EST"/>
      <sheetName val="GLBR1000KLDESG"/>
      <sheetName val="piles(pvc)(m)"/>
      <sheetName val="piles (m)"/>
      <sheetName val="piles"/>
      <sheetName val="Data IBM Jn"/>
      <sheetName val="OHSR per Lt _2.5"/>
      <sheetName val="9x4 P.H GK"/>
      <sheetName val="9x4 P.H"/>
      <sheetName val="Wat at IBM GLSR"/>
      <sheetName val="W.M.Qtr@K.palliGLBR(m)"/>
      <sheetName val="Watch  Qtr @ KDP GLBR"/>
      <sheetName val="Data IBM Jn GLSR"/>
      <sheetName val="Watch @ H.W"/>
      <sheetName val="Prote at GLSR"/>
      <sheetName val="footing desn"/>
      <sheetName val="6x4m footing(m)"/>
      <sheetName val="6 X 4 P.H"/>
      <sheetName val="DataGKJN"/>
      <sheetName val="GKRSump(506kl)"/>
      <sheetName val="IBM SUMP904KLDESG"/>
      <sheetName val="DES-1000KL-GLBRKON"/>
      <sheetName val="Sump 904 KL est"/>
      <sheetName val="SSR"/>
      <sheetName val="RSF (m)"/>
      <sheetName val="RSF"/>
      <sheetName val="W.h.Coeff"/>
      <sheetName val="Valve Chambers"/>
      <sheetName val="diff steel qty"/>
      <sheetName val="Pipe rate"/>
      <sheetName val="1.50lakhltrt"/>
      <sheetName val="40000ltsOHSR Ch.M"/>
      <sheetName val="40000ltsOHSR Pi"/>
      <sheetName val="60000lts OHSR"/>
      <sheetName val="Material"/>
    </sheetNames>
    <sheetDataSet>
      <sheetData sheetId="0"/>
      <sheetData sheetId="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efreshError="1"/>
    </sheetDataSet>
  </externalBook>
</externalLink>
</file>

<file path=xl/externalLinks/externalLink87.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UMP1420KL@HW"/>
    </sheetNames>
    <sheetDataSet>
      <sheetData sheetId="0"/>
      <sheetData sheetId="1"/>
      <sheetData sheetId="2">
        <row r="10">
          <cell r="G10" t="str">
            <v>Input Rate</v>
          </cell>
        </row>
        <row r="27">
          <cell r="G27" t="str">
            <v>Input Rate</v>
          </cell>
        </row>
      </sheetData>
      <sheetData sheetId="3"/>
      <sheetData sheetId="4">
        <row r="39">
          <cell r="D39"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88.xml><?xml version="1.0" encoding="utf-8"?>
<externalLink xmlns="http://schemas.openxmlformats.org/spreadsheetml/2006/main">
  <externalBook xmlns:r="http://schemas.openxmlformats.org/officeDocument/2006/relationships" r:id="rId1">
    <sheetNames>
      <sheetName val="Lead"/>
      <sheetName val="Cover-MEstt."/>
      <sheetName val="ABST(PART B) "/>
      <sheetName val="F6-Gnrl Abstrt"/>
      <sheetName val="Data.F8.BTR"/>
      <sheetName val="F6-Estt"/>
      <sheetName val="sub-data -no full"/>
      <sheetName val="Labour"/>
      <sheetName val="Machinery"/>
      <sheetName val="Sheet1"/>
      <sheetName val="Diff stmnt (2)"/>
      <sheetName val="ewst"/>
      <sheetName val="m"/>
      <sheetName val="sectorwise"/>
      <sheetName val="maya"/>
      <sheetName val="Material"/>
      <sheetName val="Plant &amp;  Machinery"/>
      <sheetName val="r"/>
      <sheetName val="hdpe weights"/>
      <sheetName val="PVC weights"/>
      <sheetName val="index"/>
    </sheetNames>
    <sheetDataSet>
      <sheetData sheetId="0"/>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89.xml><?xml version="1.0" encoding="utf-8"?>
<externalLink xmlns="http://schemas.openxmlformats.org/spreadsheetml/2006/main">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v"/>
      <sheetName val="r"/>
      <sheetName val="mro_bldg"/>
      <sheetName val="mpp_bldg"/>
      <sheetName val="abstract"/>
      <sheetName val="detailed"/>
      <sheetName val="sanitory"/>
      <sheetName val="septic_tank"/>
      <sheetName val="electri"/>
      <sheetName val="c_wall"/>
      <sheetName val="data_sein"/>
      <sheetName val="l"/>
      <sheetName val="door"/>
      <sheetName val="win"/>
      <sheetName val="Levels"/>
    </sheetNames>
    <sheetDataSet>
      <sheetData sheetId="0"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D6">
            <v>2500</v>
          </cell>
          <cell r="E6" t="str">
            <v>/MT</v>
          </cell>
        </row>
        <row r="7">
          <cell r="A7">
            <v>6</v>
          </cell>
          <cell r="B7" t="str">
            <v>Steel</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 refreshError="1">
        <row r="1">
          <cell r="B1" t="str">
            <v>SNO</v>
          </cell>
          <cell r="C1" t="str">
            <v>SSITEMNO</v>
          </cell>
          <cell r="F1" t="str">
            <v>DETAILS</v>
          </cell>
          <cell r="G1" t="str">
            <v>Unit</v>
          </cell>
          <cell r="H1" t="str">
            <v>PER</v>
          </cell>
          <cell r="I1" t="str">
            <v>RATE</v>
          </cell>
        </row>
        <row r="2">
          <cell r="B2">
            <v>1</v>
          </cell>
          <cell r="C2" t="str">
            <v>1ab</v>
          </cell>
          <cell r="F2" t="str">
            <v>1st Class Mason</v>
          </cell>
          <cell r="G2">
            <v>1</v>
          </cell>
          <cell r="H2" t="str">
            <v>each</v>
          </cell>
          <cell r="I2">
            <v>86</v>
          </cell>
        </row>
        <row r="3">
          <cell r="B3">
            <v>26</v>
          </cell>
          <cell r="C3">
            <v>17</v>
          </cell>
          <cell r="F3" t="str">
            <v>Spl.grade Mason</v>
          </cell>
          <cell r="G3">
            <v>1</v>
          </cell>
          <cell r="H3" t="str">
            <v>each</v>
          </cell>
          <cell r="I3">
            <v>0</v>
          </cell>
        </row>
        <row r="4">
          <cell r="B4">
            <v>28</v>
          </cell>
          <cell r="C4" t="str">
            <v>1a</v>
          </cell>
          <cell r="F4" t="str">
            <v>2nd Class Mason</v>
          </cell>
          <cell r="G4">
            <v>1</v>
          </cell>
          <cell r="H4" t="str">
            <v>each</v>
          </cell>
          <cell r="I4">
            <v>75</v>
          </cell>
        </row>
        <row r="5">
          <cell r="B5">
            <v>53</v>
          </cell>
          <cell r="C5">
            <v>2</v>
          </cell>
          <cell r="F5" t="str">
            <v>Man Mazdoor</v>
          </cell>
          <cell r="G5">
            <v>1</v>
          </cell>
          <cell r="H5" t="str">
            <v>each</v>
          </cell>
          <cell r="I5">
            <v>55</v>
          </cell>
        </row>
        <row r="6">
          <cell r="B6">
            <v>54</v>
          </cell>
          <cell r="C6">
            <v>3</v>
          </cell>
          <cell r="F6" t="str">
            <v>Woman Mazdoor</v>
          </cell>
          <cell r="G6">
            <v>1</v>
          </cell>
          <cell r="H6" t="str">
            <v>each</v>
          </cell>
          <cell r="I6">
            <v>55</v>
          </cell>
        </row>
        <row r="7">
          <cell r="B7">
            <v>60</v>
          </cell>
          <cell r="C7" t="str">
            <v>1a</v>
          </cell>
          <cell r="F7" t="str">
            <v>2nd Class Bricks</v>
          </cell>
          <cell r="G7">
            <v>1000</v>
          </cell>
          <cell r="H7" t="str">
            <v>Nos</v>
          </cell>
          <cell r="I7">
            <v>1200</v>
          </cell>
        </row>
        <row r="8">
          <cell r="B8">
            <v>67</v>
          </cell>
          <cell r="C8" t="str">
            <v>2c</v>
          </cell>
          <cell r="F8" t="str">
            <v>RR stone Granite Variety</v>
          </cell>
          <cell r="G8">
            <v>1</v>
          </cell>
          <cell r="H8" t="str">
            <v>cum</v>
          </cell>
          <cell r="I8">
            <v>75</v>
          </cell>
        </row>
        <row r="9">
          <cell r="B9">
            <v>72</v>
          </cell>
          <cell r="C9" t="str">
            <v>3a</v>
          </cell>
          <cell r="F9" t="str">
            <v>CR stone Granite Variety</v>
          </cell>
          <cell r="G9">
            <v>1</v>
          </cell>
          <cell r="H9" t="str">
            <v>cum</v>
          </cell>
          <cell r="I9">
            <v>109</v>
          </cell>
        </row>
        <row r="10">
          <cell r="B10">
            <v>80</v>
          </cell>
          <cell r="F10" t="str">
            <v>6 mm SS</v>
          </cell>
          <cell r="G10">
            <v>1</v>
          </cell>
          <cell r="H10" t="str">
            <v>cum</v>
          </cell>
          <cell r="I10">
            <v>170</v>
          </cell>
        </row>
        <row r="11">
          <cell r="B11">
            <v>81</v>
          </cell>
          <cell r="F11" t="str">
            <v>5 to 7 mm IRC</v>
          </cell>
          <cell r="G11">
            <v>1</v>
          </cell>
          <cell r="H11" t="str">
            <v>cum</v>
          </cell>
          <cell r="I11">
            <v>170</v>
          </cell>
        </row>
        <row r="12">
          <cell r="B12">
            <v>82</v>
          </cell>
          <cell r="F12" t="str">
            <v>10 mm SS</v>
          </cell>
          <cell r="G12">
            <v>1</v>
          </cell>
          <cell r="H12" t="str">
            <v>cum</v>
          </cell>
          <cell r="I12">
            <v>250</v>
          </cell>
        </row>
        <row r="13">
          <cell r="B13">
            <v>83</v>
          </cell>
          <cell r="F13" t="str">
            <v>10 to 11.2 IRC</v>
          </cell>
          <cell r="G13">
            <v>1</v>
          </cell>
          <cell r="H13" t="str">
            <v>cum</v>
          </cell>
          <cell r="I13">
            <v>250</v>
          </cell>
        </row>
        <row r="14">
          <cell r="B14">
            <v>84</v>
          </cell>
          <cell r="F14" t="str">
            <v>12 mm SS</v>
          </cell>
          <cell r="G14">
            <v>1</v>
          </cell>
          <cell r="H14" t="str">
            <v>cum</v>
          </cell>
          <cell r="I14">
            <v>300</v>
          </cell>
        </row>
        <row r="15">
          <cell r="B15">
            <v>85</v>
          </cell>
          <cell r="F15" t="str">
            <v>12 to 14 mm IRC</v>
          </cell>
          <cell r="G15">
            <v>1</v>
          </cell>
          <cell r="H15" t="str">
            <v>cum</v>
          </cell>
          <cell r="I15">
            <v>300</v>
          </cell>
        </row>
        <row r="16">
          <cell r="B16">
            <v>86</v>
          </cell>
          <cell r="F16" t="str">
            <v>20 mm SS</v>
          </cell>
          <cell r="G16">
            <v>1</v>
          </cell>
          <cell r="H16" t="str">
            <v>cum</v>
          </cell>
          <cell r="I16">
            <v>380</v>
          </cell>
        </row>
        <row r="17">
          <cell r="B17">
            <v>87</v>
          </cell>
          <cell r="F17" t="str">
            <v>20 to 22 mm IRC</v>
          </cell>
          <cell r="G17">
            <v>1</v>
          </cell>
          <cell r="H17" t="str">
            <v>cum</v>
          </cell>
          <cell r="I17">
            <v>375</v>
          </cell>
        </row>
        <row r="18">
          <cell r="B18">
            <v>88</v>
          </cell>
          <cell r="F18" t="str">
            <v>25 mm SS</v>
          </cell>
          <cell r="G18">
            <v>1</v>
          </cell>
          <cell r="H18" t="str">
            <v>cum</v>
          </cell>
          <cell r="I18">
            <v>300</v>
          </cell>
        </row>
        <row r="19">
          <cell r="B19">
            <v>89</v>
          </cell>
          <cell r="F19" t="str">
            <v>25 to 27 mm IRC</v>
          </cell>
          <cell r="G19">
            <v>1</v>
          </cell>
          <cell r="H19" t="str">
            <v>cum</v>
          </cell>
          <cell r="I19">
            <v>300</v>
          </cell>
        </row>
        <row r="20">
          <cell r="B20">
            <v>90</v>
          </cell>
          <cell r="F20" t="str">
            <v>40 mm SS</v>
          </cell>
          <cell r="G20">
            <v>1</v>
          </cell>
          <cell r="H20" t="str">
            <v>cum</v>
          </cell>
          <cell r="I20">
            <v>215</v>
          </cell>
        </row>
        <row r="21">
          <cell r="B21">
            <v>91</v>
          </cell>
          <cell r="F21" t="str">
            <v>40 to 45 mm IRC</v>
          </cell>
          <cell r="G21">
            <v>1</v>
          </cell>
          <cell r="H21" t="str">
            <v>cum</v>
          </cell>
          <cell r="I21">
            <v>200</v>
          </cell>
        </row>
        <row r="22">
          <cell r="B22">
            <v>92</v>
          </cell>
          <cell r="F22" t="str">
            <v>50 mm SS</v>
          </cell>
          <cell r="G22">
            <v>1</v>
          </cell>
          <cell r="H22" t="str">
            <v>cum</v>
          </cell>
          <cell r="I22">
            <v>150</v>
          </cell>
        </row>
        <row r="23">
          <cell r="B23">
            <v>93</v>
          </cell>
          <cell r="F23" t="str">
            <v>50 to 55mm IRC</v>
          </cell>
          <cell r="G23">
            <v>1</v>
          </cell>
          <cell r="H23" t="str">
            <v>cum</v>
          </cell>
          <cell r="I23">
            <v>120</v>
          </cell>
        </row>
        <row r="24">
          <cell r="B24">
            <v>94</v>
          </cell>
          <cell r="F24" t="str">
            <v>60 mm SS</v>
          </cell>
          <cell r="G24">
            <v>1</v>
          </cell>
          <cell r="H24" t="str">
            <v>cum</v>
          </cell>
          <cell r="I24">
            <v>150</v>
          </cell>
        </row>
        <row r="25">
          <cell r="B25">
            <v>95</v>
          </cell>
          <cell r="F25" t="str">
            <v>60 to 63 mm IRC</v>
          </cell>
          <cell r="G25">
            <v>1</v>
          </cell>
          <cell r="H25" t="str">
            <v>cum</v>
          </cell>
          <cell r="I25">
            <v>110</v>
          </cell>
        </row>
        <row r="26">
          <cell r="B26">
            <v>96</v>
          </cell>
          <cell r="F26" t="str">
            <v>65 mm SS</v>
          </cell>
          <cell r="G26">
            <v>1</v>
          </cell>
          <cell r="H26" t="str">
            <v>cum</v>
          </cell>
          <cell r="I26">
            <v>150</v>
          </cell>
        </row>
        <row r="27">
          <cell r="B27">
            <v>97</v>
          </cell>
          <cell r="F27" t="str">
            <v>65 mm IRC</v>
          </cell>
          <cell r="G27">
            <v>1</v>
          </cell>
          <cell r="H27" t="str">
            <v>cum</v>
          </cell>
          <cell r="I27">
            <v>120</v>
          </cell>
        </row>
        <row r="28">
          <cell r="B28">
            <v>98</v>
          </cell>
          <cell r="F28" t="str">
            <v>75 mm SS</v>
          </cell>
          <cell r="G28">
            <v>1</v>
          </cell>
          <cell r="H28" t="str">
            <v>cum</v>
          </cell>
          <cell r="I28">
            <v>95</v>
          </cell>
        </row>
        <row r="29">
          <cell r="B29">
            <v>99</v>
          </cell>
          <cell r="F29" t="str">
            <v>75 mm IRC</v>
          </cell>
          <cell r="G29">
            <v>1</v>
          </cell>
          <cell r="H29" t="str">
            <v>cum</v>
          </cell>
          <cell r="I29">
            <v>95</v>
          </cell>
        </row>
        <row r="30">
          <cell r="B30">
            <v>100</v>
          </cell>
          <cell r="F30" t="str">
            <v>Blasting</v>
          </cell>
          <cell r="G30">
            <v>1</v>
          </cell>
          <cell r="H30" t="str">
            <v>cum</v>
          </cell>
          <cell r="I30">
            <v>40</v>
          </cell>
        </row>
        <row r="31">
          <cell r="B31">
            <v>101</v>
          </cell>
          <cell r="F31" t="str">
            <v>Metal Crushing</v>
          </cell>
          <cell r="G31">
            <v>1</v>
          </cell>
          <cell r="H31" t="str">
            <v>cum</v>
          </cell>
          <cell r="I31">
            <v>0.25</v>
          </cell>
        </row>
        <row r="32">
          <cell r="B32">
            <v>127</v>
          </cell>
          <cell r="C32">
            <v>9</v>
          </cell>
          <cell r="F32" t="str">
            <v>Gravel</v>
          </cell>
          <cell r="G32">
            <v>1</v>
          </cell>
          <cell r="H32" t="str">
            <v>cum</v>
          </cell>
          <cell r="I32">
            <v>25</v>
          </cell>
        </row>
        <row r="33">
          <cell r="B33">
            <v>128</v>
          </cell>
          <cell r="F33" t="str">
            <v>Quarry rubbish</v>
          </cell>
          <cell r="G33">
            <v>1</v>
          </cell>
          <cell r="H33" t="str">
            <v>cum</v>
          </cell>
          <cell r="I33">
            <v>11</v>
          </cell>
        </row>
        <row r="34">
          <cell r="B34">
            <v>129</v>
          </cell>
          <cell r="F34" t="str">
            <v>Sand for Mortar, Seal coat</v>
          </cell>
          <cell r="G34">
            <v>1</v>
          </cell>
          <cell r="H34" t="str">
            <v>cum</v>
          </cell>
          <cell r="I34">
            <v>50</v>
          </cell>
        </row>
        <row r="35">
          <cell r="B35">
            <v>130</v>
          </cell>
          <cell r="F35" t="str">
            <v>Sand for Filling, Blindage</v>
          </cell>
          <cell r="G35">
            <v>1</v>
          </cell>
          <cell r="H35" t="str">
            <v>cum</v>
          </cell>
          <cell r="I35">
            <v>20</v>
          </cell>
        </row>
        <row r="36">
          <cell r="B36">
            <v>133</v>
          </cell>
          <cell r="C36">
            <v>15</v>
          </cell>
          <cell r="F36" t="str">
            <v>40 mm thick 0.762 m x.457 m</v>
          </cell>
          <cell r="G36">
            <v>1</v>
          </cell>
          <cell r="H36" t="str">
            <v>sqm</v>
          </cell>
          <cell r="I36">
            <v>70</v>
          </cell>
        </row>
        <row r="37">
          <cell r="B37">
            <v>134</v>
          </cell>
          <cell r="C37">
            <v>16</v>
          </cell>
          <cell r="F37" t="str">
            <v>50 mm thick 0.762 m x.457 m</v>
          </cell>
          <cell r="G37">
            <v>1</v>
          </cell>
          <cell r="H37" t="str">
            <v>sqm</v>
          </cell>
          <cell r="I37">
            <v>80</v>
          </cell>
        </row>
        <row r="38">
          <cell r="B38">
            <v>136</v>
          </cell>
          <cell r="F38" t="str">
            <v>25.4 mm thick White</v>
          </cell>
          <cell r="G38">
            <v>10</v>
          </cell>
          <cell r="H38" t="str">
            <v>sqm</v>
          </cell>
          <cell r="I38">
            <v>550</v>
          </cell>
        </row>
        <row r="39">
          <cell r="B39">
            <v>137</v>
          </cell>
          <cell r="F39" t="str">
            <v>25.4 mm thick Blue</v>
          </cell>
          <cell r="G39">
            <v>10</v>
          </cell>
          <cell r="H39" t="str">
            <v>sqm</v>
          </cell>
          <cell r="I39">
            <v>600</v>
          </cell>
        </row>
        <row r="40">
          <cell r="B40">
            <v>138</v>
          </cell>
          <cell r="F40" t="str">
            <v>25.4 mm thick White</v>
          </cell>
          <cell r="G40">
            <v>10</v>
          </cell>
          <cell r="H40" t="str">
            <v>sqm</v>
          </cell>
          <cell r="I40">
            <v>600</v>
          </cell>
        </row>
        <row r="41">
          <cell r="B41">
            <v>139</v>
          </cell>
          <cell r="F41" t="str">
            <v>25.4 mm thick Blue</v>
          </cell>
          <cell r="G41">
            <v>10</v>
          </cell>
          <cell r="H41" t="str">
            <v>sqm</v>
          </cell>
          <cell r="I41">
            <v>700</v>
          </cell>
        </row>
        <row r="42">
          <cell r="B42">
            <v>140</v>
          </cell>
          <cell r="F42" t="str">
            <v>25.4 mm thick White  0.457mx0.457 m</v>
          </cell>
          <cell r="G42">
            <v>10</v>
          </cell>
          <cell r="H42" t="str">
            <v>sqm</v>
          </cell>
          <cell r="I42">
            <v>1000</v>
          </cell>
        </row>
        <row r="43">
          <cell r="B43">
            <v>141</v>
          </cell>
          <cell r="F43" t="str">
            <v>25.4 mm thick Blue  0.457mx0.457 m</v>
          </cell>
          <cell r="G43">
            <v>10</v>
          </cell>
          <cell r="H43" t="str">
            <v>sqm</v>
          </cell>
          <cell r="I43">
            <v>1150</v>
          </cell>
        </row>
        <row r="44">
          <cell r="B44">
            <v>142</v>
          </cell>
          <cell r="C44">
            <v>20</v>
          </cell>
          <cell r="F44" t="str">
            <v>25.4 mm thick   0.457mx0.457 m</v>
          </cell>
          <cell r="G44">
            <v>10</v>
          </cell>
          <cell r="H44" t="str">
            <v>sqm</v>
          </cell>
          <cell r="I44">
            <v>900</v>
          </cell>
        </row>
        <row r="45">
          <cell r="B45">
            <v>143</v>
          </cell>
          <cell r="C45">
            <v>21</v>
          </cell>
          <cell r="F45" t="str">
            <v>25.4 mm thick 0.254mx0.254 m White</v>
          </cell>
          <cell r="G45">
            <v>10</v>
          </cell>
          <cell r="H45" t="str">
            <v>sqm</v>
          </cell>
          <cell r="I45">
            <v>2700</v>
          </cell>
        </row>
        <row r="46">
          <cell r="B46">
            <v>168</v>
          </cell>
          <cell r="F46" t="str">
            <v>Cement Mortar</v>
          </cell>
          <cell r="G46">
            <v>1</v>
          </cell>
          <cell r="H46" t="str">
            <v>cum</v>
          </cell>
          <cell r="I46">
            <v>15</v>
          </cell>
        </row>
        <row r="47">
          <cell r="B47">
            <v>169</v>
          </cell>
          <cell r="F47" t="str">
            <v>By Machine</v>
          </cell>
          <cell r="G47">
            <v>1</v>
          </cell>
          <cell r="H47" t="str">
            <v>cum</v>
          </cell>
          <cell r="I47">
            <v>25</v>
          </cell>
        </row>
        <row r="48">
          <cell r="B48">
            <v>175</v>
          </cell>
          <cell r="F48" t="str">
            <v>White Cement</v>
          </cell>
          <cell r="G48">
            <v>1</v>
          </cell>
          <cell r="H48" t="str">
            <v>kg</v>
          </cell>
          <cell r="I48">
            <v>9</v>
          </cell>
        </row>
        <row r="49">
          <cell r="B49">
            <v>176</v>
          </cell>
          <cell r="F49" t="str">
            <v xml:space="preserve">Scantling below 2m </v>
          </cell>
          <cell r="G49">
            <v>1</v>
          </cell>
          <cell r="H49" t="str">
            <v>cum</v>
          </cell>
          <cell r="I49">
            <v>50000</v>
          </cell>
        </row>
        <row r="50">
          <cell r="B50">
            <v>177</v>
          </cell>
          <cell r="F50" t="str">
            <v xml:space="preserve">Scantling above 2m </v>
          </cell>
          <cell r="G50">
            <v>1</v>
          </cell>
          <cell r="H50" t="str">
            <v>cum</v>
          </cell>
          <cell r="I50">
            <v>52000</v>
          </cell>
        </row>
        <row r="51">
          <cell r="B51">
            <v>178</v>
          </cell>
          <cell r="F51" t="str">
            <v>Planks of all sizes</v>
          </cell>
          <cell r="G51">
            <v>1</v>
          </cell>
          <cell r="H51" t="str">
            <v>cum</v>
          </cell>
          <cell r="I51">
            <v>55000</v>
          </cell>
        </row>
        <row r="52">
          <cell r="B52">
            <v>176</v>
          </cell>
          <cell r="F52" t="str">
            <v xml:space="preserve">Scantling below 2m </v>
          </cell>
          <cell r="G52">
            <v>1</v>
          </cell>
          <cell r="H52" t="str">
            <v>cum</v>
          </cell>
          <cell r="I52">
            <v>40000</v>
          </cell>
        </row>
        <row r="53">
          <cell r="B53">
            <v>177</v>
          </cell>
          <cell r="F53" t="str">
            <v xml:space="preserve">Scantling above 2m </v>
          </cell>
          <cell r="G53">
            <v>1</v>
          </cell>
          <cell r="H53" t="str">
            <v>cum</v>
          </cell>
          <cell r="I53">
            <v>42000</v>
          </cell>
        </row>
        <row r="54">
          <cell r="B54">
            <v>178</v>
          </cell>
          <cell r="F54" t="str">
            <v>Planks of all sizes</v>
          </cell>
          <cell r="G54">
            <v>1</v>
          </cell>
          <cell r="H54" t="str">
            <v>cum</v>
          </cell>
          <cell r="I54">
            <v>45000</v>
          </cell>
        </row>
        <row r="55">
          <cell r="B55">
            <v>187</v>
          </cell>
          <cell r="F55" t="str">
            <v>Steel fabrication</v>
          </cell>
          <cell r="G55">
            <v>1</v>
          </cell>
          <cell r="H55" t="str">
            <v>kg</v>
          </cell>
          <cell r="I55">
            <v>3.25</v>
          </cell>
        </row>
        <row r="56">
          <cell r="B56">
            <v>234</v>
          </cell>
          <cell r="F56" t="str">
            <v>25 mm thick</v>
          </cell>
          <cell r="G56">
            <v>1</v>
          </cell>
          <cell r="H56" t="str">
            <v>sqm</v>
          </cell>
          <cell r="I56">
            <v>80</v>
          </cell>
        </row>
        <row r="57">
          <cell r="B57">
            <v>235</v>
          </cell>
          <cell r="F57" t="str">
            <v>40 mm thick</v>
          </cell>
          <cell r="G57">
            <v>1</v>
          </cell>
          <cell r="H57" t="str">
            <v>sqm</v>
          </cell>
          <cell r="I57">
            <v>105</v>
          </cell>
        </row>
        <row r="58">
          <cell r="B58">
            <v>236</v>
          </cell>
          <cell r="F58" t="str">
            <v>50 mm thick</v>
          </cell>
          <cell r="G58">
            <v>1</v>
          </cell>
          <cell r="H58" t="str">
            <v>sqm</v>
          </cell>
          <cell r="I58">
            <v>140</v>
          </cell>
        </row>
        <row r="59">
          <cell r="B59">
            <v>239</v>
          </cell>
          <cell r="F59" t="str">
            <v>Dry powder Distemper</v>
          </cell>
          <cell r="G59">
            <v>1</v>
          </cell>
          <cell r="H59" t="str">
            <v>kg</v>
          </cell>
          <cell r="I59">
            <v>20</v>
          </cell>
        </row>
        <row r="60">
          <cell r="B60">
            <v>240</v>
          </cell>
          <cell r="F60" t="str">
            <v>Oil bound washable Distemper</v>
          </cell>
          <cell r="G60">
            <v>1</v>
          </cell>
          <cell r="H60" t="str">
            <v>kg</v>
          </cell>
          <cell r="I60">
            <v>60</v>
          </cell>
        </row>
        <row r="61">
          <cell r="B61">
            <v>245</v>
          </cell>
          <cell r="F61" t="str">
            <v>Alluminium paint 1st grade</v>
          </cell>
          <cell r="G61">
            <v>1</v>
          </cell>
          <cell r="H61" t="str">
            <v>litre</v>
          </cell>
          <cell r="I61">
            <v>176</v>
          </cell>
        </row>
        <row r="62">
          <cell r="B62">
            <v>246</v>
          </cell>
          <cell r="F62" t="str">
            <v>Anti corrosive bitument pain (Black) grade -1</v>
          </cell>
          <cell r="G62">
            <v>1</v>
          </cell>
          <cell r="H62" t="str">
            <v>litre</v>
          </cell>
          <cell r="I62">
            <v>250</v>
          </cell>
        </row>
        <row r="63">
          <cell r="B63">
            <v>247</v>
          </cell>
          <cell r="F63" t="str">
            <v>Red oxide Primer Paint grade-I</v>
          </cell>
          <cell r="G63">
            <v>1</v>
          </cell>
          <cell r="H63" t="str">
            <v>litre</v>
          </cell>
          <cell r="I63">
            <v>55</v>
          </cell>
        </row>
        <row r="64">
          <cell r="B64">
            <v>248</v>
          </cell>
          <cell r="F64" t="str">
            <v>Red oxide Primer Paint grade-II</v>
          </cell>
          <cell r="G64">
            <v>1</v>
          </cell>
          <cell r="H64" t="str">
            <v>litre</v>
          </cell>
          <cell r="I64">
            <v>45</v>
          </cell>
        </row>
        <row r="65">
          <cell r="B65">
            <v>249</v>
          </cell>
          <cell r="F65" t="str">
            <v>Synthetic enamel paints in all shades grade-I</v>
          </cell>
          <cell r="G65">
            <v>1</v>
          </cell>
          <cell r="H65" t="str">
            <v>litre</v>
          </cell>
          <cell r="I65">
            <v>130</v>
          </cell>
        </row>
        <row r="66">
          <cell r="B66">
            <v>250</v>
          </cell>
          <cell r="F66" t="str">
            <v>Synthetic enamel paints in all shades grade-II</v>
          </cell>
          <cell r="G66">
            <v>1</v>
          </cell>
          <cell r="H66" t="str">
            <v>litre</v>
          </cell>
          <cell r="I66">
            <v>95</v>
          </cell>
        </row>
        <row r="67">
          <cell r="B67">
            <v>251</v>
          </cell>
          <cell r="F67" t="str">
            <v>Plastic emultion paint grade-I</v>
          </cell>
          <cell r="G67">
            <v>1</v>
          </cell>
          <cell r="H67" t="str">
            <v>litre</v>
          </cell>
          <cell r="I67">
            <v>200</v>
          </cell>
        </row>
        <row r="68">
          <cell r="B68">
            <v>252</v>
          </cell>
          <cell r="C68">
            <v>63</v>
          </cell>
          <cell r="F68" t="str">
            <v>Oil Bound Distemper</v>
          </cell>
          <cell r="G68">
            <v>1</v>
          </cell>
          <cell r="H68" t="str">
            <v>kg</v>
          </cell>
          <cell r="I68">
            <v>40</v>
          </cell>
        </row>
        <row r="69">
          <cell r="B69">
            <v>253</v>
          </cell>
          <cell r="C69">
            <v>64</v>
          </cell>
          <cell r="F69" t="str">
            <v>Water proof cement paint of Superior Quality</v>
          </cell>
          <cell r="G69">
            <v>1</v>
          </cell>
          <cell r="H69" t="str">
            <v>kg</v>
          </cell>
          <cell r="I69">
            <v>30</v>
          </cell>
        </row>
        <row r="70">
          <cell r="B70">
            <v>254</v>
          </cell>
          <cell r="C70">
            <v>65</v>
          </cell>
          <cell r="F70" t="str">
            <v>White lead</v>
          </cell>
          <cell r="G70">
            <v>1</v>
          </cell>
          <cell r="H70" t="str">
            <v>kg</v>
          </cell>
          <cell r="I70">
            <v>50</v>
          </cell>
        </row>
        <row r="71">
          <cell r="B71">
            <v>255</v>
          </cell>
          <cell r="C71">
            <v>66</v>
          </cell>
          <cell r="F71" t="str">
            <v>Marble powder</v>
          </cell>
          <cell r="G71">
            <v>1</v>
          </cell>
          <cell r="H71" t="str">
            <v>kg</v>
          </cell>
          <cell r="I71">
            <v>12.5</v>
          </cell>
        </row>
        <row r="72">
          <cell r="B72">
            <v>256</v>
          </cell>
          <cell r="C72">
            <v>67</v>
          </cell>
          <cell r="F72" t="str">
            <v>Cement Primer grade-I</v>
          </cell>
          <cell r="G72">
            <v>1</v>
          </cell>
          <cell r="H72" t="str">
            <v>kg</v>
          </cell>
          <cell r="I72">
            <v>65</v>
          </cell>
        </row>
        <row r="73">
          <cell r="B73">
            <v>257</v>
          </cell>
          <cell r="F73" t="str">
            <v>Cement Primer grade-II</v>
          </cell>
          <cell r="G73">
            <v>1</v>
          </cell>
          <cell r="H73" t="str">
            <v>kg</v>
          </cell>
          <cell r="I73">
            <v>50</v>
          </cell>
        </row>
        <row r="74">
          <cell r="B74">
            <v>274</v>
          </cell>
          <cell r="D74" t="str">
            <v>b</v>
          </cell>
          <cell r="F74" t="str">
            <v>Fevicol</v>
          </cell>
          <cell r="G74">
            <v>1</v>
          </cell>
          <cell r="H74" t="str">
            <v>kg</v>
          </cell>
          <cell r="I74">
            <v>100</v>
          </cell>
        </row>
        <row r="75">
          <cell r="B75">
            <v>352</v>
          </cell>
          <cell r="D75" t="str">
            <v>a</v>
          </cell>
          <cell r="F75" t="str">
            <v>Clearing heavy jungle</v>
          </cell>
          <cell r="G75">
            <v>10</v>
          </cell>
          <cell r="H75" t="str">
            <v>sqm</v>
          </cell>
          <cell r="I75">
            <v>6</v>
          </cell>
        </row>
        <row r="76">
          <cell r="B76">
            <v>353</v>
          </cell>
          <cell r="D76" t="str">
            <v>b</v>
          </cell>
          <cell r="F76" t="str">
            <v>Clearing Light jungle</v>
          </cell>
          <cell r="G76">
            <v>10</v>
          </cell>
          <cell r="H76" t="str">
            <v>sqm</v>
          </cell>
          <cell r="I76">
            <v>5</v>
          </cell>
        </row>
        <row r="77">
          <cell r="B77">
            <v>354</v>
          </cell>
          <cell r="D77" t="str">
            <v>c</v>
          </cell>
          <cell r="F77" t="str">
            <v>Clearing Scrub jungle</v>
          </cell>
          <cell r="G77">
            <v>10</v>
          </cell>
          <cell r="H77" t="str">
            <v>sqm</v>
          </cell>
          <cell r="I77">
            <v>3</v>
          </cell>
        </row>
        <row r="78">
          <cell r="B78">
            <v>355</v>
          </cell>
          <cell r="D78" t="str">
            <v>d</v>
          </cell>
          <cell r="F78" t="str">
            <v xml:space="preserve">Cleaing Julie flora </v>
          </cell>
          <cell r="G78">
            <v>10</v>
          </cell>
          <cell r="H78" t="str">
            <v>sqm</v>
          </cell>
          <cell r="I78">
            <v>14</v>
          </cell>
        </row>
        <row r="79">
          <cell r="B79">
            <v>408</v>
          </cell>
          <cell r="D79" t="str">
            <v>a</v>
          </cell>
          <cell r="F79" t="str">
            <v>Loamy &amp; Clay soils like BC soils, Red earth &amp; OG SS 302 &amp; 303</v>
          </cell>
          <cell r="G79">
            <v>10</v>
          </cell>
          <cell r="H79" t="str">
            <v>cum</v>
          </cell>
          <cell r="I79">
            <v>235</v>
          </cell>
        </row>
        <row r="80">
          <cell r="B80">
            <v>409</v>
          </cell>
          <cell r="F80" t="str">
            <v>Loamy &amp; Clay soils like BC soils, Red earth &amp; OG SS 301</v>
          </cell>
          <cell r="G80">
            <v>10</v>
          </cell>
          <cell r="H80" t="str">
            <v>cum</v>
          </cell>
          <cell r="I80">
            <v>215</v>
          </cell>
        </row>
        <row r="81">
          <cell r="B81">
            <v>412</v>
          </cell>
          <cell r="F81" t="str">
            <v>Hard Gravelly Soils SS 302 &amp; 303</v>
          </cell>
          <cell r="G81">
            <v>10</v>
          </cell>
          <cell r="H81" t="str">
            <v>cum</v>
          </cell>
          <cell r="I81">
            <v>250</v>
          </cell>
        </row>
        <row r="82">
          <cell r="B82">
            <v>413</v>
          </cell>
          <cell r="F82" t="str">
            <v>Hard Gravelly Soils SS 301</v>
          </cell>
          <cell r="G82">
            <v>10</v>
          </cell>
          <cell r="H82" t="str">
            <v>cum</v>
          </cell>
          <cell r="I82">
            <v>230</v>
          </cell>
        </row>
        <row r="83">
          <cell r="B83">
            <v>459</v>
          </cell>
          <cell r="C83">
            <v>35</v>
          </cell>
          <cell r="F83" t="str">
            <v>Vibrating Concrete</v>
          </cell>
          <cell r="G83">
            <v>1</v>
          </cell>
          <cell r="H83" t="str">
            <v>cum</v>
          </cell>
          <cell r="I83">
            <v>22.4</v>
          </cell>
        </row>
        <row r="84">
          <cell r="B84">
            <v>460</v>
          </cell>
          <cell r="C84">
            <v>36</v>
          </cell>
          <cell r="F84" t="str">
            <v>Machine mixing Concrete</v>
          </cell>
          <cell r="G84">
            <v>1</v>
          </cell>
          <cell r="H84" t="str">
            <v>cum</v>
          </cell>
          <cell r="I84">
            <v>21.8</v>
          </cell>
        </row>
        <row r="85">
          <cell r="B85">
            <v>461</v>
          </cell>
          <cell r="C85">
            <v>37</v>
          </cell>
          <cell r="F85" t="str">
            <v>Power for Mixer</v>
          </cell>
          <cell r="G85">
            <v>1</v>
          </cell>
          <cell r="H85" t="str">
            <v>cum</v>
          </cell>
          <cell r="I85">
            <v>14.5</v>
          </cell>
        </row>
        <row r="86">
          <cell r="B86">
            <v>495</v>
          </cell>
          <cell r="C86">
            <v>40</v>
          </cell>
          <cell r="D86" t="str">
            <v>a</v>
          </cell>
          <cell r="F86" t="str">
            <v>First Floor</v>
          </cell>
          <cell r="G86">
            <v>1</v>
          </cell>
          <cell r="H86" t="str">
            <v>cum</v>
          </cell>
          <cell r="I86">
            <v>22</v>
          </cell>
        </row>
        <row r="87">
          <cell r="B87">
            <v>496</v>
          </cell>
          <cell r="D87" t="str">
            <v>b</v>
          </cell>
          <cell r="F87" t="str">
            <v>Second Floor</v>
          </cell>
          <cell r="G87">
            <v>1</v>
          </cell>
          <cell r="H87" t="str">
            <v>cum</v>
          </cell>
          <cell r="I87">
            <v>27</v>
          </cell>
        </row>
        <row r="88">
          <cell r="B88">
            <v>497</v>
          </cell>
          <cell r="D88" t="str">
            <v>c</v>
          </cell>
          <cell r="F88" t="str">
            <v>Third Floor</v>
          </cell>
          <cell r="G88">
            <v>1</v>
          </cell>
          <cell r="H88" t="str">
            <v>cum</v>
          </cell>
          <cell r="I88">
            <v>37</v>
          </cell>
        </row>
        <row r="89">
          <cell r="B89">
            <v>498</v>
          </cell>
          <cell r="D89" t="str">
            <v>d</v>
          </cell>
          <cell r="F89" t="str">
            <v>Each Additional Floor</v>
          </cell>
          <cell r="G89">
            <v>1</v>
          </cell>
          <cell r="H89" t="str">
            <v>cum</v>
          </cell>
          <cell r="I89">
            <v>16</v>
          </cell>
        </row>
        <row r="90">
          <cell r="B90">
            <v>499</v>
          </cell>
          <cell r="D90" t="str">
            <v>a</v>
          </cell>
          <cell r="F90" t="str">
            <v>1st &amp; 2nd Floor</v>
          </cell>
          <cell r="G90">
            <v>10</v>
          </cell>
          <cell r="H90" t="str">
            <v>sqm</v>
          </cell>
          <cell r="I90">
            <v>25</v>
          </cell>
        </row>
        <row r="91">
          <cell r="B91">
            <v>500</v>
          </cell>
          <cell r="D91" t="str">
            <v>b</v>
          </cell>
          <cell r="F91" t="str">
            <v>2nd &amp; 3rd Floor</v>
          </cell>
          <cell r="G91">
            <v>10</v>
          </cell>
          <cell r="H91" t="str">
            <v>sqm</v>
          </cell>
          <cell r="I91">
            <v>50</v>
          </cell>
        </row>
        <row r="92">
          <cell r="B92">
            <v>501</v>
          </cell>
          <cell r="D92" t="str">
            <v>c</v>
          </cell>
          <cell r="F92" t="str">
            <v>3rd &amp; 4th Floor</v>
          </cell>
          <cell r="G92">
            <v>10</v>
          </cell>
          <cell r="H92" t="str">
            <v>sqm</v>
          </cell>
          <cell r="I92">
            <v>75</v>
          </cell>
        </row>
        <row r="93">
          <cell r="B93">
            <v>502</v>
          </cell>
          <cell r="D93" t="str">
            <v>d</v>
          </cell>
          <cell r="F93" t="str">
            <v>Each Additional Floor</v>
          </cell>
          <cell r="G93">
            <v>10</v>
          </cell>
          <cell r="H93" t="str">
            <v>sqm</v>
          </cell>
          <cell r="I93">
            <v>18</v>
          </cell>
        </row>
        <row r="94">
          <cell r="B94">
            <v>503</v>
          </cell>
          <cell r="D94" t="str">
            <v>a</v>
          </cell>
          <cell r="F94" t="str">
            <v>upto 150 mm depth</v>
          </cell>
          <cell r="G94">
            <v>10</v>
          </cell>
          <cell r="H94" t="str">
            <v>sqm</v>
          </cell>
          <cell r="I94">
            <v>525</v>
          </cell>
        </row>
        <row r="95">
          <cell r="B95">
            <v>504</v>
          </cell>
          <cell r="D95" t="str">
            <v>b</v>
          </cell>
          <cell r="F95" t="str">
            <v>above 150 mm depth and upto 300 mm depth</v>
          </cell>
          <cell r="G95">
            <v>10</v>
          </cell>
          <cell r="H95" t="str">
            <v>sqm</v>
          </cell>
          <cell r="I95">
            <v>850</v>
          </cell>
        </row>
        <row r="96">
          <cell r="B96">
            <v>510</v>
          </cell>
          <cell r="D96" t="str">
            <v>g</v>
          </cell>
          <cell r="E96" t="str">
            <v xml:space="preserve">i </v>
          </cell>
          <cell r="F96" t="str">
            <v>0.60 m width</v>
          </cell>
          <cell r="G96">
            <v>1</v>
          </cell>
          <cell r="H96" t="str">
            <v>rmt</v>
          </cell>
          <cell r="I96">
            <v>25</v>
          </cell>
        </row>
        <row r="97">
          <cell r="B97">
            <v>511</v>
          </cell>
          <cell r="D97" t="str">
            <v>g</v>
          </cell>
          <cell r="E97" t="str">
            <v>ii</v>
          </cell>
          <cell r="F97" t="str">
            <v>0.80 m width</v>
          </cell>
          <cell r="G97">
            <v>1</v>
          </cell>
          <cell r="H97" t="str">
            <v>rmt</v>
          </cell>
          <cell r="I97">
            <v>30</v>
          </cell>
        </row>
        <row r="98">
          <cell r="B98">
            <v>512</v>
          </cell>
          <cell r="D98" t="str">
            <v>g</v>
          </cell>
          <cell r="E98" t="str">
            <v>iii</v>
          </cell>
          <cell r="F98" t="str">
            <v>1.00 m width</v>
          </cell>
          <cell r="G98">
            <v>1</v>
          </cell>
          <cell r="H98" t="str">
            <v>rmt</v>
          </cell>
          <cell r="I98">
            <v>35</v>
          </cell>
        </row>
        <row r="99">
          <cell r="B99">
            <v>513</v>
          </cell>
          <cell r="D99" t="str">
            <v>h</v>
          </cell>
          <cell r="F99" t="str">
            <v>T.Beams</v>
          </cell>
          <cell r="G99">
            <v>1</v>
          </cell>
          <cell r="H99" t="str">
            <v>cum</v>
          </cell>
          <cell r="I99">
            <v>650</v>
          </cell>
        </row>
        <row r="100">
          <cell r="B100">
            <v>514</v>
          </cell>
          <cell r="F100" t="str">
            <v>Columns, Rectangular beams, L.Beams</v>
          </cell>
          <cell r="G100">
            <v>1</v>
          </cell>
          <cell r="H100" t="str">
            <v>cum</v>
          </cell>
          <cell r="I100">
            <v>550</v>
          </cell>
        </row>
        <row r="101">
          <cell r="B101">
            <v>515</v>
          </cell>
          <cell r="F101" t="str">
            <v>Templates, Bed blocks,Footings</v>
          </cell>
          <cell r="G101">
            <v>1</v>
          </cell>
          <cell r="H101" t="str">
            <v>cum</v>
          </cell>
          <cell r="I101">
            <v>330</v>
          </cell>
        </row>
        <row r="102">
          <cell r="B102">
            <v>518</v>
          </cell>
          <cell r="F102" t="str">
            <v>Lintels, Plinth Beams</v>
          </cell>
          <cell r="G102">
            <v>1</v>
          </cell>
          <cell r="H102" t="str">
            <v>cum</v>
          </cell>
          <cell r="I102">
            <v>450</v>
          </cell>
        </row>
        <row r="103">
          <cell r="B103">
            <v>519</v>
          </cell>
          <cell r="F103" t="str">
            <v>Slabs above 300 mm depth</v>
          </cell>
          <cell r="G103">
            <v>1</v>
          </cell>
          <cell r="H103" t="str">
            <v>cum</v>
          </cell>
          <cell r="I103">
            <v>520</v>
          </cell>
        </row>
        <row r="104">
          <cell r="B104">
            <v>521</v>
          </cell>
          <cell r="D104" t="str">
            <v>a</v>
          </cell>
          <cell r="F104" t="str">
            <v>For mass concrete Piers, Abutments and steining well curb well caps etc.,</v>
          </cell>
          <cell r="G104">
            <v>1</v>
          </cell>
          <cell r="H104" t="str">
            <v>cum</v>
          </cell>
          <cell r="I104">
            <v>380</v>
          </cell>
        </row>
        <row r="105">
          <cell r="B105">
            <v>522</v>
          </cell>
          <cell r="F105" t="str">
            <v>For RCC Piers, Abutments, Wings, Well steining weel curbs, well Caps etc.,</v>
          </cell>
          <cell r="G105">
            <v>1</v>
          </cell>
          <cell r="H105" t="str">
            <v>cum</v>
          </cell>
          <cell r="I105">
            <v>500</v>
          </cell>
        </row>
        <row r="106">
          <cell r="B106">
            <v>523</v>
          </cell>
          <cell r="F106" t="str">
            <v>For RCC Deck Slabs</v>
          </cell>
          <cell r="G106">
            <v>1</v>
          </cell>
          <cell r="H106" t="str">
            <v>cum</v>
          </cell>
          <cell r="I106">
            <v>950</v>
          </cell>
        </row>
        <row r="107">
          <cell r="B107">
            <v>524</v>
          </cell>
          <cell r="F107" t="str">
            <v>For RCC beams</v>
          </cell>
          <cell r="G107">
            <v>1</v>
          </cell>
          <cell r="H107" t="str">
            <v>cum</v>
          </cell>
          <cell r="I107">
            <v>1150</v>
          </cell>
        </row>
        <row r="108">
          <cell r="B108">
            <v>525</v>
          </cell>
          <cell r="F108" t="str">
            <v>RCC hand rails</v>
          </cell>
          <cell r="G108">
            <v>1</v>
          </cell>
          <cell r="H108" t="str">
            <v>cum</v>
          </cell>
          <cell r="I108">
            <v>1250</v>
          </cell>
        </row>
        <row r="109">
          <cell r="B109">
            <v>526</v>
          </cell>
          <cell r="F109" t="str">
            <v>CC pavements, Wearing Coats, approach slabs guide stone JM stone etc.</v>
          </cell>
          <cell r="G109">
            <v>1</v>
          </cell>
          <cell r="H109" t="str">
            <v>cum</v>
          </cell>
          <cell r="I109">
            <v>95</v>
          </cell>
        </row>
        <row r="110">
          <cell r="B110">
            <v>555</v>
          </cell>
          <cell r="D110" t="str">
            <v>a</v>
          </cell>
          <cell r="F110" t="str">
            <v>250 mm dia</v>
          </cell>
          <cell r="G110">
            <v>1</v>
          </cell>
          <cell r="H110" t="str">
            <v>rmt</v>
          </cell>
          <cell r="I110">
            <v>8</v>
          </cell>
        </row>
        <row r="111">
          <cell r="B111">
            <v>556</v>
          </cell>
          <cell r="D111" t="str">
            <v>b</v>
          </cell>
          <cell r="F111" t="str">
            <v>300 mm dia</v>
          </cell>
          <cell r="G111">
            <v>1</v>
          </cell>
          <cell r="H111" t="str">
            <v>rmt</v>
          </cell>
          <cell r="I111">
            <v>11</v>
          </cell>
        </row>
        <row r="112">
          <cell r="B112">
            <v>557</v>
          </cell>
          <cell r="D112" t="str">
            <v>c</v>
          </cell>
          <cell r="F112" t="str">
            <v>450 mm dia</v>
          </cell>
          <cell r="G112">
            <v>1</v>
          </cell>
          <cell r="H112" t="str">
            <v>rmt</v>
          </cell>
          <cell r="I112">
            <v>15</v>
          </cell>
        </row>
        <row r="113">
          <cell r="B113">
            <v>558</v>
          </cell>
          <cell r="D113" t="str">
            <v>d</v>
          </cell>
          <cell r="F113" t="str">
            <v>600 mm dia</v>
          </cell>
          <cell r="G113">
            <v>1</v>
          </cell>
          <cell r="H113" t="str">
            <v>rmt</v>
          </cell>
          <cell r="I113">
            <v>25</v>
          </cell>
        </row>
        <row r="114">
          <cell r="B114">
            <v>559</v>
          </cell>
          <cell r="D114" t="str">
            <v>e</v>
          </cell>
          <cell r="F114" t="str">
            <v>750 mm dia</v>
          </cell>
          <cell r="G114">
            <v>1</v>
          </cell>
          <cell r="H114" t="str">
            <v>rmt</v>
          </cell>
          <cell r="I114">
            <v>30</v>
          </cell>
        </row>
        <row r="115">
          <cell r="B115">
            <v>560</v>
          </cell>
          <cell r="D115" t="str">
            <v>f</v>
          </cell>
          <cell r="F115" t="str">
            <v>800 mm dia</v>
          </cell>
          <cell r="G115">
            <v>1</v>
          </cell>
          <cell r="H115" t="str">
            <v>rmt</v>
          </cell>
          <cell r="I115">
            <v>35</v>
          </cell>
        </row>
        <row r="116">
          <cell r="B116">
            <v>561</v>
          </cell>
          <cell r="D116" t="str">
            <v>g</v>
          </cell>
          <cell r="F116" t="str">
            <v>1000 mm dia</v>
          </cell>
          <cell r="G116">
            <v>1</v>
          </cell>
          <cell r="H116" t="str">
            <v>rmt</v>
          </cell>
          <cell r="I116">
            <v>40</v>
          </cell>
        </row>
        <row r="117">
          <cell r="B117">
            <v>562</v>
          </cell>
          <cell r="D117" t="str">
            <v>h</v>
          </cell>
          <cell r="F117" t="str">
            <v>1220 mm dia</v>
          </cell>
          <cell r="G117">
            <v>1</v>
          </cell>
          <cell r="H117" t="str">
            <v>rmt</v>
          </cell>
          <cell r="I117">
            <v>50</v>
          </cell>
        </row>
        <row r="118">
          <cell r="B118">
            <v>563</v>
          </cell>
          <cell r="D118" t="str">
            <v>a</v>
          </cell>
          <cell r="F118" t="str">
            <v>40 mm</v>
          </cell>
          <cell r="G118">
            <v>1</v>
          </cell>
          <cell r="H118" t="str">
            <v>sqm</v>
          </cell>
          <cell r="I118">
            <v>29</v>
          </cell>
        </row>
        <row r="119">
          <cell r="B119">
            <v>564</v>
          </cell>
          <cell r="D119" t="str">
            <v>b</v>
          </cell>
          <cell r="F119" t="str">
            <v>50 mm</v>
          </cell>
          <cell r="G119">
            <v>1</v>
          </cell>
          <cell r="H119" t="str">
            <v>sqm</v>
          </cell>
          <cell r="I119">
            <v>31</v>
          </cell>
        </row>
        <row r="120">
          <cell r="B120">
            <v>565</v>
          </cell>
          <cell r="D120" t="str">
            <v>c</v>
          </cell>
          <cell r="F120" t="str">
            <v>75 mm</v>
          </cell>
          <cell r="G120">
            <v>1</v>
          </cell>
          <cell r="H120" t="str">
            <v>sqm</v>
          </cell>
          <cell r="I120">
            <v>34</v>
          </cell>
        </row>
        <row r="121">
          <cell r="B121">
            <v>566</v>
          </cell>
          <cell r="D121" t="str">
            <v>d</v>
          </cell>
          <cell r="F121" t="str">
            <v>100 mm</v>
          </cell>
          <cell r="G121">
            <v>1</v>
          </cell>
          <cell r="H121" t="str">
            <v>sqm</v>
          </cell>
          <cell r="I121">
            <v>36</v>
          </cell>
        </row>
        <row r="122">
          <cell r="B122">
            <v>570</v>
          </cell>
          <cell r="C122">
            <v>52</v>
          </cell>
          <cell r="F122" t="str">
            <v>Picking 50mm to 100mm old metalled surface and sectioning</v>
          </cell>
          <cell r="G122">
            <v>10</v>
          </cell>
          <cell r="H122" t="str">
            <v>sqm</v>
          </cell>
          <cell r="I122">
            <v>10</v>
          </cell>
        </row>
        <row r="123">
          <cell r="B123">
            <v>571</v>
          </cell>
          <cell r="C123">
            <v>53</v>
          </cell>
          <cell r="F123" t="str">
            <v>Picking gravelled surface 25mm deep and levelling and sectioning</v>
          </cell>
          <cell r="G123">
            <v>10</v>
          </cell>
          <cell r="H123" t="str">
            <v>sqm</v>
          </cell>
          <cell r="I123">
            <v>2.5</v>
          </cell>
        </row>
        <row r="124">
          <cell r="B124">
            <v>572</v>
          </cell>
          <cell r="C124">
            <v>54</v>
          </cell>
          <cell r="F124" t="str">
            <v>Picking existing BT survace and removal of chips</v>
          </cell>
          <cell r="G124">
            <v>10</v>
          </cell>
          <cell r="H124" t="str">
            <v>sqm</v>
          </cell>
          <cell r="I124">
            <v>9.5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90.xml><?xml version="1.0" encoding="utf-8"?>
<externalLink xmlns="http://schemas.openxmlformats.org/spreadsheetml/2006/main">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leads"/>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1.xml><?xml version="1.0" encoding="utf-8"?>
<externalLink xmlns="http://schemas.openxmlformats.org/spreadsheetml/2006/main">
  <externalBook xmlns:r="http://schemas.openxmlformats.org/officeDocument/2006/relationships" r:id="rId1">
    <sheetNames>
      <sheetName val="Plant &amp;  Machinery"/>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other rates"/>
      <sheetName val="leads"/>
      <sheetName val="RAFT"/>
      <sheetName val="maya"/>
    </sheetNames>
    <sheetDataSet>
      <sheetData sheetId="0" refreshError="1">
        <row r="4">
          <cell r="G4">
            <v>196</v>
          </cell>
        </row>
        <row r="48">
          <cell r="G48">
            <v>223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92.xml><?xml version="1.0" encoding="utf-8"?>
<externalLink xmlns="http://schemas.openxmlformats.org/spreadsheetml/2006/main">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48">
          <cell r="G48">
            <v>223</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93.xml><?xml version="1.0" encoding="utf-8"?>
<externalLink xmlns="http://schemas.openxmlformats.org/spreadsheetml/2006/main">
  <externalBook xmlns:r="http://schemas.openxmlformats.org/officeDocument/2006/relationships" r:id="rId1">
    <sheetNames>
      <sheetName val="Labour"/>
      <sheetName val="Material"/>
      <sheetName val="Plant &amp;  Machinery"/>
      <sheetName val="One vent Pipe"/>
      <sheetName val="Four vents"/>
      <sheetName val="two vents"/>
      <sheetName val="data"/>
      <sheetName val="Lead"/>
      <sheetName val="Designs"/>
      <sheetName val="3Vents"/>
      <sheetName val="Abut"/>
      <sheetName val="Pier"/>
      <sheetName val="Speci"/>
      <sheetName val="One vent "/>
      <sheetName val="Sheet1"/>
      <sheetName val="Contents"/>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2"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94.xml><?xml version="1.0" encoding="utf-8"?>
<externalLink xmlns="http://schemas.openxmlformats.org/spreadsheetml/2006/main">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95.xml><?xml version="1.0" encoding="utf-8"?>
<externalLink xmlns="http://schemas.openxmlformats.org/spreadsheetml/2006/main">
  <externalBook xmlns:r="http://schemas.openxmlformats.org/officeDocument/2006/relationships" r:id="rId1">
    <sheetNames>
      <sheetName val="Labour"/>
      <sheetName val="Material"/>
      <sheetName val="Sheet1"/>
      <sheetName val="Contents"/>
      <sheetName val="Plant &amp;  Machinery"/>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s>
    <sheetDataSet>
      <sheetData sheetId="0">
        <row r="6">
          <cell r="D6">
            <v>156</v>
          </cell>
        </row>
        <row r="11">
          <cell r="D11">
            <v>156</v>
          </cell>
        </row>
      </sheetData>
      <sheetData sheetId="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96.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s>
    <sheetDataSet>
      <sheetData sheetId="0"/>
      <sheetData sheetId="1"/>
      <sheetData sheetId="2"/>
      <sheetData sheetId="3">
        <row r="6">
          <cell r="D6">
            <v>156</v>
          </cell>
        </row>
        <row r="11">
          <cell r="D11">
            <v>156</v>
          </cell>
        </row>
      </sheetData>
      <sheetData sheetId="4">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97.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s>
    <sheetDataSet>
      <sheetData sheetId="0" refreshError="1"/>
      <sheetData sheetId="1" refreshError="1"/>
      <sheetData sheetId="2" refreshError="1">
        <row r="22">
          <cell r="G22" t="str">
            <v>Input Rate</v>
          </cell>
        </row>
        <row r="29">
          <cell r="G29" t="str">
            <v>Input Rate</v>
          </cell>
        </row>
        <row r="46">
          <cell r="G46">
            <v>234</v>
          </cell>
        </row>
        <row r="47">
          <cell r="G47">
            <v>252</v>
          </cell>
        </row>
        <row r="49">
          <cell r="G49">
            <v>11</v>
          </cell>
        </row>
        <row r="54">
          <cell r="G54">
            <v>777</v>
          </cell>
        </row>
      </sheetData>
      <sheetData sheetId="3" refreshError="1">
        <row r="7">
          <cell r="D7">
            <v>150</v>
          </cell>
        </row>
        <row r="9">
          <cell r="D9">
            <v>131</v>
          </cell>
        </row>
        <row r="10">
          <cell r="D10">
            <v>150</v>
          </cell>
        </row>
        <row r="20">
          <cell r="D20">
            <v>150</v>
          </cell>
        </row>
        <row r="23">
          <cell r="D23">
            <v>131</v>
          </cell>
        </row>
      </sheetData>
      <sheetData sheetId="4" refreshError="1">
        <row r="5">
          <cell r="D5" t="str">
            <v>Input Rate</v>
          </cell>
        </row>
        <row r="6">
          <cell r="D6" t="str">
            <v>Input Rate</v>
          </cell>
        </row>
        <row r="7">
          <cell r="D7" t="str">
            <v>Input Rate</v>
          </cell>
        </row>
        <row r="8">
          <cell r="D8" t="str">
            <v>Input Rate</v>
          </cell>
        </row>
        <row r="9">
          <cell r="D9" t="str">
            <v>Input Rate</v>
          </cell>
        </row>
        <row r="10">
          <cell r="D10" t="str">
            <v>Input Rate</v>
          </cell>
        </row>
        <row r="11">
          <cell r="D11" t="str">
            <v>Input Rate</v>
          </cell>
        </row>
        <row r="12">
          <cell r="D12" t="str">
            <v>Input Rate</v>
          </cell>
        </row>
        <row r="13">
          <cell r="D13" t="str">
            <v>Input Rate</v>
          </cell>
        </row>
        <row r="20">
          <cell r="D20" t="str">
            <v>Input Rate</v>
          </cell>
        </row>
        <row r="21">
          <cell r="D21" t="str">
            <v>Input Rate</v>
          </cell>
        </row>
        <row r="22">
          <cell r="D22" t="str">
            <v>Input Rate</v>
          </cell>
        </row>
        <row r="23">
          <cell r="D23" t="str">
            <v>Input Rate</v>
          </cell>
        </row>
        <row r="24">
          <cell r="D24">
            <v>411.41</v>
          </cell>
        </row>
        <row r="25">
          <cell r="D25">
            <v>519.51</v>
          </cell>
        </row>
        <row r="26">
          <cell r="D26" t="str">
            <v>Input Rate</v>
          </cell>
        </row>
        <row r="27">
          <cell r="D27" t="str">
            <v>Input Rate</v>
          </cell>
        </row>
        <row r="28">
          <cell r="D28">
            <v>167</v>
          </cell>
        </row>
        <row r="29">
          <cell r="D29" t="str">
            <v>Input Rate</v>
          </cell>
        </row>
        <row r="30">
          <cell r="D30" t="str">
            <v>Input Rate</v>
          </cell>
        </row>
        <row r="31">
          <cell r="D31" t="str">
            <v>Input Rate</v>
          </cell>
        </row>
        <row r="32">
          <cell r="D32" t="str">
            <v>Input Rate</v>
          </cell>
        </row>
        <row r="33">
          <cell r="D33" t="str">
            <v>Input Rate</v>
          </cell>
        </row>
        <row r="34">
          <cell r="D34" t="str">
            <v>Input Rate</v>
          </cell>
        </row>
        <row r="35">
          <cell r="D35" t="str">
            <v>Input Rate</v>
          </cell>
        </row>
        <row r="36">
          <cell r="D36">
            <v>22</v>
          </cell>
        </row>
        <row r="37">
          <cell r="D37">
            <v>38.5</v>
          </cell>
        </row>
        <row r="52">
          <cell r="D52">
            <v>65</v>
          </cell>
        </row>
        <row r="59">
          <cell r="D59" t="str">
            <v>Input Rate</v>
          </cell>
        </row>
        <row r="62">
          <cell r="D62" t="str">
            <v>Input Rate</v>
          </cell>
        </row>
        <row r="63">
          <cell r="D63" t="str">
            <v>Input Rate</v>
          </cell>
        </row>
        <row r="72">
          <cell r="D72" t="str">
            <v>Input Rate</v>
          </cell>
        </row>
        <row r="75">
          <cell r="D75" t="str">
            <v>Input Rate</v>
          </cell>
        </row>
        <row r="77">
          <cell r="D77" t="str">
            <v>Input Rate</v>
          </cell>
        </row>
        <row r="78">
          <cell r="D78">
            <v>110</v>
          </cell>
        </row>
        <row r="80">
          <cell r="D80">
            <v>261.2</v>
          </cell>
        </row>
        <row r="83">
          <cell r="D83" t="str">
            <v>Input Rate</v>
          </cell>
        </row>
        <row r="85">
          <cell r="D85" t="str">
            <v>Input Rate</v>
          </cell>
        </row>
        <row r="86">
          <cell r="D86" t="str">
            <v>Input Rate</v>
          </cell>
        </row>
        <row r="87">
          <cell r="D87" t="str">
            <v>Input Rate</v>
          </cell>
        </row>
        <row r="90">
          <cell r="D90" t="str">
            <v>Input Rate</v>
          </cell>
        </row>
        <row r="94">
          <cell r="D94" t="str">
            <v>Input Rate</v>
          </cell>
        </row>
        <row r="99">
          <cell r="D99" t="str">
            <v>Input Rate</v>
          </cell>
        </row>
        <row r="100">
          <cell r="D100" t="str">
            <v>Input Rate</v>
          </cell>
        </row>
        <row r="103">
          <cell r="D103">
            <v>27500</v>
          </cell>
        </row>
        <row r="104">
          <cell r="D104" t="str">
            <v>Input Rate</v>
          </cell>
        </row>
        <row r="105">
          <cell r="D105" t="str">
            <v>Input Rate</v>
          </cell>
        </row>
        <row r="106">
          <cell r="D106" t="str">
            <v>Input Rate</v>
          </cell>
        </row>
        <row r="107">
          <cell r="D107">
            <v>34500</v>
          </cell>
        </row>
        <row r="108">
          <cell r="D108">
            <v>125</v>
          </cell>
        </row>
        <row r="123">
          <cell r="D123">
            <v>65</v>
          </cell>
        </row>
        <row r="124">
          <cell r="D124" t="str">
            <v>Input Rate</v>
          </cell>
        </row>
        <row r="127">
          <cell r="D127" t="str">
            <v>Input Rate</v>
          </cell>
        </row>
        <row r="139">
          <cell r="D139" t="str">
            <v>Input Rate</v>
          </cell>
        </row>
        <row r="140">
          <cell r="D140">
            <v>692.85</v>
          </cell>
        </row>
        <row r="142">
          <cell r="D142">
            <v>615.35</v>
          </cell>
        </row>
        <row r="143">
          <cell r="D143">
            <v>615.35</v>
          </cell>
        </row>
        <row r="145">
          <cell r="D145" t="str">
            <v>Input Rate</v>
          </cell>
        </row>
        <row r="147">
          <cell r="D147" t="str">
            <v>Input Rate</v>
          </cell>
        </row>
        <row r="148">
          <cell r="D148" t="str">
            <v>Input Rate</v>
          </cell>
        </row>
        <row r="149">
          <cell r="D149" t="str">
            <v>Input Rate</v>
          </cell>
        </row>
        <row r="150">
          <cell r="D150" t="str">
            <v>Input Rate</v>
          </cell>
        </row>
        <row r="151">
          <cell r="D151" t="str">
            <v>Input Rate</v>
          </cell>
        </row>
        <row r="152">
          <cell r="D152" t="str">
            <v>Input Rate</v>
          </cell>
        </row>
        <row r="153">
          <cell r="D153" t="str">
            <v>Input Rate</v>
          </cell>
        </row>
        <row r="154">
          <cell r="D154">
            <v>261.2</v>
          </cell>
        </row>
        <row r="155">
          <cell r="D155">
            <v>548.20000000000005</v>
          </cell>
        </row>
        <row r="156">
          <cell r="D156">
            <v>364.21</v>
          </cell>
        </row>
        <row r="157">
          <cell r="D157" t="str">
            <v>Input Rate</v>
          </cell>
        </row>
        <row r="158">
          <cell r="D158" t="str">
            <v>Input Rate</v>
          </cell>
        </row>
        <row r="159">
          <cell r="D159" t="str">
            <v>Input Rate</v>
          </cell>
        </row>
        <row r="160">
          <cell r="D160" t="str">
            <v>Input Rate</v>
          </cell>
        </row>
        <row r="161">
          <cell r="D161" t="str">
            <v>Input Rate</v>
          </cell>
        </row>
        <row r="162">
          <cell r="D162"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98.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22">
          <cell r="G22" t="str">
            <v>Input Rate</v>
          </cell>
        </row>
        <row r="29">
          <cell r="G29" t="str">
            <v>Input Rate</v>
          </cell>
        </row>
        <row r="46">
          <cell r="G46">
            <v>234</v>
          </cell>
        </row>
        <row r="47">
          <cell r="G47">
            <v>252</v>
          </cell>
        </row>
        <row r="49">
          <cell r="G49">
            <v>11</v>
          </cell>
        </row>
        <row r="54">
          <cell r="G54">
            <v>777</v>
          </cell>
        </row>
      </sheetData>
      <sheetData sheetId="3" refreshError="1">
        <row r="7">
          <cell r="D7">
            <v>150</v>
          </cell>
        </row>
        <row r="9">
          <cell r="D9">
            <v>131</v>
          </cell>
        </row>
        <row r="10">
          <cell r="D10">
            <v>150</v>
          </cell>
        </row>
        <row r="20">
          <cell r="D20">
            <v>150</v>
          </cell>
        </row>
        <row r="21">
          <cell r="D21">
            <v>150</v>
          </cell>
        </row>
        <row r="23">
          <cell r="D23">
            <v>131</v>
          </cell>
        </row>
      </sheetData>
      <sheetData sheetId="4" refreshError="1">
        <row r="5">
          <cell r="D5" t="str">
            <v>Input Rate</v>
          </cell>
        </row>
        <row r="6">
          <cell r="D6" t="str">
            <v>Input Rate</v>
          </cell>
        </row>
        <row r="7">
          <cell r="D7" t="str">
            <v>Input Rate</v>
          </cell>
        </row>
        <row r="8">
          <cell r="D8" t="str">
            <v>Input Rate</v>
          </cell>
        </row>
        <row r="9">
          <cell r="D9" t="str">
            <v>Input Rate</v>
          </cell>
        </row>
        <row r="10">
          <cell r="D10" t="str">
            <v>Input Rate</v>
          </cell>
        </row>
        <row r="11">
          <cell r="D11" t="str">
            <v>Input Rate</v>
          </cell>
        </row>
        <row r="12">
          <cell r="D12" t="str">
            <v>Input Rate</v>
          </cell>
        </row>
        <row r="13">
          <cell r="D13" t="str">
            <v>Input Rate</v>
          </cell>
        </row>
        <row r="20">
          <cell r="D20" t="str">
            <v>Input Rate</v>
          </cell>
        </row>
        <row r="21">
          <cell r="D21" t="str">
            <v>Input Rate</v>
          </cell>
        </row>
        <row r="22">
          <cell r="D22" t="str">
            <v>Input Rate</v>
          </cell>
        </row>
        <row r="23">
          <cell r="D23" t="str">
            <v>Input Rate</v>
          </cell>
        </row>
        <row r="24">
          <cell r="D24">
            <v>411.41</v>
          </cell>
        </row>
        <row r="25">
          <cell r="D25">
            <v>519.51</v>
          </cell>
        </row>
        <row r="26">
          <cell r="D26" t="str">
            <v>Input Rate</v>
          </cell>
        </row>
        <row r="27">
          <cell r="D27" t="str">
            <v>Input Rate</v>
          </cell>
        </row>
        <row r="28">
          <cell r="D28">
            <v>167</v>
          </cell>
        </row>
        <row r="29">
          <cell r="D29" t="str">
            <v>Input Rate</v>
          </cell>
        </row>
        <row r="30">
          <cell r="D30" t="str">
            <v>Input Rate</v>
          </cell>
        </row>
        <row r="31">
          <cell r="D31" t="str">
            <v>Input Rate</v>
          </cell>
        </row>
        <row r="32">
          <cell r="D32" t="str">
            <v>Input Rate</v>
          </cell>
        </row>
        <row r="33">
          <cell r="D33" t="str">
            <v>Input Rate</v>
          </cell>
        </row>
        <row r="34">
          <cell r="D34" t="str">
            <v>Input Rate</v>
          </cell>
        </row>
        <row r="35">
          <cell r="D35" t="str">
            <v>Input Rate</v>
          </cell>
        </row>
        <row r="36">
          <cell r="D36">
            <v>22</v>
          </cell>
        </row>
        <row r="37">
          <cell r="D37">
            <v>38.5</v>
          </cell>
        </row>
        <row r="52">
          <cell r="D52">
            <v>65</v>
          </cell>
        </row>
        <row r="59">
          <cell r="D59" t="str">
            <v>Input Rate</v>
          </cell>
        </row>
        <row r="62">
          <cell r="D62" t="str">
            <v>Input Rate</v>
          </cell>
        </row>
        <row r="63">
          <cell r="D63" t="str">
            <v>Input Rate</v>
          </cell>
        </row>
        <row r="72">
          <cell r="D72" t="str">
            <v>Input Rate</v>
          </cell>
        </row>
        <row r="75">
          <cell r="D75" t="str">
            <v>Input Rate</v>
          </cell>
        </row>
        <row r="77">
          <cell r="D77" t="str">
            <v>Input Rate</v>
          </cell>
        </row>
        <row r="78">
          <cell r="D78">
            <v>110</v>
          </cell>
        </row>
        <row r="80">
          <cell r="D80">
            <v>261.2</v>
          </cell>
        </row>
        <row r="83">
          <cell r="D83" t="str">
            <v>Input Rate</v>
          </cell>
        </row>
        <row r="85">
          <cell r="D85" t="str">
            <v>Input Rate</v>
          </cell>
        </row>
        <row r="86">
          <cell r="D86" t="str">
            <v>Input Rate</v>
          </cell>
        </row>
        <row r="87">
          <cell r="D87" t="str">
            <v>Input Rate</v>
          </cell>
        </row>
        <row r="90">
          <cell r="D90" t="str">
            <v>Input Rate</v>
          </cell>
        </row>
        <row r="94">
          <cell r="D94" t="str">
            <v>Input Rate</v>
          </cell>
        </row>
        <row r="99">
          <cell r="D99" t="str">
            <v>Input Rate</v>
          </cell>
        </row>
        <row r="100">
          <cell r="D100" t="str">
            <v>Input Rate</v>
          </cell>
        </row>
        <row r="103">
          <cell r="D103">
            <v>27500</v>
          </cell>
        </row>
        <row r="104">
          <cell r="D104" t="str">
            <v>Input Rate</v>
          </cell>
        </row>
        <row r="105">
          <cell r="D105" t="str">
            <v>Input Rate</v>
          </cell>
        </row>
        <row r="106">
          <cell r="D106" t="str">
            <v>Input Rate</v>
          </cell>
        </row>
        <row r="107">
          <cell r="D107">
            <v>34500</v>
          </cell>
        </row>
        <row r="108">
          <cell r="D108">
            <v>125</v>
          </cell>
        </row>
        <row r="123">
          <cell r="D123">
            <v>65</v>
          </cell>
        </row>
        <row r="124">
          <cell r="D124" t="str">
            <v>Input Rate</v>
          </cell>
        </row>
        <row r="127">
          <cell r="D127" t="str">
            <v>Input Rate</v>
          </cell>
        </row>
        <row r="139">
          <cell r="D139" t="str">
            <v>Input Rate</v>
          </cell>
        </row>
        <row r="140">
          <cell r="D140">
            <v>692.85</v>
          </cell>
        </row>
        <row r="142">
          <cell r="D142">
            <v>615.35</v>
          </cell>
        </row>
        <row r="143">
          <cell r="D143">
            <v>615.35</v>
          </cell>
        </row>
        <row r="145">
          <cell r="D145" t="str">
            <v>Input Rate</v>
          </cell>
        </row>
        <row r="147">
          <cell r="D147" t="str">
            <v>Input Rate</v>
          </cell>
        </row>
        <row r="148">
          <cell r="D148" t="str">
            <v>Input Rate</v>
          </cell>
        </row>
        <row r="149">
          <cell r="D149" t="str">
            <v>Input Rate</v>
          </cell>
        </row>
        <row r="150">
          <cell r="D150" t="str">
            <v>Input Rate</v>
          </cell>
        </row>
        <row r="151">
          <cell r="D151" t="str">
            <v>Input Rate</v>
          </cell>
        </row>
        <row r="152">
          <cell r="D152" t="str">
            <v>Input Rate</v>
          </cell>
        </row>
        <row r="153">
          <cell r="D153" t="str">
            <v>Input Rate</v>
          </cell>
        </row>
        <row r="154">
          <cell r="D154">
            <v>261.2</v>
          </cell>
        </row>
        <row r="155">
          <cell r="D155">
            <v>548.20000000000005</v>
          </cell>
        </row>
        <row r="156">
          <cell r="D156">
            <v>364.21</v>
          </cell>
        </row>
        <row r="157">
          <cell r="D157" t="str">
            <v>Input Rate</v>
          </cell>
        </row>
        <row r="158">
          <cell r="D158" t="str">
            <v>Input Rate</v>
          </cell>
        </row>
        <row r="159">
          <cell r="D159" t="str">
            <v>Input Rate</v>
          </cell>
        </row>
        <row r="160">
          <cell r="D160" t="str">
            <v>Input Rate</v>
          </cell>
        </row>
        <row r="161">
          <cell r="D161" t="str">
            <v>Input Rate</v>
          </cell>
        </row>
        <row r="162">
          <cell r="D162"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99.xml><?xml version="1.0" encoding="utf-8"?>
<externalLink xmlns="http://schemas.openxmlformats.org/spreadsheetml/2006/main">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sheetData sheetId="1"/>
      <sheetData sheetId="2" refreshError="1">
        <row r="50">
          <cell r="G50" t="str">
            <v>Input Rate</v>
          </cell>
        </row>
      </sheetData>
      <sheetData sheetId="3" refreshError="1">
        <row r="13">
          <cell r="D13" t="str">
            <v>Input Rate</v>
          </cell>
        </row>
      </sheetData>
      <sheetData sheetId="4" refreshError="1">
        <row r="53">
          <cell r="D53" t="str">
            <v>Input Rate</v>
          </cell>
        </row>
        <row r="55">
          <cell r="D55" t="str">
            <v>Input Rate</v>
          </cell>
        </row>
        <row r="56">
          <cell r="D56" t="str">
            <v>Input Rate</v>
          </cell>
        </row>
        <row r="58">
          <cell r="D58" t="str">
            <v>Input Rate</v>
          </cell>
        </row>
        <row r="81">
          <cell r="D81" t="str">
            <v>Input Rate</v>
          </cell>
        </row>
        <row r="84">
          <cell r="D84" t="str">
            <v>Input Rate</v>
          </cell>
        </row>
        <row r="128">
          <cell r="D128"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Sundries@0.5%25" TargetMode="External"/><Relationship Id="rId1" Type="http://schemas.openxmlformats.org/officeDocument/2006/relationships/hyperlink" Target="mailto:Sundries@0.5%25"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sheetPr>
    <tabColor rgb="FFFF0000"/>
  </sheetPr>
  <dimension ref="B2:Q36"/>
  <sheetViews>
    <sheetView view="pageBreakPreview" topLeftCell="A21" zoomScaleSheetLayoutView="100" workbookViewId="0">
      <selection activeCell="H39" sqref="H39"/>
    </sheetView>
  </sheetViews>
  <sheetFormatPr defaultColWidth="9.1796875" defaultRowHeight="13"/>
  <cols>
    <col min="1" max="1" width="3.1796875" style="1503" customWidth="1"/>
    <col min="2" max="2" width="5.453125" style="1503" customWidth="1"/>
    <col min="3" max="3" width="7.453125" style="1503" customWidth="1"/>
    <col min="4" max="4" width="13.453125" style="1503" customWidth="1"/>
    <col min="5" max="5" width="3.7265625" style="1503" customWidth="1"/>
    <col min="6" max="6" width="4.54296875" style="1503" customWidth="1"/>
    <col min="7" max="7" width="8.7265625" style="1503" customWidth="1"/>
    <col min="8" max="8" width="34.453125" style="1503" customWidth="1"/>
    <col min="9" max="9" width="6.81640625" style="1503" customWidth="1"/>
    <col min="10" max="11" width="0" style="1503" hidden="1" customWidth="1"/>
    <col min="12" max="12" width="1.1796875" style="1503" customWidth="1"/>
    <col min="13" max="16384" width="9.1796875" style="1503"/>
  </cols>
  <sheetData>
    <row r="2" spans="2:9" ht="17.5">
      <c r="B2" s="1502"/>
      <c r="C2" s="1502"/>
      <c r="D2" s="1502"/>
      <c r="E2" s="1502"/>
      <c r="F2" s="1502"/>
      <c r="G2" s="1502"/>
      <c r="H2" s="1502"/>
      <c r="I2" s="1502"/>
    </row>
    <row r="3" spans="2:9" ht="17.5">
      <c r="B3" s="1502"/>
      <c r="C3" s="1502"/>
      <c r="D3" s="1502"/>
      <c r="E3" s="1502"/>
      <c r="F3" s="1502"/>
      <c r="G3" s="1502"/>
      <c r="H3" s="1502"/>
      <c r="I3" s="1502"/>
    </row>
    <row r="4" spans="2:9" ht="17.5">
      <c r="B4" s="1502"/>
      <c r="C4" s="1502"/>
      <c r="D4" s="1502"/>
      <c r="E4" s="1502"/>
      <c r="F4" s="1502"/>
      <c r="G4" s="1502"/>
      <c r="H4" s="1502"/>
      <c r="I4" s="1502"/>
    </row>
    <row r="5" spans="2:9" ht="17.5">
      <c r="B5" s="1502"/>
      <c r="C5" s="1502"/>
      <c r="D5" s="1502"/>
      <c r="E5" s="1502"/>
      <c r="F5" s="1502"/>
      <c r="G5" s="1502"/>
      <c r="H5" s="1502"/>
      <c r="I5" s="1502"/>
    </row>
    <row r="6" spans="2:9" ht="15" customHeight="1">
      <c r="B6" s="1502"/>
      <c r="C6" s="1502"/>
      <c r="D6" s="1502"/>
      <c r="E6" s="1502"/>
      <c r="F6" s="1502"/>
      <c r="G6" s="1502"/>
      <c r="H6" s="1502"/>
      <c r="I6" s="1502"/>
    </row>
    <row r="7" spans="2:9" ht="17.5">
      <c r="B7" s="1502"/>
      <c r="C7" s="1502"/>
      <c r="D7" s="1502"/>
      <c r="E7" s="1502"/>
      <c r="F7" s="1502"/>
      <c r="G7" s="1502"/>
      <c r="H7" s="1502"/>
      <c r="I7" s="1502"/>
    </row>
    <row r="8" spans="2:9" ht="17.5">
      <c r="B8" s="1502"/>
      <c r="C8" s="1502"/>
      <c r="D8" s="1502"/>
      <c r="E8" s="1502"/>
      <c r="F8" s="1502"/>
      <c r="G8" s="1502"/>
      <c r="H8" s="1502"/>
      <c r="I8" s="1502"/>
    </row>
    <row r="9" spans="2:9" ht="17.5">
      <c r="B9" s="1502"/>
      <c r="C9" s="1502"/>
      <c r="D9" s="1502"/>
      <c r="E9" s="1502"/>
      <c r="F9" s="1502"/>
      <c r="G9" s="1502"/>
      <c r="H9" s="1502"/>
      <c r="I9" s="1502"/>
    </row>
    <row r="10" spans="2:9" ht="17.5">
      <c r="B10" s="1502"/>
      <c r="C10" s="1502"/>
      <c r="D10" s="1502"/>
      <c r="E10" s="1502"/>
      <c r="F10" s="1502"/>
      <c r="G10" s="1502"/>
      <c r="H10" s="1502"/>
      <c r="I10" s="1502"/>
    </row>
    <row r="11" spans="2:9" ht="17.5">
      <c r="B11" s="1502"/>
      <c r="C11" s="1502"/>
      <c r="D11" s="1502"/>
      <c r="E11" s="1502"/>
      <c r="G11" s="1505" t="s">
        <v>851</v>
      </c>
      <c r="H11" s="1502"/>
      <c r="I11" s="1502"/>
    </row>
    <row r="12" spans="2:9" ht="17.5">
      <c r="B12" s="1502"/>
      <c r="C12" s="1502"/>
      <c r="D12" s="1502"/>
      <c r="E12" s="1502"/>
      <c r="G12" s="1505" t="s">
        <v>852</v>
      </c>
      <c r="H12" s="1502"/>
      <c r="I12" s="1502"/>
    </row>
    <row r="13" spans="2:9" ht="18">
      <c r="B13" s="1502"/>
      <c r="C13" s="1502"/>
      <c r="D13" s="1502"/>
      <c r="E13" s="1502"/>
      <c r="F13" s="1646"/>
      <c r="G13" s="1502"/>
      <c r="H13" s="1502"/>
      <c r="I13" s="1502"/>
    </row>
    <row r="14" spans="2:9" ht="17.5">
      <c r="B14" s="1502"/>
      <c r="C14" s="1502"/>
      <c r="D14" s="1502"/>
      <c r="E14" s="1505" t="s">
        <v>522</v>
      </c>
      <c r="F14" s="1502"/>
      <c r="G14" s="1502"/>
      <c r="H14" s="1502"/>
      <c r="I14" s="1502"/>
    </row>
    <row r="15" spans="2:9" ht="17.5">
      <c r="B15" s="1502"/>
      <c r="C15" s="1502"/>
      <c r="D15" s="1502"/>
      <c r="E15" s="1505"/>
      <c r="F15" s="1502"/>
      <c r="G15" s="1502"/>
      <c r="H15" s="1502"/>
      <c r="I15" s="1502"/>
    </row>
    <row r="16" spans="2:9" ht="18">
      <c r="B16" s="1506"/>
      <c r="C16" s="1502"/>
      <c r="D16" s="1502"/>
      <c r="E16" s="1505"/>
      <c r="F16" s="1507"/>
      <c r="G16" s="1502"/>
      <c r="H16" s="1502"/>
      <c r="I16" s="1502"/>
    </row>
    <row r="17" spans="2:17" ht="17.5">
      <c r="B17" s="1502"/>
      <c r="C17" s="1502"/>
      <c r="D17" s="1502"/>
      <c r="E17" s="1502"/>
      <c r="G17" s="1895" t="s">
        <v>2184</v>
      </c>
      <c r="H17" s="1502"/>
      <c r="I17" s="1502"/>
    </row>
    <row r="18" spans="2:17" ht="17.5">
      <c r="B18" s="1508"/>
      <c r="C18" s="1502"/>
      <c r="D18" s="1502"/>
      <c r="E18" s="1505"/>
      <c r="F18" s="1502"/>
      <c r="G18" s="1502"/>
      <c r="H18" s="1502"/>
      <c r="I18" s="1502"/>
    </row>
    <row r="19" spans="2:17" ht="17.5">
      <c r="B19" s="1508"/>
      <c r="C19" s="1502"/>
      <c r="D19" s="1502"/>
      <c r="E19" s="1505"/>
      <c r="F19" s="1502"/>
      <c r="G19" s="1502"/>
      <c r="H19" s="1502"/>
      <c r="I19" s="1502"/>
    </row>
    <row r="20" spans="2:17" ht="17.5">
      <c r="B20" s="1508"/>
      <c r="C20" s="1502"/>
      <c r="D20" s="1502"/>
      <c r="E20" s="1505"/>
      <c r="F20" s="1502"/>
      <c r="G20" s="1502"/>
      <c r="H20" s="1502"/>
      <c r="I20" s="1502"/>
    </row>
    <row r="21" spans="2:17" ht="64.5" customHeight="1">
      <c r="B21" s="1951" t="s">
        <v>2194</v>
      </c>
      <c r="C21" s="1951"/>
      <c r="D21" s="1951"/>
      <c r="E21" s="1951"/>
      <c r="F21" s="1951"/>
      <c r="G21" s="1951"/>
      <c r="H21" s="1951"/>
      <c r="I21" s="1509"/>
      <c r="J21" s="1510"/>
      <c r="K21" s="1510" t="s">
        <v>853</v>
      </c>
      <c r="L21" s="1510"/>
      <c r="M21" s="1510"/>
      <c r="N21" s="1510"/>
      <c r="O21" s="1510"/>
      <c r="P21" s="1510"/>
      <c r="Q21" s="1510"/>
    </row>
    <row r="22" spans="2:17" ht="20.25" customHeight="1">
      <c r="B22" s="1502"/>
      <c r="C22" s="1511"/>
      <c r="D22" s="1506"/>
      <c r="E22" s="1512"/>
      <c r="F22" s="1513"/>
      <c r="G22" s="1514"/>
      <c r="H22" s="1514"/>
      <c r="I22" s="1509"/>
      <c r="J22" s="1510"/>
      <c r="K22" s="1510"/>
      <c r="L22" s="1510"/>
      <c r="M22" s="1510"/>
      <c r="N22" s="1510"/>
      <c r="O22" s="1510"/>
      <c r="P22" s="1510"/>
      <c r="Q22" s="1510"/>
    </row>
    <row r="23" spans="2:17" ht="18.75" customHeight="1">
      <c r="B23" s="1502"/>
      <c r="C23" s="1893" t="s">
        <v>1896</v>
      </c>
      <c r="D23" s="1502"/>
      <c r="E23" s="1502" t="s">
        <v>1720</v>
      </c>
      <c r="F23" s="1894" t="s">
        <v>2182</v>
      </c>
      <c r="G23" s="1894">
        <v>79.3</v>
      </c>
      <c r="H23" s="1516" t="s">
        <v>2183</v>
      </c>
      <c r="I23" s="1516"/>
    </row>
    <row r="24" spans="2:17" ht="17.5">
      <c r="B24" s="1502"/>
      <c r="C24" s="1502"/>
      <c r="D24" s="1502"/>
      <c r="E24" s="1502"/>
      <c r="F24" s="1516"/>
      <c r="G24" s="1516"/>
      <c r="H24" s="1516"/>
      <c r="I24" s="1516"/>
    </row>
    <row r="25" spans="2:17" ht="18" customHeight="1">
      <c r="B25" s="1502"/>
      <c r="C25" s="1502" t="s">
        <v>1897</v>
      </c>
      <c r="D25" s="1502"/>
      <c r="E25" s="1502" t="s">
        <v>1720</v>
      </c>
      <c r="F25" s="1952" t="s">
        <v>1975</v>
      </c>
      <c r="G25" s="1952"/>
      <c r="H25" s="1516"/>
      <c r="I25" s="1516"/>
    </row>
    <row r="26" spans="2:17" ht="17.5">
      <c r="B26" s="1502"/>
      <c r="C26" s="1502"/>
      <c r="D26" s="1502"/>
      <c r="E26" s="1502"/>
      <c r="F26" s="1502"/>
      <c r="G26" s="1502"/>
      <c r="H26" s="1502"/>
      <c r="I26" s="1502"/>
    </row>
    <row r="27" spans="2:17" ht="18.75" customHeight="1">
      <c r="B27" s="1506"/>
      <c r="C27" s="1502" t="s">
        <v>854</v>
      </c>
      <c r="D27" s="1502"/>
      <c r="E27" s="1502" t="s">
        <v>855</v>
      </c>
      <c r="F27" s="1938" t="s">
        <v>2195</v>
      </c>
      <c r="G27" s="1502"/>
      <c r="H27" s="1506"/>
      <c r="I27" s="1502"/>
    </row>
    <row r="28" spans="2:17" ht="18">
      <c r="B28" s="1506"/>
      <c r="C28" s="1508"/>
      <c r="D28" s="1502"/>
      <c r="E28" s="1502"/>
      <c r="F28" s="1502"/>
      <c r="G28" s="1502"/>
      <c r="H28" s="1506"/>
      <c r="I28" s="1502"/>
    </row>
    <row r="29" spans="2:17" ht="20.25" customHeight="1">
      <c r="B29" s="1506"/>
      <c r="C29" s="1502" t="s">
        <v>856</v>
      </c>
      <c r="D29" s="1502"/>
      <c r="E29" s="1502" t="s">
        <v>855</v>
      </c>
      <c r="F29" s="1938" t="s">
        <v>2191</v>
      </c>
      <c r="G29" s="1502"/>
      <c r="H29" s="1506"/>
      <c r="I29" s="1502"/>
    </row>
    <row r="30" spans="2:17" ht="18">
      <c r="B30" s="1506"/>
      <c r="C30" s="1508"/>
      <c r="D30" s="1502"/>
      <c r="E30" s="1502"/>
      <c r="F30" s="1502"/>
      <c r="G30" s="1502"/>
      <c r="H30" s="1506"/>
      <c r="I30" s="1502"/>
    </row>
    <row r="31" spans="2:17" ht="18.75" customHeight="1">
      <c r="B31" s="1506"/>
      <c r="C31" s="1508" t="s">
        <v>857</v>
      </c>
      <c r="D31" s="1502"/>
      <c r="E31" s="1502" t="s">
        <v>855</v>
      </c>
      <c r="F31" s="1502" t="s">
        <v>2186</v>
      </c>
      <c r="G31" s="1502"/>
      <c r="H31" s="1506"/>
      <c r="I31" s="1502"/>
    </row>
    <row r="32" spans="2:17" ht="18">
      <c r="B32" s="1506"/>
      <c r="C32" s="1508"/>
      <c r="D32" s="1502"/>
      <c r="E32" s="1502"/>
      <c r="F32" s="1502"/>
      <c r="G32" s="1502"/>
      <c r="H32" s="1506"/>
      <c r="I32" s="1502"/>
    </row>
    <row r="33" spans="2:9" ht="18">
      <c r="B33" s="1506"/>
      <c r="C33" s="1508" t="s">
        <v>858</v>
      </c>
      <c r="D33" s="1502"/>
      <c r="E33" s="1508" t="s">
        <v>859</v>
      </c>
      <c r="F33" s="1502" t="s">
        <v>1719</v>
      </c>
      <c r="G33" s="1502"/>
      <c r="H33" s="1506"/>
      <c r="I33" s="1502"/>
    </row>
    <row r="34" spans="2:9" ht="18">
      <c r="B34" s="1506"/>
      <c r="C34" s="1517"/>
      <c r="D34" s="1506"/>
      <c r="E34" s="1517"/>
      <c r="F34" s="1506"/>
      <c r="G34" s="1506"/>
      <c r="H34" s="1506"/>
      <c r="I34" s="1502"/>
    </row>
    <row r="35" spans="2:9" ht="17.5">
      <c r="B35" s="1502"/>
      <c r="C35" s="1508"/>
      <c r="D35" s="1502"/>
      <c r="E35" s="1508"/>
      <c r="F35" s="1502"/>
      <c r="G35" s="1502"/>
      <c r="H35" s="1502"/>
      <c r="I35" s="1502"/>
    </row>
    <row r="36" spans="2:9" ht="17.5">
      <c r="B36" s="1502"/>
      <c r="C36" s="1502"/>
      <c r="D36" s="1502"/>
      <c r="E36" s="1502"/>
      <c r="F36" s="1502"/>
      <c r="G36" s="1502"/>
      <c r="H36" s="1502"/>
      <c r="I36" s="1502"/>
    </row>
  </sheetData>
  <mergeCells count="2">
    <mergeCell ref="B21:H21"/>
    <mergeCell ref="F25:G25"/>
  </mergeCells>
  <printOptions verticalCentered="1"/>
  <pageMargins left="0.7" right="0.27" top="0.57999999999999996" bottom="0.59" header="0.42" footer="0.5"/>
  <pageSetup paperSize="9" scale="105" orientation="portrait" horizontalDpi="4294967295" r:id="rId1"/>
  <headerFooter alignWithMargins="0"/>
  <drawing r:id="rId2"/>
</worksheet>
</file>

<file path=xl/worksheets/sheet10.xml><?xml version="1.0" encoding="utf-8"?>
<worksheet xmlns="http://schemas.openxmlformats.org/spreadsheetml/2006/main" xmlns:r="http://schemas.openxmlformats.org/officeDocument/2006/relationships">
  <sheetPr>
    <tabColor rgb="FFFF0000"/>
  </sheetPr>
  <dimension ref="A1:J36"/>
  <sheetViews>
    <sheetView workbookViewId="0">
      <selection sqref="A1:J1"/>
    </sheetView>
  </sheetViews>
  <sheetFormatPr defaultColWidth="9.1796875" defaultRowHeight="15.5"/>
  <cols>
    <col min="1" max="1" width="6.453125" style="1123" customWidth="1"/>
    <col min="2" max="2" width="37.26953125" style="1125" customWidth="1"/>
    <col min="3" max="3" width="16.1796875" style="1125" customWidth="1"/>
    <col min="4" max="4" width="9.1796875" style="1125" customWidth="1"/>
    <col min="5" max="5" width="10.81640625" style="1123" customWidth="1"/>
    <col min="6" max="6" width="11.1796875" style="1123" customWidth="1"/>
    <col min="7" max="7" width="16.453125" style="1125" customWidth="1"/>
    <col min="8" max="8" width="10" style="1125" customWidth="1"/>
    <col min="9" max="9" width="11.26953125" style="1125" customWidth="1"/>
    <col min="10" max="10" width="12.26953125" style="1125" customWidth="1"/>
    <col min="11" max="16384" width="9.1796875" style="1116"/>
  </cols>
  <sheetData>
    <row r="1" spans="1:10" s="1115" customFormat="1" ht="17.25" customHeight="1">
      <c r="A1" s="2010" t="s">
        <v>297</v>
      </c>
      <c r="B1" s="2011"/>
      <c r="C1" s="2011"/>
      <c r="D1" s="2011"/>
      <c r="E1" s="2011"/>
      <c r="F1" s="2011"/>
      <c r="G1" s="2011"/>
      <c r="H1" s="2011"/>
      <c r="I1" s="2011"/>
      <c r="J1" s="2011"/>
    </row>
    <row r="2" spans="1:10" s="1115" customFormat="1" ht="17.25" customHeight="1">
      <c r="A2" s="1915" t="s">
        <v>2212</v>
      </c>
      <c r="B2" s="1916"/>
      <c r="C2" s="1916"/>
      <c r="D2" s="1916"/>
      <c r="E2" s="1916"/>
      <c r="F2" s="1916"/>
      <c r="G2" s="1916"/>
      <c r="H2" s="1916"/>
      <c r="I2" s="1916"/>
      <c r="J2" s="1917"/>
    </row>
    <row r="3" spans="1:10" s="1115" customFormat="1">
      <c r="A3" s="1919"/>
      <c r="B3" s="1918"/>
      <c r="C3" s="1918"/>
      <c r="D3" s="1918"/>
      <c r="E3" s="1918"/>
      <c r="F3" s="1918"/>
      <c r="G3" s="1918"/>
      <c r="H3" s="1918"/>
      <c r="I3" s="1918"/>
      <c r="J3" s="1920" t="s">
        <v>2164</v>
      </c>
    </row>
    <row r="4" spans="1:10">
      <c r="A4" s="2008" t="s">
        <v>140</v>
      </c>
      <c r="B4" s="2008" t="s">
        <v>148</v>
      </c>
      <c r="C4" s="2008" t="s">
        <v>298</v>
      </c>
      <c r="D4" s="2008" t="s">
        <v>299</v>
      </c>
      <c r="E4" s="2008"/>
      <c r="F4" s="2008" t="s">
        <v>141</v>
      </c>
      <c r="G4" s="2007" t="s">
        <v>4</v>
      </c>
      <c r="H4" s="2007" t="s">
        <v>1781</v>
      </c>
      <c r="I4" s="2007" t="s">
        <v>1771</v>
      </c>
      <c r="J4" s="2008" t="s">
        <v>300</v>
      </c>
    </row>
    <row r="5" spans="1:10" ht="12.75" customHeight="1">
      <c r="A5" s="2008"/>
      <c r="B5" s="2008"/>
      <c r="C5" s="2008"/>
      <c r="D5" s="1480" t="s">
        <v>301</v>
      </c>
      <c r="E5" s="1480" t="s">
        <v>302</v>
      </c>
      <c r="F5" s="2008"/>
      <c r="G5" s="2007"/>
      <c r="H5" s="2007"/>
      <c r="I5" s="2007"/>
      <c r="J5" s="2008"/>
    </row>
    <row r="6" spans="1:10" s="1117" customFormat="1">
      <c r="A6" s="1295">
        <v>1</v>
      </c>
      <c r="B6" s="1295">
        <v>2</v>
      </c>
      <c r="C6" s="1295">
        <v>3</v>
      </c>
      <c r="D6" s="1295">
        <v>4</v>
      </c>
      <c r="E6" s="1295">
        <v>5</v>
      </c>
      <c r="F6" s="1295">
        <v>6</v>
      </c>
      <c r="G6" s="1295">
        <v>7</v>
      </c>
      <c r="H6" s="1295"/>
      <c r="I6" s="1295"/>
      <c r="J6" s="1295">
        <v>8</v>
      </c>
    </row>
    <row r="7" spans="1:10" s="1277" customFormat="1" ht="14">
      <c r="A7" s="1289">
        <v>1</v>
      </c>
      <c r="B7" s="1290" t="s">
        <v>523</v>
      </c>
      <c r="C7" s="1291" t="s">
        <v>2190</v>
      </c>
      <c r="D7" s="1907">
        <v>37</v>
      </c>
      <c r="E7" s="1292">
        <f>+VLOOKUP(ROUNDUP(D7,0),Sheet1!$C$4:$D$103,2)</f>
        <v>423.6</v>
      </c>
      <c r="F7" s="1289" t="s">
        <v>143</v>
      </c>
      <c r="G7" s="1293">
        <v>510</v>
      </c>
      <c r="H7" s="1293"/>
      <c r="I7" s="1293"/>
      <c r="J7" s="1294">
        <f>ROUND(E7+G7+H7,2)</f>
        <v>933.6</v>
      </c>
    </row>
    <row r="8" spans="1:10" s="1277" customFormat="1" ht="14">
      <c r="A8" s="1279">
        <v>2</v>
      </c>
      <c r="B8" s="1280" t="s">
        <v>1796</v>
      </c>
      <c r="C8" s="1281" t="str">
        <f>C7</f>
        <v>Sankarayalapeta</v>
      </c>
      <c r="D8" s="1908">
        <f>D7</f>
        <v>37</v>
      </c>
      <c r="E8" s="1282">
        <f>+VLOOKUP(ROUNDUP(D8,0),Sheet1!$C$4:$D$103,2)</f>
        <v>423.6</v>
      </c>
      <c r="F8" s="1279" t="s">
        <v>143</v>
      </c>
      <c r="G8" s="1283">
        <v>590</v>
      </c>
      <c r="H8" s="1283"/>
      <c r="I8" s="1283"/>
      <c r="J8" s="1284">
        <f>ROUND(E8+G8+H8,2)</f>
        <v>1013.6</v>
      </c>
    </row>
    <row r="9" spans="1:10" s="1277" customFormat="1" ht="14">
      <c r="A9" s="1279">
        <v>3</v>
      </c>
      <c r="B9" s="1280" t="s">
        <v>303</v>
      </c>
      <c r="C9" s="1281" t="str">
        <f>C7</f>
        <v>Sankarayalapeta</v>
      </c>
      <c r="D9" s="1908">
        <f>D7</f>
        <v>37</v>
      </c>
      <c r="E9" s="1282">
        <f>+VLOOKUP(ROUNDUP(D9,0),Sheet1!$C$4:$D$103,2)</f>
        <v>423.6</v>
      </c>
      <c r="F9" s="1279" t="s">
        <v>143</v>
      </c>
      <c r="G9" s="1283">
        <v>375</v>
      </c>
      <c r="H9" s="1283"/>
      <c r="I9" s="1283"/>
      <c r="J9" s="1284">
        <f>ROUND(E9+G9+H9,2)</f>
        <v>798.6</v>
      </c>
    </row>
    <row r="10" spans="1:10" s="1277" customFormat="1" ht="14">
      <c r="A10" s="1279">
        <v>4</v>
      </c>
      <c r="B10" s="1280" t="s">
        <v>655</v>
      </c>
      <c r="C10" s="1281" t="s">
        <v>1721</v>
      </c>
      <c r="D10" s="1908">
        <v>10</v>
      </c>
      <c r="E10" s="1282">
        <f>+VLOOKUP(ROUNDUP(D10,0),Sheet1!$C$4:$D$103,2)</f>
        <v>131.79999999999998</v>
      </c>
      <c r="F10" s="1279" t="s">
        <v>143</v>
      </c>
      <c r="G10" s="1909">
        <v>113</v>
      </c>
      <c r="H10" s="1909"/>
      <c r="I10" s="1909"/>
      <c r="J10" s="1284">
        <f>ROUND(E10+G10,2)</f>
        <v>244.8</v>
      </c>
    </row>
    <row r="11" spans="1:10" s="1277" customFormat="1" ht="14">
      <c r="A11" s="1279">
        <v>5</v>
      </c>
      <c r="B11" s="1280" t="s">
        <v>304</v>
      </c>
      <c r="C11" s="1281" t="s">
        <v>2187</v>
      </c>
      <c r="D11" s="1282">
        <v>74</v>
      </c>
      <c r="E11" s="1282">
        <f>+VLOOKUP(ROUNDUP(D11,0),Sheet1!$A$4:$B$103,2)</f>
        <v>771.39999999999918</v>
      </c>
      <c r="F11" s="1279" t="s">
        <v>143</v>
      </c>
      <c r="G11" s="1283">
        <f>[125]Bldg.rates!F16</f>
        <v>830</v>
      </c>
      <c r="H11" s="1283"/>
      <c r="I11" s="1283"/>
      <c r="J11" s="1284">
        <f t="shared" ref="J11:J20" si="0">ROUND(E11+G11,2)</f>
        <v>1601.4</v>
      </c>
    </row>
    <row r="12" spans="1:10" s="1277" customFormat="1" ht="14">
      <c r="A12" s="1279">
        <v>6</v>
      </c>
      <c r="B12" s="1280" t="s">
        <v>305</v>
      </c>
      <c r="C12" s="1281" t="str">
        <f t="shared" ref="C12:D20" si="1">C11</f>
        <v>Valasapalle</v>
      </c>
      <c r="D12" s="1282">
        <f t="shared" si="1"/>
        <v>74</v>
      </c>
      <c r="E12" s="1282">
        <f>+VLOOKUP(ROUNDUP(D12,0),Sheet1!$A$4:$B$103,2)</f>
        <v>771.39999999999918</v>
      </c>
      <c r="F12" s="1279" t="s">
        <v>143</v>
      </c>
      <c r="G12" s="1283">
        <f>[125]Bldg.rates!F14</f>
        <v>1340</v>
      </c>
      <c r="H12" s="1283"/>
      <c r="I12" s="1283"/>
      <c r="J12" s="1284">
        <f t="shared" si="0"/>
        <v>2111.4</v>
      </c>
    </row>
    <row r="13" spans="1:10" s="1277" customFormat="1" ht="14">
      <c r="A13" s="1279">
        <v>7</v>
      </c>
      <c r="B13" s="1280" t="s">
        <v>306</v>
      </c>
      <c r="C13" s="1281" t="str">
        <f t="shared" si="1"/>
        <v>Valasapalle</v>
      </c>
      <c r="D13" s="1282">
        <f t="shared" si="1"/>
        <v>74</v>
      </c>
      <c r="E13" s="1282">
        <f>+VLOOKUP(ROUNDUP(D13,0),Sheet1!$A$4:$B$103,2)</f>
        <v>771.39999999999918</v>
      </c>
      <c r="F13" s="1279" t="s">
        <v>143</v>
      </c>
      <c r="G13" s="1283">
        <f>[125]Bldg.rates!F13</f>
        <v>1080</v>
      </c>
      <c r="H13" s="1283"/>
      <c r="I13" s="1283"/>
      <c r="J13" s="1284">
        <f t="shared" si="0"/>
        <v>1851.4</v>
      </c>
    </row>
    <row r="14" spans="1:10" s="1277" customFormat="1" ht="14">
      <c r="A14" s="1279">
        <v>8</v>
      </c>
      <c r="B14" s="1280" t="s">
        <v>307</v>
      </c>
      <c r="C14" s="1281" t="str">
        <f t="shared" si="1"/>
        <v>Valasapalle</v>
      </c>
      <c r="D14" s="1282">
        <f t="shared" si="1"/>
        <v>74</v>
      </c>
      <c r="E14" s="1282">
        <f>+VLOOKUP(ROUNDUP(D14,0),Sheet1!$A$4:$B$103,2)</f>
        <v>771.39999999999918</v>
      </c>
      <c r="F14" s="1279" t="s">
        <v>143</v>
      </c>
      <c r="G14" s="1283">
        <f>[125]Bldg.rates!F12</f>
        <v>920</v>
      </c>
      <c r="H14" s="1283"/>
      <c r="I14" s="1283"/>
      <c r="J14" s="1284">
        <f t="shared" si="0"/>
        <v>1691.4</v>
      </c>
    </row>
    <row r="15" spans="1:10" s="1277" customFormat="1" ht="14">
      <c r="A15" s="1279">
        <v>9</v>
      </c>
      <c r="B15" s="1280" t="s">
        <v>1764</v>
      </c>
      <c r="C15" s="1281" t="str">
        <f t="shared" si="1"/>
        <v>Valasapalle</v>
      </c>
      <c r="D15" s="1282">
        <f t="shared" si="1"/>
        <v>74</v>
      </c>
      <c r="E15" s="1282">
        <f>+VLOOKUP(ROUNDUP(D15,0),Sheet1!$A$4:$B$103,2)</f>
        <v>771.39999999999918</v>
      </c>
      <c r="F15" s="1279" t="s">
        <v>143</v>
      </c>
      <c r="G15" s="1283">
        <v>725</v>
      </c>
      <c r="H15" s="1283"/>
      <c r="I15" s="1283"/>
      <c r="J15" s="1284">
        <f t="shared" si="0"/>
        <v>1496.4</v>
      </c>
    </row>
    <row r="16" spans="1:10" s="1277" customFormat="1" ht="14">
      <c r="A16" s="1279">
        <v>10</v>
      </c>
      <c r="B16" s="1280" t="s">
        <v>308</v>
      </c>
      <c r="C16" s="1281" t="str">
        <f>C14</f>
        <v>Valasapalle</v>
      </c>
      <c r="D16" s="1282">
        <f>D14</f>
        <v>74</v>
      </c>
      <c r="E16" s="1282">
        <f>+VLOOKUP(ROUNDUP(D16,0),Sheet1!$A$4:$B$103,2)</f>
        <v>771.39999999999918</v>
      </c>
      <c r="F16" s="1279" t="s">
        <v>143</v>
      </c>
      <c r="G16" s="1283">
        <f>[125]Bldg.rates!F17</f>
        <v>1182</v>
      </c>
      <c r="H16" s="1283"/>
      <c r="I16" s="1283"/>
      <c r="J16" s="1284">
        <f t="shared" si="0"/>
        <v>1953.4</v>
      </c>
    </row>
    <row r="17" spans="1:10" s="1277" customFormat="1" ht="14">
      <c r="A17" s="1279">
        <v>11</v>
      </c>
      <c r="B17" s="1280" t="s">
        <v>327</v>
      </c>
      <c r="C17" s="1281" t="str">
        <f t="shared" si="1"/>
        <v>Valasapalle</v>
      </c>
      <c r="D17" s="1282">
        <f t="shared" si="1"/>
        <v>74</v>
      </c>
      <c r="E17" s="1282">
        <f>+VLOOKUP(ROUNDUP(D17,0),Sheet1!$A$4:$B$103,2)</f>
        <v>771.39999999999918</v>
      </c>
      <c r="F17" s="1279" t="s">
        <v>143</v>
      </c>
      <c r="G17" s="1283">
        <f>[125]Bldg.rates!F19</f>
        <v>860</v>
      </c>
      <c r="H17" s="1283"/>
      <c r="I17" s="1283"/>
      <c r="J17" s="1284">
        <f t="shared" si="0"/>
        <v>1631.4</v>
      </c>
    </row>
    <row r="18" spans="1:10" s="1278" customFormat="1" ht="14">
      <c r="A18" s="1279">
        <v>12</v>
      </c>
      <c r="B18" s="1285" t="s">
        <v>1740</v>
      </c>
      <c r="C18" s="1281" t="str">
        <f t="shared" si="1"/>
        <v>Valasapalle</v>
      </c>
      <c r="D18" s="1282">
        <f t="shared" si="1"/>
        <v>74</v>
      </c>
      <c r="E18" s="1282">
        <f>+VLOOKUP(ROUNDUP(D18,0),Sheet1!$A$4:$B$103,2)</f>
        <v>771.39999999999918</v>
      </c>
      <c r="F18" s="1279" t="s">
        <v>143</v>
      </c>
      <c r="G18" s="1286">
        <f>[125]Bldg.rates!F21</f>
        <v>250</v>
      </c>
      <c r="H18" s="1287"/>
      <c r="I18" s="1287"/>
      <c r="J18" s="1284">
        <f t="shared" si="0"/>
        <v>1021.4</v>
      </c>
    </row>
    <row r="19" spans="1:10" s="1278" customFormat="1" ht="14">
      <c r="A19" s="1279">
        <v>13</v>
      </c>
      <c r="B19" s="1285" t="s">
        <v>1741</v>
      </c>
      <c r="C19" s="1281" t="str">
        <f t="shared" si="1"/>
        <v>Valasapalle</v>
      </c>
      <c r="D19" s="1282">
        <f t="shared" si="1"/>
        <v>74</v>
      </c>
      <c r="E19" s="1282">
        <f>+VLOOKUP(ROUNDUP(D19,0),Sheet1!$A$4:$B$103,2)</f>
        <v>771.39999999999918</v>
      </c>
      <c r="F19" s="1279" t="s">
        <v>143</v>
      </c>
      <c r="G19" s="1286">
        <v>274.3</v>
      </c>
      <c r="H19" s="1287"/>
      <c r="I19" s="1287"/>
      <c r="J19" s="1284">
        <f t="shared" si="0"/>
        <v>1045.7</v>
      </c>
    </row>
    <row r="20" spans="1:10" s="1278" customFormat="1" ht="14">
      <c r="A20" s="1279">
        <v>14</v>
      </c>
      <c r="B20" s="1285" t="s">
        <v>1742</v>
      </c>
      <c r="C20" s="1281" t="str">
        <f t="shared" si="1"/>
        <v>Valasapalle</v>
      </c>
      <c r="D20" s="1282">
        <f t="shared" si="1"/>
        <v>74</v>
      </c>
      <c r="E20" s="1282">
        <f>+VLOOKUP(ROUNDUP(D20,0),Sheet1!$A$4:$B$103,2)</f>
        <v>771.39999999999918</v>
      </c>
      <c r="F20" s="1279" t="s">
        <v>143</v>
      </c>
      <c r="G20" s="1286">
        <f>[125]Bldg.rates!F22</f>
        <v>1983.33</v>
      </c>
      <c r="H20" s="1287"/>
      <c r="I20" s="1287"/>
      <c r="J20" s="1284">
        <f t="shared" si="0"/>
        <v>2754.73</v>
      </c>
    </row>
    <row r="21" spans="1:10" s="1277" customFormat="1" ht="14">
      <c r="A21" s="1279">
        <v>15</v>
      </c>
      <c r="B21" s="1280" t="s">
        <v>1685</v>
      </c>
      <c r="C21" s="1281" t="str">
        <f>C17</f>
        <v>Valasapalle</v>
      </c>
      <c r="D21" s="1282">
        <f>D17</f>
        <v>74</v>
      </c>
      <c r="E21" s="1282">
        <f>+VLOOKUP(ROUNDUP(D21,0),Sheet1!$A$4:$B$103,2)</f>
        <v>771.39999999999918</v>
      </c>
      <c r="F21" s="1279" t="s">
        <v>143</v>
      </c>
      <c r="G21" s="1283">
        <f>[125]Bldg.rates!L20</f>
        <v>350</v>
      </c>
      <c r="H21" s="1283"/>
      <c r="I21" s="1283"/>
      <c r="J21" s="1284">
        <f>ROUND(E21+G21,2)</f>
        <v>1121.4000000000001</v>
      </c>
    </row>
    <row r="22" spans="1:10" s="1277" customFormat="1" ht="14">
      <c r="A22" s="1279">
        <v>16</v>
      </c>
      <c r="B22" s="1288" t="s">
        <v>157</v>
      </c>
      <c r="C22" s="1281" t="s">
        <v>1721</v>
      </c>
      <c r="D22" s="1282">
        <v>10</v>
      </c>
      <c r="E22" s="1282">
        <f>+VLOOKUP(ROUNDUP(D22,0),Sheet1!$E$4:$F$113,2)</f>
        <v>213.40000000000006</v>
      </c>
      <c r="F22" s="1279" t="s">
        <v>206</v>
      </c>
      <c r="G22" s="1283">
        <v>6000</v>
      </c>
      <c r="H22" s="1283">
        <v>109.6</v>
      </c>
      <c r="I22" s="1283"/>
      <c r="J22" s="1284">
        <f>ROUND(E22+G22+H22,2)</f>
        <v>6323</v>
      </c>
    </row>
    <row r="23" spans="1:10" s="1301" customFormat="1" ht="26" hidden="1">
      <c r="A23" s="815">
        <v>17</v>
      </c>
      <c r="B23" s="1300" t="s">
        <v>187</v>
      </c>
      <c r="C23" s="1297" t="s">
        <v>1723</v>
      </c>
      <c r="D23" s="1298">
        <v>90</v>
      </c>
      <c r="E23" s="1282">
        <f>+VLOOKUP(ROUNDUP(D23,0),[125]Sheet1!$E$4:$F$113,2)</f>
        <v>1491.4000000000028</v>
      </c>
      <c r="F23" s="1296" t="s">
        <v>351</v>
      </c>
      <c r="G23" s="1298">
        <f>[125]Bldg.rates!F25</f>
        <v>24000</v>
      </c>
      <c r="H23" s="1298">
        <v>109.6</v>
      </c>
      <c r="I23" s="1298"/>
      <c r="J23" s="1299">
        <f>ROUND(E23+G23+H23,2)</f>
        <v>25601</v>
      </c>
    </row>
    <row r="24" spans="1:10" s="1277" customFormat="1" ht="14">
      <c r="A24" s="1279">
        <v>18</v>
      </c>
      <c r="B24" s="1280" t="s">
        <v>218</v>
      </c>
      <c r="C24" s="1281" t="s">
        <v>317</v>
      </c>
      <c r="D24" s="1282"/>
      <c r="E24" s="1282"/>
      <c r="F24" s="1279" t="s">
        <v>203</v>
      </c>
      <c r="G24" s="1283">
        <v>3.67</v>
      </c>
      <c r="H24" s="1283"/>
      <c r="I24" s="1283">
        <f>G24*0.28</f>
        <v>1.0276000000000001</v>
      </c>
      <c r="J24" s="1284">
        <f>G24+I24</f>
        <v>4.6975999999999996</v>
      </c>
    </row>
    <row r="25" spans="1:10" s="1277" customFormat="1" ht="14">
      <c r="A25" s="1279">
        <v>19</v>
      </c>
      <c r="B25" s="1280" t="s">
        <v>663</v>
      </c>
      <c r="C25" s="1281" t="s">
        <v>317</v>
      </c>
      <c r="D25" s="1282"/>
      <c r="E25" s="1282"/>
      <c r="F25" s="1279" t="s">
        <v>321</v>
      </c>
      <c r="G25" s="1283">
        <v>39000</v>
      </c>
      <c r="H25" s="1283"/>
      <c r="I25" s="1283">
        <f>G25*0.18</f>
        <v>7020</v>
      </c>
      <c r="J25" s="1284">
        <f>G25+I25</f>
        <v>46020</v>
      </c>
    </row>
    <row r="26" spans="1:10" s="1277" customFormat="1" ht="14">
      <c r="A26" s="1279">
        <v>20</v>
      </c>
      <c r="B26" s="1280" t="s">
        <v>1800</v>
      </c>
      <c r="C26" s="1281" t="s">
        <v>317</v>
      </c>
      <c r="D26" s="1282"/>
      <c r="E26" s="1282"/>
      <c r="F26" s="1279" t="s">
        <v>321</v>
      </c>
      <c r="G26" s="1283">
        <v>40000</v>
      </c>
      <c r="H26" s="1283"/>
      <c r="I26" s="1283">
        <f>G26*0.18</f>
        <v>7200</v>
      </c>
      <c r="J26" s="1284">
        <f>G26+I26</f>
        <v>47200</v>
      </c>
    </row>
    <row r="27" spans="1:10" s="1277" customFormat="1" ht="14">
      <c r="A27" s="1279">
        <v>21</v>
      </c>
      <c r="B27" s="1280" t="s">
        <v>1807</v>
      </c>
      <c r="C27" s="1281" t="s">
        <v>317</v>
      </c>
      <c r="D27" s="1282"/>
      <c r="E27" s="1282"/>
      <c r="F27" s="1279" t="s">
        <v>1636</v>
      </c>
      <c r="G27" s="1283">
        <v>41.3</v>
      </c>
      <c r="H27" s="1283"/>
      <c r="I27" s="1283">
        <f>ROUND(G27*18%,2)</f>
        <v>7.43</v>
      </c>
      <c r="J27" s="1284">
        <f>G27+I27</f>
        <v>48.73</v>
      </c>
    </row>
    <row r="28" spans="1:10" s="1277" customFormat="1" ht="26">
      <c r="A28" s="1279">
        <v>22</v>
      </c>
      <c r="B28" s="1373" t="s">
        <v>197</v>
      </c>
      <c r="C28" s="1281" t="s">
        <v>1723</v>
      </c>
      <c r="D28" s="1282">
        <v>110</v>
      </c>
      <c r="E28" s="1282">
        <f>+VLOOKUP(ROUNDUP(D28,0),[125]Sheet1!$E$4:$F$113,2)</f>
        <v>1795.4000000000037</v>
      </c>
      <c r="F28" s="1279" t="s">
        <v>351</v>
      </c>
      <c r="G28" s="1282">
        <f>[125]Bldg.rates!F26</f>
        <v>20000</v>
      </c>
      <c r="H28" s="1282">
        <v>109.6</v>
      </c>
      <c r="I28" s="1282"/>
      <c r="J28" s="1284">
        <f>ROUND(E28+G28+H28,2)</f>
        <v>21905</v>
      </c>
    </row>
    <row r="29" spans="1:10" s="1117" customFormat="1" hidden="1">
      <c r="A29" s="1118"/>
      <c r="B29" s="1119"/>
      <c r="C29" s="1120"/>
      <c r="D29" s="1121"/>
      <c r="E29" s="1121"/>
      <c r="F29" s="1118"/>
      <c r="G29" s="1122"/>
      <c r="H29" s="1122"/>
      <c r="I29" s="1122"/>
      <c r="J29" s="1121"/>
    </row>
    <row r="30" spans="1:10" ht="17.25" customHeight="1">
      <c r="B30" s="1124" t="s">
        <v>1762</v>
      </c>
    </row>
    <row r="31" spans="1:10" s="1127" customFormat="1" ht="16.5" customHeight="1">
      <c r="A31" s="1126" t="s">
        <v>309</v>
      </c>
      <c r="B31" s="2009" t="s">
        <v>310</v>
      </c>
      <c r="C31" s="2009"/>
      <c r="D31" s="2009"/>
      <c r="E31" s="2009"/>
      <c r="F31" s="2009"/>
      <c r="G31" s="2009"/>
      <c r="H31" s="2009"/>
      <c r="I31" s="2009"/>
      <c r="J31" s="2009"/>
    </row>
    <row r="32" spans="1:10" s="1127" customFormat="1" ht="16.5" customHeight="1">
      <c r="A32" s="1126" t="s">
        <v>311</v>
      </c>
      <c r="B32" s="2009" t="s">
        <v>312</v>
      </c>
      <c r="C32" s="2009"/>
      <c r="D32" s="2009"/>
      <c r="E32" s="2009"/>
      <c r="F32" s="2009"/>
      <c r="G32" s="2009"/>
      <c r="H32" s="2009"/>
      <c r="I32" s="2009"/>
      <c r="J32" s="2009"/>
    </row>
    <row r="33" spans="1:10" s="1127" customFormat="1" ht="16.5" customHeight="1">
      <c r="A33" s="1126"/>
      <c r="B33" s="1786"/>
      <c r="C33" s="1786"/>
      <c r="D33" s="1786"/>
      <c r="E33" s="1786"/>
      <c r="F33" s="1786"/>
      <c r="G33" s="1786"/>
      <c r="H33" s="1786"/>
      <c r="I33" s="1786"/>
      <c r="J33" s="1786"/>
    </row>
    <row r="34" spans="1:10" s="1127" customFormat="1" ht="16.5" customHeight="1">
      <c r="A34" s="1126"/>
      <c r="B34" s="1132"/>
      <c r="C34" s="1479"/>
      <c r="D34" s="1479"/>
      <c r="E34" s="1479"/>
      <c r="F34" s="1479"/>
      <c r="G34" s="1479"/>
      <c r="H34" s="1479"/>
      <c r="I34" s="1479"/>
      <c r="J34" s="1479"/>
    </row>
    <row r="35" spans="1:10">
      <c r="E35" s="1302" t="str">
        <f>'Specification (3)'!E35</f>
        <v>Dy.Exe.Engineer</v>
      </c>
      <c r="F35" s="1302"/>
      <c r="I35" s="1531" t="str">
        <f>'Specification (3)'!H35</f>
        <v>Asst. Exe Engineer</v>
      </c>
    </row>
    <row r="36" spans="1:10">
      <c r="E36" s="1302" t="str">
        <f>'Specification (3)'!E36</f>
        <v>PRI, Baireddipalle</v>
      </c>
      <c r="F36" s="1302"/>
      <c r="I36" s="1531" t="str">
        <f>'Specification (3)'!H36</f>
        <v>MPP, Baireddipalle</v>
      </c>
    </row>
  </sheetData>
  <mergeCells count="12">
    <mergeCell ref="I4:I5"/>
    <mergeCell ref="J4:J5"/>
    <mergeCell ref="B31:J31"/>
    <mergeCell ref="B32:J32"/>
    <mergeCell ref="A1:J1"/>
    <mergeCell ref="A4:A5"/>
    <mergeCell ref="B4:B5"/>
    <mergeCell ref="C4:C5"/>
    <mergeCell ref="D4:E4"/>
    <mergeCell ref="F4:F5"/>
    <mergeCell ref="G4:G5"/>
    <mergeCell ref="H4:H5"/>
  </mergeCells>
  <printOptions horizontalCentered="1"/>
  <pageMargins left="0.51181102362204722" right="0.27559055118110237" top="0.39370078740157483" bottom="0.34" header="0.27559055118110237" footer="0.28000000000000003"/>
  <pageSetup paperSize="9" orientation="landscape" r:id="rId1"/>
  <headerFooter alignWithMargins="0"/>
</worksheet>
</file>

<file path=xl/worksheets/sheet11.xml><?xml version="1.0" encoding="utf-8"?>
<worksheet xmlns="http://schemas.openxmlformats.org/spreadsheetml/2006/main" xmlns:r="http://schemas.openxmlformats.org/officeDocument/2006/relationships">
  <sheetPr>
    <tabColor rgb="FFFF0000"/>
  </sheetPr>
  <dimension ref="A1:L1764"/>
  <sheetViews>
    <sheetView topLeftCell="A1030" zoomScale="115" zoomScaleNormal="115" zoomScaleSheetLayoutView="100" workbookViewId="0">
      <selection activeCell="G1040" sqref="G1040"/>
    </sheetView>
  </sheetViews>
  <sheetFormatPr defaultColWidth="9.1796875" defaultRowHeight="13"/>
  <cols>
    <col min="1" max="1" width="9.7265625" style="722" customWidth="1"/>
    <col min="2" max="2" width="4.453125" style="965" customWidth="1"/>
    <col min="3" max="3" width="31.54296875" style="722" customWidth="1"/>
    <col min="4" max="4" width="8" style="965" customWidth="1"/>
    <col min="5" max="5" width="7.81640625" style="965" customWidth="1"/>
    <col min="6" max="6" width="10" style="965" customWidth="1"/>
    <col min="7" max="7" width="10.7265625" style="965" customWidth="1"/>
    <col min="8" max="8" width="10" style="722" customWidth="1"/>
    <col min="9" max="9" width="9.453125" style="722" customWidth="1"/>
    <col min="10" max="10" width="9.26953125" style="722" hidden="1" customWidth="1"/>
    <col min="11" max="11" width="9.1796875" style="722" hidden="1" customWidth="1"/>
    <col min="12" max="12" width="8.81640625" style="722" hidden="1" customWidth="1"/>
    <col min="13" max="16384" width="9.1796875" style="722"/>
  </cols>
  <sheetData>
    <row r="1" spans="1:12" hidden="1">
      <c r="B1" s="722"/>
      <c r="D1" s="723">
        <v>0</v>
      </c>
      <c r="E1" s="722"/>
      <c r="F1" s="722"/>
      <c r="G1" s="722"/>
    </row>
    <row r="2" spans="1:12" ht="18">
      <c r="A2" s="2063" t="s">
        <v>231</v>
      </c>
      <c r="B2" s="2063"/>
      <c r="C2" s="2063"/>
      <c r="D2" s="2063"/>
      <c r="E2" s="2063"/>
      <c r="F2" s="2063"/>
      <c r="G2" s="2063"/>
      <c r="H2" s="2063"/>
    </row>
    <row r="3" spans="1:12" ht="36.75" customHeight="1">
      <c r="A3" s="2064" t="str">
        <f>'Lead statement (2)'!A2:J2</f>
        <v>Name of work :: Construction of Function Hall at Kadapanatham Of Baireddipalle Mandal</v>
      </c>
      <c r="B3" s="2065"/>
      <c r="C3" s="2065"/>
      <c r="D3" s="2065"/>
      <c r="E3" s="2065"/>
      <c r="F3" s="2065"/>
      <c r="G3" s="2065"/>
      <c r="H3" s="2065"/>
      <c r="I3" s="1130"/>
      <c r="J3" s="1130"/>
    </row>
    <row r="4" spans="1:12" ht="18.75" customHeight="1">
      <c r="A4" s="2066">
        <f>'Lead statement (2)'!A3:J3</f>
        <v>0</v>
      </c>
      <c r="B4" s="2067"/>
      <c r="C4" s="2067"/>
      <c r="D4" s="2067"/>
      <c r="E4" s="2067"/>
      <c r="F4" s="2067"/>
      <c r="G4" s="2067"/>
      <c r="H4" s="2068"/>
    </row>
    <row r="5" spans="1:12" ht="31.5" customHeight="1">
      <c r="A5" s="967" t="s">
        <v>232</v>
      </c>
      <c r="B5" s="748" t="s">
        <v>233</v>
      </c>
      <c r="C5" s="748" t="s">
        <v>234</v>
      </c>
      <c r="D5" s="748" t="s">
        <v>141</v>
      </c>
      <c r="E5" s="880" t="s">
        <v>797</v>
      </c>
      <c r="F5" s="880" t="s">
        <v>149</v>
      </c>
      <c r="G5" s="880" t="s">
        <v>1749</v>
      </c>
      <c r="H5" s="726"/>
      <c r="I5" s="726"/>
      <c r="J5" s="726"/>
      <c r="K5" s="726"/>
      <c r="L5" s="726"/>
    </row>
    <row r="6" spans="1:12" ht="12.75" customHeight="1">
      <c r="A6" s="968"/>
      <c r="B6" s="966">
        <v>1</v>
      </c>
      <c r="C6" s="966">
        <v>2</v>
      </c>
      <c r="D6" s="966">
        <v>3</v>
      </c>
      <c r="E6" s="966">
        <v>4</v>
      </c>
      <c r="F6" s="966">
        <v>5</v>
      </c>
      <c r="G6" s="966">
        <v>6</v>
      </c>
      <c r="H6" s="726"/>
      <c r="I6" s="726"/>
      <c r="J6" s="726"/>
      <c r="K6" s="726"/>
      <c r="L6" s="726"/>
    </row>
    <row r="7" spans="1:12" ht="13.5" hidden="1" customHeight="1">
      <c r="A7" s="969"/>
      <c r="B7" s="728"/>
      <c r="C7" s="729"/>
      <c r="D7" s="730"/>
      <c r="E7" s="731"/>
      <c r="F7" s="732"/>
      <c r="G7" s="732"/>
      <c r="H7" s="726"/>
      <c r="I7" s="726"/>
      <c r="J7" s="726"/>
      <c r="K7" s="726"/>
      <c r="L7" s="726"/>
    </row>
    <row r="8" spans="1:12" s="1793" customFormat="1" ht="41.25" customHeight="1">
      <c r="A8" s="1791">
        <v>1</v>
      </c>
      <c r="B8" s="1792"/>
      <c r="C8" s="2074" t="s">
        <v>2149</v>
      </c>
      <c r="D8" s="2075"/>
      <c r="E8" s="2075"/>
      <c r="F8" s="2075"/>
      <c r="G8" s="2075"/>
      <c r="H8" s="2075"/>
      <c r="I8" s="2075"/>
    </row>
    <row r="9" spans="1:12" s="1793" customFormat="1" ht="12.75" customHeight="1">
      <c r="A9" s="1792"/>
      <c r="B9" s="1792" t="s">
        <v>1159</v>
      </c>
      <c r="C9" s="1794" t="s">
        <v>2150</v>
      </c>
      <c r="D9" s="1795"/>
      <c r="E9" s="1796"/>
      <c r="F9" s="1795"/>
      <c r="G9" s="1797"/>
      <c r="H9" s="1798"/>
      <c r="I9" s="1799"/>
    </row>
    <row r="10" spans="1:12" s="1793" customFormat="1" ht="12.75" customHeight="1">
      <c r="A10" s="1792"/>
      <c r="B10" s="1792"/>
      <c r="C10" s="1794" t="s">
        <v>2151</v>
      </c>
      <c r="D10" s="1795"/>
      <c r="E10" s="1796"/>
      <c r="F10" s="1795"/>
      <c r="G10" s="1797"/>
      <c r="H10" s="1798"/>
      <c r="I10" s="1799"/>
    </row>
    <row r="11" spans="1:12" s="1793" customFormat="1">
      <c r="A11" s="1792"/>
      <c r="B11" s="1792"/>
      <c r="C11" s="1800" t="s">
        <v>1678</v>
      </c>
      <c r="D11" s="1801">
        <v>0.40899999999999997</v>
      </c>
      <c r="E11" s="1802" t="s">
        <v>796</v>
      </c>
      <c r="F11" s="1803">
        <v>420</v>
      </c>
      <c r="G11" s="1804">
        <v>1</v>
      </c>
      <c r="H11" s="1805" t="s">
        <v>183</v>
      </c>
      <c r="I11" s="1806">
        <f>IF(G11="",D11*F11,(D11*F11/G11))</f>
        <v>171.78</v>
      </c>
    </row>
    <row r="12" spans="1:12" s="1793" customFormat="1" hidden="1">
      <c r="A12" s="1792"/>
      <c r="B12" s="1792"/>
      <c r="C12" s="1800" t="str">
        <f>[126]Input!$C$36</f>
        <v>Add for MA @ 25%</v>
      </c>
      <c r="D12" s="1803">
        <v>0</v>
      </c>
      <c r="E12" s="1807"/>
      <c r="F12" s="1803">
        <f>I11</f>
        <v>171.78</v>
      </c>
      <c r="G12" s="1808"/>
      <c r="H12" s="1809"/>
      <c r="I12" s="1806">
        <f>IF(G12="",D12*F12,(D12*F12/G12))</f>
        <v>0</v>
      </c>
    </row>
    <row r="13" spans="1:12" s="1793" customFormat="1" hidden="1">
      <c r="A13" s="1792"/>
      <c r="B13" s="1792"/>
      <c r="C13" s="1794" t="s">
        <v>2152</v>
      </c>
      <c r="D13" s="1792"/>
      <c r="E13" s="1807"/>
      <c r="F13" s="1792"/>
      <c r="G13" s="1808"/>
      <c r="H13" s="1809"/>
      <c r="I13" s="1810">
        <f>SUM(I11:I12)</f>
        <v>171.78</v>
      </c>
    </row>
    <row r="14" spans="1:12" s="1793" customFormat="1">
      <c r="A14" s="1792"/>
      <c r="B14" s="1792"/>
      <c r="C14" s="1794" t="s">
        <v>2152</v>
      </c>
      <c r="D14" s="1792"/>
      <c r="E14" s="1807"/>
      <c r="F14" s="1792"/>
      <c r="G14" s="1808"/>
      <c r="H14" s="1809"/>
      <c r="I14" s="1810">
        <f>SUM(I13:I13)</f>
        <v>171.78</v>
      </c>
    </row>
    <row r="15" spans="1:12" s="1793" customFormat="1">
      <c r="A15" s="1792"/>
      <c r="B15" s="1792"/>
      <c r="C15" s="1811"/>
      <c r="D15" s="1792"/>
      <c r="E15" s="1807"/>
      <c r="F15" s="1792"/>
      <c r="G15" s="1808"/>
      <c r="H15" s="1798" t="s">
        <v>139</v>
      </c>
      <c r="I15" s="1812">
        <f>ROUND(I14,0)</f>
        <v>172</v>
      </c>
    </row>
    <row r="16" spans="1:12" s="1793" customFormat="1" hidden="1">
      <c r="A16" s="1792"/>
      <c r="B16" s="1792"/>
      <c r="C16" s="1813"/>
      <c r="D16" s="1813"/>
      <c r="E16" s="1813"/>
      <c r="F16" s="1813"/>
      <c r="G16" s="1813"/>
      <c r="H16" s="1813"/>
      <c r="I16" s="1814"/>
    </row>
    <row r="17" spans="1:9" s="1793" customFormat="1" ht="14.25" customHeight="1">
      <c r="A17" s="1792"/>
      <c r="B17" s="1792" t="s">
        <v>1168</v>
      </c>
      <c r="C17" s="2076" t="s">
        <v>2153</v>
      </c>
      <c r="D17" s="2076"/>
      <c r="E17" s="2076"/>
      <c r="F17" s="1794"/>
      <c r="G17" s="1794"/>
      <c r="H17" s="1798"/>
      <c r="I17" s="1799"/>
    </row>
    <row r="18" spans="1:9" s="1793" customFormat="1" ht="14.25" customHeight="1">
      <c r="A18" s="1792"/>
      <c r="B18" s="1792"/>
      <c r="C18" s="1794" t="s">
        <v>2154</v>
      </c>
      <c r="D18" s="1794"/>
      <c r="E18" s="1794"/>
      <c r="F18" s="1794"/>
      <c r="G18" s="1794"/>
      <c r="H18" s="1798"/>
      <c r="I18" s="1799"/>
    </row>
    <row r="19" spans="1:9" s="1793" customFormat="1">
      <c r="A19" s="1792"/>
      <c r="B19" s="1792"/>
      <c r="C19" s="1800" t="s">
        <v>1678</v>
      </c>
      <c r="D19" s="1803">
        <v>2.44</v>
      </c>
      <c r="E19" s="1802" t="s">
        <v>796</v>
      </c>
      <c r="F19" s="1803">
        <v>420</v>
      </c>
      <c r="G19" s="1804">
        <v>1</v>
      </c>
      <c r="H19" s="1805" t="s">
        <v>183</v>
      </c>
      <c r="I19" s="1806">
        <f>IF(G19="",D19*F19,(D19*F19/G19))</f>
        <v>1024.8</v>
      </c>
    </row>
    <row r="20" spans="1:9" s="1793" customFormat="1" hidden="1">
      <c r="A20" s="1792"/>
      <c r="B20" s="1792"/>
      <c r="C20" s="1800" t="str">
        <f>[126]Input!$C$36</f>
        <v>Add for MA @ 25%</v>
      </c>
      <c r="D20" s="1803">
        <v>0</v>
      </c>
      <c r="E20" s="1807"/>
      <c r="F20" s="1803">
        <f>I19</f>
        <v>1024.8</v>
      </c>
      <c r="G20" s="1808"/>
      <c r="H20" s="1809"/>
      <c r="I20" s="1806">
        <f>IF(G20="",D20*F20,(D20*F20/G20))</f>
        <v>0</v>
      </c>
    </row>
    <row r="21" spans="1:9" s="1793" customFormat="1" hidden="1">
      <c r="A21" s="1792"/>
      <c r="B21" s="1792"/>
      <c r="C21" s="1794" t="s">
        <v>2152</v>
      </c>
      <c r="D21" s="1792"/>
      <c r="E21" s="1807"/>
      <c r="F21" s="1792"/>
      <c r="G21" s="1808"/>
      <c r="H21" s="1809"/>
      <c r="I21" s="1810">
        <f>SUM(I19:I20)</f>
        <v>1024.8</v>
      </c>
    </row>
    <row r="22" spans="1:9" s="1793" customFormat="1">
      <c r="A22" s="1792"/>
      <c r="B22" s="1792"/>
      <c r="C22" s="1794" t="s">
        <v>2152</v>
      </c>
      <c r="D22" s="1792"/>
      <c r="E22" s="1807"/>
      <c r="F22" s="1792"/>
      <c r="G22" s="1808"/>
      <c r="H22" s="1809"/>
      <c r="I22" s="1810">
        <f>SUM(I21:I21)</f>
        <v>1024.8</v>
      </c>
    </row>
    <row r="23" spans="1:9" s="1793" customFormat="1">
      <c r="A23" s="1792"/>
      <c r="B23" s="1792"/>
      <c r="C23" s="1811"/>
      <c r="D23" s="1792"/>
      <c r="E23" s="1807"/>
      <c r="F23" s="1792"/>
      <c r="G23" s="1808"/>
      <c r="H23" s="1798" t="s">
        <v>139</v>
      </c>
      <c r="I23" s="1812">
        <f>ROUND(I22,0)</f>
        <v>1025</v>
      </c>
    </row>
    <row r="24" spans="1:9" s="1793" customFormat="1" hidden="1">
      <c r="A24" s="1792"/>
      <c r="B24" s="1792"/>
      <c r="C24" s="1811"/>
      <c r="D24" s="1792"/>
      <c r="E24" s="1807"/>
      <c r="F24" s="1792"/>
      <c r="G24" s="1808"/>
      <c r="H24" s="1798"/>
      <c r="I24" s="1815"/>
    </row>
    <row r="25" spans="1:9" s="1793" customFormat="1" hidden="1">
      <c r="A25" s="1792"/>
      <c r="B25" s="1792" t="s">
        <v>1173</v>
      </c>
      <c r="C25" s="2076" t="s">
        <v>2155</v>
      </c>
      <c r="D25" s="2076"/>
      <c r="E25" s="2076"/>
      <c r="F25" s="1794"/>
      <c r="G25" s="1794"/>
      <c r="H25" s="1798"/>
      <c r="I25" s="1799"/>
    </row>
    <row r="26" spans="1:9" s="1793" customFormat="1" hidden="1">
      <c r="A26" s="1792"/>
      <c r="B26" s="1792"/>
      <c r="C26" s="1794" t="s">
        <v>2156</v>
      </c>
      <c r="D26" s="1794"/>
      <c r="E26" s="1794"/>
      <c r="F26" s="1794"/>
      <c r="G26" s="1794"/>
      <c r="H26" s="1798"/>
      <c r="I26" s="1799"/>
    </row>
    <row r="27" spans="1:9" s="1793" customFormat="1" hidden="1">
      <c r="A27" s="1792"/>
      <c r="B27" s="1792"/>
      <c r="C27" s="1800" t="s">
        <v>1678</v>
      </c>
      <c r="D27" s="1803">
        <v>4.88</v>
      </c>
      <c r="E27" s="1802" t="s">
        <v>796</v>
      </c>
      <c r="F27" s="1803">
        <v>420</v>
      </c>
      <c r="G27" s="1804">
        <v>1</v>
      </c>
      <c r="H27" s="1805" t="s">
        <v>183</v>
      </c>
      <c r="I27" s="1806">
        <f>IF(G27="",D27*F27,(D27*F27/G27))</f>
        <v>2049.6</v>
      </c>
    </row>
    <row r="28" spans="1:9" s="1793" customFormat="1" hidden="1">
      <c r="A28" s="1792"/>
      <c r="B28" s="1792"/>
      <c r="C28" s="1800" t="str">
        <f>[126]Input!$C$36</f>
        <v>Add for MA @ 25%</v>
      </c>
      <c r="D28" s="1803">
        <v>0</v>
      </c>
      <c r="E28" s="1807"/>
      <c r="F28" s="1803">
        <f>I27</f>
        <v>2049.6</v>
      </c>
      <c r="G28" s="1808"/>
      <c r="H28" s="1809"/>
      <c r="I28" s="1806">
        <f>IF(G28="",D28*F28,(D28*F28/G28))</f>
        <v>0</v>
      </c>
    </row>
    <row r="29" spans="1:9" s="1793" customFormat="1" hidden="1">
      <c r="A29" s="1792"/>
      <c r="B29" s="1792"/>
      <c r="C29" s="1794" t="s">
        <v>2152</v>
      </c>
      <c r="D29" s="1792"/>
      <c r="E29" s="1807"/>
      <c r="F29" s="1792"/>
      <c r="G29" s="1808"/>
      <c r="H29" s="1809"/>
      <c r="I29" s="1810">
        <f>SUM(I27:I28)</f>
        <v>2049.6</v>
      </c>
    </row>
    <row r="30" spans="1:9" s="1793" customFormat="1" hidden="1">
      <c r="A30" s="1792"/>
      <c r="B30" s="1792"/>
      <c r="C30" s="1794" t="s">
        <v>2152</v>
      </c>
      <c r="D30" s="1792"/>
      <c r="E30" s="1807"/>
      <c r="F30" s="1792"/>
      <c r="G30" s="1808"/>
      <c r="H30" s="1809"/>
      <c r="I30" s="1810">
        <f>SUM(I29:I29)</f>
        <v>2049.6</v>
      </c>
    </row>
    <row r="31" spans="1:9" s="1793" customFormat="1" hidden="1">
      <c r="A31" s="1792"/>
      <c r="B31" s="1792"/>
      <c r="C31" s="1811"/>
      <c r="D31" s="1792"/>
      <c r="E31" s="1807"/>
      <c r="F31" s="1792"/>
      <c r="G31" s="1808"/>
      <c r="H31" s="1798" t="s">
        <v>139</v>
      </c>
      <c r="I31" s="1812">
        <f>ROUND(I30,0)</f>
        <v>2050</v>
      </c>
    </row>
    <row r="32" spans="1:9" s="1793" customFormat="1" hidden="1">
      <c r="A32" s="1792"/>
      <c r="B32" s="1792"/>
      <c r="C32" s="1811"/>
      <c r="D32" s="1792"/>
      <c r="E32" s="1807"/>
      <c r="F32" s="1792"/>
      <c r="G32" s="1808"/>
      <c r="H32" s="1798"/>
      <c r="I32" s="1815"/>
    </row>
    <row r="33" spans="1:12" s="1793" customFormat="1" hidden="1">
      <c r="A33" s="1792"/>
      <c r="B33" s="1792" t="s">
        <v>2157</v>
      </c>
      <c r="C33" s="1794" t="s">
        <v>2158</v>
      </c>
      <c r="D33" s="1794"/>
      <c r="E33" s="1794"/>
      <c r="F33" s="1794"/>
      <c r="G33" s="1794"/>
      <c r="H33" s="1798"/>
      <c r="I33" s="1799"/>
    </row>
    <row r="34" spans="1:12" s="1793" customFormat="1" hidden="1">
      <c r="A34" s="1792"/>
      <c r="B34" s="1792"/>
      <c r="C34" s="1794" t="s">
        <v>2159</v>
      </c>
      <c r="D34" s="1794"/>
      <c r="E34" s="1794"/>
      <c r="F34" s="1794"/>
      <c r="G34" s="1794"/>
      <c r="H34" s="1798"/>
      <c r="I34" s="1799"/>
    </row>
    <row r="35" spans="1:12" s="1793" customFormat="1" hidden="1">
      <c r="A35" s="1792"/>
      <c r="B35" s="1792"/>
      <c r="C35" s="1800" t="s">
        <v>1678</v>
      </c>
      <c r="D35" s="1803">
        <v>4.32</v>
      </c>
      <c r="E35" s="1802" t="s">
        <v>796</v>
      </c>
      <c r="F35" s="1803">
        <v>420</v>
      </c>
      <c r="G35" s="1804">
        <v>1</v>
      </c>
      <c r="H35" s="1805" t="s">
        <v>183</v>
      </c>
      <c r="I35" s="1806">
        <f>IF(G35="",D35*F35,(D35*F35/G35))</f>
        <v>1814.4</v>
      </c>
    </row>
    <row r="36" spans="1:12" s="1793" customFormat="1" hidden="1">
      <c r="A36" s="1792"/>
      <c r="B36" s="1792"/>
      <c r="C36" s="1800" t="str">
        <f>[126]Input!$C$36</f>
        <v>Add for MA @ 25%</v>
      </c>
      <c r="D36" s="1803">
        <f>[126]Input!$D$36</f>
        <v>0.25</v>
      </c>
      <c r="E36" s="1807"/>
      <c r="F36" s="1803">
        <f>I35</f>
        <v>1814.4</v>
      </c>
      <c r="G36" s="1808"/>
      <c r="H36" s="1809"/>
      <c r="I36" s="1806">
        <f>IF(G36="",D36*F36,(D36*F36/G36))</f>
        <v>453.6</v>
      </c>
    </row>
    <row r="37" spans="1:12" s="1793" customFormat="1" ht="26" hidden="1">
      <c r="A37" s="1792"/>
      <c r="B37" s="1792"/>
      <c r="C37" s="1816" t="s">
        <v>2160</v>
      </c>
      <c r="D37" s="1803"/>
      <c r="E37" s="1807"/>
      <c r="F37" s="1803"/>
      <c r="G37" s="1808"/>
      <c r="H37" s="1809"/>
      <c r="I37" s="1806"/>
    </row>
    <row r="38" spans="1:12" s="1793" customFormat="1" hidden="1">
      <c r="A38" s="1792"/>
      <c r="B38" s="1792"/>
      <c r="C38" s="1816" t="s">
        <v>2161</v>
      </c>
      <c r="D38" s="1803">
        <v>0.5</v>
      </c>
      <c r="E38" s="1802" t="s">
        <v>796</v>
      </c>
      <c r="F38" s="1803">
        <v>495</v>
      </c>
      <c r="G38" s="1804">
        <v>1</v>
      </c>
      <c r="H38" s="1805" t="s">
        <v>183</v>
      </c>
      <c r="I38" s="1806">
        <f>IF(G38="",D38*F38,(D38*F38/G38))</f>
        <v>247.5</v>
      </c>
    </row>
    <row r="39" spans="1:12" s="1793" customFormat="1" hidden="1">
      <c r="A39" s="1792"/>
      <c r="B39" s="1792"/>
      <c r="C39" s="1816" t="s">
        <v>2162</v>
      </c>
      <c r="D39" s="1803">
        <v>0.5</v>
      </c>
      <c r="E39" s="1802" t="s">
        <v>796</v>
      </c>
      <c r="F39" s="1803">
        <v>420</v>
      </c>
      <c r="G39" s="1804">
        <v>1</v>
      </c>
      <c r="H39" s="1805" t="s">
        <v>183</v>
      </c>
      <c r="I39" s="1806">
        <f>IF(G39="",D39*F39,(D39*F39/G39))</f>
        <v>210</v>
      </c>
    </row>
    <row r="40" spans="1:12" s="1793" customFormat="1" hidden="1">
      <c r="A40" s="1792"/>
      <c r="B40" s="1792"/>
      <c r="C40" s="1800" t="str">
        <f>[126]Input!$C$36</f>
        <v>Add for MA @ 25%</v>
      </c>
      <c r="D40" s="1803">
        <v>0</v>
      </c>
      <c r="E40" s="1807"/>
      <c r="F40" s="1803">
        <f>I38+I39</f>
        <v>457.5</v>
      </c>
      <c r="G40" s="1808"/>
      <c r="H40" s="1809"/>
      <c r="I40" s="1806">
        <f>IF(G40="",D40*F40,(D40*F40/G40))</f>
        <v>0</v>
      </c>
    </row>
    <row r="41" spans="1:12" s="1793" customFormat="1" hidden="1">
      <c r="A41" s="1792"/>
      <c r="B41" s="1792"/>
      <c r="C41" s="1794" t="s">
        <v>2152</v>
      </c>
      <c r="D41" s="1792"/>
      <c r="E41" s="1807"/>
      <c r="F41" s="1792"/>
      <c r="G41" s="1808"/>
      <c r="H41" s="1809"/>
      <c r="I41" s="1810">
        <f>SUM(I35:I40)</f>
        <v>2725.5</v>
      </c>
    </row>
    <row r="42" spans="1:12" s="1793" customFormat="1" hidden="1">
      <c r="A42" s="1792"/>
      <c r="B42" s="1792"/>
      <c r="C42" s="1794" t="s">
        <v>2152</v>
      </c>
      <c r="D42" s="1792"/>
      <c r="E42" s="1807"/>
      <c r="F42" s="1792"/>
      <c r="G42" s="1808"/>
      <c r="H42" s="1809"/>
      <c r="I42" s="1810">
        <f>SUM(I41:I41)</f>
        <v>2725.5</v>
      </c>
    </row>
    <row r="43" spans="1:12" s="1793" customFormat="1" hidden="1">
      <c r="A43" s="1792"/>
      <c r="B43" s="1792"/>
      <c r="C43" s="1811"/>
      <c r="D43" s="1792"/>
      <c r="E43" s="1807"/>
      <c r="F43" s="1792"/>
      <c r="G43" s="1808"/>
      <c r="H43" s="1798" t="s">
        <v>139</v>
      </c>
      <c r="I43" s="1812">
        <f>ROUND(I42,0)</f>
        <v>2726</v>
      </c>
    </row>
    <row r="44" spans="1:12" ht="51" customHeight="1">
      <c r="A44" s="1486" t="s">
        <v>238</v>
      </c>
      <c r="B44" s="733">
        <v>1</v>
      </c>
      <c r="C44" s="2077" t="s">
        <v>323</v>
      </c>
      <c r="D44" s="2078"/>
      <c r="E44" s="2078"/>
      <c r="F44" s="2078"/>
      <c r="G44" s="2078"/>
      <c r="H44" s="2078"/>
      <c r="I44" s="2079"/>
      <c r="J44" s="726"/>
      <c r="K44" s="726"/>
      <c r="L44" s="726"/>
    </row>
    <row r="45" spans="1:12" ht="26">
      <c r="A45" s="970"/>
      <c r="B45" s="733"/>
      <c r="C45" s="735" t="s">
        <v>324</v>
      </c>
      <c r="D45" s="730"/>
      <c r="E45" s="731"/>
      <c r="F45" s="732"/>
      <c r="G45" s="845"/>
      <c r="H45" s="726"/>
      <c r="I45" s="726"/>
      <c r="J45" s="726"/>
      <c r="K45" s="726"/>
      <c r="L45" s="726"/>
    </row>
    <row r="46" spans="1:12" ht="13.5" customHeight="1">
      <c r="A46" s="970"/>
      <c r="B46" s="733"/>
      <c r="C46" s="735" t="s">
        <v>239</v>
      </c>
      <c r="D46" s="730"/>
      <c r="E46" s="731"/>
      <c r="F46" s="732"/>
      <c r="G46" s="845"/>
      <c r="H46" s="726"/>
      <c r="I46" s="726"/>
      <c r="J46" s="726"/>
      <c r="K46" s="726"/>
      <c r="L46" s="726"/>
    </row>
    <row r="47" spans="1:12" ht="13.5" customHeight="1">
      <c r="A47" s="970"/>
      <c r="B47" s="733"/>
      <c r="C47" s="735" t="s">
        <v>240</v>
      </c>
      <c r="D47" s="730"/>
      <c r="E47" s="731"/>
      <c r="F47" s="732"/>
      <c r="G47" s="845"/>
      <c r="H47" s="726"/>
      <c r="I47" s="726"/>
      <c r="J47" s="726"/>
      <c r="K47" s="726"/>
      <c r="L47" s="726"/>
    </row>
    <row r="48" spans="1:12" ht="13.5" customHeight="1">
      <c r="A48" s="970"/>
      <c r="B48" s="733"/>
      <c r="C48" s="735" t="s">
        <v>241</v>
      </c>
      <c r="D48" s="730" t="s">
        <v>119</v>
      </c>
      <c r="E48" s="731"/>
      <c r="F48" s="732"/>
      <c r="G48" s="845"/>
      <c r="H48" s="726"/>
      <c r="I48" s="726"/>
      <c r="J48" s="726"/>
      <c r="K48" s="726"/>
      <c r="L48" s="726"/>
    </row>
    <row r="49" spans="1:12" ht="13.5" customHeight="1">
      <c r="A49" s="970"/>
      <c r="B49" s="733"/>
      <c r="C49" s="735" t="s">
        <v>1628</v>
      </c>
      <c r="D49" s="730" t="s">
        <v>181</v>
      </c>
      <c r="E49" s="730">
        <v>1</v>
      </c>
      <c r="F49" s="732">
        <v>211</v>
      </c>
      <c r="G49" s="991">
        <f>E49*F49</f>
        <v>211</v>
      </c>
      <c r="H49" s="726"/>
      <c r="I49" s="726"/>
      <c r="J49" s="726"/>
      <c r="K49" s="726"/>
      <c r="L49" s="726"/>
    </row>
    <row r="50" spans="1:12" ht="15.75" customHeight="1">
      <c r="A50" s="970"/>
      <c r="B50" s="733"/>
      <c r="C50" s="735" t="s">
        <v>1725</v>
      </c>
      <c r="D50" s="730"/>
      <c r="E50" s="730"/>
      <c r="F50" s="732"/>
      <c r="G50" s="991">
        <v>0</v>
      </c>
      <c r="H50" s="726"/>
      <c r="I50" s="726"/>
      <c r="J50" s="726"/>
      <c r="K50" s="726"/>
      <c r="L50" s="726"/>
    </row>
    <row r="51" spans="1:12" ht="13.5" hidden="1" customHeight="1">
      <c r="A51" s="970"/>
      <c r="B51" s="733"/>
      <c r="C51" s="735" t="s">
        <v>1724</v>
      </c>
      <c r="D51" s="737">
        <f>D1</f>
        <v>0</v>
      </c>
      <c r="E51" s="731"/>
      <c r="F51" s="732"/>
      <c r="G51" s="991"/>
      <c r="H51" s="726"/>
      <c r="I51" s="726"/>
      <c r="J51" s="726"/>
      <c r="K51" s="726"/>
      <c r="L51" s="726"/>
    </row>
    <row r="52" spans="1:12" ht="13.5" customHeight="1">
      <c r="A52" s="970"/>
      <c r="B52" s="733"/>
      <c r="C52" s="735" t="s">
        <v>243</v>
      </c>
      <c r="D52" s="730"/>
      <c r="E52" s="731"/>
      <c r="F52" s="732"/>
      <c r="G52" s="1334">
        <f>SUM(G49:G51)</f>
        <v>211</v>
      </c>
      <c r="H52" s="726"/>
      <c r="I52" s="726"/>
      <c r="J52" s="726"/>
      <c r="K52" s="726"/>
      <c r="L52" s="726"/>
    </row>
    <row r="53" spans="1:12" ht="25.5" customHeight="1">
      <c r="A53" s="1842"/>
      <c r="B53" s="1843"/>
      <c r="C53" s="2069" t="s">
        <v>326</v>
      </c>
      <c r="D53" s="2070"/>
      <c r="E53" s="2070"/>
      <c r="F53" s="2070"/>
      <c r="G53" s="1844"/>
      <c r="H53" s="726"/>
      <c r="I53" s="726"/>
      <c r="J53" s="726"/>
      <c r="K53" s="726"/>
      <c r="L53" s="726"/>
    </row>
    <row r="54" spans="1:12" s="1426" customFormat="1" ht="65.25" customHeight="1">
      <c r="A54" s="1848" t="s">
        <v>2064</v>
      </c>
      <c r="B54" s="1849">
        <v>2</v>
      </c>
      <c r="C54" s="2044" t="s">
        <v>2065</v>
      </c>
      <c r="D54" s="2045"/>
      <c r="E54" s="2045"/>
      <c r="F54" s="2045"/>
      <c r="G54" s="2045"/>
      <c r="H54" s="2045"/>
      <c r="I54" s="2046"/>
    </row>
    <row r="55" spans="1:12" s="1426" customFormat="1">
      <c r="A55" s="1850"/>
      <c r="B55" s="1849"/>
      <c r="C55" s="1546" t="s">
        <v>2064</v>
      </c>
      <c r="D55" s="1409"/>
      <c r="E55" s="1409"/>
      <c r="F55" s="1851"/>
      <c r="G55" s="1852"/>
      <c r="H55" s="1841"/>
      <c r="I55" s="726"/>
    </row>
    <row r="56" spans="1:12" s="1426" customFormat="1">
      <c r="A56" s="1850"/>
      <c r="B56" s="1849"/>
      <c r="C56" s="2073" t="s">
        <v>2066</v>
      </c>
      <c r="D56" s="2073"/>
      <c r="E56" s="2073"/>
      <c r="F56" s="1851"/>
      <c r="G56" s="1852"/>
      <c r="H56" s="1841"/>
      <c r="I56" s="726"/>
    </row>
    <row r="57" spans="1:12" s="1426" customFormat="1">
      <c r="A57" s="1850"/>
      <c r="B57" s="1849"/>
      <c r="C57" s="1853" t="s">
        <v>2067</v>
      </c>
      <c r="D57" s="1417"/>
      <c r="E57" s="1854"/>
      <c r="F57" s="1417"/>
      <c r="G57" s="1545"/>
      <c r="H57" s="1841" t="str">
        <f>IF(E57="","",IF(E57="No.","Each",IF(E57="Nos.","Each",E57)))</f>
        <v/>
      </c>
      <c r="I57" s="726"/>
    </row>
    <row r="58" spans="1:12" s="1426" customFormat="1">
      <c r="A58" s="1850"/>
      <c r="B58" s="1849"/>
      <c r="C58" s="1829" t="s">
        <v>2068</v>
      </c>
      <c r="D58" s="1855">
        <v>240</v>
      </c>
      <c r="E58" s="1856" t="s">
        <v>117</v>
      </c>
      <c r="F58" s="1851"/>
      <c r="G58" s="1857"/>
      <c r="H58" s="1841"/>
      <c r="I58" s="726"/>
    </row>
    <row r="59" spans="1:12" s="1426" customFormat="1">
      <c r="A59" s="1850"/>
      <c r="B59" s="1849"/>
      <c r="C59" s="1407" t="s">
        <v>2069</v>
      </c>
      <c r="D59" s="1413"/>
      <c r="E59" s="1858"/>
      <c r="F59" s="1413"/>
      <c r="G59" s="1415"/>
      <c r="H59" s="1841"/>
      <c r="I59" s="726"/>
    </row>
    <row r="60" spans="1:12" s="1426" customFormat="1">
      <c r="A60" s="1850"/>
      <c r="B60" s="1849"/>
      <c r="C60" s="1853" t="s">
        <v>2070</v>
      </c>
      <c r="D60" s="1413">
        <v>8.32</v>
      </c>
      <c r="E60" s="1413">
        <v>420</v>
      </c>
      <c r="F60" s="1415">
        <v>1</v>
      </c>
      <c r="G60" s="1411">
        <f>IF(F60="",D60*E60,(D60*E60/F60))</f>
        <v>3494.4</v>
      </c>
      <c r="H60" s="1841"/>
      <c r="I60" s="726"/>
    </row>
    <row r="61" spans="1:12" s="1426" customFormat="1">
      <c r="A61" s="1850"/>
      <c r="B61" s="1849"/>
      <c r="C61" s="1853" t="str">
        <f>[126]Input!$C$36</f>
        <v>Add for MA @ 25%</v>
      </c>
      <c r="D61" s="1413">
        <f>[126]Input!$D$36</f>
        <v>0.25</v>
      </c>
      <c r="E61" s="1413">
        <f>G60</f>
        <v>3494.4</v>
      </c>
      <c r="F61" s="1415"/>
      <c r="G61" s="1411">
        <f>IF(F61="",D61*E61,(D61*E61/F61))</f>
        <v>873.6</v>
      </c>
      <c r="H61" s="1841"/>
      <c r="I61" s="726"/>
    </row>
    <row r="62" spans="1:12" s="1426" customFormat="1">
      <c r="A62" s="1850"/>
      <c r="B62" s="1849"/>
      <c r="C62" s="1853" t="s">
        <v>2071</v>
      </c>
      <c r="D62" s="1413"/>
      <c r="E62" s="1413"/>
      <c r="F62" s="1415"/>
      <c r="G62" s="1411"/>
      <c r="H62" s="1841"/>
      <c r="I62" s="726"/>
    </row>
    <row r="63" spans="1:12" s="1426" customFormat="1">
      <c r="A63" s="1850"/>
      <c r="B63" s="1849"/>
      <c r="C63" s="1409" t="s">
        <v>2072</v>
      </c>
      <c r="D63" s="1417">
        <v>6</v>
      </c>
      <c r="E63" s="1417">
        <f>'[126]Civil SSR 18-19'!$F$301</f>
        <v>2534.1999999999998</v>
      </c>
      <c r="F63" s="1545">
        <v>1</v>
      </c>
      <c r="G63" s="1411">
        <f>IF(F63="",D63*E63,(D63*E63/F63))</f>
        <v>15205.199999999999</v>
      </c>
      <c r="H63" s="1841"/>
      <c r="I63" s="726"/>
    </row>
    <row r="64" spans="1:12" s="1426" customFormat="1">
      <c r="A64" s="1850"/>
      <c r="B64" s="1849"/>
      <c r="C64" s="1853" t="s">
        <v>2073</v>
      </c>
      <c r="D64" s="1417">
        <v>6</v>
      </c>
      <c r="E64" s="1417">
        <f>'[126]Civil SSR 18-19'!$I$301</f>
        <v>257.39999999999998</v>
      </c>
      <c r="F64" s="1545">
        <v>1</v>
      </c>
      <c r="G64" s="1411">
        <f>IF(F64="",D64*E64,(D64*E64/F64))</f>
        <v>1544.3999999999999</v>
      </c>
      <c r="H64" s="1841"/>
      <c r="I64" s="726"/>
    </row>
    <row r="65" spans="1:12" s="1426" customFormat="1">
      <c r="A65" s="1850"/>
      <c r="B65" s="1849"/>
      <c r="C65" s="1853" t="s">
        <v>2074</v>
      </c>
      <c r="D65" s="1413">
        <f>[126]Input!$D$36</f>
        <v>0.25</v>
      </c>
      <c r="E65" s="1413">
        <f>G64</f>
        <v>1544.3999999999999</v>
      </c>
      <c r="F65" s="1415"/>
      <c r="G65" s="1411">
        <f>IF(F65="",D65*E65,(D65*E65/F65))</f>
        <v>386.09999999999997</v>
      </c>
      <c r="H65" s="1841"/>
      <c r="I65" s="726"/>
    </row>
    <row r="66" spans="1:12" s="1426" customFormat="1">
      <c r="A66" s="1850"/>
      <c r="B66" s="1849"/>
      <c r="C66" s="1853"/>
      <c r="D66" s="1413"/>
      <c r="E66" s="1413"/>
      <c r="F66" s="1413"/>
      <c r="G66" s="1411">
        <f>SUM(G60:G65)</f>
        <v>21503.699999999997</v>
      </c>
      <c r="H66" s="1841"/>
      <c r="I66" s="726"/>
    </row>
    <row r="67" spans="1:12" s="1426" customFormat="1">
      <c r="A67" s="1850"/>
      <c r="B67" s="1849"/>
      <c r="C67" s="1853" t="s">
        <v>2075</v>
      </c>
      <c r="D67" s="1413"/>
      <c r="E67" s="1413"/>
      <c r="F67" s="1413"/>
      <c r="G67" s="1411"/>
      <c r="H67" s="1841"/>
      <c r="I67" s="726"/>
    </row>
    <row r="68" spans="1:12" s="1426" customFormat="1">
      <c r="A68" s="1850"/>
      <c r="B68" s="1849"/>
      <c r="C68" s="1853" t="s">
        <v>2076</v>
      </c>
      <c r="D68" s="1413"/>
      <c r="E68" s="1413"/>
      <c r="F68" s="1415"/>
      <c r="G68" s="1417">
        <f>SUM(G66:G67)</f>
        <v>21503.699999999997</v>
      </c>
      <c r="H68" s="1841"/>
      <c r="I68" s="726"/>
    </row>
    <row r="69" spans="1:12" s="1426" customFormat="1">
      <c r="A69" s="1850"/>
      <c r="B69" s="1849"/>
      <c r="C69" s="1859" t="s">
        <v>2077</v>
      </c>
      <c r="D69" s="1413"/>
      <c r="E69" s="1413"/>
      <c r="F69" s="1415"/>
      <c r="G69" s="1423">
        <f>G68/D58</f>
        <v>89.598749999999981</v>
      </c>
      <c r="H69" s="1841"/>
      <c r="I69" s="726"/>
    </row>
    <row r="70" spans="1:12" s="1426" customFormat="1">
      <c r="A70" s="1850"/>
      <c r="B70" s="1849"/>
      <c r="C70" s="1859"/>
      <c r="D70" s="1413"/>
      <c r="E70" s="1413"/>
      <c r="F70" s="1415"/>
      <c r="G70" s="1423">
        <f>ROUND(G69,0)</f>
        <v>90</v>
      </c>
      <c r="H70" s="1841"/>
      <c r="I70" s="726"/>
    </row>
    <row r="71" spans="1:12" s="1426" customFormat="1" hidden="1">
      <c r="A71" s="1850"/>
      <c r="B71" s="1849"/>
      <c r="C71" s="1859"/>
      <c r="D71" s="1413"/>
      <c r="E71" s="1858"/>
      <c r="F71" s="1413"/>
      <c r="G71" s="1415"/>
      <c r="H71" s="1841"/>
      <c r="I71" s="726"/>
    </row>
    <row r="72" spans="1:12" ht="24.75" customHeight="1">
      <c r="A72" s="1845" t="s">
        <v>244</v>
      </c>
      <c r="B72" s="1846">
        <v>3</v>
      </c>
      <c r="C72" s="2071" t="s">
        <v>1684</v>
      </c>
      <c r="D72" s="2072"/>
      <c r="E72" s="2072"/>
      <c r="F72" s="2072"/>
      <c r="G72" s="1847"/>
      <c r="H72" s="726"/>
      <c r="I72" s="726"/>
      <c r="J72" s="726"/>
      <c r="K72" s="726"/>
      <c r="L72" s="726"/>
    </row>
    <row r="73" spans="1:12" hidden="1">
      <c r="A73" s="892"/>
      <c r="B73" s="740"/>
      <c r="C73" s="727" t="s">
        <v>1688</v>
      </c>
      <c r="D73" s="731"/>
      <c r="E73" s="731"/>
      <c r="F73" s="732"/>
      <c r="G73" s="844"/>
      <c r="H73" s="726"/>
      <c r="I73" s="726"/>
      <c r="J73" s="726"/>
      <c r="K73" s="726"/>
      <c r="L73" s="726"/>
    </row>
    <row r="74" spans="1:12">
      <c r="A74" s="892"/>
      <c r="B74" s="740"/>
      <c r="C74" s="727" t="s">
        <v>1124</v>
      </c>
      <c r="D74" s="731"/>
      <c r="E74" s="731"/>
      <c r="F74" s="732"/>
      <c r="G74" s="844"/>
      <c r="H74" s="726"/>
      <c r="I74" s="726"/>
      <c r="J74" s="726"/>
      <c r="K74" s="726"/>
      <c r="L74" s="726"/>
    </row>
    <row r="75" spans="1:12">
      <c r="A75" s="892"/>
      <c r="B75" s="740"/>
      <c r="C75" s="1483" t="s">
        <v>569</v>
      </c>
      <c r="D75" s="731"/>
      <c r="E75" s="731"/>
      <c r="F75" s="732"/>
      <c r="G75" s="844"/>
      <c r="H75" s="726"/>
      <c r="I75" s="726"/>
      <c r="J75" s="726"/>
      <c r="K75" s="726"/>
      <c r="L75" s="726"/>
    </row>
    <row r="76" spans="1:12">
      <c r="A76" s="892"/>
      <c r="B76" s="740"/>
      <c r="C76" s="729" t="s">
        <v>1750</v>
      </c>
      <c r="D76" s="731"/>
      <c r="E76" s="731"/>
      <c r="F76" s="732"/>
      <c r="G76" s="844"/>
      <c r="H76" s="726"/>
      <c r="I76" s="726"/>
      <c r="J76" s="726"/>
      <c r="K76" s="726"/>
      <c r="L76" s="726"/>
    </row>
    <row r="77" spans="1:12" hidden="1">
      <c r="A77" s="892"/>
      <c r="B77" s="740"/>
      <c r="C77" s="1483" t="s">
        <v>241</v>
      </c>
      <c r="D77" s="731" t="s">
        <v>119</v>
      </c>
      <c r="E77" s="741"/>
      <c r="F77" s="732"/>
      <c r="G77" s="844"/>
      <c r="H77" s="726"/>
      <c r="I77" s="726"/>
      <c r="J77" s="726"/>
      <c r="K77" s="726"/>
      <c r="L77" s="726"/>
    </row>
    <row r="78" spans="1:12">
      <c r="A78" s="892"/>
      <c r="B78" s="740"/>
      <c r="C78" s="1483" t="s">
        <v>473</v>
      </c>
      <c r="D78" s="731" t="s">
        <v>119</v>
      </c>
      <c r="E78" s="742">
        <v>0.31</v>
      </c>
      <c r="F78" s="732">
        <v>420</v>
      </c>
      <c r="G78" s="844">
        <f>ROUND(E78*F78,2)</f>
        <v>130.19999999999999</v>
      </c>
      <c r="H78" s="726"/>
      <c r="I78" s="726"/>
      <c r="J78" s="726"/>
      <c r="K78" s="726"/>
      <c r="L78" s="726"/>
    </row>
    <row r="79" spans="1:12">
      <c r="A79" s="892"/>
      <c r="B79" s="740"/>
      <c r="C79" s="727" t="s">
        <v>247</v>
      </c>
      <c r="D79" s="731"/>
      <c r="E79" s="741"/>
      <c r="F79" s="732"/>
      <c r="G79" s="845"/>
      <c r="H79" s="726"/>
      <c r="I79" s="726"/>
      <c r="J79" s="726"/>
      <c r="K79" s="726"/>
      <c r="L79" s="726"/>
    </row>
    <row r="80" spans="1:12">
      <c r="A80" s="892"/>
      <c r="B80" s="740"/>
      <c r="C80" s="1483" t="s">
        <v>1687</v>
      </c>
      <c r="D80" s="731" t="s">
        <v>117</v>
      </c>
      <c r="E80" s="741">
        <v>6</v>
      </c>
      <c r="F80" s="743">
        <f>'Lead statement (2)'!J21</f>
        <v>1121.4000000000001</v>
      </c>
      <c r="G80" s="844">
        <f>ROUND(E80*F80,2)</f>
        <v>6728.4</v>
      </c>
      <c r="H80" s="744"/>
      <c r="I80" s="726"/>
      <c r="J80" s="726"/>
      <c r="K80" s="726"/>
      <c r="L80" s="726"/>
    </row>
    <row r="81" spans="1:12">
      <c r="A81" s="892"/>
      <c r="B81" s="740"/>
      <c r="C81" s="1483" t="s">
        <v>1125</v>
      </c>
      <c r="D81" s="731"/>
      <c r="E81" s="741"/>
      <c r="F81" s="732"/>
      <c r="G81" s="845">
        <f>SUM(G77:G80,0)</f>
        <v>6858.5999999999995</v>
      </c>
      <c r="H81" s="744"/>
      <c r="I81" s="726"/>
      <c r="J81" s="726"/>
      <c r="K81" s="726"/>
      <c r="L81" s="726"/>
    </row>
    <row r="82" spans="1:12">
      <c r="A82" s="892"/>
      <c r="B82" s="740"/>
      <c r="C82" s="1483" t="s">
        <v>570</v>
      </c>
      <c r="D82" s="731"/>
      <c r="E82" s="741"/>
      <c r="F82" s="732"/>
      <c r="G82" s="845">
        <f>ROUND(G81/6,2)</f>
        <v>1143.0999999999999</v>
      </c>
      <c r="H82" s="744"/>
      <c r="I82" s="726"/>
      <c r="J82" s="726"/>
      <c r="K82" s="726"/>
      <c r="L82" s="726"/>
    </row>
    <row r="83" spans="1:12" ht="24.75" customHeight="1">
      <c r="A83" s="1486" t="s">
        <v>244</v>
      </c>
      <c r="B83" s="739">
        <v>4</v>
      </c>
      <c r="C83" s="2030" t="s">
        <v>1895</v>
      </c>
      <c r="D83" s="2031"/>
      <c r="E83" s="2031"/>
      <c r="F83" s="2031"/>
      <c r="G83" s="844"/>
      <c r="H83" s="726"/>
      <c r="I83" s="726"/>
      <c r="J83" s="726"/>
      <c r="K83" s="726"/>
      <c r="L83" s="726"/>
    </row>
    <row r="84" spans="1:12" hidden="1">
      <c r="A84" s="892"/>
      <c r="B84" s="740"/>
      <c r="C84" s="727" t="s">
        <v>246</v>
      </c>
      <c r="D84" s="731"/>
      <c r="E84" s="731"/>
      <c r="F84" s="732"/>
      <c r="G84" s="844"/>
      <c r="H84" s="726"/>
      <c r="I84" s="726"/>
      <c r="J84" s="726"/>
      <c r="K84" s="726"/>
      <c r="L84" s="726"/>
    </row>
    <row r="85" spans="1:12">
      <c r="A85" s="892"/>
      <c r="B85" s="740"/>
      <c r="C85" s="727" t="s">
        <v>1124</v>
      </c>
      <c r="D85" s="731"/>
      <c r="E85" s="731"/>
      <c r="F85" s="732"/>
      <c r="G85" s="844"/>
      <c r="H85" s="726"/>
      <c r="I85" s="726"/>
      <c r="J85" s="726"/>
      <c r="K85" s="726"/>
      <c r="L85" s="726"/>
    </row>
    <row r="86" spans="1:12">
      <c r="A86" s="892"/>
      <c r="B86" s="740"/>
      <c r="C86" s="1483" t="s">
        <v>569</v>
      </c>
      <c r="D86" s="731"/>
      <c r="E86" s="731"/>
      <c r="F86" s="732"/>
      <c r="G86" s="844"/>
      <c r="H86" s="726"/>
      <c r="I86" s="726"/>
      <c r="J86" s="726"/>
      <c r="K86" s="726"/>
      <c r="L86" s="726"/>
    </row>
    <row r="87" spans="1:12">
      <c r="A87" s="892"/>
      <c r="B87" s="740"/>
      <c r="C87" s="729" t="s">
        <v>1750</v>
      </c>
      <c r="D87" s="731"/>
      <c r="E87" s="731"/>
      <c r="F87" s="732"/>
      <c r="G87" s="844"/>
      <c r="H87" s="726"/>
      <c r="I87" s="726"/>
      <c r="J87" s="726"/>
      <c r="K87" s="726"/>
      <c r="L87" s="726"/>
    </row>
    <row r="88" spans="1:12" hidden="1">
      <c r="A88" s="892"/>
      <c r="B88" s="740"/>
      <c r="C88" s="1483" t="s">
        <v>241</v>
      </c>
      <c r="D88" s="731" t="s">
        <v>119</v>
      </c>
      <c r="E88" s="741"/>
      <c r="F88" s="732"/>
      <c r="G88" s="844"/>
      <c r="H88" s="726"/>
      <c r="I88" s="726"/>
      <c r="J88" s="726"/>
      <c r="K88" s="726"/>
      <c r="L88" s="726"/>
    </row>
    <row r="89" spans="1:12">
      <c r="A89" s="892"/>
      <c r="B89" s="740"/>
      <c r="C89" s="1483" t="s">
        <v>473</v>
      </c>
      <c r="D89" s="731" t="s">
        <v>119</v>
      </c>
      <c r="E89" s="742">
        <v>0.31</v>
      </c>
      <c r="F89" s="732">
        <v>420</v>
      </c>
      <c r="G89" s="844">
        <f>ROUND(E89*F89,2)</f>
        <v>130.19999999999999</v>
      </c>
      <c r="H89" s="726"/>
      <c r="I89" s="726"/>
      <c r="J89" s="726"/>
      <c r="K89" s="726"/>
      <c r="L89" s="726"/>
    </row>
    <row r="90" spans="1:12" ht="13.5" hidden="1" customHeight="1">
      <c r="A90" s="970"/>
      <c r="B90" s="733"/>
      <c r="C90" s="735" t="s">
        <v>1724</v>
      </c>
      <c r="D90" s="737">
        <v>0</v>
      </c>
      <c r="E90" s="731"/>
      <c r="F90" s="732"/>
      <c r="G90" s="991">
        <f>G89*D90</f>
        <v>0</v>
      </c>
      <c r="H90" s="726"/>
      <c r="I90" s="726"/>
      <c r="J90" s="726"/>
      <c r="K90" s="726"/>
      <c r="L90" s="726"/>
    </row>
    <row r="91" spans="1:12">
      <c r="A91" s="892"/>
      <c r="B91" s="740"/>
      <c r="C91" s="727" t="s">
        <v>247</v>
      </c>
      <c r="D91" s="731"/>
      <c r="E91" s="741"/>
      <c r="F91" s="732"/>
      <c r="G91" s="845"/>
      <c r="H91" s="726"/>
      <c r="I91" s="726"/>
      <c r="J91" s="726"/>
      <c r="K91" s="726"/>
      <c r="L91" s="726"/>
    </row>
    <row r="92" spans="1:12">
      <c r="A92" s="892"/>
      <c r="B92" s="740"/>
      <c r="C92" s="1483" t="s">
        <v>277</v>
      </c>
      <c r="D92" s="731" t="s">
        <v>117</v>
      </c>
      <c r="E92" s="741">
        <v>6</v>
      </c>
      <c r="F92" s="743">
        <f>'Lead statement (2)'!J9</f>
        <v>798.6</v>
      </c>
      <c r="G92" s="844">
        <f>ROUND(E92*F92,2)</f>
        <v>4791.6000000000004</v>
      </c>
      <c r="H92" s="744"/>
      <c r="I92" s="726"/>
      <c r="J92" s="726"/>
      <c r="K92" s="726"/>
      <c r="L92" s="726"/>
    </row>
    <row r="93" spans="1:12">
      <c r="A93" s="892"/>
      <c r="B93" s="740"/>
      <c r="C93" s="1483" t="s">
        <v>1125</v>
      </c>
      <c r="D93" s="731"/>
      <c r="E93" s="741"/>
      <c r="F93" s="732"/>
      <c r="G93" s="845">
        <f>SUM(G88:G92,0)</f>
        <v>4921.8</v>
      </c>
      <c r="H93" s="744"/>
      <c r="I93" s="726"/>
      <c r="J93" s="726"/>
      <c r="K93" s="726"/>
      <c r="L93" s="726"/>
    </row>
    <row r="94" spans="1:12">
      <c r="A94" s="892"/>
      <c r="B94" s="740"/>
      <c r="C94" s="1483" t="s">
        <v>570</v>
      </c>
      <c r="D94" s="731"/>
      <c r="E94" s="741"/>
      <c r="F94" s="732"/>
      <c r="G94" s="845">
        <f>ROUND(G93/6,2)</f>
        <v>820.3</v>
      </c>
      <c r="H94" s="744"/>
      <c r="I94" s="726"/>
      <c r="J94" s="726"/>
      <c r="K94" s="726"/>
      <c r="L94" s="726"/>
    </row>
    <row r="95" spans="1:12" ht="24.75" customHeight="1">
      <c r="A95" s="1486" t="s">
        <v>244</v>
      </c>
      <c r="B95" s="739">
        <v>5</v>
      </c>
      <c r="C95" s="2030" t="s">
        <v>1875</v>
      </c>
      <c r="D95" s="2031"/>
      <c r="E95" s="2031"/>
      <c r="F95" s="2031"/>
      <c r="G95" s="844"/>
      <c r="H95" s="726"/>
      <c r="I95" s="726"/>
      <c r="J95" s="726"/>
      <c r="K95" s="726"/>
      <c r="L95" s="726"/>
    </row>
    <row r="96" spans="1:12">
      <c r="A96" s="892"/>
      <c r="B96" s="740"/>
      <c r="C96" s="727" t="s">
        <v>1876</v>
      </c>
      <c r="D96" s="731"/>
      <c r="E96" s="731"/>
      <c r="F96" s="732"/>
      <c r="G96" s="844"/>
      <c r="H96" s="726"/>
      <c r="I96" s="726"/>
      <c r="J96" s="726"/>
      <c r="K96" s="726"/>
      <c r="L96" s="726"/>
    </row>
    <row r="97" spans="1:12">
      <c r="A97" s="892"/>
      <c r="B97" s="740"/>
      <c r="C97" s="727" t="s">
        <v>1124</v>
      </c>
      <c r="D97" s="731"/>
      <c r="E97" s="731"/>
      <c r="F97" s="732"/>
      <c r="G97" s="844"/>
      <c r="H97" s="726"/>
      <c r="I97" s="726"/>
      <c r="J97" s="726"/>
      <c r="K97" s="726"/>
      <c r="L97" s="726"/>
    </row>
    <row r="98" spans="1:12">
      <c r="A98" s="892"/>
      <c r="B98" s="740"/>
      <c r="C98" s="1483" t="s">
        <v>569</v>
      </c>
      <c r="D98" s="731"/>
      <c r="E98" s="731"/>
      <c r="F98" s="732"/>
      <c r="G98" s="844"/>
      <c r="H98" s="726"/>
      <c r="I98" s="726"/>
      <c r="J98" s="726"/>
      <c r="K98" s="726"/>
      <c r="L98" s="726"/>
    </row>
    <row r="99" spans="1:12">
      <c r="A99" s="892"/>
      <c r="B99" s="740"/>
      <c r="C99" s="729" t="s">
        <v>1750</v>
      </c>
      <c r="D99" s="731"/>
      <c r="E99" s="731"/>
      <c r="F99" s="732"/>
      <c r="G99" s="844"/>
      <c r="H99" s="726"/>
      <c r="I99" s="726"/>
      <c r="J99" s="726"/>
      <c r="K99" s="726"/>
      <c r="L99" s="726"/>
    </row>
    <row r="100" spans="1:12" hidden="1">
      <c r="A100" s="892"/>
      <c r="B100" s="740"/>
      <c r="C100" s="1483" t="s">
        <v>241</v>
      </c>
      <c r="D100" s="731" t="s">
        <v>119</v>
      </c>
      <c r="E100" s="741"/>
      <c r="F100" s="732"/>
      <c r="G100" s="844"/>
      <c r="H100" s="726"/>
      <c r="I100" s="726"/>
      <c r="J100" s="726"/>
      <c r="K100" s="726"/>
      <c r="L100" s="726"/>
    </row>
    <row r="101" spans="1:12">
      <c r="A101" s="892"/>
      <c r="B101" s="740"/>
      <c r="C101" s="1483" t="s">
        <v>473</v>
      </c>
      <c r="D101" s="731" t="s">
        <v>119</v>
      </c>
      <c r="E101" s="742">
        <v>0.31</v>
      </c>
      <c r="F101" s="732">
        <v>420</v>
      </c>
      <c r="G101" s="844">
        <f>ROUND(E101*F101,2)</f>
        <v>130.19999999999999</v>
      </c>
      <c r="H101" s="726"/>
      <c r="I101" s="726"/>
      <c r="J101" s="726"/>
      <c r="K101" s="726"/>
      <c r="L101" s="726"/>
    </row>
    <row r="102" spans="1:12" ht="13.5" hidden="1" customHeight="1">
      <c r="A102" s="970"/>
      <c r="B102" s="733"/>
      <c r="C102" s="735" t="s">
        <v>1724</v>
      </c>
      <c r="D102" s="737">
        <v>0</v>
      </c>
      <c r="E102" s="731"/>
      <c r="F102" s="732"/>
      <c r="G102" s="991">
        <f>G101*D102</f>
        <v>0</v>
      </c>
      <c r="H102" s="726"/>
      <c r="I102" s="726"/>
      <c r="J102" s="726"/>
      <c r="K102" s="726"/>
      <c r="L102" s="726"/>
    </row>
    <row r="103" spans="1:12">
      <c r="A103" s="892"/>
      <c r="B103" s="740"/>
      <c r="C103" s="727" t="s">
        <v>247</v>
      </c>
      <c r="D103" s="731"/>
      <c r="E103" s="741"/>
      <c r="F103" s="732"/>
      <c r="G103" s="845"/>
      <c r="H103" s="726"/>
      <c r="I103" s="726"/>
      <c r="J103" s="726"/>
      <c r="K103" s="726"/>
      <c r="L103" s="726"/>
    </row>
    <row r="104" spans="1:12">
      <c r="A104" s="892"/>
      <c r="B104" s="740"/>
      <c r="C104" s="1483" t="s">
        <v>1877</v>
      </c>
      <c r="D104" s="731" t="s">
        <v>117</v>
      </c>
      <c r="E104" s="741">
        <v>6</v>
      </c>
      <c r="F104" s="743">
        <f>'Lead statement (2)'!J10</f>
        <v>244.8</v>
      </c>
      <c r="G104" s="844">
        <f>ROUND(E104*F104,2)</f>
        <v>1468.8</v>
      </c>
      <c r="H104" s="744"/>
      <c r="I104" s="726"/>
      <c r="J104" s="726"/>
      <c r="K104" s="726"/>
      <c r="L104" s="726"/>
    </row>
    <row r="105" spans="1:12">
      <c r="A105" s="892"/>
      <c r="B105" s="740"/>
      <c r="C105" s="1483" t="s">
        <v>1125</v>
      </c>
      <c r="D105" s="731"/>
      <c r="E105" s="741"/>
      <c r="F105" s="732"/>
      <c r="G105" s="845">
        <f>SUM(G100:G104,0)</f>
        <v>1599</v>
      </c>
      <c r="H105" s="744"/>
      <c r="I105" s="726"/>
      <c r="J105" s="726"/>
      <c r="K105" s="726"/>
      <c r="L105" s="726"/>
    </row>
    <row r="106" spans="1:12">
      <c r="A106" s="892"/>
      <c r="B106" s="740"/>
      <c r="C106" s="1483" t="s">
        <v>570</v>
      </c>
      <c r="D106" s="731"/>
      <c r="E106" s="741"/>
      <c r="F106" s="732"/>
      <c r="G106" s="845">
        <f>ROUND(G105/6,2)</f>
        <v>266.5</v>
      </c>
      <c r="H106" s="744"/>
      <c r="I106" s="726"/>
      <c r="J106" s="726"/>
      <c r="K106" s="726"/>
      <c r="L106" s="726"/>
    </row>
    <row r="107" spans="1:12" ht="26" hidden="1">
      <c r="A107" s="969" t="s">
        <v>256</v>
      </c>
      <c r="B107" s="731">
        <v>5</v>
      </c>
      <c r="C107" s="729" t="s">
        <v>610</v>
      </c>
      <c r="D107" s="745"/>
      <c r="E107" s="745"/>
      <c r="F107" s="745"/>
      <c r="G107" s="844"/>
      <c r="H107" s="726"/>
      <c r="I107" s="726"/>
      <c r="J107" s="726"/>
      <c r="K107" s="726"/>
      <c r="L107" s="726"/>
    </row>
    <row r="108" spans="1:12" hidden="1">
      <c r="A108" s="971" t="s">
        <v>257</v>
      </c>
      <c r="B108" s="731"/>
      <c r="C108" s="729" t="s">
        <v>250</v>
      </c>
      <c r="D108" s="745"/>
      <c r="E108" s="745"/>
      <c r="F108" s="745"/>
      <c r="G108" s="844"/>
      <c r="H108" s="726"/>
      <c r="I108" s="726"/>
      <c r="J108" s="726"/>
      <c r="K108" s="726"/>
      <c r="L108" s="726"/>
    </row>
    <row r="109" spans="1:12" hidden="1">
      <c r="A109" s="892"/>
      <c r="B109" s="731"/>
      <c r="C109" s="729" t="s">
        <v>24</v>
      </c>
      <c r="D109" s="745"/>
      <c r="E109" s="745"/>
      <c r="F109" s="745"/>
      <c r="G109" s="844"/>
      <c r="H109" s="726"/>
      <c r="I109" s="726"/>
      <c r="J109" s="726"/>
      <c r="K109" s="726"/>
      <c r="L109" s="726"/>
    </row>
    <row r="110" spans="1:12" hidden="1">
      <c r="A110" s="892"/>
      <c r="B110" s="731"/>
      <c r="C110" s="745" t="s">
        <v>218</v>
      </c>
      <c r="D110" s="745" t="s">
        <v>115</v>
      </c>
      <c r="E110" s="745">
        <v>360</v>
      </c>
      <c r="F110" s="745">
        <f>F133</f>
        <v>4.6975999999999996</v>
      </c>
      <c r="G110" s="844">
        <f>ROUND(E110*F110,2)</f>
        <v>1691.14</v>
      </c>
      <c r="H110" s="726"/>
      <c r="I110" s="726"/>
      <c r="J110" s="726"/>
      <c r="K110" s="726"/>
      <c r="L110" s="726"/>
    </row>
    <row r="111" spans="1:12" hidden="1">
      <c r="A111" s="892"/>
      <c r="B111" s="731"/>
      <c r="C111" s="745" t="s">
        <v>251</v>
      </c>
      <c r="D111" s="745" t="s">
        <v>117</v>
      </c>
      <c r="E111" s="745">
        <v>1.05</v>
      </c>
      <c r="F111" s="745">
        <f>F134</f>
        <v>1013.6</v>
      </c>
      <c r="G111" s="844">
        <f>ROUND(E111*F111,2)</f>
        <v>1064.28</v>
      </c>
      <c r="H111" s="726"/>
      <c r="I111" s="726"/>
      <c r="J111" s="726"/>
      <c r="K111" s="726"/>
      <c r="L111" s="726"/>
    </row>
    <row r="112" spans="1:12" hidden="1">
      <c r="A112" s="892"/>
      <c r="B112" s="731"/>
      <c r="C112" s="729" t="s">
        <v>252</v>
      </c>
      <c r="D112" s="745"/>
      <c r="E112" s="745"/>
      <c r="F112" s="729"/>
      <c r="G112" s="844"/>
      <c r="H112" s="726"/>
      <c r="I112" s="726"/>
      <c r="J112" s="726"/>
      <c r="K112" s="726"/>
      <c r="L112" s="726"/>
    </row>
    <row r="113" spans="1:12" hidden="1">
      <c r="A113" s="892"/>
      <c r="B113" s="731"/>
      <c r="C113" s="745" t="s">
        <v>253</v>
      </c>
      <c r="D113" s="745"/>
      <c r="E113" s="745"/>
      <c r="F113" s="729"/>
      <c r="G113" s="844"/>
      <c r="H113" s="726"/>
      <c r="I113" s="726"/>
      <c r="J113" s="726"/>
      <c r="K113" s="726"/>
      <c r="L113" s="726"/>
    </row>
    <row r="114" spans="1:12" hidden="1">
      <c r="A114" s="892"/>
      <c r="B114" s="731"/>
      <c r="C114" s="729" t="s">
        <v>254</v>
      </c>
      <c r="D114" s="745"/>
      <c r="E114" s="745"/>
      <c r="F114" s="729"/>
      <c r="G114" s="844"/>
      <c r="H114" s="726"/>
      <c r="I114" s="726"/>
      <c r="J114" s="726"/>
      <c r="K114" s="726"/>
      <c r="L114" s="726"/>
    </row>
    <row r="115" spans="1:12" hidden="1">
      <c r="A115" s="892"/>
      <c r="B115" s="731"/>
      <c r="C115" s="745" t="s">
        <v>255</v>
      </c>
      <c r="D115" s="745" t="s">
        <v>119</v>
      </c>
      <c r="E115" s="745">
        <v>0.2</v>
      </c>
      <c r="F115" s="745">
        <f>F138</f>
        <v>420</v>
      </c>
      <c r="G115" s="844">
        <f>ROUND(E115*F115,2)</f>
        <v>84</v>
      </c>
      <c r="H115" s="726"/>
      <c r="I115" s="726"/>
      <c r="J115" s="726"/>
      <c r="K115" s="726"/>
      <c r="L115" s="726"/>
    </row>
    <row r="116" spans="1:12" ht="13.5" hidden="1" customHeight="1">
      <c r="A116" s="970"/>
      <c r="B116" s="733"/>
      <c r="C116" s="735" t="s">
        <v>1724</v>
      </c>
      <c r="D116" s="737">
        <v>0</v>
      </c>
      <c r="E116" s="731"/>
      <c r="F116" s="732"/>
      <c r="G116" s="991">
        <f>G115*D116</f>
        <v>0</v>
      </c>
      <c r="H116" s="726"/>
      <c r="I116" s="726"/>
      <c r="J116" s="726"/>
      <c r="K116" s="726"/>
      <c r="L116" s="726"/>
    </row>
    <row r="117" spans="1:12" hidden="1">
      <c r="A117" s="892"/>
      <c r="B117" s="731"/>
      <c r="C117" s="729" t="s">
        <v>120</v>
      </c>
      <c r="D117" s="745"/>
      <c r="E117" s="745"/>
      <c r="F117" s="745"/>
      <c r="G117" s="845">
        <f>SUM(G110:G116,0)</f>
        <v>2839.42</v>
      </c>
      <c r="H117" s="726"/>
      <c r="I117" s="726"/>
      <c r="J117" s="726"/>
      <c r="K117" s="726"/>
      <c r="L117" s="726"/>
    </row>
    <row r="118" spans="1:12" customFormat="1" ht="54" customHeight="1">
      <c r="A118" s="1556" t="s">
        <v>244</v>
      </c>
      <c r="B118" s="739">
        <v>6</v>
      </c>
      <c r="C118" s="2030" t="s">
        <v>1955</v>
      </c>
      <c r="D118" s="2031"/>
      <c r="E118" s="2031"/>
      <c r="F118" s="2031"/>
      <c r="G118" s="965"/>
      <c r="H118" s="1451"/>
    </row>
    <row r="119" spans="1:12" customFormat="1">
      <c r="A119" s="1451"/>
      <c r="B119" s="1451"/>
      <c r="C119" s="1452" t="s">
        <v>1956</v>
      </c>
      <c r="D119" s="1451"/>
      <c r="E119" s="1450"/>
      <c r="F119" s="1451"/>
      <c r="G119" s="965"/>
      <c r="H119" s="1451"/>
    </row>
    <row r="120" spans="1:12" customFormat="1">
      <c r="A120" s="1451"/>
      <c r="B120" s="1451"/>
      <c r="C120" s="1453" t="s">
        <v>239</v>
      </c>
      <c r="D120" s="1451"/>
      <c r="E120" s="1450"/>
      <c r="F120" s="1451"/>
      <c r="G120" s="965"/>
      <c r="H120" s="1451"/>
    </row>
    <row r="121" spans="1:12" customFormat="1">
      <c r="A121" s="1451"/>
      <c r="B121" s="1451"/>
      <c r="C121" s="1327" t="s">
        <v>1957</v>
      </c>
      <c r="D121" s="1451"/>
      <c r="E121" s="1450"/>
      <c r="F121" s="1451"/>
      <c r="G121" s="965"/>
      <c r="H121" s="1451"/>
    </row>
    <row r="122" spans="1:12" customFormat="1" hidden="1">
      <c r="A122" s="1451"/>
      <c r="B122" s="1451"/>
      <c r="C122" s="1453" t="s">
        <v>241</v>
      </c>
      <c r="D122" s="1451"/>
      <c r="E122" s="1450"/>
      <c r="F122" s="1451"/>
      <c r="G122" s="965"/>
      <c r="H122" s="1450"/>
    </row>
    <row r="123" spans="1:12" customFormat="1">
      <c r="A123" s="1451"/>
      <c r="B123" s="965"/>
      <c r="C123" s="1453" t="s">
        <v>242</v>
      </c>
      <c r="D123" s="1450" t="s">
        <v>1958</v>
      </c>
      <c r="E123" s="1455">
        <v>0.31</v>
      </c>
      <c r="F123" s="1456">
        <v>420</v>
      </c>
      <c r="G123" s="1461">
        <f>F123*E123</f>
        <v>130.19999999999999</v>
      </c>
      <c r="H123" s="1457"/>
    </row>
    <row r="124" spans="1:12" customFormat="1">
      <c r="A124" s="1451"/>
      <c r="B124" s="965"/>
      <c r="C124" s="1452" t="s">
        <v>247</v>
      </c>
      <c r="D124" s="1450"/>
      <c r="E124" s="1450"/>
      <c r="F124" s="1451"/>
      <c r="G124" s="1462"/>
      <c r="H124" s="1454"/>
    </row>
    <row r="125" spans="1:12" customFormat="1">
      <c r="A125" s="1451"/>
      <c r="B125" s="965"/>
      <c r="C125" s="1453" t="s">
        <v>1959</v>
      </c>
      <c r="D125" s="1450" t="s">
        <v>265</v>
      </c>
      <c r="E125" s="1455">
        <v>0.72</v>
      </c>
      <c r="F125" s="1456">
        <v>80</v>
      </c>
      <c r="G125" s="1461">
        <f>F125*E125</f>
        <v>57.599999999999994</v>
      </c>
      <c r="H125" s="1451"/>
    </row>
    <row r="126" spans="1:12" customFormat="1" hidden="1">
      <c r="A126" s="1451"/>
      <c r="B126" s="1451"/>
      <c r="C126" s="735" t="s">
        <v>1724</v>
      </c>
      <c r="D126" s="737">
        <v>0</v>
      </c>
      <c r="E126" s="731"/>
      <c r="F126" s="732"/>
      <c r="G126" s="991">
        <f>G125*D126</f>
        <v>0</v>
      </c>
      <c r="H126" s="1451"/>
    </row>
    <row r="127" spans="1:12" customFormat="1">
      <c r="A127" s="1451"/>
      <c r="B127" s="1451"/>
      <c r="C127" s="1453"/>
      <c r="D127" s="1458"/>
      <c r="E127" s="1455"/>
      <c r="F127" s="965"/>
      <c r="G127" s="1456">
        <f>SUM(G123:G126)</f>
        <v>187.79999999999998</v>
      </c>
      <c r="H127" s="1451"/>
    </row>
    <row r="128" spans="1:12" customFormat="1">
      <c r="A128" s="1451"/>
      <c r="B128" s="1451"/>
      <c r="C128" s="1452" t="s">
        <v>1960</v>
      </c>
      <c r="D128" s="1451"/>
      <c r="E128" s="1450"/>
      <c r="F128" s="965"/>
      <c r="G128" s="1459">
        <f>SUM(G127:G127)</f>
        <v>187.79999999999998</v>
      </c>
      <c r="H128" s="1451"/>
    </row>
    <row r="129" spans="1:12" customFormat="1">
      <c r="A129" s="1451"/>
      <c r="B129" s="1451"/>
      <c r="C129" s="1452" t="s">
        <v>1961</v>
      </c>
      <c r="D129" s="1454"/>
      <c r="E129" s="1454"/>
      <c r="F129" s="965"/>
      <c r="G129" s="1460">
        <f>G128/6</f>
        <v>31.299999999999997</v>
      </c>
      <c r="H129" s="1451"/>
    </row>
    <row r="130" spans="1:12" ht="26">
      <c r="A130" s="969" t="s">
        <v>256</v>
      </c>
      <c r="B130" s="731">
        <v>7</v>
      </c>
      <c r="C130" s="729" t="s">
        <v>97</v>
      </c>
      <c r="D130" s="745"/>
      <c r="E130" s="745"/>
      <c r="F130" s="745"/>
      <c r="G130" s="844"/>
      <c r="H130" s="726"/>
      <c r="I130" s="726"/>
      <c r="J130" s="726"/>
      <c r="K130" s="726"/>
      <c r="L130" s="726"/>
    </row>
    <row r="131" spans="1:12">
      <c r="A131" s="971" t="s">
        <v>257</v>
      </c>
      <c r="B131" s="731"/>
      <c r="C131" s="729" t="s">
        <v>250</v>
      </c>
      <c r="D131" s="745"/>
      <c r="E131" s="745"/>
      <c r="F131" s="745"/>
      <c r="G131" s="844"/>
      <c r="H131" s="726"/>
      <c r="I131" s="726"/>
      <c r="J131" s="726"/>
      <c r="K131" s="726"/>
      <c r="L131" s="726"/>
    </row>
    <row r="132" spans="1:12">
      <c r="A132" s="892"/>
      <c r="B132" s="731"/>
      <c r="C132" s="729" t="s">
        <v>24</v>
      </c>
      <c r="D132" s="745"/>
      <c r="E132" s="745"/>
      <c r="F132" s="745"/>
      <c r="G132" s="844"/>
      <c r="H132" s="726"/>
      <c r="I132" s="726"/>
      <c r="J132" s="726"/>
      <c r="K132" s="726"/>
      <c r="L132" s="726"/>
    </row>
    <row r="133" spans="1:12">
      <c r="A133" s="892"/>
      <c r="B133" s="731"/>
      <c r="C133" s="745" t="s">
        <v>218</v>
      </c>
      <c r="D133" s="745" t="s">
        <v>115</v>
      </c>
      <c r="E133" s="745">
        <v>288</v>
      </c>
      <c r="F133" s="745">
        <f>'Lead statement (2)'!J24</f>
        <v>4.6975999999999996</v>
      </c>
      <c r="G133" s="844">
        <f>ROUND(E133*F133,2)</f>
        <v>1352.91</v>
      </c>
      <c r="H133" s="726"/>
      <c r="I133" s="726"/>
      <c r="J133" s="726"/>
      <c r="K133" s="726"/>
      <c r="L133" s="726"/>
    </row>
    <row r="134" spans="1:12">
      <c r="A134" s="892"/>
      <c r="B134" s="731"/>
      <c r="C134" s="745" t="s">
        <v>251</v>
      </c>
      <c r="D134" s="745" t="s">
        <v>117</v>
      </c>
      <c r="E134" s="745">
        <v>1.05</v>
      </c>
      <c r="F134" s="745">
        <f>'Lead statement (2)'!J8</f>
        <v>1013.6</v>
      </c>
      <c r="G134" s="844">
        <f>ROUND(E134*F134,2)</f>
        <v>1064.28</v>
      </c>
      <c r="H134" s="726"/>
      <c r="I134" s="726"/>
      <c r="J134" s="726"/>
      <c r="K134" s="726"/>
      <c r="L134" s="726"/>
    </row>
    <row r="135" spans="1:12">
      <c r="A135" s="892"/>
      <c r="B135" s="731"/>
      <c r="C135" s="729" t="s">
        <v>252</v>
      </c>
      <c r="D135" s="745"/>
      <c r="E135" s="745"/>
      <c r="F135" s="729"/>
      <c r="G135" s="844"/>
      <c r="H135" s="726"/>
      <c r="I135" s="726"/>
      <c r="J135" s="726"/>
      <c r="K135" s="726"/>
      <c r="L135" s="726"/>
    </row>
    <row r="136" spans="1:12">
      <c r="A136" s="892"/>
      <c r="B136" s="731"/>
      <c r="C136" s="745" t="s">
        <v>253</v>
      </c>
      <c r="D136" s="745"/>
      <c r="E136" s="745"/>
      <c r="F136" s="729"/>
      <c r="G136" s="844"/>
      <c r="H136" s="726"/>
      <c r="I136" s="726"/>
      <c r="J136" s="726"/>
      <c r="K136" s="726"/>
      <c r="L136" s="726"/>
    </row>
    <row r="137" spans="1:12">
      <c r="A137" s="892"/>
      <c r="B137" s="731"/>
      <c r="C137" s="729" t="s">
        <v>254</v>
      </c>
      <c r="D137" s="745"/>
      <c r="E137" s="745"/>
      <c r="F137" s="729"/>
      <c r="G137" s="844"/>
      <c r="H137" s="726"/>
      <c r="I137" s="726"/>
      <c r="J137" s="726"/>
      <c r="K137" s="726"/>
      <c r="L137" s="726"/>
    </row>
    <row r="138" spans="1:12">
      <c r="A138" s="892"/>
      <c r="B138" s="731"/>
      <c r="C138" s="745" t="s">
        <v>255</v>
      </c>
      <c r="D138" s="745" t="s">
        <v>119</v>
      </c>
      <c r="E138" s="745">
        <v>0.2</v>
      </c>
      <c r="F138" s="745">
        <f>[125]Bldg.rates!F86</f>
        <v>420</v>
      </c>
      <c r="G138" s="844">
        <f>ROUND(E138*F138,2)</f>
        <v>84</v>
      </c>
      <c r="H138" s="726"/>
      <c r="I138" s="726"/>
      <c r="J138" s="726"/>
      <c r="K138" s="726"/>
      <c r="L138" s="726"/>
    </row>
    <row r="139" spans="1:12" ht="13.5" hidden="1" customHeight="1">
      <c r="A139" s="970"/>
      <c r="B139" s="733"/>
      <c r="C139" s="735" t="s">
        <v>1724</v>
      </c>
      <c r="D139" s="737">
        <v>0</v>
      </c>
      <c r="E139" s="731"/>
      <c r="F139" s="732"/>
      <c r="G139" s="991">
        <f>G138*D139</f>
        <v>0</v>
      </c>
      <c r="H139" s="726"/>
      <c r="I139" s="726"/>
      <c r="J139" s="726"/>
      <c r="K139" s="726"/>
      <c r="L139" s="726"/>
    </row>
    <row r="140" spans="1:12">
      <c r="A140" s="892"/>
      <c r="B140" s="731"/>
      <c r="C140" s="729" t="s">
        <v>120</v>
      </c>
      <c r="D140" s="745"/>
      <c r="E140" s="745"/>
      <c r="F140" s="745"/>
      <c r="G140" s="845">
        <f>SUM(G133:G139,0)</f>
        <v>2501.19</v>
      </c>
      <c r="H140" s="726"/>
      <c r="I140" s="726"/>
      <c r="J140" s="726"/>
      <c r="K140" s="726"/>
      <c r="L140" s="726"/>
    </row>
    <row r="141" spans="1:12" ht="26">
      <c r="A141" s="969" t="s">
        <v>256</v>
      </c>
      <c r="B141" s="731">
        <v>8</v>
      </c>
      <c r="C141" s="729" t="s">
        <v>610</v>
      </c>
      <c r="D141" s="732"/>
      <c r="E141" s="732"/>
      <c r="F141" s="732"/>
      <c r="G141" s="844"/>
      <c r="H141" s="726"/>
      <c r="I141" s="726"/>
      <c r="J141" s="726"/>
      <c r="K141" s="726"/>
      <c r="L141" s="726"/>
    </row>
    <row r="142" spans="1:12">
      <c r="A142" s="971" t="s">
        <v>257</v>
      </c>
      <c r="B142" s="731"/>
      <c r="C142" s="729" t="s">
        <v>250</v>
      </c>
      <c r="D142" s="732"/>
      <c r="E142" s="732"/>
      <c r="F142" s="732"/>
      <c r="G142" s="844"/>
      <c r="H142" s="726"/>
      <c r="I142" s="726"/>
      <c r="J142" s="726"/>
      <c r="K142" s="726"/>
      <c r="L142" s="726"/>
    </row>
    <row r="143" spans="1:12">
      <c r="A143" s="892"/>
      <c r="B143" s="731"/>
      <c r="C143" s="729" t="s">
        <v>24</v>
      </c>
      <c r="D143" s="732"/>
      <c r="E143" s="732"/>
      <c r="F143" s="732"/>
      <c r="G143" s="844"/>
      <c r="H143" s="726"/>
      <c r="I143" s="726"/>
      <c r="J143" s="726"/>
      <c r="K143" s="726"/>
      <c r="L143" s="726"/>
    </row>
    <row r="144" spans="1:12">
      <c r="A144" s="892"/>
      <c r="B144" s="731"/>
      <c r="C144" s="745" t="s">
        <v>218</v>
      </c>
      <c r="D144" s="732" t="s">
        <v>115</v>
      </c>
      <c r="E144" s="732">
        <v>360</v>
      </c>
      <c r="F144" s="732">
        <f>F133</f>
        <v>4.6975999999999996</v>
      </c>
      <c r="G144" s="844">
        <f>ROUND(E144*F144,2)</f>
        <v>1691.14</v>
      </c>
      <c r="H144" s="726"/>
      <c r="I144" s="726"/>
      <c r="J144" s="726"/>
      <c r="K144" s="726"/>
      <c r="L144" s="726"/>
    </row>
    <row r="145" spans="1:12">
      <c r="A145" s="892"/>
      <c r="B145" s="728"/>
      <c r="C145" s="745" t="s">
        <v>251</v>
      </c>
      <c r="D145" s="732" t="s">
        <v>117</v>
      </c>
      <c r="E145" s="732">
        <v>1.05</v>
      </c>
      <c r="F145" s="732">
        <f>F134</f>
        <v>1013.6</v>
      </c>
      <c r="G145" s="844">
        <f>ROUND(E145*F145,2)</f>
        <v>1064.28</v>
      </c>
      <c r="H145" s="726"/>
      <c r="I145" s="726"/>
      <c r="J145" s="726"/>
      <c r="K145" s="726"/>
      <c r="L145" s="726"/>
    </row>
    <row r="146" spans="1:12">
      <c r="A146" s="892"/>
      <c r="B146" s="728"/>
      <c r="C146" s="729" t="s">
        <v>252</v>
      </c>
      <c r="D146" s="732"/>
      <c r="E146" s="732"/>
      <c r="F146" s="734"/>
      <c r="G146" s="844"/>
      <c r="H146" s="726"/>
      <c r="I146" s="726"/>
      <c r="J146" s="726"/>
      <c r="K146" s="726"/>
      <c r="L146" s="726"/>
    </row>
    <row r="147" spans="1:12">
      <c r="A147" s="892"/>
      <c r="B147" s="728"/>
      <c r="C147" s="745" t="s">
        <v>253</v>
      </c>
      <c r="D147" s="732"/>
      <c r="E147" s="732"/>
      <c r="F147" s="734"/>
      <c r="G147" s="844"/>
      <c r="H147" s="726"/>
      <c r="I147" s="726"/>
      <c r="J147" s="726"/>
      <c r="K147" s="726"/>
      <c r="L147" s="726"/>
    </row>
    <row r="148" spans="1:12">
      <c r="A148" s="892"/>
      <c r="B148" s="728"/>
      <c r="C148" s="729" t="s">
        <v>254</v>
      </c>
      <c r="D148" s="732"/>
      <c r="E148" s="732"/>
      <c r="F148" s="734"/>
      <c r="G148" s="844"/>
      <c r="H148" s="726"/>
      <c r="I148" s="726"/>
      <c r="J148" s="726"/>
      <c r="K148" s="726"/>
      <c r="L148" s="726"/>
    </row>
    <row r="149" spans="1:12">
      <c r="A149" s="892"/>
      <c r="B149" s="728"/>
      <c r="C149" s="745" t="s">
        <v>255</v>
      </c>
      <c r="D149" s="732" t="s">
        <v>119</v>
      </c>
      <c r="E149" s="732">
        <v>0.2</v>
      </c>
      <c r="F149" s="732">
        <f>F138</f>
        <v>420</v>
      </c>
      <c r="G149" s="844">
        <f>ROUND(E149*F149,2)</f>
        <v>84</v>
      </c>
      <c r="H149" s="726"/>
      <c r="I149" s="726"/>
      <c r="J149" s="726"/>
      <c r="K149" s="726"/>
      <c r="L149" s="726"/>
    </row>
    <row r="150" spans="1:12" ht="13.5" hidden="1" customHeight="1">
      <c r="A150" s="970"/>
      <c r="B150" s="733"/>
      <c r="C150" s="735" t="s">
        <v>1724</v>
      </c>
      <c r="D150" s="737">
        <v>0</v>
      </c>
      <c r="E150" s="731"/>
      <c r="F150" s="732"/>
      <c r="G150" s="991">
        <f>G149*D150</f>
        <v>0</v>
      </c>
      <c r="H150" s="726"/>
      <c r="I150" s="726"/>
      <c r="J150" s="726"/>
      <c r="K150" s="726"/>
      <c r="L150" s="726"/>
    </row>
    <row r="151" spans="1:12">
      <c r="A151" s="892"/>
      <c r="B151" s="728"/>
      <c r="C151" s="729" t="s">
        <v>120</v>
      </c>
      <c r="D151" s="732"/>
      <c r="E151" s="732"/>
      <c r="F151" s="732"/>
      <c r="G151" s="845">
        <f>SUM(G144:G150,0)</f>
        <v>2839.42</v>
      </c>
      <c r="H151" s="726"/>
      <c r="I151" s="726"/>
      <c r="J151" s="726"/>
      <c r="K151" s="726"/>
      <c r="L151" s="726"/>
    </row>
    <row r="152" spans="1:12" ht="26">
      <c r="A152" s="969" t="s">
        <v>249</v>
      </c>
      <c r="B152" s="731">
        <v>9</v>
      </c>
      <c r="C152" s="727" t="s">
        <v>606</v>
      </c>
      <c r="D152" s="731"/>
      <c r="E152" s="732"/>
      <c r="F152" s="732"/>
      <c r="G152" s="844"/>
      <c r="H152" s="726"/>
      <c r="I152" s="726"/>
      <c r="J152" s="726"/>
      <c r="K152" s="726"/>
      <c r="L152" s="726"/>
    </row>
    <row r="153" spans="1:12">
      <c r="A153" s="971"/>
      <c r="B153" s="731"/>
      <c r="C153" s="729" t="s">
        <v>250</v>
      </c>
      <c r="D153" s="732"/>
      <c r="E153" s="732"/>
      <c r="F153" s="732"/>
      <c r="G153" s="844"/>
      <c r="H153" s="726"/>
      <c r="I153" s="726"/>
      <c r="J153" s="726"/>
      <c r="K153" s="726"/>
      <c r="L153" s="726"/>
    </row>
    <row r="154" spans="1:12">
      <c r="A154" s="892"/>
      <c r="B154" s="731"/>
      <c r="C154" s="729" t="s">
        <v>24</v>
      </c>
      <c r="D154" s="732"/>
      <c r="E154" s="732"/>
      <c r="F154" s="732"/>
      <c r="G154" s="844"/>
      <c r="H154" s="726"/>
      <c r="I154" s="726"/>
      <c r="J154" s="726"/>
      <c r="K154" s="726"/>
      <c r="L154" s="726"/>
    </row>
    <row r="155" spans="1:12">
      <c r="A155" s="892"/>
      <c r="B155" s="731"/>
      <c r="C155" s="745" t="s">
        <v>218</v>
      </c>
      <c r="D155" s="732" t="s">
        <v>115</v>
      </c>
      <c r="E155" s="732">
        <v>480</v>
      </c>
      <c r="F155" s="732">
        <f>'Lead statement (2)'!J24</f>
        <v>4.6975999999999996</v>
      </c>
      <c r="G155" s="844">
        <f>ROUND(E155*F155,2)</f>
        <v>2254.85</v>
      </c>
      <c r="H155" s="747"/>
      <c r="I155" s="726"/>
      <c r="J155" s="726"/>
      <c r="K155" s="726"/>
      <c r="L155" s="726"/>
    </row>
    <row r="156" spans="1:12">
      <c r="A156" s="892"/>
      <c r="B156" s="731"/>
      <c r="C156" s="745" t="s">
        <v>251</v>
      </c>
      <c r="D156" s="732" t="s">
        <v>117</v>
      </c>
      <c r="E156" s="732">
        <v>1.05</v>
      </c>
      <c r="F156" s="732">
        <f>F134</f>
        <v>1013.6</v>
      </c>
      <c r="G156" s="844">
        <f>ROUND(E156*F156,2)</f>
        <v>1064.28</v>
      </c>
      <c r="H156" s="747"/>
      <c r="I156" s="726"/>
      <c r="J156" s="726"/>
      <c r="K156" s="726"/>
      <c r="L156" s="726"/>
    </row>
    <row r="157" spans="1:12">
      <c r="A157" s="892"/>
      <c r="B157" s="731"/>
      <c r="C157" s="729" t="s">
        <v>252</v>
      </c>
      <c r="D157" s="732"/>
      <c r="E157" s="732"/>
      <c r="F157" s="734"/>
      <c r="G157" s="844"/>
      <c r="H157" s="747"/>
      <c r="I157" s="726"/>
      <c r="J157" s="726"/>
      <c r="K157" s="726"/>
      <c r="L157" s="726"/>
    </row>
    <row r="158" spans="1:12">
      <c r="A158" s="892"/>
      <c r="B158" s="731"/>
      <c r="C158" s="745" t="s">
        <v>253</v>
      </c>
      <c r="D158" s="732"/>
      <c r="E158" s="732"/>
      <c r="F158" s="734"/>
      <c r="G158" s="844"/>
      <c r="H158" s="747"/>
      <c r="I158" s="726"/>
      <c r="J158" s="726"/>
      <c r="K158" s="726"/>
      <c r="L158" s="726"/>
    </row>
    <row r="159" spans="1:12">
      <c r="A159" s="892"/>
      <c r="B159" s="731"/>
      <c r="C159" s="729" t="s">
        <v>254</v>
      </c>
      <c r="D159" s="732"/>
      <c r="E159" s="732"/>
      <c r="F159" s="734"/>
      <c r="G159" s="844"/>
      <c r="H159" s="747"/>
      <c r="I159" s="726"/>
      <c r="J159" s="726"/>
      <c r="K159" s="726"/>
      <c r="L159" s="726"/>
    </row>
    <row r="160" spans="1:12">
      <c r="A160" s="892"/>
      <c r="B160" s="731"/>
      <c r="C160" s="745" t="s">
        <v>255</v>
      </c>
      <c r="D160" s="732" t="s">
        <v>119</v>
      </c>
      <c r="E160" s="732">
        <v>0.2</v>
      </c>
      <c r="F160" s="732">
        <f>F78</f>
        <v>420</v>
      </c>
      <c r="G160" s="844">
        <f>ROUND(E160*F160,2)</f>
        <v>84</v>
      </c>
      <c r="H160" s="747"/>
      <c r="I160" s="726"/>
      <c r="J160" s="726"/>
      <c r="K160" s="726"/>
      <c r="L160" s="726"/>
    </row>
    <row r="161" spans="1:12" ht="13.5" hidden="1" customHeight="1">
      <c r="A161" s="970"/>
      <c r="B161" s="733"/>
      <c r="C161" s="735" t="s">
        <v>1724</v>
      </c>
      <c r="D161" s="737">
        <f>D1</f>
        <v>0</v>
      </c>
      <c r="E161" s="731"/>
      <c r="F161" s="732"/>
      <c r="G161" s="991">
        <f>G160*D161</f>
        <v>0</v>
      </c>
      <c r="H161" s="726"/>
      <c r="I161" s="726"/>
      <c r="J161" s="726"/>
      <c r="K161" s="726"/>
      <c r="L161" s="726"/>
    </row>
    <row r="162" spans="1:12">
      <c r="A162" s="892"/>
      <c r="B162" s="728"/>
      <c r="C162" s="729" t="s">
        <v>120</v>
      </c>
      <c r="D162" s="745"/>
      <c r="E162" s="745"/>
      <c r="F162" s="745"/>
      <c r="G162" s="845">
        <f>SUM(G155:G161,0)</f>
        <v>3403.13</v>
      </c>
      <c r="H162" s="726"/>
      <c r="I162" s="726"/>
      <c r="J162" s="726"/>
      <c r="K162" s="726"/>
      <c r="L162" s="726"/>
    </row>
    <row r="163" spans="1:12" s="751" customFormat="1">
      <c r="A163" s="969" t="s">
        <v>256</v>
      </c>
      <c r="B163" s="724">
        <v>10</v>
      </c>
      <c r="C163" s="749" t="s">
        <v>209</v>
      </c>
      <c r="D163" s="750"/>
      <c r="E163" s="750"/>
      <c r="F163" s="748"/>
      <c r="G163" s="839"/>
      <c r="H163" s="748"/>
      <c r="I163" s="748"/>
      <c r="J163" s="748"/>
      <c r="K163" s="748"/>
      <c r="L163" s="748"/>
    </row>
    <row r="164" spans="1:12">
      <c r="A164" s="971" t="s">
        <v>472</v>
      </c>
      <c r="B164" s="731"/>
      <c r="C164" s="729" t="s">
        <v>250</v>
      </c>
      <c r="D164" s="732"/>
      <c r="E164" s="732"/>
      <c r="F164" s="732"/>
      <c r="G164" s="844"/>
      <c r="H164" s="726"/>
      <c r="I164" s="726"/>
      <c r="J164" s="726"/>
      <c r="K164" s="726"/>
      <c r="L164" s="726"/>
    </row>
    <row r="165" spans="1:12">
      <c r="A165" s="892"/>
      <c r="B165" s="731"/>
      <c r="C165" s="729" t="s">
        <v>24</v>
      </c>
      <c r="D165" s="732"/>
      <c r="E165" s="732"/>
      <c r="F165" s="732"/>
      <c r="G165" s="844"/>
      <c r="H165" s="726"/>
      <c r="I165" s="726"/>
      <c r="J165" s="726"/>
      <c r="K165" s="726"/>
      <c r="L165" s="726"/>
    </row>
    <row r="166" spans="1:12">
      <c r="A166" s="892"/>
      <c r="B166" s="731"/>
      <c r="C166" s="745" t="s">
        <v>218</v>
      </c>
      <c r="D166" s="732" t="s">
        <v>115</v>
      </c>
      <c r="E166" s="732">
        <v>240</v>
      </c>
      <c r="F166" s="732">
        <f>F155</f>
        <v>4.6975999999999996</v>
      </c>
      <c r="G166" s="844">
        <f>ROUND(E166*F166,2)</f>
        <v>1127.42</v>
      </c>
      <c r="H166" s="726"/>
      <c r="I166" s="726"/>
      <c r="J166" s="726"/>
      <c r="K166" s="726"/>
      <c r="L166" s="726"/>
    </row>
    <row r="167" spans="1:12">
      <c r="A167" s="892"/>
      <c r="B167" s="731"/>
      <c r="C167" s="745" t="s">
        <v>251</v>
      </c>
      <c r="D167" s="732" t="s">
        <v>117</v>
      </c>
      <c r="E167" s="732">
        <v>1.05</v>
      </c>
      <c r="F167" s="732">
        <f>F156</f>
        <v>1013.6</v>
      </c>
      <c r="G167" s="844">
        <f>ROUND(E167*F167,2)</f>
        <v>1064.28</v>
      </c>
      <c r="H167" s="726"/>
      <c r="I167" s="726"/>
      <c r="J167" s="726"/>
      <c r="K167" s="726"/>
      <c r="L167" s="726"/>
    </row>
    <row r="168" spans="1:12">
      <c r="A168" s="892"/>
      <c r="B168" s="731"/>
      <c r="C168" s="729" t="s">
        <v>252</v>
      </c>
      <c r="D168" s="732"/>
      <c r="E168" s="732"/>
      <c r="F168" s="734"/>
      <c r="G168" s="844"/>
      <c r="H168" s="726"/>
      <c r="I168" s="726"/>
      <c r="J168" s="726"/>
      <c r="K168" s="726"/>
      <c r="L168" s="726"/>
    </row>
    <row r="169" spans="1:12">
      <c r="A169" s="892"/>
      <c r="B169" s="731"/>
      <c r="C169" s="745" t="s">
        <v>253</v>
      </c>
      <c r="D169" s="732"/>
      <c r="E169" s="732"/>
      <c r="F169" s="734"/>
      <c r="G169" s="844"/>
      <c r="H169" s="726"/>
      <c r="I169" s="726"/>
      <c r="J169" s="726"/>
      <c r="K169" s="726"/>
      <c r="L169" s="726"/>
    </row>
    <row r="170" spans="1:12">
      <c r="A170" s="892"/>
      <c r="B170" s="731"/>
      <c r="C170" s="729" t="s">
        <v>254</v>
      </c>
      <c r="D170" s="732"/>
      <c r="E170" s="732"/>
      <c r="F170" s="734"/>
      <c r="G170" s="844"/>
      <c r="H170" s="726"/>
      <c r="I170" s="726"/>
      <c r="J170" s="726"/>
      <c r="K170" s="726"/>
      <c r="L170" s="726"/>
    </row>
    <row r="171" spans="1:12">
      <c r="A171" s="892"/>
      <c r="B171" s="731"/>
      <c r="C171" s="745" t="s">
        <v>255</v>
      </c>
      <c r="D171" s="732" t="s">
        <v>119</v>
      </c>
      <c r="E171" s="732">
        <v>0.2</v>
      </c>
      <c r="F171" s="732">
        <f>F160</f>
        <v>420</v>
      </c>
      <c r="G171" s="844">
        <f>ROUND(E171*F171,2)</f>
        <v>84</v>
      </c>
      <c r="H171" s="726"/>
      <c r="I171" s="726"/>
      <c r="J171" s="726"/>
      <c r="K171" s="726"/>
      <c r="L171" s="726"/>
    </row>
    <row r="172" spans="1:12" ht="13.5" hidden="1" customHeight="1">
      <c r="A172" s="970"/>
      <c r="B172" s="733"/>
      <c r="C172" s="735" t="s">
        <v>1724</v>
      </c>
      <c r="D172" s="737">
        <f>D1</f>
        <v>0</v>
      </c>
      <c r="E172" s="731"/>
      <c r="F172" s="732"/>
      <c r="G172" s="991">
        <f>G171*D172</f>
        <v>0</v>
      </c>
      <c r="H172" s="726"/>
      <c r="I172" s="726"/>
      <c r="J172" s="726"/>
      <c r="K172" s="726"/>
      <c r="L172" s="726"/>
    </row>
    <row r="173" spans="1:12">
      <c r="A173" s="892"/>
      <c r="B173" s="731"/>
      <c r="C173" s="729" t="s">
        <v>120</v>
      </c>
      <c r="D173" s="745"/>
      <c r="E173" s="745"/>
      <c r="F173" s="745"/>
      <c r="G173" s="845">
        <f>SUM(G166:G172,0)</f>
        <v>2275.6999999999998</v>
      </c>
      <c r="H173" s="726"/>
      <c r="I173" s="726"/>
      <c r="J173" s="726"/>
      <c r="K173" s="726"/>
      <c r="L173" s="726"/>
    </row>
    <row r="174" spans="1:12">
      <c r="A174" s="969" t="s">
        <v>256</v>
      </c>
      <c r="B174" s="731">
        <v>11</v>
      </c>
      <c r="C174" s="729" t="s">
        <v>258</v>
      </c>
      <c r="D174" s="732"/>
      <c r="E174" s="732"/>
      <c r="F174" s="732"/>
      <c r="G174" s="844"/>
      <c r="H174" s="726"/>
      <c r="I174" s="726"/>
      <c r="J174" s="726"/>
      <c r="K174" s="726"/>
      <c r="L174" s="726"/>
    </row>
    <row r="175" spans="1:12">
      <c r="A175" s="971" t="s">
        <v>259</v>
      </c>
      <c r="B175" s="731"/>
      <c r="C175" s="729" t="s">
        <v>250</v>
      </c>
      <c r="D175" s="732"/>
      <c r="E175" s="732"/>
      <c r="F175" s="732"/>
      <c r="G175" s="844"/>
      <c r="H175" s="726"/>
      <c r="I175" s="726"/>
      <c r="J175" s="726"/>
      <c r="K175" s="726"/>
      <c r="L175" s="726"/>
    </row>
    <row r="176" spans="1:12">
      <c r="A176" s="892"/>
      <c r="B176" s="728"/>
      <c r="C176" s="729" t="s">
        <v>24</v>
      </c>
      <c r="D176" s="732"/>
      <c r="E176" s="732"/>
      <c r="F176" s="732"/>
      <c r="G176" s="844"/>
      <c r="H176" s="726"/>
      <c r="I176" s="726"/>
      <c r="J176" s="726"/>
      <c r="K176" s="726"/>
      <c r="L176" s="726"/>
    </row>
    <row r="177" spans="1:12">
      <c r="A177" s="892"/>
      <c r="B177" s="728"/>
      <c r="C177" s="745" t="s">
        <v>218</v>
      </c>
      <c r="D177" s="732" t="s">
        <v>115</v>
      </c>
      <c r="E177" s="732">
        <v>180</v>
      </c>
      <c r="F177" s="732">
        <f>F166</f>
        <v>4.6975999999999996</v>
      </c>
      <c r="G177" s="844">
        <f>ROUND(E177*F177,2)</f>
        <v>845.57</v>
      </c>
      <c r="H177" s="726"/>
      <c r="I177" s="726"/>
      <c r="J177" s="726"/>
      <c r="K177" s="726"/>
      <c r="L177" s="726"/>
    </row>
    <row r="178" spans="1:12">
      <c r="A178" s="892"/>
      <c r="B178" s="728"/>
      <c r="C178" s="745" t="s">
        <v>251</v>
      </c>
      <c r="D178" s="732" t="s">
        <v>117</v>
      </c>
      <c r="E178" s="732">
        <v>1.05</v>
      </c>
      <c r="F178" s="732">
        <f>F167</f>
        <v>1013.6</v>
      </c>
      <c r="G178" s="844">
        <f>ROUND(E178*F178,2)</f>
        <v>1064.28</v>
      </c>
      <c r="H178" s="726"/>
      <c r="I178" s="726"/>
      <c r="J178" s="726"/>
      <c r="K178" s="726"/>
      <c r="L178" s="726"/>
    </row>
    <row r="179" spans="1:12">
      <c r="A179" s="892"/>
      <c r="B179" s="728"/>
      <c r="C179" s="729" t="s">
        <v>252</v>
      </c>
      <c r="D179" s="732"/>
      <c r="E179" s="732"/>
      <c r="F179" s="734"/>
      <c r="G179" s="844"/>
      <c r="H179" s="726"/>
      <c r="I179" s="726"/>
      <c r="J179" s="726"/>
      <c r="K179" s="726"/>
      <c r="L179" s="726"/>
    </row>
    <row r="180" spans="1:12">
      <c r="A180" s="892"/>
      <c r="B180" s="728"/>
      <c r="C180" s="745" t="s">
        <v>253</v>
      </c>
      <c r="D180" s="732"/>
      <c r="E180" s="732"/>
      <c r="F180" s="734"/>
      <c r="G180" s="844"/>
      <c r="H180" s="726"/>
      <c r="I180" s="726"/>
      <c r="J180" s="726"/>
      <c r="K180" s="726"/>
      <c r="L180" s="726"/>
    </row>
    <row r="181" spans="1:12">
      <c r="A181" s="892"/>
      <c r="B181" s="728"/>
      <c r="C181" s="729" t="s">
        <v>254</v>
      </c>
      <c r="D181" s="732"/>
      <c r="E181" s="732"/>
      <c r="F181" s="734"/>
      <c r="G181" s="844"/>
      <c r="H181" s="726"/>
      <c r="I181" s="726"/>
      <c r="J181" s="726"/>
      <c r="K181" s="726"/>
      <c r="L181" s="726"/>
    </row>
    <row r="182" spans="1:12">
      <c r="A182" s="892"/>
      <c r="B182" s="728"/>
      <c r="C182" s="745" t="s">
        <v>255</v>
      </c>
      <c r="D182" s="732" t="s">
        <v>119</v>
      </c>
      <c r="E182" s="732">
        <v>0.2</v>
      </c>
      <c r="F182" s="732">
        <f>F171</f>
        <v>420</v>
      </c>
      <c r="G182" s="844">
        <f>ROUND(E182*F182,2)</f>
        <v>84</v>
      </c>
      <c r="H182" s="726"/>
      <c r="I182" s="726"/>
      <c r="J182" s="726"/>
      <c r="K182" s="726"/>
      <c r="L182" s="726"/>
    </row>
    <row r="183" spans="1:12" ht="13.5" hidden="1" customHeight="1">
      <c r="A183" s="970"/>
      <c r="B183" s="733"/>
      <c r="C183" s="735" t="s">
        <v>1724</v>
      </c>
      <c r="D183" s="737">
        <f>D1</f>
        <v>0</v>
      </c>
      <c r="E183" s="731"/>
      <c r="F183" s="732"/>
      <c r="G183" s="991">
        <f>G182*D183</f>
        <v>0</v>
      </c>
      <c r="H183" s="726"/>
      <c r="I183" s="726"/>
      <c r="J183" s="726"/>
      <c r="K183" s="726"/>
      <c r="L183" s="726"/>
    </row>
    <row r="184" spans="1:12">
      <c r="A184" s="892"/>
      <c r="B184" s="728"/>
      <c r="C184" s="729" t="s">
        <v>120</v>
      </c>
      <c r="D184" s="745"/>
      <c r="E184" s="745"/>
      <c r="F184" s="745"/>
      <c r="G184" s="845">
        <f>SUM(G177:G183,0)</f>
        <v>1993.85</v>
      </c>
      <c r="H184" s="726"/>
      <c r="I184" s="726"/>
      <c r="J184" s="726"/>
      <c r="K184" s="726"/>
      <c r="L184" s="726"/>
    </row>
    <row r="185" spans="1:12" ht="103.5" hidden="1" customHeight="1">
      <c r="A185" s="971" t="s">
        <v>270</v>
      </c>
      <c r="B185" s="739">
        <v>7</v>
      </c>
      <c r="C185" s="2056" t="s">
        <v>0</v>
      </c>
      <c r="D185" s="2056"/>
      <c r="E185" s="2056"/>
      <c r="F185" s="2056"/>
      <c r="G185" s="844"/>
      <c r="H185" s="726"/>
      <c r="I185" s="726"/>
      <c r="J185" s="726"/>
      <c r="K185" s="726"/>
      <c r="L185" s="726"/>
    </row>
    <row r="186" spans="1:12" hidden="1">
      <c r="A186" s="972"/>
      <c r="B186" s="752"/>
      <c r="C186" s="753" t="s">
        <v>261</v>
      </c>
      <c r="D186" s="736"/>
      <c r="E186" s="732"/>
      <c r="F186" s="732"/>
      <c r="G186" s="844"/>
      <c r="H186" s="726"/>
      <c r="I186" s="726"/>
      <c r="J186" s="726"/>
      <c r="K186" s="726"/>
      <c r="L186" s="726"/>
    </row>
    <row r="187" spans="1:12" hidden="1">
      <c r="A187" s="972"/>
      <c r="B187" s="752"/>
      <c r="C187" s="753" t="s">
        <v>24</v>
      </c>
      <c r="D187" s="736"/>
      <c r="E187" s="732"/>
      <c r="F187" s="732"/>
      <c r="G187" s="844"/>
      <c r="H187" s="726"/>
      <c r="I187" s="726"/>
      <c r="J187" s="726"/>
      <c r="K187" s="726"/>
      <c r="L187" s="726"/>
    </row>
    <row r="188" spans="1:12" hidden="1">
      <c r="A188" s="972"/>
      <c r="B188" s="752"/>
      <c r="C188" s="1482" t="s">
        <v>218</v>
      </c>
      <c r="D188" s="736" t="s">
        <v>131</v>
      </c>
      <c r="E188" s="732">
        <v>129.6</v>
      </c>
      <c r="F188" s="732">
        <f>'Lead statement (2)'!J24</f>
        <v>4.6975999999999996</v>
      </c>
      <c r="G188" s="844">
        <f>ROUND(E188*F188,2)</f>
        <v>608.80999999999995</v>
      </c>
      <c r="H188" s="726"/>
      <c r="I188" s="726"/>
      <c r="J188" s="726"/>
      <c r="K188" s="726"/>
      <c r="L188" s="726"/>
    </row>
    <row r="189" spans="1:12" hidden="1">
      <c r="A189" s="972"/>
      <c r="B189" s="752"/>
      <c r="C189" s="1482" t="s">
        <v>262</v>
      </c>
      <c r="D189" s="736" t="s">
        <v>117</v>
      </c>
      <c r="E189" s="732">
        <v>0.9</v>
      </c>
      <c r="F189" s="732">
        <f>'Lead statement (2)'!J11</f>
        <v>1601.4</v>
      </c>
      <c r="G189" s="844">
        <f>ROUND(E189*F189,2)</f>
        <v>1441.26</v>
      </c>
      <c r="H189" s="726"/>
      <c r="I189" s="726"/>
      <c r="J189" s="726"/>
      <c r="K189" s="726"/>
      <c r="L189" s="726"/>
    </row>
    <row r="190" spans="1:12" hidden="1">
      <c r="A190" s="972"/>
      <c r="B190" s="752"/>
      <c r="C190" s="1482" t="s">
        <v>263</v>
      </c>
      <c r="D190" s="736" t="s">
        <v>117</v>
      </c>
      <c r="E190" s="732">
        <v>0.45</v>
      </c>
      <c r="F190" s="732">
        <f>'Lead statement (2)'!J7</f>
        <v>933.6</v>
      </c>
      <c r="G190" s="844">
        <f>ROUND(E190*F190,2)</f>
        <v>420.12</v>
      </c>
      <c r="H190" s="726"/>
      <c r="I190" s="726"/>
      <c r="J190" s="726"/>
      <c r="K190" s="726"/>
      <c r="L190" s="726"/>
    </row>
    <row r="191" spans="1:12" hidden="1">
      <c r="A191" s="972"/>
      <c r="B191" s="752"/>
      <c r="C191" s="1482"/>
      <c r="D191" s="736"/>
      <c r="E191" s="732"/>
      <c r="F191" s="732"/>
      <c r="G191" s="844"/>
      <c r="H191" s="726"/>
      <c r="I191" s="726"/>
      <c r="J191" s="726"/>
      <c r="K191" s="726"/>
      <c r="L191" s="726"/>
    </row>
    <row r="192" spans="1:12" hidden="1">
      <c r="A192" s="972"/>
      <c r="B192" s="752"/>
      <c r="C192" s="1482"/>
      <c r="D192" s="736"/>
      <c r="E192" s="732"/>
      <c r="F192" s="732"/>
      <c r="G192" s="844"/>
      <c r="H192" s="726"/>
      <c r="I192" s="726"/>
      <c r="J192" s="726"/>
      <c r="K192" s="726"/>
      <c r="L192" s="726"/>
    </row>
    <row r="193" spans="1:12" hidden="1">
      <c r="A193" s="972"/>
      <c r="B193" s="752"/>
      <c r="C193" s="1482" t="s">
        <v>264</v>
      </c>
      <c r="D193" s="736" t="s">
        <v>265</v>
      </c>
      <c r="E193" s="732">
        <v>1.2</v>
      </c>
      <c r="F193" s="732">
        <f>[125]Bldg.rates!F8</f>
        <v>77</v>
      </c>
      <c r="G193" s="844"/>
      <c r="H193" s="726"/>
      <c r="I193" s="726"/>
      <c r="J193" s="726"/>
      <c r="K193" s="726"/>
      <c r="L193" s="726"/>
    </row>
    <row r="194" spans="1:12" hidden="1">
      <c r="A194" s="972"/>
      <c r="B194" s="752"/>
      <c r="C194" s="753" t="s">
        <v>252</v>
      </c>
      <c r="D194" s="736"/>
      <c r="E194" s="732"/>
      <c r="F194" s="732"/>
      <c r="G194" s="844"/>
      <c r="H194" s="726"/>
      <c r="I194" s="726"/>
      <c r="J194" s="726"/>
      <c r="K194" s="726"/>
      <c r="L194" s="726"/>
    </row>
    <row r="195" spans="1:12" ht="26" hidden="1">
      <c r="A195" s="972"/>
      <c r="B195" s="752"/>
      <c r="C195" s="1482" t="s">
        <v>266</v>
      </c>
      <c r="D195" s="736" t="s">
        <v>267</v>
      </c>
      <c r="E195" s="732">
        <v>1</v>
      </c>
      <c r="F195" s="732">
        <f>[125]Bldg.rates!F98</f>
        <v>524.70000000000005</v>
      </c>
      <c r="G195" s="844">
        <f>ROUND(E195*F195,2)</f>
        <v>524.70000000000005</v>
      </c>
      <c r="H195" s="726"/>
      <c r="I195" s="726"/>
      <c r="J195" s="726"/>
      <c r="K195" s="726"/>
      <c r="L195" s="726"/>
    </row>
    <row r="196" spans="1:12" hidden="1">
      <c r="A196" s="972"/>
      <c r="B196" s="752"/>
      <c r="C196" s="753" t="s">
        <v>254</v>
      </c>
      <c r="D196" s="736"/>
      <c r="E196" s="732"/>
      <c r="F196" s="732"/>
      <c r="G196" s="844"/>
      <c r="H196" s="726"/>
      <c r="I196" s="726"/>
      <c r="J196" s="726"/>
      <c r="K196" s="726"/>
      <c r="L196" s="726"/>
    </row>
    <row r="197" spans="1:12" ht="15" hidden="1">
      <c r="A197" s="972"/>
      <c r="B197" s="752"/>
      <c r="C197" s="1482" t="s">
        <v>1751</v>
      </c>
      <c r="D197" s="736" t="s">
        <v>119</v>
      </c>
      <c r="E197" s="732">
        <v>0.1</v>
      </c>
      <c r="F197" s="732">
        <f>[125]Bldg.rates!F84</f>
        <v>500</v>
      </c>
      <c r="G197" s="844">
        <f>ROUND(E197*F197,2)</f>
        <v>50</v>
      </c>
      <c r="H197" s="726"/>
      <c r="I197" s="726"/>
      <c r="J197" s="726"/>
      <c r="K197" s="726"/>
      <c r="L197" s="726"/>
    </row>
    <row r="198" spans="1:12" hidden="1">
      <c r="A198" s="972"/>
      <c r="B198" s="752"/>
      <c r="C198" s="1482" t="s">
        <v>268</v>
      </c>
      <c r="D198" s="736" t="s">
        <v>119</v>
      </c>
      <c r="E198" s="732">
        <v>1.39</v>
      </c>
      <c r="F198" s="732">
        <f>[125]Bldg.rates!F86</f>
        <v>420</v>
      </c>
      <c r="G198" s="844">
        <f>ROUND(E198*F198,2)</f>
        <v>583.79999999999995</v>
      </c>
      <c r="H198" s="726"/>
      <c r="I198" s="726"/>
      <c r="J198" s="726"/>
      <c r="K198" s="726"/>
      <c r="L198" s="726"/>
    </row>
    <row r="199" spans="1:12" hidden="1">
      <c r="A199" s="972"/>
      <c r="B199" s="752"/>
      <c r="C199" s="726"/>
      <c r="D199" s="754">
        <f>D1</f>
        <v>0</v>
      </c>
      <c r="E199" s="752"/>
      <c r="F199" s="752"/>
      <c r="G199" s="841">
        <f>D199*SUM(G197:G198)</f>
        <v>0</v>
      </c>
      <c r="H199" s="726"/>
      <c r="I199" s="726"/>
      <c r="J199" s="726"/>
      <c r="K199" s="726"/>
      <c r="L199" s="726"/>
    </row>
    <row r="200" spans="1:12" hidden="1">
      <c r="A200" s="972"/>
      <c r="B200" s="752"/>
      <c r="C200" s="726"/>
      <c r="D200" s="736"/>
      <c r="E200" s="732"/>
      <c r="F200" s="732"/>
      <c r="G200" s="845">
        <f>SUM(G188:G199)</f>
        <v>3628.6899999999996</v>
      </c>
      <c r="H200" s="726"/>
      <c r="I200" s="726"/>
      <c r="J200" s="726"/>
      <c r="K200" s="726"/>
      <c r="L200" s="726"/>
    </row>
    <row r="201" spans="1:12" ht="26" hidden="1">
      <c r="A201" s="972"/>
      <c r="B201" s="752"/>
      <c r="C201" s="756" t="s">
        <v>578</v>
      </c>
      <c r="D201" s="750"/>
      <c r="E201" s="750"/>
      <c r="F201" s="748"/>
      <c r="G201" s="845">
        <f>G200*0</f>
        <v>0</v>
      </c>
      <c r="H201" s="726"/>
      <c r="I201" s="726"/>
      <c r="J201" s="726"/>
      <c r="K201" s="726"/>
      <c r="L201" s="726"/>
    </row>
    <row r="202" spans="1:12" hidden="1">
      <c r="A202" s="972"/>
      <c r="B202" s="752"/>
      <c r="C202" s="756" t="s">
        <v>269</v>
      </c>
      <c r="D202" s="750"/>
      <c r="E202" s="750"/>
      <c r="F202" s="748"/>
      <c r="G202" s="845">
        <f>SUM(G200:G201)</f>
        <v>3628.6899999999996</v>
      </c>
      <c r="H202" s="726"/>
      <c r="I202" s="726"/>
      <c r="J202" s="726"/>
      <c r="K202" s="726"/>
      <c r="L202" s="726"/>
    </row>
    <row r="203" spans="1:12" hidden="1">
      <c r="A203" s="972"/>
      <c r="B203" s="752"/>
      <c r="C203" s="726"/>
      <c r="D203" s="752"/>
      <c r="E203" s="752"/>
      <c r="F203" s="757"/>
      <c r="G203" s="854"/>
      <c r="H203" s="726"/>
      <c r="I203" s="726"/>
      <c r="J203" s="726"/>
      <c r="K203" s="726"/>
      <c r="L203" s="726"/>
    </row>
    <row r="204" spans="1:12" ht="113.25" hidden="1" customHeight="1">
      <c r="A204" s="967" t="s">
        <v>337</v>
      </c>
      <c r="B204" s="748">
        <v>9</v>
      </c>
      <c r="C204" s="2056" t="s">
        <v>1730</v>
      </c>
      <c r="D204" s="2056"/>
      <c r="E204" s="2056"/>
      <c r="F204" s="2056"/>
      <c r="G204" s="836"/>
      <c r="H204" s="726"/>
      <c r="I204" s="726"/>
      <c r="J204" s="726"/>
      <c r="K204" s="726"/>
      <c r="L204" s="726"/>
    </row>
    <row r="205" spans="1:12" hidden="1">
      <c r="A205" s="972"/>
      <c r="B205" s="752"/>
      <c r="C205" s="759" t="s">
        <v>213</v>
      </c>
      <c r="D205" s="724" t="s">
        <v>207</v>
      </c>
      <c r="E205" s="758">
        <v>129.6</v>
      </c>
      <c r="F205" s="758">
        <f>'Lead statement (2)'!J24</f>
        <v>4.6975999999999996</v>
      </c>
      <c r="G205" s="844">
        <f>E205*F205</f>
        <v>608.80895999999996</v>
      </c>
      <c r="H205" s="726"/>
      <c r="I205" s="726"/>
      <c r="J205" s="726"/>
      <c r="K205" s="726"/>
      <c r="L205" s="726"/>
    </row>
    <row r="206" spans="1:12" hidden="1">
      <c r="A206" s="972"/>
      <c r="B206" s="752"/>
      <c r="C206" s="759" t="s">
        <v>211</v>
      </c>
      <c r="D206" s="724" t="s">
        <v>181</v>
      </c>
      <c r="E206" s="758">
        <v>0.9</v>
      </c>
      <c r="F206" s="758">
        <f>'Lead statement (2)'!J11</f>
        <v>1601.4</v>
      </c>
      <c r="G206" s="844">
        <f>E206*F206</f>
        <v>1441.2600000000002</v>
      </c>
      <c r="H206" s="726"/>
      <c r="I206" s="726"/>
      <c r="J206" s="726"/>
      <c r="K206" s="726"/>
      <c r="L206" s="726"/>
    </row>
    <row r="207" spans="1:12" hidden="1">
      <c r="A207" s="972"/>
      <c r="B207" s="752"/>
      <c r="C207" s="759" t="s">
        <v>212</v>
      </c>
      <c r="D207" s="724" t="s">
        <v>181</v>
      </c>
      <c r="E207" s="758">
        <v>0.54</v>
      </c>
      <c r="F207" s="758">
        <f>'Lead statement (2)'!J7</f>
        <v>933.6</v>
      </c>
      <c r="G207" s="844">
        <f>E207*F207</f>
        <v>504.14400000000006</v>
      </c>
      <c r="H207" s="726"/>
      <c r="I207" s="726"/>
      <c r="J207" s="726"/>
      <c r="K207" s="726"/>
      <c r="L207" s="726"/>
    </row>
    <row r="208" spans="1:12" hidden="1">
      <c r="A208" s="972"/>
      <c r="B208" s="752"/>
      <c r="C208" s="759" t="s">
        <v>216</v>
      </c>
      <c r="D208" s="724" t="s">
        <v>215</v>
      </c>
      <c r="E208" s="758">
        <v>1.2</v>
      </c>
      <c r="F208" s="758">
        <f>[125]Bldg.rates!F8</f>
        <v>77</v>
      </c>
      <c r="G208" s="844"/>
      <c r="H208" s="726"/>
      <c r="I208" s="726"/>
      <c r="J208" s="726"/>
      <c r="K208" s="726"/>
      <c r="L208" s="726"/>
    </row>
    <row r="209" spans="1:12" hidden="1">
      <c r="A209" s="972"/>
      <c r="B209" s="752"/>
      <c r="C209" s="753" t="s">
        <v>474</v>
      </c>
      <c r="D209" s="736"/>
      <c r="E209" s="760"/>
      <c r="F209" s="732"/>
      <c r="G209" s="844"/>
      <c r="H209" s="726"/>
      <c r="I209" s="726"/>
      <c r="J209" s="726"/>
      <c r="K209" s="726"/>
      <c r="L209" s="726"/>
    </row>
    <row r="210" spans="1:12" ht="26" hidden="1">
      <c r="A210" s="972"/>
      <c r="B210" s="752"/>
      <c r="C210" s="759" t="s">
        <v>214</v>
      </c>
      <c r="D210" s="724" t="s">
        <v>228</v>
      </c>
      <c r="E210" s="758">
        <v>1</v>
      </c>
      <c r="F210" s="758">
        <f>[125]Bldg.rates!F98</f>
        <v>524.70000000000005</v>
      </c>
      <c r="G210" s="844">
        <f>E210*F210</f>
        <v>524.70000000000005</v>
      </c>
      <c r="H210" s="726"/>
      <c r="I210" s="726"/>
      <c r="J210" s="726"/>
      <c r="K210" s="726"/>
      <c r="L210" s="726"/>
    </row>
    <row r="211" spans="1:12" hidden="1">
      <c r="A211" s="972"/>
      <c r="B211" s="752"/>
      <c r="C211" s="753" t="s">
        <v>278</v>
      </c>
      <c r="D211" s="736"/>
      <c r="E211" s="760"/>
      <c r="F211" s="732"/>
      <c r="G211" s="845"/>
      <c r="H211" s="726"/>
      <c r="I211" s="726"/>
      <c r="J211" s="726"/>
      <c r="K211" s="726"/>
      <c r="L211" s="726"/>
    </row>
    <row r="212" spans="1:12" hidden="1">
      <c r="A212" s="972"/>
      <c r="B212" s="752"/>
      <c r="C212" s="1482" t="s">
        <v>279</v>
      </c>
      <c r="D212" s="736" t="s">
        <v>119</v>
      </c>
      <c r="E212" s="760">
        <v>0.1</v>
      </c>
      <c r="F212" s="732">
        <f>[125]Bldg.rates!F84</f>
        <v>500</v>
      </c>
      <c r="G212" s="844">
        <f>E212*F212</f>
        <v>50</v>
      </c>
      <c r="H212" s="726"/>
      <c r="I212" s="726"/>
      <c r="J212" s="726"/>
      <c r="K212" s="726"/>
      <c r="L212" s="726"/>
    </row>
    <row r="213" spans="1:12" hidden="1">
      <c r="A213" s="972"/>
      <c r="B213" s="752"/>
      <c r="C213" s="753" t="s">
        <v>281</v>
      </c>
      <c r="D213" s="736" t="s">
        <v>119</v>
      </c>
      <c r="E213" s="760">
        <v>1.39</v>
      </c>
      <c r="F213" s="732">
        <f>[125]Bldg.rates!F86</f>
        <v>420</v>
      </c>
      <c r="G213" s="844">
        <f>E213*F213</f>
        <v>583.79999999999995</v>
      </c>
      <c r="H213" s="726"/>
      <c r="I213" s="726"/>
      <c r="J213" s="726"/>
      <c r="K213" s="726"/>
      <c r="L213" s="726"/>
    </row>
    <row r="214" spans="1:12" ht="13.5" hidden="1" customHeight="1">
      <c r="A214" s="970"/>
      <c r="B214" s="733"/>
      <c r="C214" s="735" t="s">
        <v>1724</v>
      </c>
      <c r="D214" s="737">
        <v>0.25</v>
      </c>
      <c r="E214" s="731"/>
      <c r="F214" s="732"/>
      <c r="G214" s="991">
        <f>(SUM(G212:G213))*D214</f>
        <v>158.44999999999999</v>
      </c>
      <c r="H214" s="726"/>
      <c r="I214" s="726"/>
      <c r="J214" s="726"/>
      <c r="K214" s="726"/>
      <c r="L214" s="726"/>
    </row>
    <row r="215" spans="1:12" hidden="1">
      <c r="A215" s="972"/>
      <c r="B215" s="752"/>
      <c r="C215" s="749"/>
      <c r="D215" s="750" t="s">
        <v>142</v>
      </c>
      <c r="E215" s="750"/>
      <c r="F215" s="748"/>
      <c r="G215" s="845">
        <f>SUM(G205:G214,0)</f>
        <v>3871.1629600000006</v>
      </c>
      <c r="H215" s="726"/>
      <c r="I215" s="726"/>
      <c r="J215" s="726"/>
      <c r="K215" s="726"/>
      <c r="L215" s="726"/>
    </row>
    <row r="216" spans="1:12" s="1305" customFormat="1" ht="42.75" customHeight="1">
      <c r="A216" s="973"/>
      <c r="B216" s="768">
        <v>12</v>
      </c>
      <c r="C216" s="2033" t="s">
        <v>1731</v>
      </c>
      <c r="D216" s="2034"/>
      <c r="E216" s="2034"/>
      <c r="F216" s="2034"/>
      <c r="G216" s="2035"/>
      <c r="H216" s="765"/>
      <c r="I216" s="765"/>
      <c r="J216" s="765"/>
      <c r="K216" s="765"/>
      <c r="L216" s="1303"/>
    </row>
    <row r="217" spans="1:12" s="1305" customFormat="1">
      <c r="A217" s="973"/>
      <c r="B217" s="761"/>
      <c r="C217" s="766" t="s">
        <v>1732</v>
      </c>
      <c r="D217" s="763"/>
      <c r="E217" s="764"/>
      <c r="F217" s="764"/>
      <c r="G217" s="992"/>
      <c r="H217" s="765"/>
      <c r="I217" s="765"/>
      <c r="J217" s="765"/>
      <c r="K217" s="765"/>
      <c r="L217" s="1303"/>
    </row>
    <row r="218" spans="1:12" s="1305" customFormat="1">
      <c r="A218" s="973"/>
      <c r="B218" s="761"/>
      <c r="C218" s="766" t="s">
        <v>1733</v>
      </c>
      <c r="D218" s="763"/>
      <c r="E218" s="764"/>
      <c r="F218" s="764"/>
      <c r="G218" s="992"/>
      <c r="H218" s="765"/>
      <c r="I218" s="765"/>
      <c r="J218" s="765"/>
      <c r="K218" s="765"/>
      <c r="L218" s="1303"/>
    </row>
    <row r="219" spans="1:12" s="1305" customFormat="1">
      <c r="A219" s="973"/>
      <c r="B219" s="761"/>
      <c r="C219" s="767" t="s">
        <v>218</v>
      </c>
      <c r="D219" s="768" t="s">
        <v>182</v>
      </c>
      <c r="E219" s="769">
        <v>79.2</v>
      </c>
      <c r="F219" s="769">
        <f>'Lead statement (2)'!J24</f>
        <v>4.6975999999999996</v>
      </c>
      <c r="G219" s="993">
        <f>E219*F219</f>
        <v>372.04991999999999</v>
      </c>
      <c r="H219" s="765"/>
      <c r="I219" s="765"/>
      <c r="J219" s="765"/>
      <c r="K219" s="765"/>
      <c r="L219" s="1303"/>
    </row>
    <row r="220" spans="1:12" s="1305" customFormat="1">
      <c r="A220" s="973"/>
      <c r="B220" s="761"/>
      <c r="C220" s="767" t="s">
        <v>1734</v>
      </c>
      <c r="D220" s="768" t="s">
        <v>181</v>
      </c>
      <c r="E220" s="769">
        <v>0.33</v>
      </c>
      <c r="F220" s="769">
        <f>'Lead statement (2)'!J7</f>
        <v>933.6</v>
      </c>
      <c r="G220" s="993">
        <f t="shared" ref="G220:G225" si="0">E220*F220</f>
        <v>308.08800000000002</v>
      </c>
      <c r="H220" s="765"/>
      <c r="I220" s="765"/>
      <c r="J220" s="765"/>
      <c r="K220" s="765"/>
      <c r="L220" s="1303"/>
    </row>
    <row r="221" spans="1:12" s="1305" customFormat="1">
      <c r="A221" s="973"/>
      <c r="B221" s="761"/>
      <c r="C221" s="767" t="s">
        <v>1801</v>
      </c>
      <c r="D221" s="768" t="s">
        <v>181</v>
      </c>
      <c r="E221" s="769">
        <v>0.94</v>
      </c>
      <c r="F221" s="769">
        <f>'Lead statement (2)'!J18</f>
        <v>1021.4</v>
      </c>
      <c r="G221" s="993">
        <f t="shared" si="0"/>
        <v>960.11599999999987</v>
      </c>
      <c r="H221" s="770"/>
      <c r="I221" s="765"/>
      <c r="J221" s="765"/>
      <c r="K221" s="765"/>
      <c r="L221" s="1303"/>
    </row>
    <row r="222" spans="1:12" s="1305" customFormat="1">
      <c r="A222" s="973"/>
      <c r="B222" s="761"/>
      <c r="C222" s="767" t="s">
        <v>1735</v>
      </c>
      <c r="D222" s="768" t="s">
        <v>181</v>
      </c>
      <c r="E222" s="769">
        <v>0.16</v>
      </c>
      <c r="F222" s="769">
        <f>'Lead statement (2)'!J20</f>
        <v>2754.73</v>
      </c>
      <c r="G222" s="993">
        <f t="shared" si="0"/>
        <v>440.7568</v>
      </c>
      <c r="H222" s="770"/>
      <c r="I222" s="765"/>
      <c r="J222" s="765"/>
      <c r="K222" s="765"/>
      <c r="L222" s="1303"/>
    </row>
    <row r="223" spans="1:12" s="1305" customFormat="1">
      <c r="A223" s="973"/>
      <c r="B223" s="761"/>
      <c r="C223" s="766" t="s">
        <v>1736</v>
      </c>
      <c r="D223" s="768"/>
      <c r="E223" s="769"/>
      <c r="F223" s="769"/>
      <c r="G223" s="993"/>
      <c r="H223" s="765"/>
      <c r="I223" s="765"/>
      <c r="J223" s="765"/>
      <c r="K223" s="765"/>
      <c r="L223" s="1303"/>
    </row>
    <row r="224" spans="1:12" s="1305" customFormat="1">
      <c r="A224" s="973"/>
      <c r="B224" s="761"/>
      <c r="C224" s="767" t="s">
        <v>1737</v>
      </c>
      <c r="D224" s="768" t="s">
        <v>119</v>
      </c>
      <c r="E224" s="769">
        <v>1.2</v>
      </c>
      <c r="F224" s="769">
        <v>500</v>
      </c>
      <c r="G224" s="993">
        <f t="shared" si="0"/>
        <v>600</v>
      </c>
      <c r="H224" s="770"/>
      <c r="I224" s="765"/>
      <c r="J224" s="765"/>
      <c r="K224" s="765"/>
      <c r="L224" s="1303"/>
    </row>
    <row r="225" spans="1:12" s="1305" customFormat="1">
      <c r="A225" s="973"/>
      <c r="B225" s="761"/>
      <c r="C225" s="767" t="s">
        <v>242</v>
      </c>
      <c r="D225" s="768" t="s">
        <v>119</v>
      </c>
      <c r="E225" s="769">
        <v>2</v>
      </c>
      <c r="F225" s="769">
        <v>420</v>
      </c>
      <c r="G225" s="993">
        <f t="shared" si="0"/>
        <v>840</v>
      </c>
      <c r="H225" s="770"/>
      <c r="I225" s="765"/>
      <c r="J225" s="765"/>
      <c r="K225" s="765"/>
      <c r="L225" s="1303"/>
    </row>
    <row r="226" spans="1:12" s="1306" customFormat="1" hidden="1">
      <c r="A226" s="974"/>
      <c r="B226" s="772"/>
      <c r="C226" s="773" t="s">
        <v>1871</v>
      </c>
      <c r="D226" s="774">
        <f>D1</f>
        <v>0</v>
      </c>
      <c r="E226" s="774"/>
      <c r="F226" s="774"/>
      <c r="G226" s="994">
        <f>SUM(G224:G225)*D226</f>
        <v>0</v>
      </c>
      <c r="H226" s="772"/>
      <c r="I226" s="775"/>
      <c r="J226" s="775"/>
      <c r="K226" s="775"/>
      <c r="L226" s="1304"/>
    </row>
    <row r="227" spans="1:12" s="1305" customFormat="1">
      <c r="A227" s="973"/>
      <c r="B227" s="761"/>
      <c r="C227" s="767" t="s">
        <v>1738</v>
      </c>
      <c r="D227" s="768" t="s">
        <v>215</v>
      </c>
      <c r="E227" s="769">
        <v>0</v>
      </c>
      <c r="F227" s="769">
        <f>SUM(G219:G225)</f>
        <v>3521.0107199999998</v>
      </c>
      <c r="G227" s="993">
        <f>F227*E227</f>
        <v>0</v>
      </c>
      <c r="H227" s="770"/>
      <c r="I227" s="765"/>
      <c r="J227" s="765"/>
      <c r="K227" s="765"/>
      <c r="L227" s="1303"/>
    </row>
    <row r="228" spans="1:12" s="1305" customFormat="1">
      <c r="A228" s="973"/>
      <c r="B228" s="761"/>
      <c r="C228" s="767"/>
      <c r="D228" s="768"/>
      <c r="E228" s="769"/>
      <c r="F228" s="769"/>
      <c r="G228" s="993">
        <f>SUM(G219:G227)</f>
        <v>3521.0107199999998</v>
      </c>
      <c r="H228" s="765"/>
      <c r="I228" s="765"/>
      <c r="J228" s="765"/>
      <c r="K228" s="765"/>
      <c r="L228" s="1303"/>
    </row>
    <row r="229" spans="1:12" s="1305" customFormat="1">
      <c r="A229" s="973"/>
      <c r="B229" s="761"/>
      <c r="C229" s="776" t="s">
        <v>1739</v>
      </c>
      <c r="D229" s="768"/>
      <c r="E229" s="769"/>
      <c r="F229" s="769"/>
      <c r="G229" s="995">
        <f>SUM(G228:G228)</f>
        <v>3521.0107199999998</v>
      </c>
      <c r="H229" s="765"/>
      <c r="I229" s="765"/>
      <c r="J229" s="765"/>
      <c r="K229" s="765"/>
      <c r="L229" s="1303"/>
    </row>
    <row r="230" spans="1:12" s="777" customFormat="1" ht="96.75" customHeight="1">
      <c r="A230" s="971" t="s">
        <v>260</v>
      </c>
      <c r="B230" s="730">
        <v>13</v>
      </c>
      <c r="C230" s="2033" t="s">
        <v>2</v>
      </c>
      <c r="D230" s="2034"/>
      <c r="E230" s="2034"/>
      <c r="F230" s="2034"/>
      <c r="G230" s="2035"/>
      <c r="H230" s="724"/>
      <c r="I230" s="724"/>
      <c r="J230" s="724"/>
      <c r="K230" s="724"/>
      <c r="L230" s="724"/>
    </row>
    <row r="231" spans="1:12" s="751" customFormat="1" ht="15" customHeight="1">
      <c r="A231" s="975"/>
      <c r="B231" s="748"/>
      <c r="C231" s="759" t="s">
        <v>213</v>
      </c>
      <c r="D231" s="724" t="s">
        <v>207</v>
      </c>
      <c r="E231" s="758">
        <v>162</v>
      </c>
      <c r="F231" s="758">
        <f>'Lead statement (2)'!J24</f>
        <v>4.6975999999999996</v>
      </c>
      <c r="G231" s="844">
        <f>ROUND(E231*F231,2)</f>
        <v>761.01</v>
      </c>
      <c r="H231" s="724"/>
      <c r="I231" s="748"/>
      <c r="J231" s="748"/>
      <c r="K231" s="748"/>
      <c r="L231" s="748"/>
    </row>
    <row r="232" spans="1:12" s="777" customFormat="1" ht="15" customHeight="1">
      <c r="A232" s="971"/>
      <c r="B232" s="724"/>
      <c r="C232" s="759" t="s">
        <v>211</v>
      </c>
      <c r="D232" s="724" t="s">
        <v>181</v>
      </c>
      <c r="E232" s="758">
        <v>0.9</v>
      </c>
      <c r="F232" s="758">
        <f>'Lead statement (2)'!J11</f>
        <v>1601.4</v>
      </c>
      <c r="G232" s="844">
        <f>ROUND(E232*F232,2)</f>
        <v>1441.26</v>
      </c>
      <c r="H232" s="724"/>
      <c r="I232" s="724"/>
      <c r="J232" s="724"/>
      <c r="K232" s="724"/>
      <c r="L232" s="724"/>
    </row>
    <row r="233" spans="1:12" s="777" customFormat="1" ht="15" customHeight="1">
      <c r="A233" s="975"/>
      <c r="B233" s="724"/>
      <c r="C233" s="759" t="s">
        <v>1802</v>
      </c>
      <c r="D233" s="724" t="s">
        <v>181</v>
      </c>
      <c r="E233" s="758">
        <v>0.45</v>
      </c>
      <c r="F233" s="758">
        <f>'Lead statement (2)'!J7</f>
        <v>933.6</v>
      </c>
      <c r="G233" s="844">
        <f>ROUND(E233*F233,2)</f>
        <v>420.12</v>
      </c>
      <c r="H233" s="724"/>
      <c r="I233" s="724"/>
      <c r="J233" s="724"/>
      <c r="K233" s="724"/>
      <c r="L233" s="724"/>
    </row>
    <row r="234" spans="1:12" s="777" customFormat="1" ht="15" customHeight="1">
      <c r="A234" s="975"/>
      <c r="B234" s="724"/>
      <c r="C234" s="759" t="s">
        <v>216</v>
      </c>
      <c r="D234" s="724" t="s">
        <v>215</v>
      </c>
      <c r="E234" s="758">
        <v>1.2</v>
      </c>
      <c r="F234" s="758">
        <v>80</v>
      </c>
      <c r="G234" s="844">
        <f>ROUND(E234*F234,2)</f>
        <v>96</v>
      </c>
      <c r="H234" s="724"/>
      <c r="I234" s="724"/>
      <c r="J234" s="724"/>
      <c r="K234" s="724"/>
      <c r="L234" s="724"/>
    </row>
    <row r="235" spans="1:12">
      <c r="A235" s="970"/>
      <c r="B235" s="1487"/>
      <c r="C235" s="753" t="s">
        <v>474</v>
      </c>
      <c r="D235" s="736"/>
      <c r="E235" s="760"/>
      <c r="F235" s="732"/>
      <c r="G235" s="844"/>
      <c r="H235" s="726"/>
      <c r="I235" s="726"/>
      <c r="J235" s="726"/>
      <c r="K235" s="726"/>
      <c r="L235" s="726"/>
    </row>
    <row r="236" spans="1:12" s="751" customFormat="1" ht="26">
      <c r="A236" s="975"/>
      <c r="B236" s="748"/>
      <c r="C236" s="759" t="s">
        <v>214</v>
      </c>
      <c r="D236" s="724" t="s">
        <v>228</v>
      </c>
      <c r="E236" s="758">
        <v>1</v>
      </c>
      <c r="F236" s="758">
        <f>F210</f>
        <v>524.70000000000005</v>
      </c>
      <c r="G236" s="844">
        <f>ROUND(E236*F236,2)</f>
        <v>524.70000000000005</v>
      </c>
      <c r="H236" s="724"/>
      <c r="I236" s="748"/>
      <c r="J236" s="748"/>
      <c r="K236" s="748"/>
      <c r="L236" s="748"/>
    </row>
    <row r="237" spans="1:12">
      <c r="A237" s="970"/>
      <c r="B237" s="1487"/>
      <c r="C237" s="753" t="s">
        <v>278</v>
      </c>
      <c r="D237" s="736"/>
      <c r="E237" s="760"/>
      <c r="F237" s="732"/>
      <c r="G237" s="845"/>
      <c r="H237" s="726"/>
      <c r="I237" s="726"/>
      <c r="J237" s="726"/>
      <c r="K237" s="726"/>
      <c r="L237" s="726"/>
    </row>
    <row r="238" spans="1:12">
      <c r="A238" s="970"/>
      <c r="B238" s="1487"/>
      <c r="C238" s="1482" t="s">
        <v>279</v>
      </c>
      <c r="D238" s="736" t="s">
        <v>119</v>
      </c>
      <c r="E238" s="760">
        <v>0.1</v>
      </c>
      <c r="F238" s="732">
        <f>F212</f>
        <v>500</v>
      </c>
      <c r="G238" s="844">
        <f>ROUND(E238*F238,2)</f>
        <v>50</v>
      </c>
      <c r="H238" s="726"/>
      <c r="I238" s="726"/>
      <c r="J238" s="726"/>
      <c r="K238" s="726"/>
      <c r="L238" s="726"/>
    </row>
    <row r="239" spans="1:12">
      <c r="A239" s="970"/>
      <c r="B239" s="1487"/>
      <c r="C239" s="753" t="s">
        <v>281</v>
      </c>
      <c r="D239" s="736" t="s">
        <v>119</v>
      </c>
      <c r="E239" s="760">
        <v>1.39</v>
      </c>
      <c r="F239" s="732">
        <f>F213</f>
        <v>420</v>
      </c>
      <c r="G239" s="844">
        <f>ROUND(E239*F239,2)</f>
        <v>583.79999999999995</v>
      </c>
      <c r="H239" s="726"/>
      <c r="I239" s="726"/>
      <c r="J239" s="726"/>
      <c r="K239" s="726"/>
      <c r="L239" s="726"/>
    </row>
    <row r="240" spans="1:12" ht="13.5" hidden="1" customHeight="1">
      <c r="A240" s="970"/>
      <c r="B240" s="733"/>
      <c r="C240" s="735" t="s">
        <v>1724</v>
      </c>
      <c r="D240" s="737">
        <f>D1</f>
        <v>0</v>
      </c>
      <c r="E240" s="731"/>
      <c r="F240" s="732"/>
      <c r="G240" s="991">
        <f>(SUM(G238:G239))*D240</f>
        <v>0</v>
      </c>
      <c r="H240" s="726"/>
      <c r="I240" s="726"/>
      <c r="J240" s="726"/>
      <c r="K240" s="726"/>
      <c r="L240" s="726"/>
    </row>
    <row r="241" spans="1:12">
      <c r="A241" s="972"/>
      <c r="B241" s="752"/>
      <c r="C241" s="749"/>
      <c r="D241" s="750" t="s">
        <v>142</v>
      </c>
      <c r="E241" s="750"/>
      <c r="F241" s="748"/>
      <c r="G241" s="845">
        <f>ROUND(SUM(G231:G240,0),2)</f>
        <v>3876.89</v>
      </c>
      <c r="H241" s="726"/>
      <c r="I241" s="726"/>
      <c r="J241" s="726"/>
      <c r="K241" s="726"/>
      <c r="L241" s="726"/>
    </row>
    <row r="242" spans="1:12" ht="119.25" customHeight="1">
      <c r="A242" s="971" t="s">
        <v>1683</v>
      </c>
      <c r="B242" s="730">
        <v>14</v>
      </c>
      <c r="C242" s="2030" t="s">
        <v>1765</v>
      </c>
      <c r="D242" s="2031"/>
      <c r="E242" s="2031"/>
      <c r="F242" s="2031"/>
      <c r="G242" s="2032"/>
      <c r="H242" s="779"/>
      <c r="I242" s="726"/>
      <c r="J242" s="726"/>
      <c r="K242" s="726"/>
      <c r="L242" s="726"/>
    </row>
    <row r="243" spans="1:12">
      <c r="A243" s="970"/>
      <c r="B243" s="730" t="s">
        <v>144</v>
      </c>
      <c r="C243" s="726" t="s">
        <v>322</v>
      </c>
      <c r="D243" s="736"/>
      <c r="E243" s="736"/>
      <c r="F243" s="736"/>
      <c r="G243" s="996"/>
      <c r="H243" s="726"/>
      <c r="I243" s="726"/>
      <c r="J243" s="726"/>
      <c r="K243" s="726"/>
      <c r="L243" s="726"/>
    </row>
    <row r="244" spans="1:12">
      <c r="A244" s="970"/>
      <c r="B244" s="730"/>
      <c r="C244" s="753" t="s">
        <v>24</v>
      </c>
      <c r="D244" s="736"/>
      <c r="E244" s="736"/>
      <c r="F244" s="736"/>
      <c r="G244" s="996"/>
      <c r="H244" s="726"/>
      <c r="I244" s="726"/>
      <c r="J244" s="726"/>
      <c r="K244" s="726"/>
      <c r="L244" s="726"/>
    </row>
    <row r="245" spans="1:12">
      <c r="A245" s="970"/>
      <c r="B245" s="730"/>
      <c r="C245" s="1482" t="s">
        <v>276</v>
      </c>
      <c r="D245" s="736" t="s">
        <v>117</v>
      </c>
      <c r="E245" s="760">
        <v>0.6</v>
      </c>
      <c r="F245" s="732">
        <f>'Lead statement (2)'!J12</f>
        <v>2111.4</v>
      </c>
      <c r="G245" s="844">
        <f>ROUND(E245*F245,2)</f>
        <v>1266.8399999999999</v>
      </c>
      <c r="H245" s="726"/>
      <c r="I245" s="726"/>
      <c r="J245" s="726"/>
      <c r="K245" s="726"/>
      <c r="L245" s="726"/>
    </row>
    <row r="246" spans="1:12" ht="13.5" customHeight="1">
      <c r="A246" s="970"/>
      <c r="B246" s="730"/>
      <c r="C246" s="1482" t="s">
        <v>982</v>
      </c>
      <c r="D246" s="736" t="s">
        <v>117</v>
      </c>
      <c r="E246" s="760">
        <v>0.3</v>
      </c>
      <c r="F246" s="732">
        <f>'Lead statement (2)'!J13</f>
        <v>1851.4</v>
      </c>
      <c r="G246" s="844">
        <f>ROUND(E246*F246,2)</f>
        <v>555.41999999999996</v>
      </c>
      <c r="H246" s="726"/>
      <c r="I246" s="726"/>
      <c r="J246" s="726"/>
      <c r="K246" s="726"/>
      <c r="L246" s="726"/>
    </row>
    <row r="247" spans="1:12">
      <c r="A247" s="970"/>
      <c r="B247" s="730"/>
      <c r="C247" s="1482" t="s">
        <v>1766</v>
      </c>
      <c r="D247" s="736" t="s">
        <v>117</v>
      </c>
      <c r="E247" s="760">
        <v>0</v>
      </c>
      <c r="F247" s="732">
        <f>'Lead statement (2)'!J15</f>
        <v>1496.4</v>
      </c>
      <c r="G247" s="844">
        <f>ROUND(E247*F247,2)</f>
        <v>0</v>
      </c>
      <c r="H247" s="726"/>
      <c r="I247" s="726"/>
      <c r="J247" s="726"/>
      <c r="K247" s="726"/>
      <c r="L247" s="726"/>
    </row>
    <row r="248" spans="1:12">
      <c r="A248" s="970"/>
      <c r="B248" s="730"/>
      <c r="C248" s="1482" t="s">
        <v>277</v>
      </c>
      <c r="D248" s="736" t="s">
        <v>117</v>
      </c>
      <c r="E248" s="760">
        <v>0.45</v>
      </c>
      <c r="F248" s="732">
        <f>F265</f>
        <v>933.6</v>
      </c>
      <c r="G248" s="844">
        <f>ROUND(E248*F248,2)</f>
        <v>420.12</v>
      </c>
      <c r="H248" s="726"/>
      <c r="I248" s="726"/>
      <c r="J248" s="726"/>
      <c r="K248" s="726"/>
      <c r="L248" s="726"/>
    </row>
    <row r="249" spans="1:12">
      <c r="A249" s="970"/>
      <c r="B249" s="730"/>
      <c r="C249" s="1482" t="s">
        <v>218</v>
      </c>
      <c r="D249" s="736" t="s">
        <v>207</v>
      </c>
      <c r="E249" s="743">
        <v>340</v>
      </c>
      <c r="F249" s="732">
        <f>F266</f>
        <v>4.6975999999999996</v>
      </c>
      <c r="G249" s="844">
        <f>ROUND(E249*F249,2)</f>
        <v>1597.18</v>
      </c>
      <c r="H249" s="726"/>
      <c r="I249" s="726"/>
      <c r="J249" s="726"/>
      <c r="K249" s="726"/>
      <c r="L249" s="726"/>
    </row>
    <row r="250" spans="1:12">
      <c r="A250" s="970"/>
      <c r="B250" s="730"/>
      <c r="C250" s="753" t="s">
        <v>278</v>
      </c>
      <c r="D250" s="736"/>
      <c r="E250" s="760"/>
      <c r="F250" s="732"/>
      <c r="G250" s="845"/>
      <c r="H250" s="726"/>
      <c r="I250" s="726"/>
      <c r="J250" s="726"/>
      <c r="K250" s="726"/>
      <c r="L250" s="726"/>
    </row>
    <row r="251" spans="1:12">
      <c r="A251" s="970"/>
      <c r="B251" s="730"/>
      <c r="C251" s="1482" t="s">
        <v>279</v>
      </c>
      <c r="D251" s="736" t="s">
        <v>119</v>
      </c>
      <c r="E251" s="760">
        <v>0.1</v>
      </c>
      <c r="F251" s="732">
        <f>[125]Bldg.rates!F84</f>
        <v>500</v>
      </c>
      <c r="G251" s="844">
        <f>ROUND(E251*F251,2)</f>
        <v>50</v>
      </c>
      <c r="H251" s="726"/>
      <c r="I251" s="726"/>
      <c r="J251" s="726"/>
      <c r="K251" s="726"/>
      <c r="L251" s="726"/>
    </row>
    <row r="252" spans="1:12">
      <c r="A252" s="970"/>
      <c r="B252" s="730"/>
      <c r="C252" s="1482" t="s">
        <v>281</v>
      </c>
      <c r="D252" s="736" t="s">
        <v>119</v>
      </c>
      <c r="E252" s="760">
        <v>1.39</v>
      </c>
      <c r="F252" s="732">
        <f>[125]Bldg.rates!F86</f>
        <v>420</v>
      </c>
      <c r="G252" s="844">
        <f>ROUND(E252*F252,2)</f>
        <v>583.79999999999995</v>
      </c>
      <c r="H252" s="726"/>
      <c r="I252" s="726"/>
      <c r="J252" s="726"/>
      <c r="K252" s="726"/>
      <c r="L252" s="726"/>
    </row>
    <row r="253" spans="1:12" ht="13.5" hidden="1" customHeight="1">
      <c r="A253" s="970"/>
      <c r="B253" s="733"/>
      <c r="C253" s="735" t="s">
        <v>1724</v>
      </c>
      <c r="D253" s="737">
        <f>D1</f>
        <v>0</v>
      </c>
      <c r="E253" s="731"/>
      <c r="F253" s="732"/>
      <c r="G253" s="991">
        <f>(SUM(G251:G252))*D253</f>
        <v>0</v>
      </c>
      <c r="H253" s="726"/>
      <c r="I253" s="726"/>
      <c r="J253" s="726"/>
      <c r="K253" s="726"/>
      <c r="L253" s="726"/>
    </row>
    <row r="254" spans="1:12">
      <c r="A254" s="970"/>
      <c r="B254" s="730"/>
      <c r="C254" s="753" t="s">
        <v>252</v>
      </c>
      <c r="D254" s="736"/>
      <c r="E254" s="760"/>
      <c r="F254" s="732"/>
      <c r="G254" s="845"/>
      <c r="H254" s="726"/>
      <c r="I254" s="726"/>
      <c r="J254" s="726"/>
      <c r="K254" s="726"/>
      <c r="L254" s="726"/>
    </row>
    <row r="255" spans="1:12" ht="17.25" customHeight="1">
      <c r="A255" s="970"/>
      <c r="B255" s="730"/>
      <c r="C255" s="1482" t="s">
        <v>282</v>
      </c>
      <c r="D255" s="736" t="s">
        <v>267</v>
      </c>
      <c r="E255" s="760">
        <v>1</v>
      </c>
      <c r="F255" s="732">
        <f>F236</f>
        <v>524.70000000000005</v>
      </c>
      <c r="G255" s="844">
        <f>ROUND(E255*F255,2)</f>
        <v>524.70000000000005</v>
      </c>
      <c r="H255" s="726"/>
      <c r="I255" s="726"/>
      <c r="J255" s="726"/>
      <c r="K255" s="726"/>
      <c r="L255" s="726"/>
    </row>
    <row r="256" spans="1:12">
      <c r="A256" s="970"/>
      <c r="B256" s="730"/>
      <c r="C256" s="745" t="s">
        <v>264</v>
      </c>
      <c r="D256" s="732" t="s">
        <v>265</v>
      </c>
      <c r="E256" s="760">
        <v>1.2</v>
      </c>
      <c r="F256" s="732">
        <v>80</v>
      </c>
      <c r="G256" s="844">
        <f>ROUND(E256*F256,2)</f>
        <v>96</v>
      </c>
      <c r="H256" s="726"/>
      <c r="I256" s="726"/>
      <c r="J256" s="726"/>
      <c r="K256" s="726"/>
      <c r="L256" s="726"/>
    </row>
    <row r="257" spans="1:12">
      <c r="A257" s="970"/>
      <c r="B257" s="730"/>
      <c r="C257" s="753" t="s">
        <v>284</v>
      </c>
      <c r="D257" s="736"/>
      <c r="E257" s="732"/>
      <c r="F257" s="732"/>
      <c r="G257" s="845">
        <f>SUM(G245:G256,0)</f>
        <v>5094.0599999999995</v>
      </c>
      <c r="H257" s="781"/>
      <c r="I257" s="726"/>
      <c r="J257" s="726"/>
      <c r="K257" s="726"/>
      <c r="L257" s="726"/>
    </row>
    <row r="258" spans="1:12">
      <c r="A258" s="969" t="s">
        <v>256</v>
      </c>
      <c r="B258" s="730">
        <v>15</v>
      </c>
      <c r="C258" s="753" t="s">
        <v>1767</v>
      </c>
      <c r="D258" s="736"/>
      <c r="E258" s="736"/>
      <c r="F258" s="736"/>
      <c r="G258" s="996"/>
      <c r="H258" s="726"/>
      <c r="I258" s="726"/>
      <c r="J258" s="726"/>
      <c r="K258" s="726"/>
      <c r="L258" s="726"/>
    </row>
    <row r="259" spans="1:12" ht="110.25" customHeight="1">
      <c r="A259" s="971" t="s">
        <v>272</v>
      </c>
      <c r="B259" s="730"/>
      <c r="C259" s="2033" t="s">
        <v>1768</v>
      </c>
      <c r="D259" s="2034"/>
      <c r="E259" s="2034"/>
      <c r="F259" s="2034"/>
      <c r="G259" s="2035"/>
      <c r="H259" s="779"/>
      <c r="I259" s="726"/>
      <c r="J259" s="726"/>
      <c r="K259" s="726"/>
      <c r="L259" s="726"/>
    </row>
    <row r="260" spans="1:12">
      <c r="A260" s="970"/>
      <c r="B260" s="730" t="s">
        <v>144</v>
      </c>
      <c r="C260" s="726" t="s">
        <v>322</v>
      </c>
      <c r="D260" s="736"/>
      <c r="E260" s="736"/>
      <c r="F260" s="736"/>
      <c r="G260" s="996"/>
      <c r="H260" s="726"/>
      <c r="I260" s="726"/>
      <c r="J260" s="726"/>
      <c r="K260" s="726"/>
      <c r="L260" s="726"/>
    </row>
    <row r="261" spans="1:12">
      <c r="A261" s="970"/>
      <c r="B261" s="730"/>
      <c r="C261" s="753" t="s">
        <v>24</v>
      </c>
      <c r="D261" s="736"/>
      <c r="E261" s="736"/>
      <c r="F261" s="736"/>
      <c r="G261" s="996"/>
      <c r="H261" s="726"/>
      <c r="I261" s="726"/>
      <c r="J261" s="726"/>
      <c r="K261" s="726"/>
      <c r="L261" s="726"/>
    </row>
    <row r="262" spans="1:12">
      <c r="A262" s="970"/>
      <c r="B262" s="730"/>
      <c r="C262" s="1482" t="s">
        <v>276</v>
      </c>
      <c r="D262" s="736" t="s">
        <v>117</v>
      </c>
      <c r="E262" s="760">
        <v>0.6</v>
      </c>
      <c r="F262" s="732">
        <f>'Lead statement (2)'!J12</f>
        <v>2111.4</v>
      </c>
      <c r="G262" s="844">
        <f>ROUND(E262*F262,2)</f>
        <v>1266.8399999999999</v>
      </c>
      <c r="H262" s="726"/>
      <c r="I262" s="726"/>
      <c r="J262" s="726"/>
      <c r="K262" s="726"/>
      <c r="L262" s="726"/>
    </row>
    <row r="263" spans="1:12">
      <c r="A263" s="970"/>
      <c r="B263" s="730"/>
      <c r="C263" s="1482" t="s">
        <v>982</v>
      </c>
      <c r="D263" s="736" t="s">
        <v>117</v>
      </c>
      <c r="E263" s="760">
        <v>0.3</v>
      </c>
      <c r="F263" s="732">
        <f>'Lead statement (2)'!J13</f>
        <v>1851.4</v>
      </c>
      <c r="G263" s="844">
        <f>ROUND(E263*F263,2)</f>
        <v>555.41999999999996</v>
      </c>
      <c r="H263" s="726"/>
      <c r="I263" s="726"/>
      <c r="J263" s="726"/>
      <c r="K263" s="726"/>
      <c r="L263" s="726"/>
    </row>
    <row r="264" spans="1:12" hidden="1">
      <c r="A264" s="970"/>
      <c r="B264" s="730"/>
      <c r="C264" s="1482" t="s">
        <v>1766</v>
      </c>
      <c r="D264" s="736" t="s">
        <v>117</v>
      </c>
      <c r="E264" s="760">
        <v>0</v>
      </c>
      <c r="F264" s="732">
        <f>'Lead statement (2)'!J15</f>
        <v>1496.4</v>
      </c>
      <c r="G264" s="844">
        <f>ROUND(E264*F264,2)</f>
        <v>0</v>
      </c>
      <c r="H264" s="726"/>
      <c r="I264" s="726"/>
      <c r="J264" s="726"/>
      <c r="K264" s="726"/>
      <c r="L264" s="726"/>
    </row>
    <row r="265" spans="1:12">
      <c r="A265" s="970"/>
      <c r="B265" s="730"/>
      <c r="C265" s="1482" t="s">
        <v>277</v>
      </c>
      <c r="D265" s="736" t="s">
        <v>117</v>
      </c>
      <c r="E265" s="760">
        <v>0.45</v>
      </c>
      <c r="F265" s="732">
        <f>F233</f>
        <v>933.6</v>
      </c>
      <c r="G265" s="844">
        <f>ROUND(E265*F265,2)</f>
        <v>420.12</v>
      </c>
      <c r="H265" s="726"/>
      <c r="I265" s="726"/>
      <c r="J265" s="726"/>
      <c r="K265" s="726"/>
      <c r="L265" s="726"/>
    </row>
    <row r="266" spans="1:12">
      <c r="A266" s="970"/>
      <c r="B266" s="730"/>
      <c r="C266" s="1482" t="s">
        <v>218</v>
      </c>
      <c r="D266" s="736" t="s">
        <v>207</v>
      </c>
      <c r="E266" s="743">
        <v>340</v>
      </c>
      <c r="F266" s="732">
        <f>F231</f>
        <v>4.6975999999999996</v>
      </c>
      <c r="G266" s="844">
        <f>ROUND(E266*F266,2)</f>
        <v>1597.18</v>
      </c>
      <c r="H266" s="726"/>
      <c r="I266" s="726"/>
      <c r="J266" s="726"/>
      <c r="K266" s="726"/>
      <c r="L266" s="726"/>
    </row>
    <row r="267" spans="1:12">
      <c r="A267" s="970"/>
      <c r="B267" s="730"/>
      <c r="C267" s="753" t="s">
        <v>278</v>
      </c>
      <c r="D267" s="736"/>
      <c r="E267" s="760"/>
      <c r="F267" s="732"/>
      <c r="G267" s="845"/>
      <c r="H267" s="726"/>
      <c r="I267" s="726"/>
      <c r="J267" s="726"/>
      <c r="K267" s="726"/>
      <c r="L267" s="726"/>
    </row>
    <row r="268" spans="1:12">
      <c r="A268" s="970"/>
      <c r="B268" s="730"/>
      <c r="C268" s="1482" t="s">
        <v>279</v>
      </c>
      <c r="D268" s="736" t="s">
        <v>119</v>
      </c>
      <c r="E268" s="760">
        <v>0.13300000000000001</v>
      </c>
      <c r="F268" s="732">
        <f>[125]Bldg.rates!F84</f>
        <v>500</v>
      </c>
      <c r="G268" s="844">
        <f>ROUND(E268*F268,2)</f>
        <v>66.5</v>
      </c>
      <c r="H268" s="726"/>
      <c r="I268" s="726"/>
      <c r="J268" s="726"/>
      <c r="K268" s="726"/>
      <c r="L268" s="726"/>
    </row>
    <row r="269" spans="1:12">
      <c r="A269" s="970"/>
      <c r="B269" s="730"/>
      <c r="C269" s="1482" t="s">
        <v>280</v>
      </c>
      <c r="D269" s="736" t="s">
        <v>119</v>
      </c>
      <c r="E269" s="760">
        <v>0.26700000000000002</v>
      </c>
      <c r="F269" s="732">
        <f>[125]Bldg.rates!F85</f>
        <v>460</v>
      </c>
      <c r="G269" s="844">
        <f>ROUND(E269*F269,2)</f>
        <v>122.82</v>
      </c>
      <c r="H269" s="726"/>
      <c r="I269" s="726"/>
      <c r="J269" s="726"/>
      <c r="K269" s="726"/>
      <c r="L269" s="726"/>
    </row>
    <row r="270" spans="1:12">
      <c r="A270" s="970"/>
      <c r="B270" s="730"/>
      <c r="C270" s="1482" t="s">
        <v>281</v>
      </c>
      <c r="D270" s="736" t="s">
        <v>119</v>
      </c>
      <c r="E270" s="760">
        <v>3.6</v>
      </c>
      <c r="F270" s="732">
        <f>[125]Bldg.rates!F86</f>
        <v>420</v>
      </c>
      <c r="G270" s="844">
        <f>ROUND(E270*F270,2)</f>
        <v>1512</v>
      </c>
      <c r="H270" s="726"/>
      <c r="I270" s="726"/>
      <c r="J270" s="726"/>
      <c r="K270" s="726"/>
      <c r="L270" s="726"/>
    </row>
    <row r="271" spans="1:12" ht="13.5" hidden="1" customHeight="1">
      <c r="A271" s="970"/>
      <c r="B271" s="733"/>
      <c r="C271" s="735" t="s">
        <v>1724</v>
      </c>
      <c r="D271" s="737">
        <f>D1</f>
        <v>0</v>
      </c>
      <c r="E271" s="731"/>
      <c r="F271" s="732"/>
      <c r="G271" s="991">
        <f>(SUM(G268:G270))*D271</f>
        <v>0</v>
      </c>
      <c r="H271" s="726"/>
      <c r="I271" s="726"/>
      <c r="J271" s="726"/>
      <c r="K271" s="726"/>
      <c r="L271" s="726"/>
    </row>
    <row r="272" spans="1:12">
      <c r="A272" s="970"/>
      <c r="B272" s="1487"/>
      <c r="C272" s="753" t="s">
        <v>252</v>
      </c>
      <c r="D272" s="736"/>
      <c r="E272" s="760"/>
      <c r="F272" s="732"/>
      <c r="G272" s="845"/>
      <c r="H272" s="726"/>
      <c r="I272" s="726"/>
      <c r="J272" s="726"/>
      <c r="K272" s="726"/>
      <c r="L272" s="726"/>
    </row>
    <row r="273" spans="1:12" ht="26">
      <c r="A273" s="970"/>
      <c r="B273" s="1487"/>
      <c r="C273" s="1482" t="s">
        <v>282</v>
      </c>
      <c r="D273" s="736" t="s">
        <v>267</v>
      </c>
      <c r="E273" s="760">
        <v>1</v>
      </c>
      <c r="F273" s="732">
        <f>[125]Bldg.rates!F98</f>
        <v>524.70000000000005</v>
      </c>
      <c r="G273" s="844">
        <f>ROUND(E273*F273,2)</f>
        <v>524.70000000000005</v>
      </c>
      <c r="H273" s="726"/>
      <c r="I273" s="726"/>
      <c r="J273" s="726"/>
      <c r="K273" s="726"/>
      <c r="L273" s="726"/>
    </row>
    <row r="274" spans="1:12" ht="15" customHeight="1">
      <c r="A274" s="970"/>
      <c r="B274" s="1487"/>
      <c r="C274" s="1482" t="s">
        <v>283</v>
      </c>
      <c r="D274" s="736" t="s">
        <v>267</v>
      </c>
      <c r="E274" s="760">
        <v>1</v>
      </c>
      <c r="F274" s="732">
        <f>[125]Bldg.rates!F99</f>
        <v>209.1</v>
      </c>
      <c r="G274" s="844">
        <f>ROUND(E274*F274,2)</f>
        <v>209.1</v>
      </c>
      <c r="H274" s="726"/>
      <c r="I274" s="726"/>
      <c r="J274" s="726"/>
      <c r="K274" s="726"/>
      <c r="L274" s="726"/>
    </row>
    <row r="275" spans="1:12">
      <c r="A275" s="970"/>
      <c r="B275" s="1487"/>
      <c r="C275" s="745" t="s">
        <v>264</v>
      </c>
      <c r="D275" s="732" t="s">
        <v>265</v>
      </c>
      <c r="E275" s="760">
        <v>1.2</v>
      </c>
      <c r="F275" s="732">
        <v>80</v>
      </c>
      <c r="G275" s="844">
        <f>ROUND(E275*F275,2)</f>
        <v>96</v>
      </c>
      <c r="H275" s="726"/>
      <c r="I275" s="726"/>
      <c r="J275" s="726"/>
      <c r="K275" s="726"/>
      <c r="L275" s="726"/>
    </row>
    <row r="276" spans="1:12">
      <c r="A276" s="970"/>
      <c r="B276" s="1487"/>
      <c r="C276" s="753" t="s">
        <v>284</v>
      </c>
      <c r="D276" s="736"/>
      <c r="E276" s="732"/>
      <c r="F276" s="732"/>
      <c r="G276" s="845">
        <f>SUM(G262:G275,0)</f>
        <v>6370.6799999999994</v>
      </c>
      <c r="H276" s="781"/>
      <c r="I276" s="726"/>
      <c r="J276" s="726"/>
      <c r="K276" s="726"/>
      <c r="L276" s="726"/>
    </row>
    <row r="277" spans="1:12">
      <c r="A277" s="970"/>
      <c r="B277" s="1487"/>
      <c r="C277" s="1896" t="s">
        <v>40</v>
      </c>
      <c r="D277" s="736"/>
      <c r="E277" s="732"/>
      <c r="F277" s="734">
        <f>G276-G274</f>
        <v>6161.579999999999</v>
      </c>
      <c r="G277" s="997"/>
      <c r="H277" s="781"/>
      <c r="I277" s="726"/>
      <c r="J277" s="726"/>
      <c r="K277" s="726"/>
      <c r="L277" s="726"/>
    </row>
    <row r="278" spans="1:12">
      <c r="A278" s="970"/>
      <c r="B278" s="1487"/>
      <c r="C278" s="735" t="s">
        <v>338</v>
      </c>
      <c r="D278" s="736"/>
      <c r="E278" s="732"/>
      <c r="F278" s="732"/>
      <c r="G278" s="845">
        <f>SUM(G276:G277)</f>
        <v>6370.6799999999994</v>
      </c>
      <c r="H278" s="726"/>
      <c r="I278" s="726"/>
      <c r="J278" s="726"/>
      <c r="K278" s="726"/>
      <c r="L278" s="726"/>
    </row>
    <row r="279" spans="1:12">
      <c r="A279" s="970"/>
      <c r="B279" s="1487"/>
      <c r="C279" s="782" t="s">
        <v>505</v>
      </c>
      <c r="D279" s="736"/>
      <c r="E279" s="736"/>
      <c r="F279" s="736"/>
      <c r="G279" s="996"/>
      <c r="H279" s="726"/>
      <c r="I279" s="726"/>
      <c r="J279" s="726"/>
      <c r="K279" s="726"/>
      <c r="L279" s="726"/>
    </row>
    <row r="280" spans="1:12">
      <c r="A280" s="970"/>
      <c r="B280" s="1487"/>
      <c r="C280" s="753" t="s">
        <v>284</v>
      </c>
      <c r="D280" s="736" t="s">
        <v>117</v>
      </c>
      <c r="E280" s="732">
        <v>1</v>
      </c>
      <c r="F280" s="732">
        <f>G276</f>
        <v>6370.6799999999994</v>
      </c>
      <c r="G280" s="844">
        <f>ROUND(E280*F280,2)</f>
        <v>6370.68</v>
      </c>
      <c r="H280" s="726"/>
      <c r="I280" s="726"/>
      <c r="J280" s="726"/>
      <c r="K280" s="726"/>
      <c r="L280" s="726"/>
    </row>
    <row r="281" spans="1:12">
      <c r="A281" s="970"/>
      <c r="B281" s="1487"/>
      <c r="C281" s="1896" t="s">
        <v>532</v>
      </c>
      <c r="D281" s="736" t="s">
        <v>117</v>
      </c>
      <c r="E281" s="732">
        <v>1</v>
      </c>
      <c r="F281" s="732">
        <f>'[125]Centring charges'!Q6</f>
        <v>919</v>
      </c>
      <c r="G281" s="844">
        <f>ROUND(E281*F281,2)</f>
        <v>919</v>
      </c>
      <c r="H281" s="726"/>
      <c r="I281" s="726"/>
      <c r="J281" s="726"/>
      <c r="K281" s="726"/>
      <c r="L281" s="726"/>
    </row>
    <row r="282" spans="1:12">
      <c r="A282" s="970"/>
      <c r="B282" s="1487"/>
      <c r="C282" s="756" t="s">
        <v>142</v>
      </c>
      <c r="D282" s="736"/>
      <c r="E282" s="732"/>
      <c r="F282" s="732"/>
      <c r="G282" s="845">
        <f>ROUND(SUM(G280:G281,0),2)</f>
        <v>7289.68</v>
      </c>
      <c r="H282" s="726"/>
      <c r="I282" s="726"/>
      <c r="J282" s="726"/>
      <c r="K282" s="726"/>
      <c r="L282" s="726"/>
    </row>
    <row r="283" spans="1:12">
      <c r="A283" s="970"/>
      <c r="B283" s="1487"/>
      <c r="C283" s="782" t="s">
        <v>1803</v>
      </c>
      <c r="D283" s="736"/>
      <c r="E283" s="736"/>
      <c r="F283" s="736"/>
      <c r="G283" s="996"/>
      <c r="H283" s="726"/>
      <c r="I283" s="726"/>
      <c r="J283" s="726"/>
      <c r="K283" s="726"/>
      <c r="L283" s="726"/>
    </row>
    <row r="284" spans="1:12">
      <c r="A284" s="970"/>
      <c r="B284" s="1487"/>
      <c r="C284" s="1896" t="s">
        <v>284</v>
      </c>
      <c r="D284" s="736" t="s">
        <v>117</v>
      </c>
      <c r="E284" s="732">
        <v>1</v>
      </c>
      <c r="F284" s="732">
        <f>G276</f>
        <v>6370.6799999999994</v>
      </c>
      <c r="G284" s="844">
        <f>ROUND(E284*F284,2)</f>
        <v>6370.68</v>
      </c>
      <c r="H284" s="726"/>
      <c r="I284" s="726"/>
      <c r="J284" s="726"/>
      <c r="K284" s="726"/>
      <c r="L284" s="726"/>
    </row>
    <row r="285" spans="1:12">
      <c r="A285" s="970"/>
      <c r="B285" s="1487"/>
      <c r="C285" s="1896" t="s">
        <v>532</v>
      </c>
      <c r="D285" s="736" t="s">
        <v>117</v>
      </c>
      <c r="E285" s="732">
        <v>1</v>
      </c>
      <c r="F285" s="732">
        <f>'[125]Centring charges'!Q8</f>
        <v>1332</v>
      </c>
      <c r="G285" s="844">
        <f>ROUND(E285*F285,2)</f>
        <v>1332</v>
      </c>
      <c r="H285" s="726"/>
      <c r="I285" s="726"/>
      <c r="J285" s="726"/>
      <c r="K285" s="726"/>
      <c r="L285" s="726"/>
    </row>
    <row r="286" spans="1:12">
      <c r="A286" s="970"/>
      <c r="B286" s="1487"/>
      <c r="C286" s="756" t="s">
        <v>142</v>
      </c>
      <c r="D286" s="736"/>
      <c r="E286" s="732"/>
      <c r="F286" s="732"/>
      <c r="G286" s="845">
        <f>ROUND(SUM(G284:G285,0),2)</f>
        <v>7702.68</v>
      </c>
      <c r="H286" s="726"/>
      <c r="I286" s="726"/>
      <c r="J286" s="726"/>
      <c r="K286" s="726"/>
      <c r="L286" s="726"/>
    </row>
    <row r="287" spans="1:12">
      <c r="A287" s="970"/>
      <c r="B287" s="1487"/>
      <c r="C287" s="782" t="s">
        <v>506</v>
      </c>
      <c r="D287" s="736"/>
      <c r="E287" s="736"/>
      <c r="F287" s="736"/>
      <c r="G287" s="996"/>
      <c r="H287" s="726"/>
      <c r="I287" s="726"/>
      <c r="J287" s="726"/>
      <c r="K287" s="726"/>
      <c r="L287" s="726"/>
    </row>
    <row r="288" spans="1:12">
      <c r="A288" s="970"/>
      <c r="B288" s="1487"/>
      <c r="C288" s="1896" t="s">
        <v>284</v>
      </c>
      <c r="D288" s="736" t="s">
        <v>117</v>
      </c>
      <c r="E288" s="732">
        <v>1</v>
      </c>
      <c r="F288" s="732">
        <f>G276</f>
        <v>6370.6799999999994</v>
      </c>
      <c r="G288" s="844">
        <f>ROUND(E288*F288,2)</f>
        <v>6370.68</v>
      </c>
      <c r="H288" s="726"/>
      <c r="I288" s="726"/>
      <c r="J288" s="726"/>
      <c r="K288" s="726"/>
      <c r="L288" s="726"/>
    </row>
    <row r="289" spans="1:12">
      <c r="A289" s="970"/>
      <c r="B289" s="1487"/>
      <c r="C289" s="1896" t="s">
        <v>532</v>
      </c>
      <c r="D289" s="736" t="s">
        <v>117</v>
      </c>
      <c r="E289" s="732">
        <v>1</v>
      </c>
      <c r="F289" s="732">
        <f>'[125]Centring charges'!Q9</f>
        <v>2911</v>
      </c>
      <c r="G289" s="844">
        <f>ROUND(E289*F289,2)</f>
        <v>2911</v>
      </c>
      <c r="H289" s="726"/>
      <c r="I289" s="726"/>
      <c r="J289" s="726"/>
      <c r="K289" s="726"/>
      <c r="L289" s="726"/>
    </row>
    <row r="290" spans="1:12">
      <c r="A290" s="970"/>
      <c r="B290" s="1487"/>
      <c r="C290" s="756" t="s">
        <v>142</v>
      </c>
      <c r="D290" s="736"/>
      <c r="E290" s="732"/>
      <c r="F290" s="732"/>
      <c r="G290" s="845">
        <f>ROUND(SUM(G288:G289,0),2)</f>
        <v>9281.68</v>
      </c>
      <c r="H290" s="726"/>
      <c r="I290" s="726"/>
      <c r="J290" s="726"/>
      <c r="K290" s="726"/>
      <c r="L290" s="726"/>
    </row>
    <row r="291" spans="1:12" ht="21">
      <c r="A291" s="970"/>
      <c r="B291" s="1486" t="s">
        <v>145</v>
      </c>
      <c r="C291" s="783" t="s">
        <v>285</v>
      </c>
      <c r="D291" s="784"/>
      <c r="E291" s="785"/>
      <c r="F291" s="785"/>
      <c r="G291" s="2062" t="s">
        <v>613</v>
      </c>
      <c r="H291" s="2062"/>
      <c r="I291" s="2062"/>
      <c r="J291" s="2062"/>
      <c r="K291" s="2061"/>
      <c r="L291" s="2061"/>
    </row>
    <row r="292" spans="1:12" ht="21">
      <c r="A292" s="970"/>
      <c r="B292" s="1487"/>
      <c r="C292" s="786" t="s">
        <v>24</v>
      </c>
      <c r="D292" s="784"/>
      <c r="E292" s="785"/>
      <c r="F292" s="785"/>
      <c r="G292" s="1372" t="s">
        <v>612</v>
      </c>
      <c r="H292" s="967" t="s">
        <v>286</v>
      </c>
      <c r="I292" s="1532"/>
      <c r="J292" s="787"/>
      <c r="K292" s="734"/>
      <c r="L292" s="782"/>
    </row>
    <row r="293" spans="1:12">
      <c r="A293" s="970"/>
      <c r="B293" s="1487"/>
      <c r="C293" s="1482" t="s">
        <v>287</v>
      </c>
      <c r="D293" s="736" t="s">
        <v>117</v>
      </c>
      <c r="E293" s="760">
        <v>0.6</v>
      </c>
      <c r="F293" s="732">
        <f>F262</f>
        <v>2111.4</v>
      </c>
      <c r="G293" s="732">
        <f>ROUND(E293*F293,2)</f>
        <v>1266.8399999999999</v>
      </c>
      <c r="H293" s="755">
        <f>G293</f>
        <v>1266.8399999999999</v>
      </c>
      <c r="I293" s="732"/>
      <c r="J293" s="755"/>
      <c r="K293" s="755"/>
      <c r="L293" s="755"/>
    </row>
    <row r="294" spans="1:12">
      <c r="A294" s="970"/>
      <c r="B294" s="1487"/>
      <c r="C294" s="1482" t="s">
        <v>982</v>
      </c>
      <c r="D294" s="736" t="s">
        <v>117</v>
      </c>
      <c r="E294" s="760">
        <v>0.3</v>
      </c>
      <c r="F294" s="732">
        <f>F263</f>
        <v>1851.4</v>
      </c>
      <c r="G294" s="732">
        <f>ROUND(E294*F294,2)</f>
        <v>555.41999999999996</v>
      </c>
      <c r="H294" s="755">
        <f>G294</f>
        <v>555.41999999999996</v>
      </c>
      <c r="I294" s="732"/>
      <c r="J294" s="755"/>
      <c r="K294" s="755"/>
      <c r="L294" s="755"/>
    </row>
    <row r="295" spans="1:12">
      <c r="A295" s="970"/>
      <c r="B295" s="1487"/>
      <c r="C295" s="1482" t="s">
        <v>1766</v>
      </c>
      <c r="D295" s="736" t="s">
        <v>117</v>
      </c>
      <c r="E295" s="760">
        <v>0</v>
      </c>
      <c r="F295" s="732">
        <f>'Lead statement (2)'!J15</f>
        <v>1496.4</v>
      </c>
      <c r="G295" s="732">
        <f>ROUND(E295*F295,2)</f>
        <v>0</v>
      </c>
      <c r="H295" s="755">
        <f>G295</f>
        <v>0</v>
      </c>
      <c r="I295" s="732"/>
      <c r="J295" s="755"/>
      <c r="K295" s="755"/>
      <c r="L295" s="755"/>
    </row>
    <row r="296" spans="1:12">
      <c r="A296" s="970"/>
      <c r="B296" s="1487"/>
      <c r="C296" s="1482" t="s">
        <v>277</v>
      </c>
      <c r="D296" s="736" t="s">
        <v>117</v>
      </c>
      <c r="E296" s="760">
        <v>0.45</v>
      </c>
      <c r="F296" s="732">
        <f>F265</f>
        <v>933.6</v>
      </c>
      <c r="G296" s="732">
        <f>ROUND(E296*F296,2)</f>
        <v>420.12</v>
      </c>
      <c r="H296" s="755">
        <f>G296</f>
        <v>420.12</v>
      </c>
      <c r="I296" s="732"/>
      <c r="J296" s="755"/>
      <c r="K296" s="755"/>
      <c r="L296" s="755"/>
    </row>
    <row r="297" spans="1:12">
      <c r="A297" s="970"/>
      <c r="B297" s="1487"/>
      <c r="C297" s="1482" t="s">
        <v>218</v>
      </c>
      <c r="D297" s="736" t="s">
        <v>207</v>
      </c>
      <c r="E297" s="760">
        <v>340</v>
      </c>
      <c r="F297" s="732">
        <f>F266</f>
        <v>4.6975999999999996</v>
      </c>
      <c r="G297" s="732">
        <f>ROUND(E297*F297,2)</f>
        <v>1597.18</v>
      </c>
      <c r="H297" s="755">
        <f>G297</f>
        <v>1597.18</v>
      </c>
      <c r="I297" s="732"/>
      <c r="J297" s="755"/>
      <c r="K297" s="755"/>
      <c r="L297" s="755"/>
    </row>
    <row r="298" spans="1:12">
      <c r="A298" s="970"/>
      <c r="B298" s="1487"/>
      <c r="C298" s="753" t="s">
        <v>278</v>
      </c>
      <c r="D298" s="736"/>
      <c r="E298" s="760"/>
      <c r="F298" s="732"/>
      <c r="G298" s="734"/>
      <c r="H298" s="755"/>
      <c r="I298" s="732"/>
      <c r="J298" s="755"/>
      <c r="K298" s="755"/>
      <c r="L298" s="755"/>
    </row>
    <row r="299" spans="1:12">
      <c r="A299" s="970"/>
      <c r="B299" s="1487"/>
      <c r="C299" s="1482" t="s">
        <v>279</v>
      </c>
      <c r="D299" s="736" t="s">
        <v>119</v>
      </c>
      <c r="E299" s="760">
        <v>0.16700000000000001</v>
      </c>
      <c r="F299" s="732">
        <f>F268</f>
        <v>500</v>
      </c>
      <c r="G299" s="732">
        <f>ROUND(E299*F299,2)</f>
        <v>83.5</v>
      </c>
      <c r="H299" s="755">
        <f>G299</f>
        <v>83.5</v>
      </c>
      <c r="I299" s="732"/>
      <c r="J299" s="755"/>
      <c r="K299" s="755"/>
      <c r="L299" s="755"/>
    </row>
    <row r="300" spans="1:12">
      <c r="A300" s="970"/>
      <c r="B300" s="1487"/>
      <c r="C300" s="1482" t="s">
        <v>280</v>
      </c>
      <c r="D300" s="736" t="s">
        <v>119</v>
      </c>
      <c r="E300" s="760">
        <v>0.16700000000000001</v>
      </c>
      <c r="F300" s="732">
        <f>F269</f>
        <v>460</v>
      </c>
      <c r="G300" s="732">
        <f>ROUND(E300*F300,2)</f>
        <v>76.819999999999993</v>
      </c>
      <c r="H300" s="755">
        <f>G300</f>
        <v>76.819999999999993</v>
      </c>
      <c r="I300" s="732"/>
      <c r="J300" s="755"/>
      <c r="K300" s="755"/>
      <c r="L300" s="755"/>
    </row>
    <row r="301" spans="1:12">
      <c r="A301" s="970"/>
      <c r="B301" s="1487"/>
      <c r="C301" s="1482" t="s">
        <v>281</v>
      </c>
      <c r="D301" s="736" t="s">
        <v>119</v>
      </c>
      <c r="E301" s="760">
        <v>4.7</v>
      </c>
      <c r="F301" s="732">
        <f>F270</f>
        <v>420</v>
      </c>
      <c r="G301" s="732">
        <f>ROUND(E301*F301,2)</f>
        <v>1974</v>
      </c>
      <c r="H301" s="755">
        <f>G301</f>
        <v>1974</v>
      </c>
      <c r="I301" s="732"/>
      <c r="J301" s="755"/>
      <c r="K301" s="755"/>
      <c r="L301" s="755"/>
    </row>
    <row r="302" spans="1:12" ht="13.5" hidden="1" customHeight="1">
      <c r="A302" s="970"/>
      <c r="B302" s="733"/>
      <c r="C302" s="735" t="s">
        <v>1724</v>
      </c>
      <c r="D302" s="737">
        <f>D1</f>
        <v>0</v>
      </c>
      <c r="E302" s="731"/>
      <c r="F302" s="732"/>
      <c r="G302" s="736">
        <f>(SUM(G299:G301))*D302</f>
        <v>0</v>
      </c>
      <c r="H302" s="736">
        <f>(SUM(H299:H301))*D302</f>
        <v>0</v>
      </c>
      <c r="I302" s="736"/>
      <c r="J302" s="736"/>
      <c r="K302" s="736"/>
      <c r="L302" s="736"/>
    </row>
    <row r="303" spans="1:12" hidden="1">
      <c r="A303" s="970"/>
      <c r="B303" s="1487"/>
      <c r="C303" s="735" t="s">
        <v>615</v>
      </c>
      <c r="D303" s="736"/>
      <c r="E303" s="760"/>
      <c r="F303" s="732"/>
      <c r="G303" s="734"/>
      <c r="H303" s="755"/>
      <c r="I303" s="734"/>
      <c r="J303" s="755"/>
      <c r="K303" s="752"/>
      <c r="L303" s="752"/>
    </row>
    <row r="304" spans="1:12">
      <c r="A304" s="970"/>
      <c r="B304" s="1487"/>
      <c r="C304" s="753" t="s">
        <v>252</v>
      </c>
      <c r="D304" s="736"/>
      <c r="E304" s="760"/>
      <c r="F304" s="732"/>
      <c r="G304" s="734"/>
      <c r="H304" s="755"/>
      <c r="I304" s="734"/>
      <c r="J304" s="755"/>
      <c r="K304" s="752"/>
      <c r="L304" s="752"/>
    </row>
    <row r="305" spans="1:12" ht="24" customHeight="1">
      <c r="A305" s="970"/>
      <c r="B305" s="1487"/>
      <c r="C305" s="1482" t="s">
        <v>282</v>
      </c>
      <c r="D305" s="736" t="s">
        <v>267</v>
      </c>
      <c r="E305" s="760">
        <v>1</v>
      </c>
      <c r="F305" s="732">
        <f>F273</f>
        <v>524.70000000000005</v>
      </c>
      <c r="G305" s="732">
        <f>ROUND(E305*F305,2)</f>
        <v>524.70000000000005</v>
      </c>
      <c r="H305" s="755">
        <f>G305</f>
        <v>524.70000000000005</v>
      </c>
      <c r="I305" s="732"/>
      <c r="J305" s="755"/>
      <c r="K305" s="755"/>
      <c r="L305" s="755"/>
    </row>
    <row r="306" spans="1:12" ht="15.75" customHeight="1">
      <c r="A306" s="970"/>
      <c r="B306" s="1487"/>
      <c r="C306" s="1482" t="s">
        <v>1804</v>
      </c>
      <c r="D306" s="736" t="s">
        <v>267</v>
      </c>
      <c r="E306" s="760">
        <v>1</v>
      </c>
      <c r="F306" s="732">
        <v>209.1</v>
      </c>
      <c r="G306" s="732">
        <f>ROUND(E306*F306,2)</f>
        <v>209.1</v>
      </c>
      <c r="H306" s="755"/>
      <c r="I306" s="732"/>
      <c r="J306" s="755"/>
      <c r="K306" s="755"/>
      <c r="L306" s="752"/>
    </row>
    <row r="307" spans="1:12">
      <c r="A307" s="970"/>
      <c r="B307" s="1487"/>
      <c r="C307" s="745" t="s">
        <v>264</v>
      </c>
      <c r="D307" s="732" t="s">
        <v>265</v>
      </c>
      <c r="E307" s="760">
        <v>1.2</v>
      </c>
      <c r="F307" s="732">
        <f>F275</f>
        <v>80</v>
      </c>
      <c r="G307" s="732">
        <f>ROUND(E307*F307,2)</f>
        <v>96</v>
      </c>
      <c r="H307" s="755">
        <f>E307*F307</f>
        <v>96</v>
      </c>
      <c r="I307" s="755"/>
      <c r="J307" s="755"/>
      <c r="K307" s="755"/>
      <c r="L307" s="755"/>
    </row>
    <row r="308" spans="1:12">
      <c r="A308" s="970"/>
      <c r="B308" s="1487"/>
      <c r="C308" s="1482" t="s">
        <v>284</v>
      </c>
      <c r="D308" s="736"/>
      <c r="E308" s="732"/>
      <c r="F308" s="732"/>
      <c r="G308" s="1533">
        <f>SUM(G293:G307,0)</f>
        <v>6803.6799999999994</v>
      </c>
      <c r="H308" s="789">
        <f>SUM(H293:H307,0)</f>
        <v>6594.579999999999</v>
      </c>
      <c r="I308" s="1533"/>
      <c r="J308" s="789"/>
      <c r="K308" s="734"/>
      <c r="L308" s="734"/>
    </row>
    <row r="309" spans="1:12">
      <c r="A309" s="970"/>
      <c r="B309" s="1487"/>
      <c r="C309" s="1482"/>
      <c r="D309" s="2062" t="s">
        <v>611</v>
      </c>
      <c r="E309" s="2062"/>
      <c r="F309" s="2061" t="s">
        <v>614</v>
      </c>
      <c r="G309" s="2061"/>
      <c r="H309" s="789"/>
      <c r="I309" s="1533"/>
      <c r="J309" s="789"/>
      <c r="K309" s="734"/>
      <c r="L309" s="734"/>
    </row>
    <row r="310" spans="1:12" s="1904" customFormat="1" ht="28.5" customHeight="1">
      <c r="A310" s="1900"/>
      <c r="B310" s="1897"/>
      <c r="C310" s="1896"/>
      <c r="D310" s="1901" t="s">
        <v>612</v>
      </c>
      <c r="E310" s="1898" t="s">
        <v>1864</v>
      </c>
      <c r="F310" s="780" t="s">
        <v>612</v>
      </c>
      <c r="G310" s="1897" t="s">
        <v>286</v>
      </c>
      <c r="H310" s="1902"/>
      <c r="I310" s="1903"/>
      <c r="J310" s="1902"/>
      <c r="K310" s="780"/>
      <c r="L310" s="780"/>
    </row>
    <row r="311" spans="1:12">
      <c r="A311" s="970"/>
      <c r="B311" s="1487"/>
      <c r="C311" s="1482" t="s">
        <v>287</v>
      </c>
      <c r="D311" s="732">
        <f>G293</f>
        <v>1266.8399999999999</v>
      </c>
      <c r="E311" s="755">
        <f>D311</f>
        <v>1266.8399999999999</v>
      </c>
      <c r="F311" s="755">
        <f>E311</f>
        <v>1266.8399999999999</v>
      </c>
      <c r="G311" s="755">
        <f>F311</f>
        <v>1266.8399999999999</v>
      </c>
      <c r="H311" s="789"/>
      <c r="I311" s="1533"/>
      <c r="J311" s="789"/>
      <c r="K311" s="734"/>
      <c r="L311" s="734"/>
    </row>
    <row r="312" spans="1:12">
      <c r="A312" s="970"/>
      <c r="B312" s="1487"/>
      <c r="C312" s="1482" t="s">
        <v>982</v>
      </c>
      <c r="D312" s="732">
        <f>G294</f>
        <v>555.41999999999996</v>
      </c>
      <c r="E312" s="755">
        <f t="shared" ref="E312:G315" si="1">D312</f>
        <v>555.41999999999996</v>
      </c>
      <c r="F312" s="755">
        <f t="shared" si="1"/>
        <v>555.41999999999996</v>
      </c>
      <c r="G312" s="755">
        <f t="shared" si="1"/>
        <v>555.41999999999996</v>
      </c>
      <c r="H312" s="789"/>
      <c r="I312" s="1533"/>
      <c r="J312" s="789"/>
      <c r="K312" s="734"/>
      <c r="L312" s="734"/>
    </row>
    <row r="313" spans="1:12" hidden="1">
      <c r="A313" s="970"/>
      <c r="B313" s="1487"/>
      <c r="C313" s="1482" t="s">
        <v>1766</v>
      </c>
      <c r="D313" s="732">
        <f>G295</f>
        <v>0</v>
      </c>
      <c r="E313" s="755">
        <f t="shared" si="1"/>
        <v>0</v>
      </c>
      <c r="F313" s="755">
        <f t="shared" si="1"/>
        <v>0</v>
      </c>
      <c r="G313" s="755">
        <f t="shared" si="1"/>
        <v>0</v>
      </c>
      <c r="H313" s="789"/>
      <c r="I313" s="1533"/>
      <c r="J313" s="789"/>
      <c r="K313" s="734"/>
      <c r="L313" s="734"/>
    </row>
    <row r="314" spans="1:12">
      <c r="A314" s="970"/>
      <c r="B314" s="1487"/>
      <c r="C314" s="1482" t="s">
        <v>277</v>
      </c>
      <c r="D314" s="732">
        <f>G296</f>
        <v>420.12</v>
      </c>
      <c r="E314" s="755">
        <f t="shared" si="1"/>
        <v>420.12</v>
      </c>
      <c r="F314" s="755">
        <f t="shared" si="1"/>
        <v>420.12</v>
      </c>
      <c r="G314" s="755">
        <f t="shared" si="1"/>
        <v>420.12</v>
      </c>
      <c r="H314" s="789"/>
      <c r="I314" s="1533"/>
      <c r="J314" s="789"/>
      <c r="K314" s="734"/>
      <c r="L314" s="734"/>
    </row>
    <row r="315" spans="1:12">
      <c r="A315" s="970"/>
      <c r="B315" s="1487"/>
      <c r="C315" s="1482" t="s">
        <v>218</v>
      </c>
      <c r="D315" s="732">
        <f>G297</f>
        <v>1597.18</v>
      </c>
      <c r="E315" s="755">
        <f t="shared" si="1"/>
        <v>1597.18</v>
      </c>
      <c r="F315" s="755">
        <f t="shared" si="1"/>
        <v>1597.18</v>
      </c>
      <c r="G315" s="755">
        <f t="shared" si="1"/>
        <v>1597.18</v>
      </c>
      <c r="H315" s="789"/>
      <c r="I315" s="1533"/>
      <c r="J315" s="789"/>
      <c r="K315" s="734"/>
      <c r="L315" s="734"/>
    </row>
    <row r="316" spans="1:12">
      <c r="A316" s="970"/>
      <c r="B316" s="1487"/>
      <c r="C316" s="753" t="s">
        <v>278</v>
      </c>
      <c r="D316" s="732"/>
      <c r="E316" s="755"/>
      <c r="F316" s="755"/>
      <c r="G316" s="755"/>
      <c r="H316" s="789"/>
      <c r="I316" s="1533"/>
      <c r="J316" s="789"/>
      <c r="K316" s="734"/>
      <c r="L316" s="734"/>
    </row>
    <row r="317" spans="1:12">
      <c r="A317" s="970"/>
      <c r="B317" s="1487"/>
      <c r="C317" s="1482" t="s">
        <v>279</v>
      </c>
      <c r="D317" s="732">
        <f>G299</f>
        <v>83.5</v>
      </c>
      <c r="E317" s="755">
        <f t="shared" ref="E317:G319" si="2">D317</f>
        <v>83.5</v>
      </c>
      <c r="F317" s="755">
        <f t="shared" si="2"/>
        <v>83.5</v>
      </c>
      <c r="G317" s="755">
        <f t="shared" si="2"/>
        <v>83.5</v>
      </c>
      <c r="H317" s="789"/>
      <c r="I317" s="1533"/>
      <c r="J317" s="789"/>
      <c r="K317" s="734"/>
      <c r="L317" s="734"/>
    </row>
    <row r="318" spans="1:12">
      <c r="A318" s="970"/>
      <c r="B318" s="1487"/>
      <c r="C318" s="1482" t="s">
        <v>280</v>
      </c>
      <c r="D318" s="732">
        <f>G300</f>
        <v>76.819999999999993</v>
      </c>
      <c r="E318" s="755">
        <f t="shared" si="2"/>
        <v>76.819999999999993</v>
      </c>
      <c r="F318" s="755">
        <f t="shared" si="2"/>
        <v>76.819999999999993</v>
      </c>
      <c r="G318" s="755">
        <f t="shared" si="2"/>
        <v>76.819999999999993</v>
      </c>
      <c r="H318" s="789"/>
      <c r="I318" s="1533"/>
      <c r="J318" s="789"/>
      <c r="K318" s="734"/>
      <c r="L318" s="734"/>
    </row>
    <row r="319" spans="1:12">
      <c r="A319" s="970"/>
      <c r="B319" s="1487"/>
      <c r="C319" s="1482" t="s">
        <v>281</v>
      </c>
      <c r="D319" s="732">
        <f>G301</f>
        <v>1974</v>
      </c>
      <c r="E319" s="755">
        <f t="shared" si="2"/>
        <v>1974</v>
      </c>
      <c r="F319" s="755">
        <f t="shared" si="2"/>
        <v>1974</v>
      </c>
      <c r="G319" s="755">
        <f t="shared" si="2"/>
        <v>1974</v>
      </c>
      <c r="H319" s="789"/>
      <c r="I319" s="1533"/>
      <c r="J319" s="789"/>
      <c r="K319" s="734"/>
      <c r="L319" s="734"/>
    </row>
    <row r="320" spans="1:12" s="1436" customFormat="1" hidden="1">
      <c r="A320" s="1432"/>
      <c r="B320" s="1489"/>
      <c r="C320" s="1433" t="s">
        <v>1915</v>
      </c>
      <c r="D320" s="1494">
        <v>0</v>
      </c>
      <c r="E320" s="1494">
        <v>0</v>
      </c>
      <c r="F320" s="1494">
        <v>0</v>
      </c>
      <c r="G320" s="1494">
        <v>0</v>
      </c>
      <c r="H320" s="1434"/>
      <c r="I320" s="1434"/>
      <c r="J320" s="1434"/>
      <c r="K320" s="1435"/>
      <c r="L320" s="1435"/>
    </row>
    <row r="321" spans="1:12">
      <c r="A321" s="970"/>
      <c r="B321" s="1487"/>
      <c r="C321" s="735" t="s">
        <v>615</v>
      </c>
      <c r="D321" s="734">
        <f>ROUND(D319+D318+D317,2)*10%</f>
        <v>213.43200000000002</v>
      </c>
      <c r="E321" s="755">
        <f>D321</f>
        <v>213.43200000000002</v>
      </c>
      <c r="F321" s="757">
        <f>ROUND(F319+F318+F317,2)*20%</f>
        <v>426.86400000000003</v>
      </c>
      <c r="G321" s="757">
        <f>ROUND(G319+G318+G317,2)*20%</f>
        <v>426.86400000000003</v>
      </c>
      <c r="H321" s="789"/>
      <c r="I321" s="1533"/>
      <c r="J321" s="789"/>
      <c r="K321" s="734"/>
      <c r="L321" s="734"/>
    </row>
    <row r="322" spans="1:12">
      <c r="A322" s="970"/>
      <c r="B322" s="1487"/>
      <c r="C322" s="753" t="s">
        <v>252</v>
      </c>
      <c r="D322" s="734"/>
      <c r="E322" s="755"/>
      <c r="F322" s="752"/>
      <c r="G322" s="752"/>
      <c r="H322" s="789"/>
      <c r="I322" s="1533"/>
      <c r="J322" s="789"/>
      <c r="K322" s="734"/>
      <c r="L322" s="734"/>
    </row>
    <row r="323" spans="1:12" ht="26">
      <c r="A323" s="970"/>
      <c r="B323" s="1487"/>
      <c r="C323" s="1482" t="s">
        <v>282</v>
      </c>
      <c r="D323" s="732">
        <f>G305</f>
        <v>524.70000000000005</v>
      </c>
      <c r="E323" s="755">
        <f>D323</f>
        <v>524.70000000000005</v>
      </c>
      <c r="F323" s="755">
        <f>E323</f>
        <v>524.70000000000005</v>
      </c>
      <c r="G323" s="755">
        <f>F323</f>
        <v>524.70000000000005</v>
      </c>
      <c r="H323" s="789"/>
      <c r="I323" s="1533"/>
      <c r="J323" s="789"/>
      <c r="K323" s="734"/>
      <c r="L323" s="734"/>
    </row>
    <row r="324" spans="1:12">
      <c r="A324" s="970"/>
      <c r="B324" s="1487"/>
      <c r="C324" s="1482" t="s">
        <v>283</v>
      </c>
      <c r="D324" s="732">
        <f>G306</f>
        <v>209.1</v>
      </c>
      <c r="E324" s="755"/>
      <c r="F324" s="755">
        <f>D324</f>
        <v>209.1</v>
      </c>
      <c r="G324" s="752"/>
      <c r="H324" s="789"/>
      <c r="I324" s="1533"/>
      <c r="J324" s="789"/>
      <c r="K324" s="734"/>
      <c r="L324" s="734"/>
    </row>
    <row r="325" spans="1:12">
      <c r="A325" s="970"/>
      <c r="B325" s="1487"/>
      <c r="C325" s="745" t="s">
        <v>264</v>
      </c>
      <c r="D325" s="755">
        <f>G307</f>
        <v>96</v>
      </c>
      <c r="E325" s="755">
        <f>D325</f>
        <v>96</v>
      </c>
      <c r="F325" s="755">
        <f>E325</f>
        <v>96</v>
      </c>
      <c r="G325" s="755">
        <f>F325</f>
        <v>96</v>
      </c>
      <c r="H325" s="789"/>
      <c r="I325" s="1533"/>
      <c r="J325" s="789"/>
      <c r="K325" s="734"/>
      <c r="L325" s="734"/>
    </row>
    <row r="326" spans="1:12">
      <c r="A326" s="970"/>
      <c r="B326" s="1487"/>
      <c r="C326" s="1482" t="s">
        <v>284</v>
      </c>
      <c r="D326" s="1533">
        <f>SUM(D311:D325,0)</f>
        <v>7017.1119999999992</v>
      </c>
      <c r="E326" s="789">
        <f>SUM(E311:E325,0)</f>
        <v>6808.0119999999988</v>
      </c>
      <c r="F326" s="734">
        <f>SUM(F311:F325)</f>
        <v>7230.543999999999</v>
      </c>
      <c r="G326" s="734">
        <f>SUM(G311:G325)</f>
        <v>7021.4439999999986</v>
      </c>
      <c r="H326" s="789"/>
      <c r="I326" s="1533"/>
      <c r="J326" s="789"/>
      <c r="K326" s="734"/>
      <c r="L326" s="734"/>
    </row>
    <row r="327" spans="1:12" hidden="1">
      <c r="A327" s="970"/>
      <c r="B327" s="1487"/>
      <c r="C327" s="1482"/>
      <c r="D327" s="736"/>
      <c r="E327" s="732"/>
      <c r="F327" s="732"/>
      <c r="G327" s="788"/>
      <c r="H327" s="789"/>
      <c r="I327" s="788"/>
      <c r="J327" s="789"/>
      <c r="K327" s="734"/>
      <c r="L327" s="734"/>
    </row>
    <row r="328" spans="1:12" hidden="1">
      <c r="A328" s="970"/>
      <c r="B328" s="1487"/>
      <c r="C328" s="1482"/>
      <c r="D328" s="736"/>
      <c r="E328" s="732"/>
      <c r="F328" s="732"/>
      <c r="G328" s="788"/>
      <c r="H328" s="789"/>
      <c r="I328" s="788"/>
      <c r="J328" s="789"/>
      <c r="K328" s="734"/>
      <c r="L328" s="734"/>
    </row>
    <row r="329" spans="1:12" hidden="1">
      <c r="A329" s="970"/>
      <c r="B329" s="1487"/>
      <c r="C329" s="1482"/>
      <c r="D329" s="736"/>
      <c r="E329" s="732"/>
      <c r="F329" s="732"/>
      <c r="G329" s="788"/>
      <c r="H329" s="789"/>
      <c r="I329" s="788"/>
      <c r="J329" s="789"/>
      <c r="K329" s="734"/>
      <c r="L329" s="734"/>
    </row>
    <row r="330" spans="1:12" hidden="1">
      <c r="A330" s="970"/>
      <c r="B330" s="1487"/>
      <c r="C330" s="1482"/>
      <c r="D330" s="736"/>
      <c r="E330" s="732"/>
      <c r="F330" s="732"/>
      <c r="G330" s="788"/>
      <c r="H330" s="789"/>
      <c r="I330" s="788"/>
      <c r="J330" s="789"/>
      <c r="K330" s="734"/>
      <c r="L330" s="734"/>
    </row>
    <row r="331" spans="1:12" hidden="1">
      <c r="A331" s="970"/>
      <c r="B331" s="1487"/>
      <c r="C331" s="1482"/>
      <c r="D331" s="736"/>
      <c r="E331" s="732"/>
      <c r="F331" s="732"/>
      <c r="G331" s="788"/>
      <c r="H331" s="789"/>
      <c r="I331" s="788"/>
      <c r="J331" s="789"/>
      <c r="K331" s="734"/>
      <c r="L331" s="734"/>
    </row>
    <row r="332" spans="1:12">
      <c r="A332" s="970"/>
      <c r="B332" s="1487"/>
      <c r="C332" s="753" t="s">
        <v>509</v>
      </c>
      <c r="D332" s="736"/>
      <c r="E332" s="732"/>
      <c r="F332" s="732"/>
      <c r="G332" s="734"/>
      <c r="H332" s="726"/>
      <c r="I332" s="726"/>
      <c r="J332" s="726"/>
      <c r="K332" s="726"/>
      <c r="L332" s="726"/>
    </row>
    <row r="333" spans="1:12">
      <c r="A333" s="970"/>
      <c r="B333" s="1487"/>
      <c r="C333" s="753"/>
      <c r="D333" s="736"/>
      <c r="E333" s="732"/>
      <c r="F333" s="734" t="s">
        <v>613</v>
      </c>
      <c r="G333" s="734" t="s">
        <v>611</v>
      </c>
      <c r="H333" s="738" t="s">
        <v>614</v>
      </c>
      <c r="I333" s="734"/>
      <c r="J333" s="734"/>
      <c r="L333" s="726"/>
    </row>
    <row r="334" spans="1:12">
      <c r="A334" s="970"/>
      <c r="B334" s="1487"/>
      <c r="C334" s="753" t="s">
        <v>284</v>
      </c>
      <c r="D334" s="736" t="s">
        <v>117</v>
      </c>
      <c r="E334" s="732">
        <v>1</v>
      </c>
      <c r="F334" s="732">
        <f>G308</f>
        <v>6803.6799999999994</v>
      </c>
      <c r="G334" s="732">
        <f>D326</f>
        <v>7017.1119999999992</v>
      </c>
      <c r="H334" s="732">
        <f>F326</f>
        <v>7230.543999999999</v>
      </c>
      <c r="I334" s="732"/>
      <c r="J334" s="732"/>
      <c r="L334" s="726"/>
    </row>
    <row r="335" spans="1:12">
      <c r="A335" s="970"/>
      <c r="B335" s="1487"/>
      <c r="C335" s="1482" t="s">
        <v>532</v>
      </c>
      <c r="D335" s="736" t="s">
        <v>117</v>
      </c>
      <c r="E335" s="732">
        <v>1</v>
      </c>
      <c r="F335" s="732">
        <v>2623</v>
      </c>
      <c r="G335" s="732">
        <f>'[125]Centring charges'!W21</f>
        <v>2850</v>
      </c>
      <c r="H335" s="732">
        <f>'[125]Centring charges'!AC21</f>
        <v>3077</v>
      </c>
      <c r="I335" s="732"/>
      <c r="J335" s="732"/>
      <c r="L335" s="726"/>
    </row>
    <row r="336" spans="1:12">
      <c r="A336" s="970"/>
      <c r="B336" s="1487"/>
      <c r="C336" s="756" t="s">
        <v>142</v>
      </c>
      <c r="D336" s="736"/>
      <c r="E336" s="732"/>
      <c r="F336" s="734">
        <f>SUM(F334:F335)</f>
        <v>9426.68</v>
      </c>
      <c r="G336" s="734">
        <f>ROUND(SUM(G334:G335,0),2)</f>
        <v>9867.11</v>
      </c>
      <c r="H336" s="790">
        <f>SUM(H334:H335)</f>
        <v>10307.543999999998</v>
      </c>
      <c r="I336" s="734"/>
      <c r="J336" s="789"/>
      <c r="L336" s="726"/>
    </row>
    <row r="337" spans="1:12">
      <c r="A337" s="970"/>
      <c r="B337" s="1487"/>
      <c r="C337" s="782" t="s">
        <v>288</v>
      </c>
      <c r="D337" s="736"/>
      <c r="E337" s="732"/>
      <c r="F337" s="732"/>
      <c r="G337" s="734"/>
      <c r="H337" s="726"/>
      <c r="I337" s="726"/>
      <c r="J337" s="726"/>
      <c r="L337" s="726"/>
    </row>
    <row r="338" spans="1:12">
      <c r="A338" s="970"/>
      <c r="B338" s="1487"/>
      <c r="C338" s="1482" t="s">
        <v>284</v>
      </c>
      <c r="D338" s="736" t="s">
        <v>117</v>
      </c>
      <c r="E338" s="732">
        <v>1</v>
      </c>
      <c r="F338" s="732">
        <f>H308</f>
        <v>6594.579999999999</v>
      </c>
      <c r="G338" s="732">
        <f>E326</f>
        <v>6808.0119999999988</v>
      </c>
      <c r="H338" s="755">
        <f>G326</f>
        <v>7021.4439999999986</v>
      </c>
      <c r="I338" s="732"/>
      <c r="J338" s="732"/>
      <c r="L338" s="726"/>
    </row>
    <row r="339" spans="1:12">
      <c r="A339" s="970"/>
      <c r="B339" s="1487"/>
      <c r="C339" s="1482" t="s">
        <v>532</v>
      </c>
      <c r="D339" s="736" t="s">
        <v>117</v>
      </c>
      <c r="E339" s="732">
        <v>1</v>
      </c>
      <c r="F339" s="732">
        <v>2795</v>
      </c>
      <c r="G339" s="732">
        <f>'[125]Centring charges'!W19</f>
        <v>2957</v>
      </c>
      <c r="H339" s="757">
        <f>'[125]Centring charges'!AC19</f>
        <v>3118</v>
      </c>
      <c r="I339" s="732"/>
      <c r="J339" s="732"/>
      <c r="L339" s="726"/>
    </row>
    <row r="340" spans="1:12">
      <c r="A340" s="970"/>
      <c r="B340" s="1487"/>
      <c r="C340" s="756" t="s">
        <v>142</v>
      </c>
      <c r="D340" s="736"/>
      <c r="E340" s="732"/>
      <c r="F340" s="734">
        <f>SUM(F338:F339)</f>
        <v>9389.5799999999981</v>
      </c>
      <c r="G340" s="734">
        <f>ROUND(SUM(G338:G339,0),2)</f>
        <v>9765.01</v>
      </c>
      <c r="H340" s="790">
        <f>SUM(H338:H339)</f>
        <v>10139.444</v>
      </c>
      <c r="I340" s="734"/>
      <c r="J340" s="789"/>
      <c r="L340" s="726"/>
    </row>
    <row r="341" spans="1:12">
      <c r="A341" s="970"/>
      <c r="B341" s="1487"/>
      <c r="C341" s="782" t="s">
        <v>289</v>
      </c>
      <c r="D341" s="736"/>
      <c r="E341" s="732"/>
      <c r="F341" s="732"/>
      <c r="G341" s="734" t="s">
        <v>613</v>
      </c>
      <c r="H341" s="734" t="s">
        <v>611</v>
      </c>
      <c r="I341" s="738" t="s">
        <v>614</v>
      </c>
      <c r="J341" s="791"/>
      <c r="L341" s="726"/>
    </row>
    <row r="342" spans="1:12">
      <c r="A342" s="970"/>
      <c r="B342" s="1487"/>
      <c r="C342" s="1482" t="s">
        <v>290</v>
      </c>
      <c r="D342" s="736" t="s">
        <v>117</v>
      </c>
      <c r="E342" s="1142">
        <v>6.25E-2</v>
      </c>
      <c r="F342" s="732">
        <f>H308</f>
        <v>6594.579999999999</v>
      </c>
      <c r="G342" s="732">
        <f>ROUND(E342*F342,2)</f>
        <v>412.16</v>
      </c>
      <c r="H342" s="755">
        <f>E326*E342</f>
        <v>425.50074999999993</v>
      </c>
      <c r="I342" s="732">
        <f>G326*E342</f>
        <v>438.84024999999991</v>
      </c>
      <c r="J342" s="792"/>
      <c r="L342" s="726"/>
    </row>
    <row r="343" spans="1:12">
      <c r="A343" s="970"/>
      <c r="B343" s="1487"/>
      <c r="C343" s="1482" t="s">
        <v>532</v>
      </c>
      <c r="D343" s="736" t="s">
        <v>184</v>
      </c>
      <c r="E343" s="732">
        <v>1</v>
      </c>
      <c r="F343" s="732">
        <v>481</v>
      </c>
      <c r="G343" s="732">
        <f>ROUND(E343*F343,2)</f>
        <v>481</v>
      </c>
      <c r="H343" s="757">
        <v>506</v>
      </c>
      <c r="I343" s="732">
        <v>531</v>
      </c>
      <c r="J343" s="792"/>
      <c r="L343" s="726"/>
    </row>
    <row r="344" spans="1:12" ht="13.5" customHeight="1">
      <c r="A344" s="970"/>
      <c r="B344" s="733"/>
      <c r="C344" s="756"/>
      <c r="D344" s="793"/>
      <c r="E344" s="752"/>
      <c r="F344" s="732"/>
      <c r="G344" s="1533">
        <f>ROUND(SUM(G342:G343,0),2)</f>
        <v>893.16</v>
      </c>
      <c r="H344" s="881">
        <f>SUM(H342:H343)</f>
        <v>931.50074999999993</v>
      </c>
      <c r="I344" s="789">
        <f>ROUND(SUM(I342:I343,0),2)</f>
        <v>969.84</v>
      </c>
      <c r="J344" s="789"/>
      <c r="L344" s="726"/>
    </row>
    <row r="345" spans="1:12">
      <c r="A345" s="970"/>
      <c r="B345" s="1487" t="s">
        <v>146</v>
      </c>
      <c r="C345" s="782" t="s">
        <v>291</v>
      </c>
      <c r="D345" s="736"/>
      <c r="E345" s="732"/>
      <c r="F345" s="732"/>
      <c r="G345" s="734"/>
      <c r="H345" s="726"/>
      <c r="I345" s="726"/>
      <c r="J345" s="726"/>
      <c r="K345" s="726"/>
      <c r="L345" s="726"/>
    </row>
    <row r="346" spans="1:12">
      <c r="A346" s="970"/>
      <c r="B346" s="1487"/>
      <c r="C346" s="753" t="s">
        <v>24</v>
      </c>
      <c r="D346" s="736"/>
      <c r="E346" s="732"/>
      <c r="F346" s="732"/>
      <c r="G346" s="734" t="s">
        <v>613</v>
      </c>
      <c r="H346" s="734" t="s">
        <v>611</v>
      </c>
      <c r="I346" s="738" t="s">
        <v>614</v>
      </c>
      <c r="J346" s="726"/>
      <c r="K346" s="726"/>
      <c r="L346" s="726"/>
    </row>
    <row r="347" spans="1:12">
      <c r="A347" s="970"/>
      <c r="B347" s="1487"/>
      <c r="C347" s="1482" t="s">
        <v>287</v>
      </c>
      <c r="D347" s="736" t="s">
        <v>117</v>
      </c>
      <c r="E347" s="760">
        <v>0.6</v>
      </c>
      <c r="F347" s="732">
        <f>F293</f>
        <v>2111.4</v>
      </c>
      <c r="G347" s="732">
        <f>ROUND(E347*F347,2)</f>
        <v>1266.8399999999999</v>
      </c>
      <c r="H347" s="732">
        <f>ROUND(E347*F347,2)</f>
        <v>1266.8399999999999</v>
      </c>
      <c r="I347" s="757">
        <f>H347</f>
        <v>1266.8399999999999</v>
      </c>
      <c r="J347" s="726"/>
      <c r="K347" s="726"/>
      <c r="L347" s="726"/>
    </row>
    <row r="348" spans="1:12">
      <c r="A348" s="970"/>
      <c r="B348" s="1487"/>
      <c r="C348" s="1482" t="s">
        <v>982</v>
      </c>
      <c r="D348" s="736" t="s">
        <v>117</v>
      </c>
      <c r="E348" s="760">
        <v>0.3</v>
      </c>
      <c r="F348" s="732">
        <f>F294</f>
        <v>1851.4</v>
      </c>
      <c r="G348" s="732">
        <f>ROUND(E348*F348,2)</f>
        <v>555.41999999999996</v>
      </c>
      <c r="H348" s="732">
        <f t="shared" ref="H348:H360" si="3">ROUND(E348*F348,2)</f>
        <v>555.41999999999996</v>
      </c>
      <c r="I348" s="757">
        <f>H348</f>
        <v>555.41999999999996</v>
      </c>
      <c r="J348" s="726"/>
      <c r="K348" s="726"/>
      <c r="L348" s="726"/>
    </row>
    <row r="349" spans="1:12">
      <c r="A349" s="970"/>
      <c r="B349" s="1487"/>
      <c r="C349" s="1482" t="s">
        <v>1766</v>
      </c>
      <c r="D349" s="736" t="s">
        <v>117</v>
      </c>
      <c r="E349" s="760">
        <v>0</v>
      </c>
      <c r="F349" s="732">
        <f>F295</f>
        <v>1496.4</v>
      </c>
      <c r="G349" s="732">
        <f>ROUND(E349*F349,2)</f>
        <v>0</v>
      </c>
      <c r="H349" s="732">
        <f t="shared" si="3"/>
        <v>0</v>
      </c>
      <c r="I349" s="757">
        <f>H349</f>
        <v>0</v>
      </c>
      <c r="J349" s="726"/>
      <c r="K349" s="726"/>
      <c r="L349" s="726"/>
    </row>
    <row r="350" spans="1:12">
      <c r="A350" s="970"/>
      <c r="B350" s="1487"/>
      <c r="C350" s="1482" t="s">
        <v>277</v>
      </c>
      <c r="D350" s="736" t="s">
        <v>117</v>
      </c>
      <c r="E350" s="760">
        <v>0.45</v>
      </c>
      <c r="F350" s="732">
        <f>F296</f>
        <v>933.6</v>
      </c>
      <c r="G350" s="732">
        <f>ROUND(E350*F350,2)</f>
        <v>420.12</v>
      </c>
      <c r="H350" s="732">
        <f t="shared" si="3"/>
        <v>420.12</v>
      </c>
      <c r="I350" s="757">
        <f>H350</f>
        <v>420.12</v>
      </c>
      <c r="J350" s="726"/>
      <c r="K350" s="726"/>
      <c r="L350" s="726"/>
    </row>
    <row r="351" spans="1:12">
      <c r="A351" s="970"/>
      <c r="B351" s="1487"/>
      <c r="C351" s="1482" t="s">
        <v>218</v>
      </c>
      <c r="D351" s="736" t="s">
        <v>207</v>
      </c>
      <c r="E351" s="760">
        <v>340</v>
      </c>
      <c r="F351" s="732">
        <f>F297</f>
        <v>4.6975999999999996</v>
      </c>
      <c r="G351" s="732">
        <f>ROUND(E351*F351,2)</f>
        <v>1597.18</v>
      </c>
      <c r="H351" s="732">
        <f t="shared" si="3"/>
        <v>1597.18</v>
      </c>
      <c r="I351" s="757">
        <f>H351</f>
        <v>1597.18</v>
      </c>
      <c r="J351" s="726"/>
      <c r="K351" s="726"/>
      <c r="L351" s="726"/>
    </row>
    <row r="352" spans="1:12">
      <c r="A352" s="970"/>
      <c r="B352" s="1487"/>
      <c r="C352" s="753" t="s">
        <v>278</v>
      </c>
      <c r="D352" s="736"/>
      <c r="E352" s="760"/>
      <c r="F352" s="732"/>
      <c r="G352" s="734"/>
      <c r="H352" s="732"/>
      <c r="I352" s="757"/>
      <c r="J352" s="726"/>
      <c r="K352" s="726"/>
      <c r="L352" s="726"/>
    </row>
    <row r="353" spans="1:12">
      <c r="A353" s="970"/>
      <c r="B353" s="1487"/>
      <c r="C353" s="1482" t="s">
        <v>279</v>
      </c>
      <c r="D353" s="736" t="s">
        <v>119</v>
      </c>
      <c r="E353" s="760">
        <v>6.7000000000000004E-2</v>
      </c>
      <c r="F353" s="732">
        <f>F299</f>
        <v>500</v>
      </c>
      <c r="G353" s="732">
        <f>ROUND(E353*F353,2)</f>
        <v>33.5</v>
      </c>
      <c r="H353" s="732">
        <f t="shared" si="3"/>
        <v>33.5</v>
      </c>
      <c r="I353" s="757">
        <f>H353</f>
        <v>33.5</v>
      </c>
      <c r="J353" s="726"/>
      <c r="K353" s="726"/>
      <c r="L353" s="726"/>
    </row>
    <row r="354" spans="1:12">
      <c r="A354" s="970"/>
      <c r="B354" s="1487"/>
      <c r="C354" s="1482" t="s">
        <v>280</v>
      </c>
      <c r="D354" s="736" t="s">
        <v>119</v>
      </c>
      <c r="E354" s="760">
        <v>0.13300000000000001</v>
      </c>
      <c r="F354" s="732">
        <f>F300</f>
        <v>460</v>
      </c>
      <c r="G354" s="732">
        <f>ROUND(E354*F354,2)</f>
        <v>61.18</v>
      </c>
      <c r="H354" s="732">
        <f t="shared" si="3"/>
        <v>61.18</v>
      </c>
      <c r="I354" s="757">
        <f>H354</f>
        <v>61.18</v>
      </c>
      <c r="J354" s="726"/>
      <c r="K354" s="726"/>
      <c r="L354" s="726"/>
    </row>
    <row r="355" spans="1:12">
      <c r="A355" s="970"/>
      <c r="B355" s="1487"/>
      <c r="C355" s="1482" t="s">
        <v>281</v>
      </c>
      <c r="D355" s="736" t="s">
        <v>119</v>
      </c>
      <c r="E355" s="760">
        <v>2.5</v>
      </c>
      <c r="F355" s="732">
        <f>F301</f>
        <v>420</v>
      </c>
      <c r="G355" s="732">
        <f>ROUND(E355*F355,2)</f>
        <v>1050</v>
      </c>
      <c r="H355" s="732">
        <f t="shared" si="3"/>
        <v>1050</v>
      </c>
      <c r="I355" s="757">
        <f>H355</f>
        <v>1050</v>
      </c>
      <c r="J355" s="726"/>
      <c r="K355" s="726"/>
      <c r="L355" s="726"/>
    </row>
    <row r="356" spans="1:12" ht="13.5" hidden="1" customHeight="1">
      <c r="A356" s="970"/>
      <c r="B356" s="733"/>
      <c r="C356" s="735" t="s">
        <v>1724</v>
      </c>
      <c r="D356" s="737">
        <f>D1</f>
        <v>0</v>
      </c>
      <c r="E356" s="731"/>
      <c r="F356" s="732"/>
      <c r="G356" s="736">
        <f>(SUM(G353:G355))*D356</f>
        <v>0</v>
      </c>
      <c r="H356" s="736">
        <f>(SUM(H353:H355))*D356</f>
        <v>0</v>
      </c>
      <c r="I356" s="736">
        <f>(SUM(I353:I355))*D356</f>
        <v>0</v>
      </c>
      <c r="J356" s="726"/>
      <c r="K356" s="726"/>
      <c r="L356" s="726"/>
    </row>
    <row r="357" spans="1:12">
      <c r="A357" s="970"/>
      <c r="B357" s="1487"/>
      <c r="C357" s="735" t="s">
        <v>615</v>
      </c>
      <c r="D357" s="736"/>
      <c r="E357" s="760"/>
      <c r="F357" s="732"/>
      <c r="G357" s="734"/>
      <c r="H357" s="734">
        <f>ROUND(H355+H354+H353,2)*10%</f>
        <v>114.46800000000002</v>
      </c>
      <c r="I357" s="794">
        <f>ROUND(I355+I354+I353,2)*20%</f>
        <v>228.93600000000004</v>
      </c>
      <c r="J357" s="726"/>
      <c r="K357" s="726"/>
      <c r="L357" s="726"/>
    </row>
    <row r="358" spans="1:12">
      <c r="A358" s="970"/>
      <c r="B358" s="1487"/>
      <c r="C358" s="753" t="s">
        <v>252</v>
      </c>
      <c r="D358" s="736"/>
      <c r="E358" s="760"/>
      <c r="F358" s="732"/>
      <c r="G358" s="734"/>
      <c r="H358" s="732"/>
      <c r="I358" s="757"/>
      <c r="J358" s="726"/>
      <c r="K358" s="726"/>
      <c r="L358" s="726"/>
    </row>
    <row r="359" spans="1:12" ht="17.25" customHeight="1">
      <c r="A359" s="970"/>
      <c r="B359" s="1487"/>
      <c r="C359" s="1482" t="s">
        <v>292</v>
      </c>
      <c r="D359" s="736" t="s">
        <v>267</v>
      </c>
      <c r="E359" s="760">
        <v>0.26700000000000002</v>
      </c>
      <c r="F359" s="732">
        <f>F305</f>
        <v>524.70000000000005</v>
      </c>
      <c r="G359" s="732">
        <f>ROUND(E359*F359,2)</f>
        <v>140.09</v>
      </c>
      <c r="H359" s="732">
        <f t="shared" si="3"/>
        <v>140.09</v>
      </c>
      <c r="I359" s="757">
        <f>H359</f>
        <v>140.09</v>
      </c>
      <c r="J359" s="726"/>
      <c r="K359" s="726"/>
      <c r="L359" s="726"/>
    </row>
    <row r="360" spans="1:12">
      <c r="A360" s="970"/>
      <c r="B360" s="1487"/>
      <c r="C360" s="1482" t="s">
        <v>283</v>
      </c>
      <c r="D360" s="736" t="s">
        <v>267</v>
      </c>
      <c r="E360" s="760">
        <v>0.26700000000000002</v>
      </c>
      <c r="F360" s="732">
        <f>F306</f>
        <v>209.1</v>
      </c>
      <c r="G360" s="732">
        <f>ROUND(E360*F360,2)</f>
        <v>55.83</v>
      </c>
      <c r="H360" s="732">
        <f t="shared" si="3"/>
        <v>55.83</v>
      </c>
      <c r="I360" s="757">
        <f>H360</f>
        <v>55.83</v>
      </c>
      <c r="J360" s="726"/>
      <c r="K360" s="726"/>
      <c r="L360" s="726"/>
    </row>
    <row r="361" spans="1:12">
      <c r="A361" s="970"/>
      <c r="B361" s="1487"/>
      <c r="C361" s="1482" t="s">
        <v>264</v>
      </c>
      <c r="D361" s="736" t="s">
        <v>265</v>
      </c>
      <c r="E361" s="760">
        <v>1.2</v>
      </c>
      <c r="F361" s="732">
        <f>F307</f>
        <v>80</v>
      </c>
      <c r="G361" s="732">
        <f>E361*F361</f>
        <v>96</v>
      </c>
      <c r="H361" s="732">
        <f>G361</f>
        <v>96</v>
      </c>
      <c r="I361" s="757">
        <f>H361</f>
        <v>96</v>
      </c>
      <c r="J361" s="726"/>
      <c r="K361" s="726"/>
      <c r="L361" s="726"/>
    </row>
    <row r="362" spans="1:12">
      <c r="A362" s="970"/>
      <c r="B362" s="1487"/>
      <c r="C362" s="753" t="s">
        <v>284</v>
      </c>
      <c r="D362" s="736"/>
      <c r="E362" s="732"/>
      <c r="F362" s="732"/>
      <c r="G362" s="734">
        <f>SUM(G347:G361,0)</f>
        <v>5276.16</v>
      </c>
      <c r="H362" s="1533">
        <f>SUM(H347:H361,0)</f>
        <v>5390.6279999999997</v>
      </c>
      <c r="I362" s="734">
        <f>SUM(I347:I361,0)</f>
        <v>5505.0959999999995</v>
      </c>
      <c r="J362" s="726"/>
      <c r="K362" s="726"/>
      <c r="L362" s="726"/>
    </row>
    <row r="363" spans="1:12">
      <c r="A363" s="970"/>
      <c r="B363" s="1487"/>
      <c r="C363" s="753" t="s">
        <v>510</v>
      </c>
      <c r="D363" s="736"/>
      <c r="E363" s="732"/>
      <c r="F363" s="732"/>
      <c r="G363" s="734" t="s">
        <v>613</v>
      </c>
      <c r="H363" s="734" t="s">
        <v>611</v>
      </c>
      <c r="I363" s="738" t="s">
        <v>614</v>
      </c>
      <c r="J363" s="726"/>
      <c r="K363" s="726"/>
      <c r="L363" s="726"/>
    </row>
    <row r="364" spans="1:12">
      <c r="A364" s="970"/>
      <c r="B364" s="1487"/>
      <c r="C364" s="1482" t="s">
        <v>284</v>
      </c>
      <c r="D364" s="736" t="s">
        <v>117</v>
      </c>
      <c r="E364" s="732">
        <v>1</v>
      </c>
      <c r="F364" s="732">
        <f>G362</f>
        <v>5276.16</v>
      </c>
      <c r="G364" s="732">
        <f>ROUND(E364*F364,2)</f>
        <v>5276.16</v>
      </c>
      <c r="H364" s="732">
        <f>H362</f>
        <v>5390.6279999999997</v>
      </c>
      <c r="I364" s="755">
        <f>I362</f>
        <v>5505.0959999999995</v>
      </c>
      <c r="J364" s="726"/>
      <c r="K364" s="726"/>
      <c r="L364" s="726"/>
    </row>
    <row r="365" spans="1:12">
      <c r="A365" s="970"/>
      <c r="B365" s="1487"/>
      <c r="C365" s="1482" t="s">
        <v>532</v>
      </c>
      <c r="D365" s="736" t="s">
        <v>117</v>
      </c>
      <c r="E365" s="732">
        <v>1</v>
      </c>
      <c r="F365" s="732">
        <v>3988</v>
      </c>
      <c r="G365" s="732">
        <f>ROUND(E365*F365,2)</f>
        <v>3988</v>
      </c>
      <c r="H365" s="732">
        <f>'[125]Centring charges'!W22</f>
        <v>4178</v>
      </c>
      <c r="I365" s="757">
        <f>'[125]Centring charges'!AC22</f>
        <v>4369</v>
      </c>
      <c r="J365" s="726"/>
      <c r="K365" s="726"/>
      <c r="L365" s="726"/>
    </row>
    <row r="366" spans="1:12">
      <c r="A366" s="970"/>
      <c r="B366" s="1487"/>
      <c r="C366" s="756" t="s">
        <v>142</v>
      </c>
      <c r="D366" s="736"/>
      <c r="E366" s="732"/>
      <c r="F366" s="732"/>
      <c r="G366" s="734">
        <f>ROUND(SUM(G364:G365,0),2)</f>
        <v>9264.16</v>
      </c>
      <c r="H366" s="789">
        <f>ROUND(SUM(H364:H365,0),2)</f>
        <v>9568.6299999999992</v>
      </c>
      <c r="I366" s="734">
        <f>ROUND(SUM(I364:I365,0),2)</f>
        <v>9874.1</v>
      </c>
      <c r="J366" s="726"/>
      <c r="K366" s="726"/>
      <c r="L366" s="726"/>
    </row>
    <row r="367" spans="1:12" hidden="1">
      <c r="A367" s="970"/>
      <c r="B367" s="1487"/>
      <c r="C367" s="782" t="s">
        <v>490</v>
      </c>
      <c r="D367" s="736"/>
      <c r="E367" s="732"/>
      <c r="F367" s="732"/>
      <c r="G367" s="734"/>
      <c r="H367" s="726"/>
      <c r="I367" s="752"/>
      <c r="J367" s="726"/>
      <c r="K367" s="726"/>
      <c r="L367" s="726"/>
    </row>
    <row r="368" spans="1:12" hidden="1">
      <c r="A368" s="970"/>
      <c r="B368" s="1487"/>
      <c r="C368" s="759" t="s">
        <v>489</v>
      </c>
      <c r="D368" s="736" t="s">
        <v>117</v>
      </c>
      <c r="E368" s="795">
        <v>1</v>
      </c>
      <c r="F368" s="732">
        <f>G362</f>
        <v>5276.16</v>
      </c>
      <c r="G368" s="732">
        <f>ROUND(E368*F368,2)</f>
        <v>5276.16</v>
      </c>
      <c r="H368" s="755">
        <f>H362</f>
        <v>5390.6279999999997</v>
      </c>
      <c r="I368" s="752"/>
      <c r="J368" s="726"/>
      <c r="K368" s="726"/>
      <c r="L368" s="726"/>
    </row>
    <row r="369" spans="1:12" hidden="1">
      <c r="A369" s="970"/>
      <c r="B369" s="1487"/>
      <c r="C369" s="796" t="s">
        <v>230</v>
      </c>
      <c r="D369" s="736" t="s">
        <v>113</v>
      </c>
      <c r="E369" s="795">
        <f>1/0.1</f>
        <v>10</v>
      </c>
      <c r="F369" s="732">
        <f>'[125]Centring charges'!Q15</f>
        <v>333</v>
      </c>
      <c r="G369" s="732">
        <f>ROUND(E369*F369,2)</f>
        <v>3330</v>
      </c>
      <c r="H369" s="757">
        <f>'[125]Centring charges'!W15</f>
        <v>342</v>
      </c>
      <c r="I369" s="752"/>
      <c r="J369" s="726"/>
      <c r="K369" s="726"/>
      <c r="L369" s="726"/>
    </row>
    <row r="370" spans="1:12" ht="13.5" hidden="1" customHeight="1">
      <c r="A370" s="970"/>
      <c r="B370" s="733"/>
      <c r="C370" s="756" t="s">
        <v>617</v>
      </c>
      <c r="D370" s="737">
        <f>D1</f>
        <v>0</v>
      </c>
      <c r="E370" s="731"/>
      <c r="F370" s="732">
        <f>'[125]Centring charges'!O15</f>
        <v>175</v>
      </c>
      <c r="G370" s="732">
        <f>D370*E369*F370</f>
        <v>0</v>
      </c>
      <c r="H370" s="757">
        <f>'[125]Centring charges'!U15</f>
        <v>184</v>
      </c>
      <c r="I370" s="752"/>
      <c r="J370" s="726"/>
      <c r="K370" s="726"/>
      <c r="L370" s="726"/>
    </row>
    <row r="371" spans="1:12" hidden="1">
      <c r="A371" s="970"/>
      <c r="B371" s="1487"/>
      <c r="C371" s="756" t="s">
        <v>142</v>
      </c>
      <c r="D371" s="736"/>
      <c r="E371" s="795"/>
      <c r="F371" s="732"/>
      <c r="G371" s="734">
        <f>SUM(G368:G370,0)</f>
        <v>8606.16</v>
      </c>
      <c r="H371" s="752"/>
      <c r="I371" s="752"/>
      <c r="J371" s="726"/>
      <c r="K371" s="726"/>
      <c r="L371" s="726"/>
    </row>
    <row r="372" spans="1:12" ht="26" hidden="1">
      <c r="A372" s="970"/>
      <c r="B372" s="1487"/>
      <c r="C372" s="756" t="s">
        <v>578</v>
      </c>
      <c r="D372" s="736"/>
      <c r="E372" s="795"/>
      <c r="F372" s="732"/>
      <c r="G372" s="734">
        <f>G371*0</f>
        <v>0</v>
      </c>
      <c r="H372" s="752"/>
      <c r="I372" s="752"/>
      <c r="J372" s="726"/>
      <c r="K372" s="726"/>
      <c r="L372" s="726"/>
    </row>
    <row r="373" spans="1:12" hidden="1">
      <c r="A373" s="970"/>
      <c r="B373" s="1487"/>
      <c r="C373" s="756"/>
      <c r="D373" s="736"/>
      <c r="E373" s="795"/>
      <c r="F373" s="732"/>
      <c r="G373" s="734">
        <f>SUM(G371:G372)</f>
        <v>8606.16</v>
      </c>
      <c r="H373" s="752"/>
      <c r="I373" s="752"/>
      <c r="J373" s="726"/>
      <c r="K373" s="726"/>
      <c r="L373" s="726"/>
    </row>
    <row r="374" spans="1:12" hidden="1">
      <c r="A374" s="970"/>
      <c r="B374" s="1487"/>
      <c r="C374" s="782" t="s">
        <v>551</v>
      </c>
      <c r="D374" s="736"/>
      <c r="E374" s="732"/>
      <c r="F374" s="732"/>
      <c r="G374" s="734"/>
      <c r="H374" s="726"/>
      <c r="I374" s="752"/>
      <c r="J374" s="726"/>
      <c r="K374" s="726"/>
      <c r="L374" s="726"/>
    </row>
    <row r="375" spans="1:12" hidden="1">
      <c r="A375" s="970"/>
      <c r="B375" s="1487"/>
      <c r="C375" s="759" t="s">
        <v>489</v>
      </c>
      <c r="D375" s="736" t="s">
        <v>117</v>
      </c>
      <c r="E375" s="795">
        <v>1</v>
      </c>
      <c r="F375" s="732">
        <f>G362</f>
        <v>5276.16</v>
      </c>
      <c r="G375" s="732">
        <f>ROUND(E375*F375,2)</f>
        <v>5276.16</v>
      </c>
      <c r="H375" s="755">
        <f>H368</f>
        <v>5390.6279999999997</v>
      </c>
      <c r="I375" s="752"/>
      <c r="J375" s="726"/>
      <c r="K375" s="726"/>
      <c r="L375" s="726"/>
    </row>
    <row r="376" spans="1:12" hidden="1">
      <c r="A376" s="970"/>
      <c r="B376" s="1487"/>
      <c r="C376" s="796" t="s">
        <v>230</v>
      </c>
      <c r="D376" s="736" t="s">
        <v>113</v>
      </c>
      <c r="E376" s="795">
        <f>ROUND(1/0.11,3)</f>
        <v>9.0909999999999993</v>
      </c>
      <c r="F376" s="732">
        <f>F369</f>
        <v>333</v>
      </c>
      <c r="G376" s="732">
        <f>ROUND(E376*F376,2)</f>
        <v>3027.3</v>
      </c>
      <c r="H376" s="757">
        <f>H369</f>
        <v>342</v>
      </c>
      <c r="I376" s="752"/>
      <c r="J376" s="726"/>
      <c r="K376" s="726"/>
      <c r="L376" s="726"/>
    </row>
    <row r="377" spans="1:12" ht="13.5" hidden="1" customHeight="1">
      <c r="A377" s="970"/>
      <c r="B377" s="733"/>
      <c r="C377" s="756" t="s">
        <v>617</v>
      </c>
      <c r="D377" s="737">
        <f>D370</f>
        <v>0</v>
      </c>
      <c r="E377" s="731"/>
      <c r="F377" s="732">
        <f>'[125]Centring charges'!O15</f>
        <v>175</v>
      </c>
      <c r="G377" s="732">
        <f>D377*E376*F377</f>
        <v>0</v>
      </c>
      <c r="H377" s="757">
        <f>'[125]Centring charges'!U15</f>
        <v>184</v>
      </c>
      <c r="I377" s="752"/>
      <c r="J377" s="726"/>
      <c r="K377" s="726"/>
      <c r="L377" s="726"/>
    </row>
    <row r="378" spans="1:12" hidden="1">
      <c r="A378" s="970"/>
      <c r="B378" s="1487"/>
      <c r="C378" s="756" t="s">
        <v>142</v>
      </c>
      <c r="D378" s="736"/>
      <c r="E378" s="732"/>
      <c r="F378" s="732"/>
      <c r="G378" s="734">
        <f>SUM(G375:G377,0)</f>
        <v>8303.4599999999991</v>
      </c>
      <c r="H378" s="752"/>
      <c r="I378" s="752"/>
      <c r="J378" s="726"/>
      <c r="K378" s="726"/>
      <c r="L378" s="726"/>
    </row>
    <row r="379" spans="1:12" ht="26" hidden="1">
      <c r="A379" s="970"/>
      <c r="B379" s="1487"/>
      <c r="C379" s="756" t="s">
        <v>578</v>
      </c>
      <c r="D379" s="736"/>
      <c r="E379" s="732"/>
      <c r="F379" s="732"/>
      <c r="G379" s="734">
        <f>G378*0</f>
        <v>0</v>
      </c>
      <c r="H379" s="752"/>
      <c r="I379" s="752"/>
      <c r="J379" s="726"/>
      <c r="K379" s="726"/>
      <c r="L379" s="726"/>
    </row>
    <row r="380" spans="1:12" hidden="1">
      <c r="A380" s="970"/>
      <c r="B380" s="1487"/>
      <c r="C380" s="756"/>
      <c r="D380" s="736"/>
      <c r="E380" s="732"/>
      <c r="F380" s="732"/>
      <c r="G380" s="734">
        <f>SUM(G378:G379)</f>
        <v>8303.4599999999991</v>
      </c>
      <c r="H380" s="752"/>
      <c r="I380" s="752"/>
      <c r="J380" s="726"/>
      <c r="K380" s="726"/>
      <c r="L380" s="726"/>
    </row>
    <row r="381" spans="1:12" s="802" customFormat="1" hidden="1">
      <c r="A381" s="976"/>
      <c r="B381" s="798"/>
      <c r="C381" s="799" t="s">
        <v>1044</v>
      </c>
      <c r="D381" s="800"/>
      <c r="E381" s="800"/>
      <c r="F381" s="800"/>
      <c r="G381" s="801"/>
      <c r="H381" s="797"/>
      <c r="I381" s="797"/>
      <c r="J381" s="797"/>
      <c r="K381" s="797"/>
      <c r="L381" s="797"/>
    </row>
    <row r="382" spans="1:12" s="802" customFormat="1" hidden="1">
      <c r="A382" s="976"/>
      <c r="B382" s="798"/>
      <c r="C382" s="803" t="s">
        <v>489</v>
      </c>
      <c r="D382" s="800" t="s">
        <v>117</v>
      </c>
      <c r="E382" s="804">
        <v>1</v>
      </c>
      <c r="F382" s="800">
        <f>G362</f>
        <v>5276.16</v>
      </c>
      <c r="G382" s="800">
        <f>ROUND(E382*F382,2)</f>
        <v>5276.16</v>
      </c>
      <c r="H382" s="797"/>
      <c r="I382" s="797"/>
      <c r="J382" s="797"/>
      <c r="K382" s="797"/>
      <c r="L382" s="797"/>
    </row>
    <row r="383" spans="1:12" s="802" customFormat="1" hidden="1">
      <c r="A383" s="976"/>
      <c r="B383" s="798"/>
      <c r="C383" s="805" t="s">
        <v>230</v>
      </c>
      <c r="D383" s="800" t="s">
        <v>113</v>
      </c>
      <c r="E383" s="804">
        <v>10</v>
      </c>
      <c r="F383" s="800">
        <f>'[125]Centring charges'!Q15</f>
        <v>333</v>
      </c>
      <c r="G383" s="800">
        <f>ROUND(E383*F383,2)</f>
        <v>3330</v>
      </c>
      <c r="H383" s="797"/>
      <c r="I383" s="797"/>
      <c r="J383" s="797"/>
      <c r="K383" s="797"/>
      <c r="L383" s="797"/>
    </row>
    <row r="384" spans="1:12" s="802" customFormat="1" hidden="1">
      <c r="A384" s="976"/>
      <c r="B384" s="798"/>
      <c r="C384" s="806" t="s">
        <v>142</v>
      </c>
      <c r="D384" s="800"/>
      <c r="E384" s="800"/>
      <c r="F384" s="800"/>
      <c r="G384" s="807">
        <f>ROUND(SUM(G382:G383),2)</f>
        <v>8606.16</v>
      </c>
      <c r="H384" s="797"/>
      <c r="I384" s="797"/>
      <c r="J384" s="797"/>
      <c r="K384" s="797"/>
      <c r="L384" s="797"/>
    </row>
    <row r="385" spans="1:12" ht="19.5" customHeight="1">
      <c r="A385" s="970"/>
      <c r="B385" s="1487"/>
      <c r="C385" s="782" t="s">
        <v>1043</v>
      </c>
      <c r="D385" s="736"/>
      <c r="E385" s="732"/>
      <c r="F385" s="732"/>
      <c r="G385" s="734" t="s">
        <v>613</v>
      </c>
      <c r="H385" s="726"/>
      <c r="I385" s="738" t="s">
        <v>611</v>
      </c>
      <c r="J385" s="726"/>
      <c r="K385" s="738"/>
      <c r="L385" s="726"/>
    </row>
    <row r="386" spans="1:12">
      <c r="A386" s="970"/>
      <c r="B386" s="1487"/>
      <c r="C386" s="759" t="s">
        <v>489</v>
      </c>
      <c r="D386" s="736" t="s">
        <v>117</v>
      </c>
      <c r="E386" s="795">
        <v>0.125</v>
      </c>
      <c r="F386" s="732">
        <f>G362</f>
        <v>5276.16</v>
      </c>
      <c r="G386" s="732">
        <f>ROUND(E386*F386,2)</f>
        <v>659.52</v>
      </c>
      <c r="H386" s="744">
        <f>H362</f>
        <v>5390.6279999999997</v>
      </c>
      <c r="I386" s="755">
        <f>E386*H386</f>
        <v>673.82849999999996</v>
      </c>
      <c r="J386" s="744"/>
      <c r="K386" s="755"/>
      <c r="L386" s="726"/>
    </row>
    <row r="387" spans="1:12">
      <c r="A387" s="970"/>
      <c r="B387" s="1487"/>
      <c r="C387" s="796" t="s">
        <v>230</v>
      </c>
      <c r="D387" s="736" t="s">
        <v>113</v>
      </c>
      <c r="E387" s="795">
        <v>1</v>
      </c>
      <c r="F387" s="732">
        <v>462</v>
      </c>
      <c r="G387" s="732">
        <f>ROUND(E387*F387,2)</f>
        <v>462</v>
      </c>
      <c r="H387" s="747">
        <f>'[125]Centring charges'!W23</f>
        <v>473</v>
      </c>
      <c r="I387" s="755">
        <f>ROUND(E387*H387,2)</f>
        <v>473</v>
      </c>
      <c r="J387" s="747"/>
      <c r="K387" s="755"/>
      <c r="L387" s="726"/>
    </row>
    <row r="388" spans="1:12">
      <c r="A388" s="970"/>
      <c r="B388" s="1487"/>
      <c r="C388" s="756" t="s">
        <v>142</v>
      </c>
      <c r="D388" s="736"/>
      <c r="E388" s="732"/>
      <c r="F388" s="732"/>
      <c r="G388" s="734">
        <f>ROUND(SUM(G386:G387,0),2)</f>
        <v>1121.52</v>
      </c>
      <c r="H388" s="726"/>
      <c r="I388" s="734">
        <f>ROUND(SUM(I386:I387,0),2)</f>
        <v>1146.83</v>
      </c>
      <c r="J388" s="726"/>
      <c r="K388" s="734"/>
      <c r="L388" s="726"/>
    </row>
    <row r="389" spans="1:12" ht="16.5" hidden="1" customHeight="1">
      <c r="A389" s="970"/>
      <c r="B389" s="1487"/>
      <c r="C389" s="782" t="s">
        <v>491</v>
      </c>
      <c r="D389" s="1482"/>
      <c r="E389" s="745"/>
      <c r="F389" s="745"/>
      <c r="G389" s="729"/>
      <c r="H389" s="726"/>
      <c r="I389" s="726"/>
      <c r="J389" s="726"/>
      <c r="K389" s="726"/>
      <c r="L389" s="726"/>
    </row>
    <row r="390" spans="1:12" hidden="1">
      <c r="A390" s="970"/>
      <c r="B390" s="1487"/>
      <c r="C390" s="759" t="s">
        <v>489</v>
      </c>
      <c r="D390" s="1482" t="s">
        <v>117</v>
      </c>
      <c r="E390" s="795">
        <v>1</v>
      </c>
      <c r="F390" s="745">
        <f>F386</f>
        <v>5276.16</v>
      </c>
      <c r="G390" s="732">
        <f>ROUND(E390*F390,2)</f>
        <v>5276.16</v>
      </c>
      <c r="H390" s="755">
        <f>I386</f>
        <v>673.82849999999996</v>
      </c>
      <c r="I390" s="726"/>
      <c r="J390" s="726"/>
      <c r="K390" s="726"/>
      <c r="L390" s="726"/>
    </row>
    <row r="391" spans="1:12" hidden="1">
      <c r="A391" s="970"/>
      <c r="B391" s="1487"/>
      <c r="C391" s="796" t="s">
        <v>230</v>
      </c>
      <c r="D391" s="1482" t="s">
        <v>113</v>
      </c>
      <c r="E391" s="795">
        <f>ROUND(1/0.125,3)</f>
        <v>8</v>
      </c>
      <c r="F391" s="745">
        <f>F387</f>
        <v>462</v>
      </c>
      <c r="G391" s="732">
        <f>ROUND(E391*F391,2)</f>
        <v>3696</v>
      </c>
      <c r="H391" s="755">
        <f>I387</f>
        <v>473</v>
      </c>
      <c r="I391" s="726"/>
      <c r="J391" s="726"/>
      <c r="K391" s="726"/>
      <c r="L391" s="726"/>
    </row>
    <row r="392" spans="1:12" ht="13.5" hidden="1" customHeight="1">
      <c r="A392" s="970"/>
      <c r="B392" s="733"/>
      <c r="C392" s="756" t="s">
        <v>617</v>
      </c>
      <c r="D392" s="737">
        <f>D1</f>
        <v>0</v>
      </c>
      <c r="E392" s="731"/>
      <c r="F392" s="745">
        <f>'[125]Centring charges'!O15</f>
        <v>175</v>
      </c>
      <c r="G392" s="732">
        <f>D392*E391*F392</f>
        <v>0</v>
      </c>
      <c r="H392" s="757">
        <f>'[125]Centring charges'!U15</f>
        <v>184</v>
      </c>
      <c r="I392" s="726"/>
      <c r="J392" s="726"/>
      <c r="K392" s="726"/>
      <c r="L392" s="726"/>
    </row>
    <row r="393" spans="1:12" hidden="1">
      <c r="A393" s="970"/>
      <c r="B393" s="1487"/>
      <c r="C393" s="756" t="s">
        <v>142</v>
      </c>
      <c r="D393" s="1482"/>
      <c r="E393" s="732"/>
      <c r="F393" s="745"/>
      <c r="G393" s="734">
        <f>SUM(G390:G392,0)</f>
        <v>8972.16</v>
      </c>
      <c r="H393" s="752"/>
      <c r="I393" s="726"/>
      <c r="J393" s="726"/>
      <c r="K393" s="726"/>
      <c r="L393" s="726"/>
    </row>
    <row r="394" spans="1:12" ht="26" hidden="1">
      <c r="A394" s="970"/>
      <c r="B394" s="1487"/>
      <c r="C394" s="756" t="s">
        <v>578</v>
      </c>
      <c r="D394" s="736"/>
      <c r="E394" s="732"/>
      <c r="F394" s="732"/>
      <c r="G394" s="734">
        <f>G393*0</f>
        <v>0</v>
      </c>
      <c r="H394" s="752"/>
      <c r="I394" s="726"/>
      <c r="J394" s="726"/>
      <c r="K394" s="726"/>
      <c r="L394" s="726"/>
    </row>
    <row r="395" spans="1:12" hidden="1">
      <c r="A395" s="970"/>
      <c r="B395" s="1487"/>
      <c r="C395" s="756"/>
      <c r="D395" s="736"/>
      <c r="E395" s="732"/>
      <c r="F395" s="732"/>
      <c r="G395" s="734">
        <f>SUM(G393:G394)</f>
        <v>8972.16</v>
      </c>
      <c r="H395" s="752"/>
      <c r="I395" s="726"/>
      <c r="J395" s="726"/>
      <c r="K395" s="726"/>
      <c r="L395" s="726"/>
    </row>
    <row r="396" spans="1:12">
      <c r="A396" s="970"/>
      <c r="B396" s="1487"/>
      <c r="C396" s="782" t="s">
        <v>492</v>
      </c>
      <c r="D396" s="1482"/>
      <c r="E396" s="732"/>
      <c r="F396" s="745"/>
      <c r="G396" s="734" t="s">
        <v>613</v>
      </c>
      <c r="H396" s="726"/>
      <c r="I396" s="808" t="s">
        <v>611</v>
      </c>
      <c r="J396" s="726"/>
      <c r="K396" s="726"/>
      <c r="L396" s="726"/>
    </row>
    <row r="397" spans="1:12">
      <c r="A397" s="970"/>
      <c r="B397" s="1487"/>
      <c r="C397" s="759" t="s">
        <v>489</v>
      </c>
      <c r="D397" s="1482" t="s">
        <v>117</v>
      </c>
      <c r="E397" s="795">
        <v>0.15</v>
      </c>
      <c r="F397" s="745">
        <f>F390</f>
        <v>5276.16</v>
      </c>
      <c r="G397" s="732">
        <f>ROUND(E397*F397,2)</f>
        <v>791.42</v>
      </c>
      <c r="H397" s="744">
        <f>H362</f>
        <v>5390.6279999999997</v>
      </c>
      <c r="I397" s="755">
        <f>H397*E397</f>
        <v>808.59419999999989</v>
      </c>
      <c r="J397" s="744"/>
      <c r="K397" s="755"/>
      <c r="L397" s="726"/>
    </row>
    <row r="398" spans="1:12">
      <c r="A398" s="970"/>
      <c r="B398" s="1487"/>
      <c r="C398" s="796" t="s">
        <v>230</v>
      </c>
      <c r="D398" s="1482" t="s">
        <v>113</v>
      </c>
      <c r="E398" s="795">
        <v>1</v>
      </c>
      <c r="F398" s="745">
        <v>462</v>
      </c>
      <c r="G398" s="732">
        <f>ROUND(E398*F398,2)</f>
        <v>462</v>
      </c>
      <c r="H398" s="747">
        <f>H387</f>
        <v>473</v>
      </c>
      <c r="I398" s="755">
        <f>ROUND(E398*H398,2)</f>
        <v>473</v>
      </c>
      <c r="J398" s="747"/>
      <c r="K398" s="755"/>
      <c r="L398" s="726"/>
    </row>
    <row r="399" spans="1:12">
      <c r="A399" s="970"/>
      <c r="B399" s="1487"/>
      <c r="C399" s="756" t="s">
        <v>142</v>
      </c>
      <c r="D399" s="1482"/>
      <c r="E399" s="732"/>
      <c r="F399" s="745"/>
      <c r="G399" s="734">
        <f>ROUND(SUM(G397:G398,0),2)</f>
        <v>1253.42</v>
      </c>
      <c r="H399" s="726"/>
      <c r="I399" s="734">
        <f>ROUND(SUM(I397:I398,0),2)</f>
        <v>1281.5899999999999</v>
      </c>
      <c r="J399" s="726"/>
      <c r="K399" s="734"/>
      <c r="L399" s="726"/>
    </row>
    <row r="400" spans="1:12" ht="8.25" customHeight="1">
      <c r="A400" s="970"/>
      <c r="B400" s="1487"/>
      <c r="C400" s="756"/>
      <c r="D400" s="736"/>
      <c r="E400" s="732"/>
      <c r="F400" s="732"/>
      <c r="G400" s="734"/>
      <c r="H400" s="752"/>
      <c r="I400" s="726"/>
      <c r="J400" s="726"/>
      <c r="K400" s="726"/>
      <c r="L400" s="726"/>
    </row>
    <row r="401" spans="1:12">
      <c r="A401" s="970"/>
      <c r="B401" s="1487"/>
      <c r="C401" s="782" t="s">
        <v>490</v>
      </c>
      <c r="D401" s="1482"/>
      <c r="E401" s="732"/>
      <c r="F401" s="745"/>
      <c r="G401" s="734" t="s">
        <v>613</v>
      </c>
      <c r="H401" s="726"/>
      <c r="I401" s="808" t="s">
        <v>611</v>
      </c>
      <c r="J401" s="726"/>
      <c r="K401" s="726"/>
      <c r="L401" s="726"/>
    </row>
    <row r="402" spans="1:12">
      <c r="A402" s="970"/>
      <c r="B402" s="1487"/>
      <c r="C402" s="759" t="s">
        <v>489</v>
      </c>
      <c r="D402" s="1482" t="s">
        <v>117</v>
      </c>
      <c r="E402" s="795">
        <v>0.1</v>
      </c>
      <c r="F402" s="745">
        <f>F397</f>
        <v>5276.16</v>
      </c>
      <c r="G402" s="732">
        <f>ROUND(E402*F402,2)</f>
        <v>527.62</v>
      </c>
      <c r="H402" s="744">
        <f>H362</f>
        <v>5390.6279999999997</v>
      </c>
      <c r="I402" s="755">
        <f>H402*E402</f>
        <v>539.06280000000004</v>
      </c>
      <c r="J402" s="744"/>
      <c r="K402" s="755"/>
      <c r="L402" s="726"/>
    </row>
    <row r="403" spans="1:12">
      <c r="A403" s="970"/>
      <c r="B403" s="1487"/>
      <c r="C403" s="796" t="s">
        <v>230</v>
      </c>
      <c r="D403" s="1482" t="s">
        <v>113</v>
      </c>
      <c r="E403" s="795">
        <v>1</v>
      </c>
      <c r="F403" s="745">
        <f>F398</f>
        <v>462</v>
      </c>
      <c r="G403" s="732">
        <f>ROUND(E403*F403,2)</f>
        <v>462</v>
      </c>
      <c r="H403" s="747">
        <f>H398</f>
        <v>473</v>
      </c>
      <c r="I403" s="755">
        <f>ROUND(E403*H403,2)</f>
        <v>473</v>
      </c>
      <c r="J403" s="747"/>
      <c r="K403" s="755"/>
      <c r="L403" s="726"/>
    </row>
    <row r="404" spans="1:12">
      <c r="A404" s="970"/>
      <c r="B404" s="1487"/>
      <c r="C404" s="756" t="s">
        <v>142</v>
      </c>
      <c r="D404" s="1482"/>
      <c r="E404" s="745"/>
      <c r="F404" s="745"/>
      <c r="G404" s="734">
        <f>ROUND(SUM(G402:G403,0),2)</f>
        <v>989.62</v>
      </c>
      <c r="H404" s="726"/>
      <c r="I404" s="734">
        <f>ROUND(SUM(I402:I403,0),2)</f>
        <v>1012.06</v>
      </c>
      <c r="J404" s="726"/>
      <c r="K404" s="789"/>
      <c r="L404" s="726"/>
    </row>
    <row r="405" spans="1:12">
      <c r="A405" s="970"/>
      <c r="B405" s="1551"/>
      <c r="C405" s="782" t="s">
        <v>490</v>
      </c>
      <c r="D405" s="1552"/>
      <c r="E405" s="732"/>
      <c r="F405" s="745"/>
      <c r="G405" s="734" t="s">
        <v>614</v>
      </c>
      <c r="H405" s="726"/>
      <c r="I405" s="808"/>
      <c r="J405" s="726"/>
      <c r="K405" s="726"/>
      <c r="L405" s="726"/>
    </row>
    <row r="406" spans="1:12">
      <c r="A406" s="970"/>
      <c r="B406" s="1551"/>
      <c r="C406" s="759" t="s">
        <v>489</v>
      </c>
      <c r="D406" s="1552" t="s">
        <v>117</v>
      </c>
      <c r="E406" s="795">
        <v>0.1</v>
      </c>
      <c r="F406" s="745">
        <f>I362</f>
        <v>5505.0959999999995</v>
      </c>
      <c r="G406" s="732">
        <f>ROUND(E406*F406,2)</f>
        <v>550.51</v>
      </c>
      <c r="H406" s="744"/>
      <c r="I406" s="755"/>
      <c r="J406" s="744"/>
      <c r="K406" s="755"/>
      <c r="L406" s="726"/>
    </row>
    <row r="407" spans="1:12">
      <c r="A407" s="970"/>
      <c r="B407" s="1551"/>
      <c r="C407" s="796" t="s">
        <v>230</v>
      </c>
      <c r="D407" s="1552" t="s">
        <v>113</v>
      </c>
      <c r="E407" s="795">
        <v>1</v>
      </c>
      <c r="F407" s="745">
        <v>494</v>
      </c>
      <c r="G407" s="732">
        <f>ROUND(E407*F407,2)</f>
        <v>494</v>
      </c>
      <c r="H407" s="747"/>
      <c r="I407" s="755"/>
      <c r="J407" s="747"/>
      <c r="K407" s="755"/>
      <c r="L407" s="726"/>
    </row>
    <row r="408" spans="1:12">
      <c r="A408" s="970"/>
      <c r="B408" s="1551"/>
      <c r="C408" s="756" t="s">
        <v>142</v>
      </c>
      <c r="D408" s="1552"/>
      <c r="E408" s="745"/>
      <c r="F408" s="745"/>
      <c r="G408" s="734">
        <f>ROUND(SUM(G406:G407,0),2)</f>
        <v>1044.51</v>
      </c>
      <c r="H408" s="726"/>
      <c r="I408" s="734"/>
      <c r="J408" s="726"/>
      <c r="K408" s="789"/>
      <c r="L408" s="726"/>
    </row>
    <row r="409" spans="1:12">
      <c r="A409" s="970"/>
      <c r="B409" s="1487"/>
      <c r="C409" s="782" t="s">
        <v>486</v>
      </c>
      <c r="D409" s="1482"/>
      <c r="E409" s="732"/>
      <c r="F409" s="745"/>
      <c r="G409" s="734" t="s">
        <v>613</v>
      </c>
      <c r="H409" s="726"/>
      <c r="I409" s="808" t="s">
        <v>611</v>
      </c>
      <c r="J409" s="726"/>
      <c r="K409" s="791"/>
      <c r="L409" s="726"/>
    </row>
    <row r="410" spans="1:12">
      <c r="A410" s="970"/>
      <c r="B410" s="1487"/>
      <c r="C410" s="759" t="s">
        <v>489</v>
      </c>
      <c r="D410" s="1482" t="s">
        <v>117</v>
      </c>
      <c r="E410" s="795">
        <v>0.17499999999999999</v>
      </c>
      <c r="F410" s="745">
        <f>F397</f>
        <v>5276.16</v>
      </c>
      <c r="G410" s="732">
        <f>ROUND(E410*F410,2)</f>
        <v>923.33</v>
      </c>
      <c r="H410" s="744">
        <f>H397</f>
        <v>5390.6279999999997</v>
      </c>
      <c r="I410" s="755">
        <f>G410</f>
        <v>923.33</v>
      </c>
      <c r="J410" s="744"/>
      <c r="K410" s="792"/>
      <c r="L410" s="726"/>
    </row>
    <row r="411" spans="1:12">
      <c r="A411" s="970"/>
      <c r="B411" s="1487"/>
      <c r="C411" s="796" t="s">
        <v>230</v>
      </c>
      <c r="D411" s="1482" t="s">
        <v>113</v>
      </c>
      <c r="E411" s="795">
        <v>1</v>
      </c>
      <c r="F411" s="745">
        <f>'[125]Centring charges'!Q24</f>
        <v>476</v>
      </c>
      <c r="G411" s="732">
        <f>ROUND(E411*F411,2)</f>
        <v>476</v>
      </c>
      <c r="H411" s="747">
        <f>'[125]Centring charges'!W24</f>
        <v>487</v>
      </c>
      <c r="I411" s="755">
        <f>ROUND(E411*H411,2)</f>
        <v>487</v>
      </c>
      <c r="J411" s="747"/>
      <c r="K411" s="792"/>
      <c r="L411" s="726"/>
    </row>
    <row r="412" spans="1:12">
      <c r="A412" s="970"/>
      <c r="B412" s="1487"/>
      <c r="C412" s="756" t="s">
        <v>142</v>
      </c>
      <c r="D412" s="1482"/>
      <c r="E412" s="732"/>
      <c r="F412" s="745"/>
      <c r="G412" s="789">
        <f>ROUND(SUM(G410:G411,0),2)</f>
        <v>1399.33</v>
      </c>
      <c r="H412" s="791"/>
      <c r="I412" s="789">
        <f>ROUND(SUM(I410:I411,0),2)</f>
        <v>1410.33</v>
      </c>
      <c r="J412" s="726"/>
      <c r="K412" s="789"/>
      <c r="L412" s="726"/>
    </row>
    <row r="413" spans="1:12" hidden="1">
      <c r="A413" s="969" t="s">
        <v>256</v>
      </c>
      <c r="B413" s="1487">
        <v>10</v>
      </c>
      <c r="C413" s="753" t="s">
        <v>566</v>
      </c>
      <c r="D413" s="736"/>
      <c r="E413" s="736"/>
      <c r="F413" s="736"/>
      <c r="G413" s="734"/>
      <c r="H413" s="752"/>
      <c r="I413" s="726"/>
      <c r="J413" s="726"/>
      <c r="K413" s="726"/>
      <c r="L413" s="726"/>
    </row>
    <row r="414" spans="1:12" ht="140.25" hidden="1" customHeight="1">
      <c r="A414" s="971" t="s">
        <v>272</v>
      </c>
      <c r="B414" s="1487"/>
      <c r="C414" s="2056" t="s">
        <v>275</v>
      </c>
      <c r="D414" s="2056"/>
      <c r="E414" s="2056"/>
      <c r="F414" s="2056"/>
      <c r="G414" s="778"/>
      <c r="H414" s="779"/>
      <c r="I414" s="726"/>
      <c r="J414" s="726"/>
      <c r="K414" s="726"/>
      <c r="L414" s="726"/>
    </row>
    <row r="415" spans="1:12" hidden="1">
      <c r="A415" s="970"/>
      <c r="B415" s="1487" t="s">
        <v>144</v>
      </c>
      <c r="C415" s="726" t="s">
        <v>322</v>
      </c>
      <c r="D415" s="736"/>
      <c r="E415" s="736"/>
      <c r="F415" s="736"/>
      <c r="G415" s="780"/>
      <c r="H415" s="726"/>
      <c r="I415" s="726"/>
      <c r="J415" s="726"/>
      <c r="K415" s="726"/>
      <c r="L415" s="726"/>
    </row>
    <row r="416" spans="1:12" hidden="1">
      <c r="A416" s="970"/>
      <c r="B416" s="1487"/>
      <c r="C416" s="753" t="s">
        <v>24</v>
      </c>
      <c r="D416" s="736"/>
      <c r="E416" s="736"/>
      <c r="F416" s="736"/>
      <c r="G416" s="780"/>
      <c r="H416" s="726"/>
      <c r="I416" s="726"/>
      <c r="J416" s="726"/>
      <c r="K416" s="726"/>
      <c r="L416" s="726"/>
    </row>
    <row r="417" spans="1:12" hidden="1">
      <c r="A417" s="970"/>
      <c r="B417" s="1487"/>
      <c r="C417" s="1482" t="s">
        <v>276</v>
      </c>
      <c r="D417" s="736" t="s">
        <v>117</v>
      </c>
      <c r="E417" s="760">
        <v>0.54</v>
      </c>
      <c r="F417" s="732">
        <f>F262</f>
        <v>2111.4</v>
      </c>
      <c r="G417" s="732">
        <f>ROUND(E417*F417,2)</f>
        <v>1140.1600000000001</v>
      </c>
      <c r="H417" s="726"/>
      <c r="I417" s="760"/>
      <c r="J417" s="726"/>
      <c r="K417" s="726"/>
      <c r="L417" s="726"/>
    </row>
    <row r="418" spans="1:12" hidden="1">
      <c r="A418" s="970"/>
      <c r="B418" s="1487"/>
      <c r="C418" s="1482" t="s">
        <v>982</v>
      </c>
      <c r="D418" s="736" t="s">
        <v>117</v>
      </c>
      <c r="E418" s="760">
        <v>0.26</v>
      </c>
      <c r="F418" s="732">
        <f>F263</f>
        <v>1851.4</v>
      </c>
      <c r="G418" s="732">
        <f>ROUND(E418*F418,2)</f>
        <v>481.36</v>
      </c>
      <c r="H418" s="726"/>
      <c r="I418" s="760"/>
      <c r="J418" s="726"/>
      <c r="K418" s="726"/>
      <c r="L418" s="726"/>
    </row>
    <row r="419" spans="1:12" hidden="1">
      <c r="A419" s="970"/>
      <c r="B419" s="1487"/>
      <c r="C419" s="1482" t="s">
        <v>277</v>
      </c>
      <c r="D419" s="736" t="s">
        <v>117</v>
      </c>
      <c r="E419" s="760">
        <v>0.4</v>
      </c>
      <c r="F419" s="732">
        <f>F265</f>
        <v>933.6</v>
      </c>
      <c r="G419" s="732">
        <f>ROUND(E419*F419,2)</f>
        <v>373.44</v>
      </c>
      <c r="H419" s="726"/>
      <c r="I419" s="743"/>
      <c r="J419" s="726"/>
      <c r="K419" s="726"/>
      <c r="L419" s="726"/>
    </row>
    <row r="420" spans="1:12" hidden="1">
      <c r="A420" s="970"/>
      <c r="B420" s="1487"/>
      <c r="C420" s="1482" t="s">
        <v>218</v>
      </c>
      <c r="D420" s="736" t="s">
        <v>207</v>
      </c>
      <c r="E420" s="743">
        <v>340</v>
      </c>
      <c r="F420" s="732">
        <f>F266</f>
        <v>4.6975999999999996</v>
      </c>
      <c r="G420" s="732">
        <f>ROUND(E420*F420,2)</f>
        <v>1597.18</v>
      </c>
      <c r="H420" s="726"/>
      <c r="I420" s="760"/>
      <c r="J420" s="726"/>
      <c r="K420" s="726"/>
      <c r="L420" s="726"/>
    </row>
    <row r="421" spans="1:12" hidden="1">
      <c r="A421" s="970"/>
      <c r="B421" s="1487"/>
      <c r="C421" s="753" t="s">
        <v>278</v>
      </c>
      <c r="D421" s="736"/>
      <c r="E421" s="760"/>
      <c r="F421" s="732"/>
      <c r="G421" s="734"/>
      <c r="H421" s="726"/>
      <c r="I421" s="760"/>
      <c r="J421" s="726"/>
      <c r="K421" s="726"/>
      <c r="L421" s="726"/>
    </row>
    <row r="422" spans="1:12" hidden="1">
      <c r="A422" s="970"/>
      <c r="B422" s="1487"/>
      <c r="C422" s="1482" t="s">
        <v>279</v>
      </c>
      <c r="D422" s="736" t="s">
        <v>119</v>
      </c>
      <c r="E422" s="760">
        <v>0.13300000000000001</v>
      </c>
      <c r="F422" s="732">
        <f>F268</f>
        <v>500</v>
      </c>
      <c r="G422" s="732">
        <f>ROUND(E422*F422,2)</f>
        <v>66.5</v>
      </c>
      <c r="H422" s="726"/>
      <c r="I422" s="760"/>
      <c r="J422" s="726"/>
      <c r="K422" s="726"/>
      <c r="L422" s="726"/>
    </row>
    <row r="423" spans="1:12" hidden="1">
      <c r="A423" s="970"/>
      <c r="B423" s="1487"/>
      <c r="C423" s="1482" t="s">
        <v>280</v>
      </c>
      <c r="D423" s="736" t="s">
        <v>119</v>
      </c>
      <c r="E423" s="760">
        <v>0.26700000000000002</v>
      </c>
      <c r="F423" s="732">
        <f>F269</f>
        <v>460</v>
      </c>
      <c r="G423" s="732">
        <f>ROUND(E423*F423,2)</f>
        <v>122.82</v>
      </c>
      <c r="H423" s="726"/>
      <c r="I423" s="760"/>
      <c r="J423" s="726"/>
      <c r="K423" s="726"/>
      <c r="L423" s="726"/>
    </row>
    <row r="424" spans="1:12" hidden="1">
      <c r="A424" s="970"/>
      <c r="B424" s="1487"/>
      <c r="C424" s="1482" t="s">
        <v>281</v>
      </c>
      <c r="D424" s="736" t="s">
        <v>119</v>
      </c>
      <c r="E424" s="760">
        <v>4.5999999999999996</v>
      </c>
      <c r="F424" s="732">
        <f>F270</f>
        <v>420</v>
      </c>
      <c r="G424" s="732">
        <f>ROUND(E424*F424,2)</f>
        <v>1932</v>
      </c>
      <c r="H424" s="726"/>
      <c r="I424" s="760"/>
      <c r="J424" s="726"/>
      <c r="K424" s="726"/>
      <c r="L424" s="726"/>
    </row>
    <row r="425" spans="1:12" hidden="1">
      <c r="A425" s="970"/>
      <c r="B425" s="1487"/>
      <c r="C425" s="753" t="s">
        <v>252</v>
      </c>
      <c r="D425" s="736"/>
      <c r="E425" s="760"/>
      <c r="F425" s="732"/>
      <c r="G425" s="734"/>
      <c r="H425" s="726"/>
      <c r="I425" s="736"/>
      <c r="J425" s="726"/>
      <c r="K425" s="726"/>
      <c r="L425" s="726"/>
    </row>
    <row r="426" spans="1:12" ht="17.25" hidden="1" customHeight="1">
      <c r="A426" s="970"/>
      <c r="B426" s="1487"/>
      <c r="C426" s="1482" t="s">
        <v>282</v>
      </c>
      <c r="D426" s="736" t="s">
        <v>267</v>
      </c>
      <c r="E426" s="736">
        <v>1.333</v>
      </c>
      <c r="F426" s="732">
        <f>F273</f>
        <v>524.70000000000005</v>
      </c>
      <c r="G426" s="732">
        <f>ROUND(E426*F426,2)</f>
        <v>699.43</v>
      </c>
      <c r="H426" s="726"/>
      <c r="I426" s="736"/>
      <c r="J426" s="726"/>
      <c r="K426" s="726"/>
      <c r="L426" s="726"/>
    </row>
    <row r="427" spans="1:12" ht="15" hidden="1" customHeight="1">
      <c r="A427" s="970"/>
      <c r="B427" s="1487"/>
      <c r="C427" s="1482" t="s">
        <v>283</v>
      </c>
      <c r="D427" s="736" t="s">
        <v>267</v>
      </c>
      <c r="E427" s="736">
        <v>1.333</v>
      </c>
      <c r="F427" s="732">
        <f>F274</f>
        <v>209.1</v>
      </c>
      <c r="G427" s="732">
        <f>ROUND(E427*F427,2)</f>
        <v>278.73</v>
      </c>
      <c r="H427" s="726"/>
      <c r="I427" s="760"/>
      <c r="J427" s="726"/>
      <c r="K427" s="726"/>
      <c r="L427" s="726"/>
    </row>
    <row r="428" spans="1:12" hidden="1">
      <c r="A428" s="970"/>
      <c r="B428" s="1487"/>
      <c r="C428" s="745" t="s">
        <v>264</v>
      </c>
      <c r="D428" s="732" t="s">
        <v>265</v>
      </c>
      <c r="E428" s="760">
        <v>1.2</v>
      </c>
      <c r="F428" s="732">
        <f>F275</f>
        <v>80</v>
      </c>
      <c r="G428" s="732"/>
      <c r="H428" s="726"/>
      <c r="I428" s="726"/>
      <c r="J428" s="726"/>
      <c r="K428" s="726"/>
      <c r="L428" s="726"/>
    </row>
    <row r="429" spans="1:12" hidden="1">
      <c r="A429" s="970"/>
      <c r="B429" s="1487"/>
      <c r="C429" s="753" t="s">
        <v>284</v>
      </c>
      <c r="D429" s="736"/>
      <c r="E429" s="732"/>
      <c r="F429" s="732"/>
      <c r="G429" s="734">
        <f>SUM(G417:G428,0)</f>
        <v>6691.6200000000008</v>
      </c>
      <c r="H429" s="781"/>
      <c r="I429" s="726"/>
      <c r="J429" s="726"/>
      <c r="K429" s="726"/>
      <c r="L429" s="726"/>
    </row>
    <row r="430" spans="1:12" hidden="1">
      <c r="A430" s="970"/>
      <c r="B430" s="1487"/>
      <c r="C430" s="753" t="s">
        <v>40</v>
      </c>
      <c r="D430" s="736"/>
      <c r="E430" s="732"/>
      <c r="F430" s="734">
        <f>G429-G427</f>
        <v>6412.8900000000012</v>
      </c>
      <c r="G430" s="726"/>
      <c r="H430" s="781"/>
      <c r="I430" s="726"/>
      <c r="J430" s="726"/>
      <c r="K430" s="726"/>
      <c r="L430" s="726"/>
    </row>
    <row r="431" spans="1:12" hidden="1">
      <c r="A431" s="970"/>
      <c r="B431" s="1487"/>
      <c r="C431" s="756" t="s">
        <v>338</v>
      </c>
      <c r="D431" s="736"/>
      <c r="E431" s="732"/>
      <c r="F431" s="732"/>
      <c r="G431" s="734">
        <f>SUM(G429:G430)</f>
        <v>6691.6200000000008</v>
      </c>
      <c r="H431" s="726"/>
      <c r="I431" s="726"/>
      <c r="J431" s="726"/>
      <c r="K431" s="726"/>
      <c r="L431" s="726"/>
    </row>
    <row r="432" spans="1:12" hidden="1">
      <c r="A432" s="970"/>
      <c r="B432" s="1487"/>
      <c r="C432" s="756"/>
      <c r="D432" s="736"/>
      <c r="E432" s="732"/>
      <c r="F432" s="732"/>
      <c r="G432" s="734"/>
      <c r="H432" s="726"/>
      <c r="I432" s="726"/>
      <c r="J432" s="726"/>
      <c r="K432" s="726"/>
      <c r="L432" s="726"/>
    </row>
    <row r="433" spans="1:12" hidden="1">
      <c r="A433" s="970"/>
      <c r="B433" s="1487"/>
      <c r="C433" s="782" t="s">
        <v>505</v>
      </c>
      <c r="D433" s="736"/>
      <c r="E433" s="736"/>
      <c r="F433" s="736"/>
      <c r="G433" s="780"/>
      <c r="H433" s="726"/>
      <c r="I433" s="726"/>
      <c r="J433" s="726"/>
      <c r="K433" s="726"/>
      <c r="L433" s="726"/>
    </row>
    <row r="434" spans="1:12" hidden="1">
      <c r="A434" s="970"/>
      <c r="B434" s="1487"/>
      <c r="C434" s="753" t="s">
        <v>284</v>
      </c>
      <c r="D434" s="736" t="s">
        <v>117</v>
      </c>
      <c r="E434" s="732">
        <v>1</v>
      </c>
      <c r="F434" s="732">
        <f>G429</f>
        <v>6691.6200000000008</v>
      </c>
      <c r="G434" s="732">
        <f>ROUND(E434*F434,2)</f>
        <v>6691.62</v>
      </c>
      <c r="H434" s="726"/>
      <c r="I434" s="726"/>
      <c r="J434" s="726"/>
      <c r="K434" s="726"/>
      <c r="L434" s="726"/>
    </row>
    <row r="435" spans="1:12" hidden="1">
      <c r="A435" s="970"/>
      <c r="B435" s="1487"/>
      <c r="C435" s="753" t="s">
        <v>532</v>
      </c>
      <c r="D435" s="736" t="s">
        <v>117</v>
      </c>
      <c r="E435" s="732">
        <v>1</v>
      </c>
      <c r="F435" s="732">
        <f>F281</f>
        <v>919</v>
      </c>
      <c r="G435" s="732">
        <f>ROUND(E435*F435,2)</f>
        <v>919</v>
      </c>
      <c r="H435" s="726"/>
      <c r="I435" s="726"/>
      <c r="J435" s="726"/>
      <c r="K435" s="726"/>
      <c r="L435" s="726"/>
    </row>
    <row r="436" spans="1:12" hidden="1">
      <c r="A436" s="970"/>
      <c r="B436" s="1487"/>
      <c r="C436" s="756" t="s">
        <v>142</v>
      </c>
      <c r="D436" s="736"/>
      <c r="E436" s="732"/>
      <c r="F436" s="732"/>
      <c r="G436" s="734">
        <f>ROUND(SUM(G434:G435,0),2)</f>
        <v>7610.62</v>
      </c>
      <c r="H436" s="726"/>
      <c r="I436" s="726"/>
      <c r="J436" s="726"/>
      <c r="K436" s="726"/>
      <c r="L436" s="726"/>
    </row>
    <row r="437" spans="1:12" hidden="1">
      <c r="A437" s="970"/>
      <c r="B437" s="1487"/>
      <c r="C437" s="782" t="s">
        <v>354</v>
      </c>
      <c r="D437" s="736"/>
      <c r="E437" s="736"/>
      <c r="F437" s="736"/>
      <c r="G437" s="780"/>
      <c r="H437" s="726"/>
      <c r="I437" s="726"/>
      <c r="J437" s="726"/>
      <c r="K437" s="726"/>
      <c r="L437" s="726"/>
    </row>
    <row r="438" spans="1:12" hidden="1">
      <c r="A438" s="970"/>
      <c r="B438" s="1487"/>
      <c r="C438" s="753" t="s">
        <v>284</v>
      </c>
      <c r="D438" s="736" t="s">
        <v>117</v>
      </c>
      <c r="E438" s="732">
        <v>1</v>
      </c>
      <c r="F438" s="732">
        <f>G429</f>
        <v>6691.6200000000008</v>
      </c>
      <c r="G438" s="732">
        <f>ROUND(E438*F438,2)</f>
        <v>6691.62</v>
      </c>
      <c r="H438" s="726"/>
      <c r="I438" s="726"/>
      <c r="J438" s="726"/>
      <c r="K438" s="726"/>
      <c r="L438" s="726"/>
    </row>
    <row r="439" spans="1:12" hidden="1">
      <c r="A439" s="970"/>
      <c r="B439" s="1487"/>
      <c r="C439" s="753" t="s">
        <v>532</v>
      </c>
      <c r="D439" s="736" t="s">
        <v>117</v>
      </c>
      <c r="E439" s="732">
        <v>1</v>
      </c>
      <c r="F439" s="732">
        <f>F285</f>
        <v>1332</v>
      </c>
      <c r="G439" s="732">
        <f>ROUND(E439*F439,2)</f>
        <v>1332</v>
      </c>
      <c r="H439" s="726"/>
      <c r="I439" s="726"/>
      <c r="J439" s="726"/>
      <c r="K439" s="726"/>
      <c r="L439" s="726"/>
    </row>
    <row r="440" spans="1:12" hidden="1">
      <c r="A440" s="970"/>
      <c r="B440" s="1487"/>
      <c r="C440" s="756" t="s">
        <v>142</v>
      </c>
      <c r="D440" s="736"/>
      <c r="E440" s="732"/>
      <c r="F440" s="732"/>
      <c r="G440" s="734">
        <f>ROUND(SUM(G438:G439,0),2)</f>
        <v>8023.62</v>
      </c>
      <c r="H440" s="726"/>
      <c r="I440" s="726"/>
      <c r="J440" s="726"/>
      <c r="K440" s="726"/>
      <c r="L440" s="726"/>
    </row>
    <row r="441" spans="1:12" hidden="1">
      <c r="A441" s="970"/>
      <c r="B441" s="1487"/>
      <c r="C441" s="782" t="s">
        <v>506</v>
      </c>
      <c r="D441" s="736"/>
      <c r="E441" s="736"/>
      <c r="F441" s="736"/>
      <c r="G441" s="780"/>
      <c r="H441" s="726"/>
      <c r="I441" s="726"/>
      <c r="J441" s="726"/>
      <c r="K441" s="726"/>
      <c r="L441" s="726"/>
    </row>
    <row r="442" spans="1:12" hidden="1">
      <c r="A442" s="970"/>
      <c r="B442" s="1487"/>
      <c r="C442" s="753" t="s">
        <v>284</v>
      </c>
      <c r="D442" s="736" t="s">
        <v>117</v>
      </c>
      <c r="E442" s="732">
        <v>1</v>
      </c>
      <c r="F442" s="732">
        <f>G429</f>
        <v>6691.6200000000008</v>
      </c>
      <c r="G442" s="732">
        <f>ROUND(E442*F442,2)</f>
        <v>6691.62</v>
      </c>
      <c r="H442" s="726"/>
      <c r="I442" s="726"/>
      <c r="J442" s="726"/>
      <c r="K442" s="726"/>
      <c r="L442" s="726"/>
    </row>
    <row r="443" spans="1:12" hidden="1">
      <c r="A443" s="970"/>
      <c r="B443" s="1487"/>
      <c r="C443" s="753" t="s">
        <v>532</v>
      </c>
      <c r="D443" s="736" t="s">
        <v>117</v>
      </c>
      <c r="E443" s="732">
        <v>1</v>
      </c>
      <c r="F443" s="732">
        <f>F289</f>
        <v>2911</v>
      </c>
      <c r="G443" s="732">
        <f>ROUND(E443*F443,2)</f>
        <v>2911</v>
      </c>
      <c r="H443" s="726"/>
      <c r="I443" s="726"/>
      <c r="J443" s="726"/>
      <c r="K443" s="726"/>
      <c r="L443" s="726"/>
    </row>
    <row r="444" spans="1:12" hidden="1">
      <c r="A444" s="970"/>
      <c r="B444" s="1487"/>
      <c r="C444" s="756" t="s">
        <v>142</v>
      </c>
      <c r="D444" s="736"/>
      <c r="E444" s="732"/>
      <c r="F444" s="732"/>
      <c r="G444" s="734">
        <f>ROUND(SUM(G442:G443,0),2)</f>
        <v>9602.6200000000008</v>
      </c>
      <c r="H444" s="726"/>
      <c r="I444" s="726"/>
      <c r="J444" s="726"/>
      <c r="K444" s="726"/>
      <c r="L444" s="726"/>
    </row>
    <row r="445" spans="1:12" ht="30.75" hidden="1" customHeight="1">
      <c r="A445" s="970"/>
      <c r="B445" s="1487" t="s">
        <v>145</v>
      </c>
      <c r="C445" s="782" t="s">
        <v>285</v>
      </c>
      <c r="D445" s="736"/>
      <c r="E445" s="732"/>
      <c r="F445" s="732"/>
      <c r="G445" s="2061" t="s">
        <v>613</v>
      </c>
      <c r="H445" s="2061"/>
      <c r="I445" s="2061" t="s">
        <v>611</v>
      </c>
      <c r="J445" s="2061"/>
      <c r="K445" s="2061" t="s">
        <v>614</v>
      </c>
      <c r="L445" s="2061"/>
    </row>
    <row r="446" spans="1:12" ht="27" hidden="1" customHeight="1">
      <c r="A446" s="970"/>
      <c r="B446" s="1487"/>
      <c r="C446" s="753" t="s">
        <v>24</v>
      </c>
      <c r="D446" s="736"/>
      <c r="E446" s="732"/>
      <c r="F446" s="732"/>
      <c r="G446" s="734" t="s">
        <v>612</v>
      </c>
      <c r="H446" s="782" t="s">
        <v>286</v>
      </c>
      <c r="I446" s="734" t="s">
        <v>612</v>
      </c>
      <c r="J446" s="782" t="s">
        <v>286</v>
      </c>
      <c r="K446" s="734" t="s">
        <v>612</v>
      </c>
      <c r="L446" s="782" t="s">
        <v>286</v>
      </c>
    </row>
    <row r="447" spans="1:12" hidden="1">
      <c r="A447" s="970"/>
      <c r="B447" s="1487"/>
      <c r="C447" s="1482" t="s">
        <v>287</v>
      </c>
      <c r="D447" s="736" t="s">
        <v>117</v>
      </c>
      <c r="E447" s="760">
        <v>0.54</v>
      </c>
      <c r="F447" s="732">
        <f>F417</f>
        <v>2111.4</v>
      </c>
      <c r="G447" s="732">
        <f>ROUND(E447*F447,2)</f>
        <v>1140.1600000000001</v>
      </c>
      <c r="H447" s="755">
        <f>G447</f>
        <v>1140.1600000000001</v>
      </c>
      <c r="I447" s="732">
        <f>E447*F447</f>
        <v>1140.1560000000002</v>
      </c>
      <c r="J447" s="755">
        <f t="shared" ref="J447:L450" si="4">I447</f>
        <v>1140.1560000000002</v>
      </c>
      <c r="K447" s="755">
        <f t="shared" si="4"/>
        <v>1140.1560000000002</v>
      </c>
      <c r="L447" s="755">
        <f t="shared" si="4"/>
        <v>1140.1560000000002</v>
      </c>
    </row>
    <row r="448" spans="1:12" hidden="1">
      <c r="A448" s="970"/>
      <c r="B448" s="1487"/>
      <c r="C448" s="1482" t="s">
        <v>982</v>
      </c>
      <c r="D448" s="736" t="s">
        <v>117</v>
      </c>
      <c r="E448" s="760">
        <v>0.26</v>
      </c>
      <c r="F448" s="732">
        <f>F418</f>
        <v>1851.4</v>
      </c>
      <c r="G448" s="732">
        <f>ROUND(E448*F448,2)</f>
        <v>481.36</v>
      </c>
      <c r="H448" s="755">
        <f>G448</f>
        <v>481.36</v>
      </c>
      <c r="I448" s="732">
        <f>E448*F448</f>
        <v>481.36400000000003</v>
      </c>
      <c r="J448" s="755">
        <f t="shared" si="4"/>
        <v>481.36400000000003</v>
      </c>
      <c r="K448" s="755">
        <f t="shared" si="4"/>
        <v>481.36400000000003</v>
      </c>
      <c r="L448" s="755">
        <f t="shared" si="4"/>
        <v>481.36400000000003</v>
      </c>
    </row>
    <row r="449" spans="1:12" hidden="1">
      <c r="A449" s="970"/>
      <c r="B449" s="1487"/>
      <c r="C449" s="1482" t="s">
        <v>277</v>
      </c>
      <c r="D449" s="736" t="s">
        <v>117</v>
      </c>
      <c r="E449" s="760">
        <v>0.4</v>
      </c>
      <c r="F449" s="732">
        <f>F419</f>
        <v>933.6</v>
      </c>
      <c r="G449" s="732">
        <f>ROUND(E449*F449,2)</f>
        <v>373.44</v>
      </c>
      <c r="H449" s="755">
        <f>G449</f>
        <v>373.44</v>
      </c>
      <c r="I449" s="732">
        <f>E449*F449</f>
        <v>373.44000000000005</v>
      </c>
      <c r="J449" s="755">
        <f t="shared" si="4"/>
        <v>373.44000000000005</v>
      </c>
      <c r="K449" s="755">
        <f t="shared" si="4"/>
        <v>373.44000000000005</v>
      </c>
      <c r="L449" s="755">
        <f t="shared" si="4"/>
        <v>373.44000000000005</v>
      </c>
    </row>
    <row r="450" spans="1:12" hidden="1">
      <c r="A450" s="970"/>
      <c r="B450" s="1487"/>
      <c r="C450" s="1482" t="s">
        <v>218</v>
      </c>
      <c r="D450" s="736" t="s">
        <v>207</v>
      </c>
      <c r="E450" s="743">
        <f>E420</f>
        <v>340</v>
      </c>
      <c r="F450" s="732">
        <f>F420</f>
        <v>4.6975999999999996</v>
      </c>
      <c r="G450" s="732">
        <f>ROUND(E450*F450,2)</f>
        <v>1597.18</v>
      </c>
      <c r="H450" s="755">
        <f>G450</f>
        <v>1597.18</v>
      </c>
      <c r="I450" s="732">
        <f>E450*F450</f>
        <v>1597.1839999999997</v>
      </c>
      <c r="J450" s="755">
        <f t="shared" si="4"/>
        <v>1597.1839999999997</v>
      </c>
      <c r="K450" s="755">
        <f t="shared" si="4"/>
        <v>1597.1839999999997</v>
      </c>
      <c r="L450" s="755">
        <f t="shared" si="4"/>
        <v>1597.1839999999997</v>
      </c>
    </row>
    <row r="451" spans="1:12" hidden="1">
      <c r="A451" s="970"/>
      <c r="B451" s="1487"/>
      <c r="C451" s="753" t="s">
        <v>278</v>
      </c>
      <c r="D451" s="736"/>
      <c r="E451" s="760"/>
      <c r="F451" s="732"/>
      <c r="G451" s="734"/>
      <c r="H451" s="755"/>
      <c r="I451" s="732"/>
      <c r="J451" s="755"/>
      <c r="K451" s="755"/>
      <c r="L451" s="755"/>
    </row>
    <row r="452" spans="1:12" hidden="1">
      <c r="A452" s="970"/>
      <c r="B452" s="1487"/>
      <c r="C452" s="1482" t="s">
        <v>279</v>
      </c>
      <c r="D452" s="736" t="s">
        <v>119</v>
      </c>
      <c r="E452" s="760">
        <v>0.16700000000000001</v>
      </c>
      <c r="F452" s="732">
        <f>F422</f>
        <v>500</v>
      </c>
      <c r="G452" s="732">
        <f>ROUND(E452*F452,2)</f>
        <v>83.5</v>
      </c>
      <c r="H452" s="755">
        <f>G452</f>
        <v>83.5</v>
      </c>
      <c r="I452" s="732">
        <f>E452*F452</f>
        <v>83.5</v>
      </c>
      <c r="J452" s="755">
        <f t="shared" ref="J452:L454" si="5">I452</f>
        <v>83.5</v>
      </c>
      <c r="K452" s="755">
        <f t="shared" si="5"/>
        <v>83.5</v>
      </c>
      <c r="L452" s="755">
        <f t="shared" si="5"/>
        <v>83.5</v>
      </c>
    </row>
    <row r="453" spans="1:12" hidden="1">
      <c r="A453" s="970"/>
      <c r="B453" s="1487"/>
      <c r="C453" s="1482" t="s">
        <v>280</v>
      </c>
      <c r="D453" s="736" t="s">
        <v>119</v>
      </c>
      <c r="E453" s="760">
        <v>0.16700000000000001</v>
      </c>
      <c r="F453" s="732">
        <f>F423</f>
        <v>460</v>
      </c>
      <c r="G453" s="732">
        <f>ROUND(E453*F453,2)</f>
        <v>76.819999999999993</v>
      </c>
      <c r="H453" s="755">
        <f>G453</f>
        <v>76.819999999999993</v>
      </c>
      <c r="I453" s="732">
        <f>E453*F453</f>
        <v>76.820000000000007</v>
      </c>
      <c r="J453" s="755">
        <f t="shared" si="5"/>
        <v>76.820000000000007</v>
      </c>
      <c r="K453" s="755">
        <f t="shared" si="5"/>
        <v>76.820000000000007</v>
      </c>
      <c r="L453" s="755">
        <f t="shared" si="5"/>
        <v>76.820000000000007</v>
      </c>
    </row>
    <row r="454" spans="1:12" hidden="1">
      <c r="A454" s="970"/>
      <c r="B454" s="1487"/>
      <c r="C454" s="1482" t="s">
        <v>281</v>
      </c>
      <c r="D454" s="736" t="s">
        <v>119</v>
      </c>
      <c r="E454" s="760">
        <v>5.6</v>
      </c>
      <c r="F454" s="732">
        <f>F424</f>
        <v>420</v>
      </c>
      <c r="G454" s="732">
        <f>ROUND(E454*F454,2)</f>
        <v>2352</v>
      </c>
      <c r="H454" s="755">
        <f>G454</f>
        <v>2352</v>
      </c>
      <c r="I454" s="732">
        <f>E454*F454</f>
        <v>2352</v>
      </c>
      <c r="J454" s="755">
        <f t="shared" si="5"/>
        <v>2352</v>
      </c>
      <c r="K454" s="755">
        <f t="shared" si="5"/>
        <v>2352</v>
      </c>
      <c r="L454" s="755">
        <f t="shared" si="5"/>
        <v>2352</v>
      </c>
    </row>
    <row r="455" spans="1:12" hidden="1">
      <c r="A455" s="970"/>
      <c r="B455" s="1487"/>
      <c r="C455" s="735" t="s">
        <v>615</v>
      </c>
      <c r="D455" s="736"/>
      <c r="E455" s="809"/>
      <c r="F455" s="732"/>
      <c r="G455" s="734"/>
      <c r="H455" s="755"/>
      <c r="I455" s="734">
        <f>ROUND(I454+I453+I452,2)*10%</f>
        <v>251.23200000000003</v>
      </c>
      <c r="J455" s="755">
        <f>I455</f>
        <v>251.23200000000003</v>
      </c>
      <c r="K455" s="752">
        <f>ROUND(K454+K453+K452,2)*20%</f>
        <v>502.46400000000006</v>
      </c>
      <c r="L455" s="752">
        <f>ROUND(L454+L453+L452,2)*20%</f>
        <v>502.46400000000006</v>
      </c>
    </row>
    <row r="456" spans="1:12" hidden="1">
      <c r="A456" s="970"/>
      <c r="B456" s="1487"/>
      <c r="C456" s="753" t="s">
        <v>252</v>
      </c>
      <c r="D456" s="736"/>
      <c r="E456" s="760"/>
      <c r="F456" s="732"/>
      <c r="G456" s="734"/>
      <c r="H456" s="755"/>
      <c r="I456" s="734"/>
      <c r="J456" s="755"/>
      <c r="K456" s="752"/>
      <c r="L456" s="752"/>
    </row>
    <row r="457" spans="1:12" ht="24" hidden="1" customHeight="1">
      <c r="A457" s="970"/>
      <c r="B457" s="1487"/>
      <c r="C457" s="1482" t="s">
        <v>282</v>
      </c>
      <c r="D457" s="736" t="s">
        <v>267</v>
      </c>
      <c r="E457" s="760">
        <v>1.333</v>
      </c>
      <c r="F457" s="732">
        <f>F426</f>
        <v>524.70000000000005</v>
      </c>
      <c r="G457" s="732">
        <f>ROUND(E457*F457,2)</f>
        <v>699.43</v>
      </c>
      <c r="H457" s="755">
        <f>G457</f>
        <v>699.43</v>
      </c>
      <c r="I457" s="732">
        <f>E457*F457</f>
        <v>699.42510000000004</v>
      </c>
      <c r="J457" s="755">
        <f>I457</f>
        <v>699.42510000000004</v>
      </c>
      <c r="K457" s="755">
        <f>J457</f>
        <v>699.42510000000004</v>
      </c>
      <c r="L457" s="755">
        <f>K457</f>
        <v>699.42510000000004</v>
      </c>
    </row>
    <row r="458" spans="1:12" ht="15.75" hidden="1" customHeight="1">
      <c r="A458" s="970"/>
      <c r="B458" s="1487"/>
      <c r="C458" s="1482" t="s">
        <v>283</v>
      </c>
      <c r="D458" s="736" t="s">
        <v>267</v>
      </c>
      <c r="E458" s="760">
        <v>1.333</v>
      </c>
      <c r="F458" s="732">
        <f>F427</f>
        <v>209.1</v>
      </c>
      <c r="G458" s="732">
        <f>ROUND(E458*F458,2)</f>
        <v>278.73</v>
      </c>
      <c r="H458" s="755"/>
      <c r="I458" s="732">
        <f>E458*F458</f>
        <v>278.7303</v>
      </c>
      <c r="J458" s="755"/>
      <c r="K458" s="755">
        <f>I458</f>
        <v>278.7303</v>
      </c>
      <c r="L458" s="752"/>
    </row>
    <row r="459" spans="1:12" hidden="1">
      <c r="A459" s="970"/>
      <c r="B459" s="1487"/>
      <c r="C459" s="745" t="s">
        <v>264</v>
      </c>
      <c r="D459" s="732" t="s">
        <v>265</v>
      </c>
      <c r="E459" s="760">
        <v>1.2</v>
      </c>
      <c r="F459" s="732">
        <f>F428</f>
        <v>80</v>
      </c>
      <c r="G459" s="732"/>
      <c r="H459" s="755"/>
      <c r="I459" s="732"/>
      <c r="J459" s="755"/>
      <c r="K459" s="752"/>
      <c r="L459" s="752"/>
    </row>
    <row r="460" spans="1:12" hidden="1">
      <c r="A460" s="970"/>
      <c r="B460" s="1487"/>
      <c r="C460" s="1482" t="s">
        <v>284</v>
      </c>
      <c r="D460" s="736"/>
      <c r="E460" s="732"/>
      <c r="F460" s="732"/>
      <c r="G460" s="807">
        <f>SUM(G447:G459,0)</f>
        <v>7082.6200000000008</v>
      </c>
      <c r="H460" s="734">
        <f>SUM(H447:H459,0)</f>
        <v>6803.8900000000012</v>
      </c>
      <c r="I460" s="807">
        <f>SUM(I447:I459,0)</f>
        <v>7333.8514000000005</v>
      </c>
      <c r="J460" s="734">
        <f>SUM(J447:J459,0)</f>
        <v>7055.1211000000003</v>
      </c>
      <c r="K460" s="734">
        <f>SUM(K447:K459)</f>
        <v>7585.0834000000004</v>
      </c>
      <c r="L460" s="734">
        <f>SUM(L447:L459)</f>
        <v>7306.3531000000003</v>
      </c>
    </row>
    <row r="461" spans="1:12" hidden="1">
      <c r="A461" s="970"/>
      <c r="B461" s="1487"/>
      <c r="C461" s="753" t="s">
        <v>509</v>
      </c>
      <c r="D461" s="736"/>
      <c r="E461" s="732"/>
      <c r="F461" s="732"/>
      <c r="G461" s="734"/>
      <c r="H461" s="726"/>
      <c r="I461" s="726"/>
      <c r="J461" s="726"/>
      <c r="K461" s="726"/>
      <c r="L461" s="726"/>
    </row>
    <row r="462" spans="1:12" hidden="1">
      <c r="A462" s="970"/>
      <c r="B462" s="1487"/>
      <c r="C462" s="753"/>
      <c r="D462" s="736"/>
      <c r="E462" s="732"/>
      <c r="F462" s="732"/>
      <c r="G462" s="734" t="s">
        <v>613</v>
      </c>
      <c r="H462" s="738"/>
      <c r="I462" s="734" t="s">
        <v>611</v>
      </c>
      <c r="J462" s="734"/>
      <c r="K462" s="734" t="s">
        <v>614</v>
      </c>
      <c r="L462" s="726"/>
    </row>
    <row r="463" spans="1:12" hidden="1">
      <c r="A463" s="970"/>
      <c r="B463" s="1487"/>
      <c r="C463" s="753" t="s">
        <v>284</v>
      </c>
      <c r="D463" s="736" t="s">
        <v>117</v>
      </c>
      <c r="E463" s="732">
        <v>1</v>
      </c>
      <c r="F463" s="732">
        <f>G460</f>
        <v>7082.6200000000008</v>
      </c>
      <c r="G463" s="732">
        <f>ROUND(E463*F463,2)</f>
        <v>7082.62</v>
      </c>
      <c r="H463" s="734"/>
      <c r="I463" s="732">
        <f>I460</f>
        <v>7333.8514000000005</v>
      </c>
      <c r="J463" s="732"/>
      <c r="K463" s="732">
        <f>K460</f>
        <v>7585.0834000000004</v>
      </c>
      <c r="L463" s="726"/>
    </row>
    <row r="464" spans="1:12" hidden="1">
      <c r="A464" s="970"/>
      <c r="B464" s="1487"/>
      <c r="C464" s="753" t="s">
        <v>532</v>
      </c>
      <c r="D464" s="736" t="s">
        <v>117</v>
      </c>
      <c r="E464" s="732">
        <v>1</v>
      </c>
      <c r="F464" s="732">
        <f>F335</f>
        <v>2623</v>
      </c>
      <c r="G464" s="732">
        <f>ROUND(E464*F464,2)</f>
        <v>2623</v>
      </c>
      <c r="H464" s="757"/>
      <c r="I464" s="732">
        <f>I335</f>
        <v>0</v>
      </c>
      <c r="J464" s="732"/>
      <c r="K464" s="732">
        <f>J335</f>
        <v>0</v>
      </c>
      <c r="L464" s="726"/>
    </row>
    <row r="465" spans="1:12" hidden="1">
      <c r="A465" s="970"/>
      <c r="B465" s="1487"/>
      <c r="C465" s="756" t="s">
        <v>142</v>
      </c>
      <c r="D465" s="736"/>
      <c r="E465" s="732"/>
      <c r="F465" s="732"/>
      <c r="G465" s="734">
        <f>ROUND(SUM(G463:G464,0),2)</f>
        <v>9705.6200000000008</v>
      </c>
      <c r="H465" s="790"/>
      <c r="I465" s="734">
        <f>ROUND(SUM(I463:I464,0),2)</f>
        <v>7333.85</v>
      </c>
      <c r="J465" s="734"/>
      <c r="K465" s="734">
        <f>ROUND(SUM(K463:K464,0),2)</f>
        <v>7585.08</v>
      </c>
      <c r="L465" s="726"/>
    </row>
    <row r="466" spans="1:12" hidden="1">
      <c r="A466" s="970"/>
      <c r="B466" s="1487"/>
      <c r="C466" s="782" t="s">
        <v>288</v>
      </c>
      <c r="D466" s="736"/>
      <c r="E466" s="732"/>
      <c r="F466" s="732"/>
      <c r="G466" s="734"/>
      <c r="H466" s="726"/>
      <c r="I466" s="726"/>
      <c r="J466" s="726"/>
      <c r="K466" s="726"/>
      <c r="L466" s="726"/>
    </row>
    <row r="467" spans="1:12" hidden="1">
      <c r="A467" s="970"/>
      <c r="B467" s="1487"/>
      <c r="C467" s="753" t="s">
        <v>284</v>
      </c>
      <c r="D467" s="736" t="s">
        <v>117</v>
      </c>
      <c r="E467" s="732">
        <v>1</v>
      </c>
      <c r="F467" s="732">
        <f>H460</f>
        <v>6803.8900000000012</v>
      </c>
      <c r="G467" s="732">
        <f>ROUND(E467*F467,2)</f>
        <v>6803.89</v>
      </c>
      <c r="H467" s="755">
        <f>J460</f>
        <v>7055.1211000000003</v>
      </c>
      <c r="I467" s="732">
        <f>ROUND(E467*H467,2)</f>
        <v>7055.12</v>
      </c>
      <c r="J467" s="755">
        <f>L460</f>
        <v>7306.3531000000003</v>
      </c>
      <c r="K467" s="732">
        <f>ROUND(E467*J467,2)</f>
        <v>7306.35</v>
      </c>
      <c r="L467" s="726"/>
    </row>
    <row r="468" spans="1:12" hidden="1">
      <c r="A468" s="970"/>
      <c r="B468" s="1487"/>
      <c r="C468" s="753" t="s">
        <v>532</v>
      </c>
      <c r="D468" s="736" t="s">
        <v>117</v>
      </c>
      <c r="E468" s="732">
        <v>1</v>
      </c>
      <c r="F468" s="732">
        <f>F339</f>
        <v>2795</v>
      </c>
      <c r="G468" s="732">
        <f>ROUND(E468*F468,2)</f>
        <v>2795</v>
      </c>
      <c r="H468" s="757">
        <f>H339</f>
        <v>3118</v>
      </c>
      <c r="I468" s="732">
        <f>ROUND(E468*H468,2)</f>
        <v>3118</v>
      </c>
      <c r="J468" s="757" t="e">
        <f>#REF!</f>
        <v>#REF!</v>
      </c>
      <c r="K468" s="732" t="e">
        <f>ROUND(E468*J468,2)</f>
        <v>#REF!</v>
      </c>
      <c r="L468" s="726"/>
    </row>
    <row r="469" spans="1:12" hidden="1">
      <c r="A469" s="970"/>
      <c r="B469" s="1487"/>
      <c r="C469" s="756" t="s">
        <v>142</v>
      </c>
      <c r="D469" s="736"/>
      <c r="E469" s="732"/>
      <c r="F469" s="732"/>
      <c r="G469" s="734">
        <f>ROUND(SUM(G467:G468,0),2)</f>
        <v>9598.89</v>
      </c>
      <c r="H469" s="752"/>
      <c r="I469" s="734">
        <f>ROUND(SUM(I467:I468,0),2)</f>
        <v>10173.120000000001</v>
      </c>
      <c r="J469" s="752"/>
      <c r="K469" s="734" t="e">
        <f>ROUND(SUM(K467:K468,0),2)</f>
        <v>#REF!</v>
      </c>
      <c r="L469" s="726"/>
    </row>
    <row r="470" spans="1:12" hidden="1">
      <c r="A470" s="970"/>
      <c r="B470" s="1487"/>
      <c r="C470" s="782" t="s">
        <v>289</v>
      </c>
      <c r="D470" s="736"/>
      <c r="E470" s="732"/>
      <c r="F470" s="732"/>
      <c r="G470" s="734"/>
      <c r="H470" s="752"/>
      <c r="I470" s="726"/>
      <c r="J470" s="726"/>
      <c r="K470" s="726"/>
      <c r="L470" s="726"/>
    </row>
    <row r="471" spans="1:12" hidden="1">
      <c r="A471" s="970"/>
      <c r="B471" s="1487"/>
      <c r="C471" s="753" t="s">
        <v>290</v>
      </c>
      <c r="D471" s="736" t="s">
        <v>117</v>
      </c>
      <c r="E471" s="732">
        <v>1</v>
      </c>
      <c r="F471" s="732">
        <f>H460</f>
        <v>6803.8900000000012</v>
      </c>
      <c r="G471" s="732">
        <f>ROUND(E471*F471,2)</f>
        <v>6803.89</v>
      </c>
      <c r="H471" s="755">
        <f>J460</f>
        <v>7055.1211000000003</v>
      </c>
      <c r="I471" s="732">
        <f>ROUND(E471*H471,2)</f>
        <v>7055.12</v>
      </c>
      <c r="J471" s="755">
        <f>L460</f>
        <v>7306.3531000000003</v>
      </c>
      <c r="K471" s="732">
        <f>ROUND(E471*J471,2)</f>
        <v>7306.35</v>
      </c>
      <c r="L471" s="726"/>
    </row>
    <row r="472" spans="1:12" hidden="1">
      <c r="A472" s="970"/>
      <c r="B472" s="1487"/>
      <c r="C472" s="753" t="s">
        <v>532</v>
      </c>
      <c r="D472" s="736" t="s">
        <v>117</v>
      </c>
      <c r="E472" s="732">
        <v>16</v>
      </c>
      <c r="F472" s="732">
        <f>F343</f>
        <v>481</v>
      </c>
      <c r="G472" s="732">
        <f>ROUND(E472*F472,2)</f>
        <v>7696</v>
      </c>
      <c r="H472" s="757">
        <f>H343</f>
        <v>506</v>
      </c>
      <c r="I472" s="732">
        <f>ROUND(E472*H472,2)</f>
        <v>8096</v>
      </c>
      <c r="J472" s="757" t="e">
        <f>#REF!</f>
        <v>#REF!</v>
      </c>
      <c r="K472" s="732" t="e">
        <f>ROUND(E472*J472,2)</f>
        <v>#REF!</v>
      </c>
      <c r="L472" s="726"/>
    </row>
    <row r="473" spans="1:12" ht="13.5" hidden="1" customHeight="1">
      <c r="A473" s="970"/>
      <c r="B473" s="733"/>
      <c r="C473" s="756"/>
      <c r="D473" s="793"/>
      <c r="E473" s="752"/>
      <c r="F473" s="732"/>
      <c r="G473" s="734">
        <f>ROUND(SUM(G471:G472,0),2)</f>
        <v>14499.89</v>
      </c>
      <c r="H473" s="757"/>
      <c r="I473" s="734">
        <f>ROUND(SUM(I471:I472,0),2)</f>
        <v>15151.12</v>
      </c>
      <c r="J473" s="757"/>
      <c r="K473" s="734" t="e">
        <f>ROUND(SUM(K471:K472,0),2)</f>
        <v>#REF!</v>
      </c>
      <c r="L473" s="726"/>
    </row>
    <row r="474" spans="1:12" hidden="1">
      <c r="A474" s="970"/>
      <c r="B474" s="1487"/>
      <c r="C474" s="756"/>
      <c r="D474" s="736"/>
      <c r="E474" s="732"/>
      <c r="F474" s="732"/>
      <c r="G474" s="752"/>
      <c r="H474" s="726"/>
      <c r="I474" s="726"/>
      <c r="J474" s="726"/>
      <c r="K474" s="726"/>
      <c r="L474" s="726"/>
    </row>
    <row r="475" spans="1:12" hidden="1">
      <c r="A475" s="970"/>
      <c r="B475" s="1487" t="s">
        <v>146</v>
      </c>
      <c r="C475" s="782" t="s">
        <v>291</v>
      </c>
      <c r="D475" s="736"/>
      <c r="E475" s="732"/>
      <c r="F475" s="732"/>
      <c r="G475" s="734"/>
      <c r="H475" s="726"/>
      <c r="I475" s="726"/>
      <c r="J475" s="726"/>
      <c r="K475" s="726"/>
      <c r="L475" s="726"/>
    </row>
    <row r="476" spans="1:12" hidden="1">
      <c r="A476" s="970"/>
      <c r="B476" s="1487"/>
      <c r="C476" s="753" t="s">
        <v>24</v>
      </c>
      <c r="D476" s="736"/>
      <c r="E476" s="732"/>
      <c r="F476" s="732"/>
      <c r="G476" s="734" t="s">
        <v>613</v>
      </c>
      <c r="H476" s="734" t="s">
        <v>611</v>
      </c>
      <c r="I476" s="726" t="s">
        <v>614</v>
      </c>
      <c r="J476" s="726"/>
      <c r="K476" s="726"/>
      <c r="L476" s="726"/>
    </row>
    <row r="477" spans="1:12" hidden="1">
      <c r="A477" s="970"/>
      <c r="B477" s="1487"/>
      <c r="C477" s="1482" t="s">
        <v>287</v>
      </c>
      <c r="D477" s="736" t="s">
        <v>117</v>
      </c>
      <c r="E477" s="760">
        <v>0.54</v>
      </c>
      <c r="F477" s="732">
        <f>F447</f>
        <v>2111.4</v>
      </c>
      <c r="G477" s="732">
        <f>ROUND(E477*F477,2)</f>
        <v>1140.1600000000001</v>
      </c>
      <c r="H477" s="732">
        <f>ROUND(E477*F477,2)</f>
        <v>1140.1600000000001</v>
      </c>
      <c r="I477" s="757">
        <f>H477</f>
        <v>1140.1600000000001</v>
      </c>
      <c r="J477" s="726"/>
      <c r="K477" s="726"/>
      <c r="L477" s="726"/>
    </row>
    <row r="478" spans="1:12" hidden="1">
      <c r="A478" s="970"/>
      <c r="B478" s="1487"/>
      <c r="C478" s="1482" t="s">
        <v>982</v>
      </c>
      <c r="D478" s="736" t="s">
        <v>117</v>
      </c>
      <c r="E478" s="760">
        <v>0.26</v>
      </c>
      <c r="F478" s="732">
        <f>F448</f>
        <v>1851.4</v>
      </c>
      <c r="G478" s="732">
        <f>ROUND(E478*F478,2)</f>
        <v>481.36</v>
      </c>
      <c r="H478" s="732">
        <f>ROUND(E478*F478,2)</f>
        <v>481.36</v>
      </c>
      <c r="I478" s="757">
        <f>H478</f>
        <v>481.36</v>
      </c>
      <c r="J478" s="726"/>
      <c r="K478" s="726"/>
      <c r="L478" s="726"/>
    </row>
    <row r="479" spans="1:12" hidden="1">
      <c r="A479" s="970"/>
      <c r="B479" s="1487"/>
      <c r="C479" s="1482" t="s">
        <v>277</v>
      </c>
      <c r="D479" s="736" t="s">
        <v>117</v>
      </c>
      <c r="E479" s="760">
        <v>0.4</v>
      </c>
      <c r="F479" s="732">
        <f>F449</f>
        <v>933.6</v>
      </c>
      <c r="G479" s="732">
        <f>ROUND(E479*F479,2)</f>
        <v>373.44</v>
      </c>
      <c r="H479" s="732">
        <f>ROUND(E479*F479,2)</f>
        <v>373.44</v>
      </c>
      <c r="I479" s="757">
        <f>H479</f>
        <v>373.44</v>
      </c>
      <c r="J479" s="726"/>
      <c r="K479" s="726"/>
      <c r="L479" s="726"/>
    </row>
    <row r="480" spans="1:12" hidden="1">
      <c r="A480" s="970"/>
      <c r="B480" s="1487"/>
      <c r="C480" s="1482" t="s">
        <v>218</v>
      </c>
      <c r="D480" s="736" t="s">
        <v>207</v>
      </c>
      <c r="E480" s="760">
        <f>E453</f>
        <v>0.16700000000000001</v>
      </c>
      <c r="F480" s="732">
        <f>F450</f>
        <v>4.6975999999999996</v>
      </c>
      <c r="G480" s="732">
        <f>ROUND(E480*F480,2)</f>
        <v>0.78</v>
      </c>
      <c r="H480" s="732">
        <f>ROUND(E480*F480,2)</f>
        <v>0.78</v>
      </c>
      <c r="I480" s="757">
        <f>H480</f>
        <v>0.78</v>
      </c>
      <c r="J480" s="726"/>
      <c r="K480" s="726"/>
      <c r="L480" s="726"/>
    </row>
    <row r="481" spans="1:12" hidden="1">
      <c r="A481" s="970"/>
      <c r="B481" s="1487"/>
      <c r="C481" s="753" t="s">
        <v>278</v>
      </c>
      <c r="D481" s="736"/>
      <c r="E481" s="760"/>
      <c r="F481" s="732"/>
      <c r="G481" s="734"/>
      <c r="H481" s="732"/>
      <c r="I481" s="757"/>
      <c r="J481" s="726"/>
      <c r="K481" s="726"/>
      <c r="L481" s="726"/>
    </row>
    <row r="482" spans="1:12" hidden="1">
      <c r="A482" s="970"/>
      <c r="B482" s="1487"/>
      <c r="C482" s="1482" t="s">
        <v>279</v>
      </c>
      <c r="D482" s="736" t="s">
        <v>119</v>
      </c>
      <c r="E482" s="760">
        <v>6.7000000000000004E-2</v>
      </c>
      <c r="F482" s="732">
        <f>F452</f>
        <v>500</v>
      </c>
      <c r="G482" s="732">
        <f>ROUND(E482*F482,2)</f>
        <v>33.5</v>
      </c>
      <c r="H482" s="732">
        <f>ROUND(E482*F482,2)</f>
        <v>33.5</v>
      </c>
      <c r="I482" s="757">
        <f>H482</f>
        <v>33.5</v>
      </c>
      <c r="J482" s="726"/>
      <c r="K482" s="726"/>
      <c r="L482" s="726"/>
    </row>
    <row r="483" spans="1:12" hidden="1">
      <c r="A483" s="970"/>
      <c r="B483" s="1487"/>
      <c r="C483" s="1482" t="s">
        <v>280</v>
      </c>
      <c r="D483" s="736" t="s">
        <v>119</v>
      </c>
      <c r="E483" s="760">
        <v>0.13300000000000001</v>
      </c>
      <c r="F483" s="732">
        <f>F453</f>
        <v>460</v>
      </c>
      <c r="G483" s="732">
        <f>ROUND(E483*F483,2)</f>
        <v>61.18</v>
      </c>
      <c r="H483" s="732">
        <f>ROUND(E483*F483,2)</f>
        <v>61.18</v>
      </c>
      <c r="I483" s="757">
        <f>H483</f>
        <v>61.18</v>
      </c>
      <c r="J483" s="726"/>
      <c r="K483" s="726"/>
      <c r="L483" s="726"/>
    </row>
    <row r="484" spans="1:12" hidden="1">
      <c r="A484" s="970"/>
      <c r="B484" s="1487"/>
      <c r="C484" s="753" t="s">
        <v>281</v>
      </c>
      <c r="D484" s="736" t="s">
        <v>119</v>
      </c>
      <c r="E484" s="760">
        <v>3.077</v>
      </c>
      <c r="F484" s="732">
        <f>F454</f>
        <v>420</v>
      </c>
      <c r="G484" s="732">
        <f>ROUND(E484*F484,2)</f>
        <v>1292.3399999999999</v>
      </c>
      <c r="H484" s="732">
        <f>ROUND(E484*F484,2)</f>
        <v>1292.3399999999999</v>
      </c>
      <c r="I484" s="757">
        <f>H484</f>
        <v>1292.3399999999999</v>
      </c>
      <c r="J484" s="726"/>
      <c r="K484" s="726"/>
      <c r="L484" s="726"/>
    </row>
    <row r="485" spans="1:12" hidden="1">
      <c r="A485" s="970"/>
      <c r="B485" s="1487"/>
      <c r="C485" s="735" t="s">
        <v>615</v>
      </c>
      <c r="D485" s="736"/>
      <c r="E485" s="760"/>
      <c r="F485" s="732"/>
      <c r="G485" s="734"/>
      <c r="H485" s="734">
        <f>ROUND(H484+H483+H482,2)*10%</f>
        <v>138.702</v>
      </c>
      <c r="I485" s="794">
        <f>ROUND(I484+I483+I482,2)*20%</f>
        <v>277.404</v>
      </c>
      <c r="J485" s="726"/>
      <c r="K485" s="726"/>
      <c r="L485" s="726"/>
    </row>
    <row r="486" spans="1:12" hidden="1">
      <c r="A486" s="970"/>
      <c r="B486" s="1487"/>
      <c r="C486" s="753" t="s">
        <v>252</v>
      </c>
      <c r="D486" s="736"/>
      <c r="E486" s="760"/>
      <c r="F486" s="732"/>
      <c r="G486" s="734"/>
      <c r="H486" s="732"/>
      <c r="I486" s="757"/>
      <c r="J486" s="726"/>
      <c r="K486" s="726"/>
      <c r="L486" s="726"/>
    </row>
    <row r="487" spans="1:12" ht="26" hidden="1">
      <c r="A487" s="970"/>
      <c r="B487" s="1487"/>
      <c r="C487" s="1482" t="s">
        <v>292</v>
      </c>
      <c r="D487" s="736" t="s">
        <v>267</v>
      </c>
      <c r="E487" s="760">
        <v>0.308</v>
      </c>
      <c r="F487" s="732">
        <f>F457</f>
        <v>524.70000000000005</v>
      </c>
      <c r="G487" s="732">
        <f>ROUND(E487*F487,2)</f>
        <v>161.61000000000001</v>
      </c>
      <c r="H487" s="732">
        <f>ROUND(E487*F487,2)</f>
        <v>161.61000000000001</v>
      </c>
      <c r="I487" s="757">
        <f>H487</f>
        <v>161.61000000000001</v>
      </c>
      <c r="J487" s="726"/>
      <c r="K487" s="726"/>
      <c r="L487" s="726"/>
    </row>
    <row r="488" spans="1:12" hidden="1">
      <c r="A488" s="970"/>
      <c r="B488" s="1487"/>
      <c r="C488" s="1482" t="s">
        <v>283</v>
      </c>
      <c r="D488" s="736" t="s">
        <v>267</v>
      </c>
      <c r="E488" s="760">
        <v>0.308</v>
      </c>
      <c r="F488" s="732">
        <f>F458</f>
        <v>209.1</v>
      </c>
      <c r="G488" s="732">
        <f>ROUND(E488*F488,2)</f>
        <v>64.400000000000006</v>
      </c>
      <c r="H488" s="732">
        <f>ROUND(E488*F488,2)</f>
        <v>64.400000000000006</v>
      </c>
      <c r="I488" s="757">
        <f>H488</f>
        <v>64.400000000000006</v>
      </c>
      <c r="J488" s="726"/>
      <c r="K488" s="726"/>
      <c r="L488" s="726"/>
    </row>
    <row r="489" spans="1:12" hidden="1">
      <c r="A489" s="970"/>
      <c r="B489" s="1487"/>
      <c r="C489" s="1482" t="s">
        <v>264</v>
      </c>
      <c r="D489" s="736" t="s">
        <v>265</v>
      </c>
      <c r="E489" s="760">
        <v>1.2</v>
      </c>
      <c r="F489" s="732">
        <f>F459</f>
        <v>80</v>
      </c>
      <c r="G489" s="732"/>
      <c r="H489" s="732"/>
      <c r="I489" s="757"/>
      <c r="J489" s="726"/>
      <c r="K489" s="726"/>
      <c r="L489" s="726"/>
    </row>
    <row r="490" spans="1:12" hidden="1">
      <c r="A490" s="970"/>
      <c r="B490" s="1487"/>
      <c r="C490" s="753" t="s">
        <v>284</v>
      </c>
      <c r="D490" s="736"/>
      <c r="E490" s="732"/>
      <c r="F490" s="732"/>
      <c r="G490" s="734">
        <f>SUM(G477:G489,0)</f>
        <v>3608.7700000000004</v>
      </c>
      <c r="H490" s="734">
        <f>SUM(H477:H489,0)</f>
        <v>3747.4720000000007</v>
      </c>
      <c r="I490" s="734">
        <f>SUM(I477:I489,0)</f>
        <v>3886.1740000000004</v>
      </c>
      <c r="J490" s="726"/>
      <c r="K490" s="726"/>
      <c r="L490" s="726"/>
    </row>
    <row r="491" spans="1:12" hidden="1">
      <c r="A491" s="970"/>
      <c r="B491" s="1487"/>
      <c r="C491" s="753"/>
      <c r="D491" s="736"/>
      <c r="E491" s="732"/>
      <c r="F491" s="732"/>
      <c r="G491" s="734"/>
      <c r="H491" s="734"/>
      <c r="I491" s="726"/>
      <c r="J491" s="726"/>
      <c r="K491" s="726"/>
      <c r="L491" s="726"/>
    </row>
    <row r="492" spans="1:12" hidden="1">
      <c r="A492" s="970"/>
      <c r="B492" s="1487"/>
      <c r="C492" s="753" t="s">
        <v>510</v>
      </c>
      <c r="D492" s="736"/>
      <c r="E492" s="732"/>
      <c r="F492" s="732"/>
      <c r="G492" s="734" t="s">
        <v>613</v>
      </c>
      <c r="H492" s="734" t="s">
        <v>611</v>
      </c>
      <c r="I492" s="726" t="s">
        <v>614</v>
      </c>
      <c r="J492" s="726"/>
      <c r="K492" s="726"/>
      <c r="L492" s="726"/>
    </row>
    <row r="493" spans="1:12" hidden="1">
      <c r="A493" s="970"/>
      <c r="B493" s="1487"/>
      <c r="C493" s="753" t="s">
        <v>284</v>
      </c>
      <c r="D493" s="736" t="s">
        <v>117</v>
      </c>
      <c r="E493" s="732">
        <v>1</v>
      </c>
      <c r="F493" s="732">
        <f>G490</f>
        <v>3608.7700000000004</v>
      </c>
      <c r="G493" s="732">
        <f>ROUND(E493*F493,2)</f>
        <v>3608.77</v>
      </c>
      <c r="H493" s="732">
        <f>H490</f>
        <v>3747.4720000000007</v>
      </c>
      <c r="I493" s="755">
        <f>I490</f>
        <v>3886.1740000000004</v>
      </c>
      <c r="J493" s="726"/>
      <c r="K493" s="726"/>
      <c r="L493" s="726"/>
    </row>
    <row r="494" spans="1:12" hidden="1">
      <c r="A494" s="970"/>
      <c r="B494" s="1487"/>
      <c r="C494" s="753" t="s">
        <v>532</v>
      </c>
      <c r="D494" s="736" t="s">
        <v>117</v>
      </c>
      <c r="E494" s="732">
        <v>1</v>
      </c>
      <c r="F494" s="732">
        <f>F365</f>
        <v>3988</v>
      </c>
      <c r="G494" s="732">
        <f>ROUND(E494*F494,2)</f>
        <v>3988</v>
      </c>
      <c r="H494" s="732">
        <f>H365</f>
        <v>4178</v>
      </c>
      <c r="I494" s="732">
        <f>I365</f>
        <v>4369</v>
      </c>
      <c r="J494" s="726"/>
      <c r="K494" s="726"/>
      <c r="L494" s="726"/>
    </row>
    <row r="495" spans="1:12" hidden="1">
      <c r="A495" s="970"/>
      <c r="B495" s="1487"/>
      <c r="C495" s="756" t="s">
        <v>142</v>
      </c>
      <c r="D495" s="736"/>
      <c r="E495" s="732"/>
      <c r="F495" s="732"/>
      <c r="G495" s="734">
        <f>ROUND(SUM(G493:G494,0),2)</f>
        <v>7596.77</v>
      </c>
      <c r="H495" s="734">
        <f>ROUND(SUM(H493:H494,0),2)</f>
        <v>7925.47</v>
      </c>
      <c r="I495" s="734">
        <f>ROUND(SUM(I493:I494,0),2)</f>
        <v>8255.17</v>
      </c>
      <c r="J495" s="726"/>
      <c r="K495" s="726"/>
      <c r="L495" s="726"/>
    </row>
    <row r="496" spans="1:12" hidden="1">
      <c r="A496" s="970"/>
      <c r="B496" s="1487"/>
      <c r="C496" s="782" t="s">
        <v>490</v>
      </c>
      <c r="D496" s="736"/>
      <c r="E496" s="732"/>
      <c r="F496" s="732"/>
      <c r="G496" s="734"/>
      <c r="H496" s="726"/>
      <c r="I496" s="752"/>
      <c r="J496" s="726"/>
      <c r="K496" s="726"/>
      <c r="L496" s="726"/>
    </row>
    <row r="497" spans="1:12" hidden="1">
      <c r="A497" s="970"/>
      <c r="B497" s="1487"/>
      <c r="C497" s="759" t="s">
        <v>489</v>
      </c>
      <c r="D497" s="736" t="s">
        <v>117</v>
      </c>
      <c r="E497" s="795">
        <v>1</v>
      </c>
      <c r="F497" s="732">
        <f>G490</f>
        <v>3608.7700000000004</v>
      </c>
      <c r="G497" s="732">
        <f>ROUND(E497*F497,2)</f>
        <v>3608.77</v>
      </c>
      <c r="H497" s="755">
        <f>H490</f>
        <v>3747.4720000000007</v>
      </c>
      <c r="I497" s="752"/>
      <c r="J497" s="726"/>
      <c r="K497" s="726"/>
      <c r="L497" s="726"/>
    </row>
    <row r="498" spans="1:12" hidden="1">
      <c r="A498" s="970"/>
      <c r="B498" s="1487"/>
      <c r="C498" s="796" t="s">
        <v>230</v>
      </c>
      <c r="D498" s="736" t="s">
        <v>113</v>
      </c>
      <c r="E498" s="795">
        <f>1/0.1</f>
        <v>10</v>
      </c>
      <c r="F498" s="732" t="e">
        <f>'[125]Centring charges'!Q141</f>
        <v>#REF!</v>
      </c>
      <c r="G498" s="732" t="e">
        <f>ROUND(E498*F498,2)</f>
        <v>#REF!</v>
      </c>
      <c r="H498" s="757" t="e">
        <f>'[125]Centring charges'!W141</f>
        <v>#REF!</v>
      </c>
      <c r="I498" s="752"/>
      <c r="J498" s="726"/>
      <c r="K498" s="726"/>
      <c r="L498" s="726"/>
    </row>
    <row r="499" spans="1:12" ht="13.5" hidden="1" customHeight="1">
      <c r="A499" s="970"/>
      <c r="B499" s="733"/>
      <c r="C499" s="756" t="s">
        <v>617</v>
      </c>
      <c r="D499" s="737">
        <f>D235</f>
        <v>0</v>
      </c>
      <c r="E499" s="731"/>
      <c r="F499" s="732" t="e">
        <f>'[125]Centring charges'!O141</f>
        <v>#REF!</v>
      </c>
      <c r="G499" s="732" t="e">
        <f>D499*E498*F499</f>
        <v>#REF!</v>
      </c>
      <c r="H499" s="757" t="e">
        <f>'[125]Centring charges'!U141</f>
        <v>#REF!</v>
      </c>
      <c r="I499" s="752"/>
      <c r="J499" s="726"/>
      <c r="K499" s="726"/>
      <c r="L499" s="726"/>
    </row>
    <row r="500" spans="1:12" hidden="1">
      <c r="A500" s="970"/>
      <c r="B500" s="1487"/>
      <c r="C500" s="756" t="s">
        <v>142</v>
      </c>
      <c r="D500" s="736"/>
      <c r="E500" s="795"/>
      <c r="F500" s="732"/>
      <c r="G500" s="734" t="e">
        <f>SUM(G497:G499,0)</f>
        <v>#REF!</v>
      </c>
      <c r="H500" s="752"/>
      <c r="I500" s="752"/>
      <c r="J500" s="726"/>
      <c r="K500" s="726"/>
      <c r="L500" s="726"/>
    </row>
    <row r="501" spans="1:12" ht="26" hidden="1">
      <c r="A501" s="970"/>
      <c r="B501" s="1487"/>
      <c r="C501" s="756" t="s">
        <v>578</v>
      </c>
      <c r="D501" s="736"/>
      <c r="E501" s="795"/>
      <c r="F501" s="732"/>
      <c r="G501" s="734" t="e">
        <f>G500*0</f>
        <v>#REF!</v>
      </c>
      <c r="H501" s="752"/>
      <c r="I501" s="752"/>
      <c r="J501" s="726"/>
      <c r="K501" s="726"/>
      <c r="L501" s="726"/>
    </row>
    <row r="502" spans="1:12" hidden="1">
      <c r="A502" s="970"/>
      <c r="B502" s="1487"/>
      <c r="C502" s="756"/>
      <c r="D502" s="736"/>
      <c r="E502" s="795"/>
      <c r="F502" s="732"/>
      <c r="G502" s="734" t="e">
        <f>SUM(G500:G501)</f>
        <v>#REF!</v>
      </c>
      <c r="H502" s="752"/>
      <c r="I502" s="752"/>
      <c r="J502" s="726"/>
      <c r="K502" s="726"/>
      <c r="L502" s="726"/>
    </row>
    <row r="503" spans="1:12" hidden="1">
      <c r="A503" s="970"/>
      <c r="B503" s="1487"/>
      <c r="C503" s="782" t="s">
        <v>551</v>
      </c>
      <c r="D503" s="736"/>
      <c r="E503" s="732"/>
      <c r="F503" s="732"/>
      <c r="G503" s="734"/>
      <c r="H503" s="726"/>
      <c r="I503" s="752"/>
      <c r="J503" s="726"/>
      <c r="K503" s="726"/>
      <c r="L503" s="726"/>
    </row>
    <row r="504" spans="1:12" hidden="1">
      <c r="A504" s="970"/>
      <c r="B504" s="1487"/>
      <c r="C504" s="759" t="s">
        <v>489</v>
      </c>
      <c r="D504" s="736" t="s">
        <v>117</v>
      </c>
      <c r="E504" s="795">
        <v>1</v>
      </c>
      <c r="F504" s="732">
        <f>G490</f>
        <v>3608.7700000000004</v>
      </c>
      <c r="G504" s="732">
        <f>ROUND(E504*F504,2)</f>
        <v>3608.77</v>
      </c>
      <c r="H504" s="755">
        <f>H497</f>
        <v>3747.4720000000007</v>
      </c>
      <c r="I504" s="752"/>
      <c r="J504" s="726"/>
      <c r="K504" s="726"/>
      <c r="L504" s="726"/>
    </row>
    <row r="505" spans="1:12" hidden="1">
      <c r="A505" s="970"/>
      <c r="B505" s="1487"/>
      <c r="C505" s="796" t="s">
        <v>230</v>
      </c>
      <c r="D505" s="736" t="s">
        <v>113</v>
      </c>
      <c r="E505" s="795">
        <f>ROUND(1/0.11,3)</f>
        <v>9.0909999999999993</v>
      </c>
      <c r="F505" s="732" t="e">
        <f>F498</f>
        <v>#REF!</v>
      </c>
      <c r="G505" s="732" t="e">
        <f>ROUND(E505*F505,2)</f>
        <v>#REF!</v>
      </c>
      <c r="H505" s="757" t="e">
        <f>H498</f>
        <v>#REF!</v>
      </c>
      <c r="I505" s="752"/>
      <c r="J505" s="726"/>
      <c r="K505" s="726"/>
      <c r="L505" s="726"/>
    </row>
    <row r="506" spans="1:12" ht="13.5" hidden="1" customHeight="1">
      <c r="A506" s="970"/>
      <c r="B506" s="733"/>
      <c r="C506" s="756" t="s">
        <v>617</v>
      </c>
      <c r="D506" s="737">
        <f>D499</f>
        <v>0</v>
      </c>
      <c r="E506" s="731"/>
      <c r="F506" s="732" t="e">
        <f>'[125]Centring charges'!O141</f>
        <v>#REF!</v>
      </c>
      <c r="G506" s="732" t="e">
        <f>D506*E505*F506</f>
        <v>#REF!</v>
      </c>
      <c r="H506" s="757" t="e">
        <f>'[125]Centring charges'!U141</f>
        <v>#REF!</v>
      </c>
      <c r="I506" s="752"/>
      <c r="J506" s="726"/>
      <c r="K506" s="726"/>
      <c r="L506" s="726"/>
    </row>
    <row r="507" spans="1:12" hidden="1">
      <c r="A507" s="970"/>
      <c r="B507" s="1487"/>
      <c r="C507" s="756" t="s">
        <v>142</v>
      </c>
      <c r="D507" s="736"/>
      <c r="E507" s="732"/>
      <c r="F507" s="732"/>
      <c r="G507" s="734" t="e">
        <f>SUM(G504:G506,0)</f>
        <v>#REF!</v>
      </c>
      <c r="H507" s="752"/>
      <c r="I507" s="752"/>
      <c r="J507" s="726"/>
      <c r="K507" s="726"/>
      <c r="L507" s="726"/>
    </row>
    <row r="508" spans="1:12" ht="26" hidden="1">
      <c r="A508" s="970"/>
      <c r="B508" s="1487"/>
      <c r="C508" s="756" t="s">
        <v>578</v>
      </c>
      <c r="D508" s="736"/>
      <c r="E508" s="732"/>
      <c r="F508" s="732"/>
      <c r="G508" s="734" t="e">
        <f>G507*0</f>
        <v>#REF!</v>
      </c>
      <c r="H508" s="752"/>
      <c r="I508" s="752"/>
      <c r="J508" s="726"/>
      <c r="K508" s="726"/>
      <c r="L508" s="726"/>
    </row>
    <row r="509" spans="1:12" hidden="1">
      <c r="A509" s="970"/>
      <c r="B509" s="1487"/>
      <c r="C509" s="756"/>
      <c r="D509" s="736"/>
      <c r="E509" s="732"/>
      <c r="F509" s="732"/>
      <c r="G509" s="734" t="e">
        <f>SUM(G507:G508)</f>
        <v>#REF!</v>
      </c>
      <c r="H509" s="752"/>
      <c r="I509" s="752"/>
      <c r="J509" s="726"/>
      <c r="K509" s="726"/>
      <c r="L509" s="726"/>
    </row>
    <row r="510" spans="1:12" s="802" customFormat="1" hidden="1">
      <c r="A510" s="976"/>
      <c r="B510" s="798"/>
      <c r="C510" s="799" t="s">
        <v>1044</v>
      </c>
      <c r="D510" s="800"/>
      <c r="E510" s="800"/>
      <c r="F510" s="800"/>
      <c r="G510" s="801"/>
      <c r="H510" s="797"/>
      <c r="I510" s="797"/>
      <c r="J510" s="797"/>
      <c r="K510" s="797"/>
      <c r="L510" s="797"/>
    </row>
    <row r="511" spans="1:12" s="802" customFormat="1" hidden="1">
      <c r="A511" s="976"/>
      <c r="B511" s="798"/>
      <c r="C511" s="803" t="s">
        <v>489</v>
      </c>
      <c r="D511" s="800" t="s">
        <v>117</v>
      </c>
      <c r="E511" s="804">
        <v>1</v>
      </c>
      <c r="F511" s="800">
        <f>G490</f>
        <v>3608.7700000000004</v>
      </c>
      <c r="G511" s="800">
        <f>ROUND(E511*F511,2)</f>
        <v>3608.77</v>
      </c>
      <c r="H511" s="797"/>
      <c r="I511" s="797"/>
      <c r="J511" s="797"/>
      <c r="K511" s="797"/>
      <c r="L511" s="797"/>
    </row>
    <row r="512" spans="1:12" s="802" customFormat="1" hidden="1">
      <c r="A512" s="976"/>
      <c r="B512" s="798"/>
      <c r="C512" s="805" t="s">
        <v>230</v>
      </c>
      <c r="D512" s="800" t="s">
        <v>113</v>
      </c>
      <c r="E512" s="804">
        <v>10</v>
      </c>
      <c r="F512" s="800" t="e">
        <f>'[125]Centring charges'!Q141</f>
        <v>#REF!</v>
      </c>
      <c r="G512" s="800" t="e">
        <f>ROUND(E512*F512,2)</f>
        <v>#REF!</v>
      </c>
      <c r="H512" s="797"/>
      <c r="I512" s="797"/>
      <c r="J512" s="797"/>
      <c r="K512" s="797"/>
      <c r="L512" s="797"/>
    </row>
    <row r="513" spans="1:12" s="802" customFormat="1" hidden="1">
      <c r="A513" s="976"/>
      <c r="B513" s="798"/>
      <c r="C513" s="806" t="s">
        <v>142</v>
      </c>
      <c r="D513" s="800"/>
      <c r="E513" s="800"/>
      <c r="F513" s="800"/>
      <c r="G513" s="807" t="e">
        <f>ROUND(SUM(G511:G512),2)</f>
        <v>#REF!</v>
      </c>
      <c r="H513" s="797"/>
      <c r="I513" s="797"/>
      <c r="J513" s="797"/>
      <c r="K513" s="797"/>
      <c r="L513" s="797"/>
    </row>
    <row r="514" spans="1:12" hidden="1">
      <c r="A514" s="970"/>
      <c r="B514" s="1487"/>
      <c r="C514" s="782" t="s">
        <v>1043</v>
      </c>
      <c r="D514" s="736"/>
      <c r="E514" s="732"/>
      <c r="F514" s="732"/>
      <c r="G514" s="734" t="s">
        <v>613</v>
      </c>
      <c r="H514" s="726"/>
      <c r="I514" s="738" t="s">
        <v>611</v>
      </c>
      <c r="J514" s="726"/>
      <c r="K514" s="738" t="s">
        <v>614</v>
      </c>
      <c r="L514" s="726"/>
    </row>
    <row r="515" spans="1:12" hidden="1">
      <c r="A515" s="970"/>
      <c r="B515" s="1487"/>
      <c r="C515" s="759" t="s">
        <v>489</v>
      </c>
      <c r="D515" s="736" t="s">
        <v>117</v>
      </c>
      <c r="E515" s="795">
        <v>1</v>
      </c>
      <c r="F515" s="732">
        <f>G490</f>
        <v>3608.7700000000004</v>
      </c>
      <c r="G515" s="732">
        <f>ROUND(E515*F515,2)</f>
        <v>3608.77</v>
      </c>
      <c r="H515" s="744">
        <f>H490</f>
        <v>3747.4720000000007</v>
      </c>
      <c r="I515" s="755">
        <f>H515</f>
        <v>3747.4720000000007</v>
      </c>
      <c r="J515" s="744">
        <f>I490</f>
        <v>3886.1740000000004</v>
      </c>
      <c r="K515" s="755">
        <f>I490</f>
        <v>3886.1740000000004</v>
      </c>
      <c r="L515" s="726"/>
    </row>
    <row r="516" spans="1:12" hidden="1">
      <c r="A516" s="970"/>
      <c r="B516" s="1487"/>
      <c r="C516" s="796" t="s">
        <v>230</v>
      </c>
      <c r="D516" s="736" t="s">
        <v>113</v>
      </c>
      <c r="E516" s="795">
        <f>ROUND(1/0.125,3)</f>
        <v>8</v>
      </c>
      <c r="F516" s="732">
        <f>F387</f>
        <v>462</v>
      </c>
      <c r="G516" s="732">
        <f>ROUND(E516*F516,2)</f>
        <v>3696</v>
      </c>
      <c r="H516" s="747">
        <f>H398</f>
        <v>473</v>
      </c>
      <c r="I516" s="755">
        <f>ROUND(E516*H516,2)</f>
        <v>3784</v>
      </c>
      <c r="J516" s="747">
        <f>J387</f>
        <v>0</v>
      </c>
      <c r="K516" s="755">
        <f>ROUND(J516*E516,2)</f>
        <v>0</v>
      </c>
      <c r="L516" s="726"/>
    </row>
    <row r="517" spans="1:12" hidden="1">
      <c r="A517" s="970"/>
      <c r="B517" s="1487"/>
      <c r="C517" s="756" t="s">
        <v>142</v>
      </c>
      <c r="D517" s="736"/>
      <c r="E517" s="732"/>
      <c r="F517" s="732"/>
      <c r="G517" s="734">
        <f>ROUND(SUM(G515:G516,0),2)</f>
        <v>7304.77</v>
      </c>
      <c r="H517" s="726"/>
      <c r="I517" s="734">
        <f>ROUND(SUM(I515:I516,0),2)</f>
        <v>7531.47</v>
      </c>
      <c r="J517" s="726"/>
      <c r="K517" s="734">
        <f>ROUND(SUM(K515:K516,0),2)</f>
        <v>3886.17</v>
      </c>
      <c r="L517" s="726"/>
    </row>
    <row r="518" spans="1:12" ht="16.5" hidden="1" customHeight="1">
      <c r="A518" s="970"/>
      <c r="B518" s="1487"/>
      <c r="C518" s="782" t="s">
        <v>491</v>
      </c>
      <c r="D518" s="1482"/>
      <c r="E518" s="745"/>
      <c r="F518" s="745"/>
      <c r="G518" s="729"/>
      <c r="H518" s="726"/>
      <c r="I518" s="726"/>
      <c r="J518" s="726"/>
      <c r="K518" s="726"/>
      <c r="L518" s="726"/>
    </row>
    <row r="519" spans="1:12" hidden="1">
      <c r="A519" s="970"/>
      <c r="B519" s="1487"/>
      <c r="C519" s="759" t="s">
        <v>489</v>
      </c>
      <c r="D519" s="1482" t="s">
        <v>117</v>
      </c>
      <c r="E519" s="795">
        <v>1</v>
      </c>
      <c r="F519" s="745">
        <f>F515</f>
        <v>3608.7700000000004</v>
      </c>
      <c r="G519" s="732">
        <f>ROUND(E519*F519,2)</f>
        <v>3608.77</v>
      </c>
      <c r="H519" s="755">
        <f>I515</f>
        <v>3747.4720000000007</v>
      </c>
      <c r="I519" s="726"/>
      <c r="J519" s="726"/>
      <c r="K519" s="726"/>
      <c r="L519" s="726"/>
    </row>
    <row r="520" spans="1:12" hidden="1">
      <c r="A520" s="970"/>
      <c r="B520" s="1487"/>
      <c r="C520" s="796" t="s">
        <v>230</v>
      </c>
      <c r="D520" s="1482" t="s">
        <v>113</v>
      </c>
      <c r="E520" s="795">
        <f>ROUND(1/0.125,3)</f>
        <v>8</v>
      </c>
      <c r="F520" s="745">
        <f>F516</f>
        <v>462</v>
      </c>
      <c r="G520" s="732">
        <f>ROUND(E520*F520,2)</f>
        <v>3696</v>
      </c>
      <c r="H520" s="755">
        <f>I516</f>
        <v>3784</v>
      </c>
      <c r="I520" s="726"/>
      <c r="J520" s="726"/>
      <c r="K520" s="726"/>
      <c r="L520" s="726"/>
    </row>
    <row r="521" spans="1:12" ht="13.5" hidden="1" customHeight="1">
      <c r="A521" s="970"/>
      <c r="B521" s="733"/>
      <c r="C521" s="756" t="s">
        <v>617</v>
      </c>
      <c r="D521" s="737">
        <f>D235</f>
        <v>0</v>
      </c>
      <c r="E521" s="731"/>
      <c r="F521" s="745" t="e">
        <f>'[125]Centring charges'!O141</f>
        <v>#REF!</v>
      </c>
      <c r="G521" s="732" t="e">
        <f>D521*E520*F521</f>
        <v>#REF!</v>
      </c>
      <c r="H521" s="757" t="e">
        <f>'[125]Centring charges'!U141</f>
        <v>#REF!</v>
      </c>
      <c r="I521" s="726"/>
      <c r="J521" s="726"/>
      <c r="K521" s="726"/>
      <c r="L521" s="726"/>
    </row>
    <row r="522" spans="1:12" hidden="1">
      <c r="A522" s="970"/>
      <c r="B522" s="1487"/>
      <c r="C522" s="756" t="s">
        <v>142</v>
      </c>
      <c r="D522" s="1482"/>
      <c r="E522" s="732"/>
      <c r="F522" s="745"/>
      <c r="G522" s="734" t="e">
        <f>SUM(G519:G521,0)</f>
        <v>#REF!</v>
      </c>
      <c r="H522" s="752"/>
      <c r="I522" s="726"/>
      <c r="J522" s="726"/>
      <c r="K522" s="726"/>
      <c r="L522" s="726"/>
    </row>
    <row r="523" spans="1:12" ht="26" hidden="1">
      <c r="A523" s="970"/>
      <c r="B523" s="1487"/>
      <c r="C523" s="756" t="s">
        <v>578</v>
      </c>
      <c r="D523" s="736"/>
      <c r="E523" s="732"/>
      <c r="F523" s="732"/>
      <c r="G523" s="734" t="e">
        <f>G522*0</f>
        <v>#REF!</v>
      </c>
      <c r="H523" s="752"/>
      <c r="I523" s="726"/>
      <c r="J523" s="726"/>
      <c r="K523" s="726"/>
      <c r="L523" s="726"/>
    </row>
    <row r="524" spans="1:12" hidden="1">
      <c r="A524" s="970"/>
      <c r="B524" s="1487"/>
      <c r="C524" s="756"/>
      <c r="D524" s="736"/>
      <c r="E524" s="732"/>
      <c r="F524" s="732"/>
      <c r="G524" s="734" t="e">
        <f>SUM(G522:G523)</f>
        <v>#REF!</v>
      </c>
      <c r="H524" s="752"/>
      <c r="I524" s="726"/>
      <c r="J524" s="726"/>
      <c r="K524" s="726"/>
      <c r="L524" s="726"/>
    </row>
    <row r="525" spans="1:12" hidden="1">
      <c r="A525" s="970"/>
      <c r="B525" s="1487"/>
      <c r="C525" s="782" t="s">
        <v>492</v>
      </c>
      <c r="D525" s="1482"/>
      <c r="E525" s="732"/>
      <c r="F525" s="745"/>
      <c r="G525" s="734" t="s">
        <v>613</v>
      </c>
      <c r="H525" s="726"/>
      <c r="I525" s="808" t="s">
        <v>611</v>
      </c>
      <c r="J525" s="726"/>
      <c r="K525" s="726"/>
      <c r="L525" s="726"/>
    </row>
    <row r="526" spans="1:12" hidden="1">
      <c r="A526" s="970"/>
      <c r="B526" s="1487"/>
      <c r="C526" s="759" t="s">
        <v>489</v>
      </c>
      <c r="D526" s="1482" t="s">
        <v>117</v>
      </c>
      <c r="E526" s="795">
        <v>1</v>
      </c>
      <c r="F526" s="745">
        <f>F519</f>
        <v>3608.7700000000004</v>
      </c>
      <c r="G526" s="732">
        <f>ROUND(E526*F526,2)</f>
        <v>3608.77</v>
      </c>
      <c r="H526" s="744">
        <f>H490</f>
        <v>3747.4720000000007</v>
      </c>
      <c r="I526" s="755">
        <f>H526</f>
        <v>3747.4720000000007</v>
      </c>
      <c r="J526" s="744">
        <f>I490</f>
        <v>3886.1740000000004</v>
      </c>
      <c r="K526" s="755">
        <f>J526</f>
        <v>3886.1740000000004</v>
      </c>
      <c r="L526" s="726"/>
    </row>
    <row r="527" spans="1:12" hidden="1">
      <c r="A527" s="970"/>
      <c r="B527" s="1487"/>
      <c r="C527" s="796" t="s">
        <v>230</v>
      </c>
      <c r="D527" s="1482" t="s">
        <v>113</v>
      </c>
      <c r="E527" s="795">
        <f>ROUND(1/0.15,3)</f>
        <v>6.6669999999999998</v>
      </c>
      <c r="F527" s="745">
        <f>F520</f>
        <v>462</v>
      </c>
      <c r="G527" s="732">
        <f>ROUND(E527*F527,2)</f>
        <v>3080.15</v>
      </c>
      <c r="H527" s="747">
        <f>H516</f>
        <v>473</v>
      </c>
      <c r="I527" s="755">
        <f>ROUND(E527*H527,2)</f>
        <v>3153.49</v>
      </c>
      <c r="J527" s="747">
        <f>J516</f>
        <v>0</v>
      </c>
      <c r="K527" s="755">
        <f>ROUND(J527*E527,2)</f>
        <v>0</v>
      </c>
      <c r="L527" s="726"/>
    </row>
    <row r="528" spans="1:12" hidden="1">
      <c r="A528" s="970"/>
      <c r="B528" s="1487"/>
      <c r="C528" s="756" t="s">
        <v>142</v>
      </c>
      <c r="D528" s="1482"/>
      <c r="E528" s="732"/>
      <c r="F528" s="745"/>
      <c r="G528" s="734">
        <f>ROUND(SUM(G526:G527,0),2)</f>
        <v>6688.92</v>
      </c>
      <c r="H528" s="726"/>
      <c r="I528" s="734">
        <f>ROUND(SUM(I526:I527,0),2)</f>
        <v>6900.96</v>
      </c>
      <c r="J528" s="726"/>
      <c r="K528" s="734">
        <f>ROUND(SUM(K526:K527,0),2)</f>
        <v>3886.17</v>
      </c>
      <c r="L528" s="726"/>
    </row>
    <row r="529" spans="1:12" hidden="1">
      <c r="A529" s="970"/>
      <c r="B529" s="1487"/>
      <c r="C529" s="756"/>
      <c r="D529" s="736"/>
      <c r="E529" s="732"/>
      <c r="F529" s="732"/>
      <c r="G529" s="734"/>
      <c r="H529" s="752"/>
      <c r="I529" s="726"/>
      <c r="J529" s="726"/>
      <c r="K529" s="726"/>
      <c r="L529" s="726"/>
    </row>
    <row r="530" spans="1:12" hidden="1">
      <c r="A530" s="970"/>
      <c r="B530" s="1487"/>
      <c r="C530" s="756"/>
      <c r="D530" s="736"/>
      <c r="E530" s="732"/>
      <c r="F530" s="732"/>
      <c r="G530" s="734"/>
      <c r="H530" s="752"/>
      <c r="I530" s="726"/>
      <c r="J530" s="726"/>
      <c r="K530" s="726"/>
      <c r="L530" s="726"/>
    </row>
    <row r="531" spans="1:12" hidden="1">
      <c r="A531" s="970"/>
      <c r="B531" s="1487"/>
      <c r="C531" s="782" t="s">
        <v>486</v>
      </c>
      <c r="D531" s="1482"/>
      <c r="E531" s="732"/>
      <c r="F531" s="745"/>
      <c r="G531" s="734" t="s">
        <v>613</v>
      </c>
      <c r="H531" s="726"/>
      <c r="I531" s="808" t="s">
        <v>611</v>
      </c>
      <c r="J531" s="726"/>
      <c r="K531" s="726"/>
      <c r="L531" s="726"/>
    </row>
    <row r="532" spans="1:12" hidden="1">
      <c r="A532" s="970"/>
      <c r="B532" s="1487"/>
      <c r="C532" s="759" t="s">
        <v>489</v>
      </c>
      <c r="D532" s="1482" t="s">
        <v>117</v>
      </c>
      <c r="E532" s="795">
        <v>1</v>
      </c>
      <c r="F532" s="745">
        <f>F526</f>
        <v>3608.7700000000004</v>
      </c>
      <c r="G532" s="732">
        <f>ROUND(E532*F532,2)</f>
        <v>3608.77</v>
      </c>
      <c r="H532" s="744">
        <f>H490</f>
        <v>3747.4720000000007</v>
      </c>
      <c r="I532" s="755">
        <f>H532</f>
        <v>3747.4720000000007</v>
      </c>
      <c r="J532" s="744">
        <f>I490</f>
        <v>3886.1740000000004</v>
      </c>
      <c r="K532" s="755">
        <f>J532</f>
        <v>3886.1740000000004</v>
      </c>
      <c r="L532" s="726"/>
    </row>
    <row r="533" spans="1:12" hidden="1">
      <c r="A533" s="970"/>
      <c r="B533" s="1487"/>
      <c r="C533" s="796" t="s">
        <v>230</v>
      </c>
      <c r="D533" s="1482" t="s">
        <v>113</v>
      </c>
      <c r="E533" s="795">
        <f>ROUND(1/0.175,3)</f>
        <v>5.7140000000000004</v>
      </c>
      <c r="F533" s="745">
        <f>F403</f>
        <v>462</v>
      </c>
      <c r="G533" s="732">
        <f>ROUND(E533*F533,2)</f>
        <v>2639.87</v>
      </c>
      <c r="H533" s="747">
        <f>H403</f>
        <v>473</v>
      </c>
      <c r="I533" s="755">
        <f>ROUND(E533*H533,2)</f>
        <v>2702.72</v>
      </c>
      <c r="J533" s="747">
        <f>J403</f>
        <v>0</v>
      </c>
      <c r="K533" s="755">
        <f>ROUND(J533*E533,2)</f>
        <v>0</v>
      </c>
      <c r="L533" s="726"/>
    </row>
    <row r="534" spans="1:12" hidden="1">
      <c r="A534" s="970"/>
      <c r="B534" s="1487"/>
      <c r="C534" s="756" t="s">
        <v>142</v>
      </c>
      <c r="D534" s="1482"/>
      <c r="E534" s="745"/>
      <c r="F534" s="745"/>
      <c r="G534" s="734">
        <f>ROUND(SUM(G532:G533,0),2)</f>
        <v>6248.64</v>
      </c>
      <c r="H534" s="726"/>
      <c r="I534" s="734">
        <f>ROUND(SUM(I532:I533,0),2)</f>
        <v>6450.19</v>
      </c>
      <c r="J534" s="726"/>
      <c r="K534" s="734">
        <f>ROUND(SUM(K532:K533,0),2)</f>
        <v>3886.17</v>
      </c>
      <c r="L534" s="726"/>
    </row>
    <row r="535" spans="1:12" ht="26.25" customHeight="1">
      <c r="A535" s="971" t="s">
        <v>223</v>
      </c>
      <c r="B535" s="810">
        <v>16</v>
      </c>
      <c r="C535" s="2056" t="s">
        <v>20</v>
      </c>
      <c r="D535" s="2056"/>
      <c r="E535" s="2056"/>
      <c r="F535" s="2056"/>
      <c r="G535" s="736"/>
      <c r="H535" s="726"/>
      <c r="I535" s="726"/>
      <c r="J535" s="726"/>
      <c r="K535" s="726"/>
      <c r="L535" s="726"/>
    </row>
    <row r="536" spans="1:12">
      <c r="A536" s="972"/>
      <c r="B536" s="752"/>
      <c r="C536" s="811" t="s">
        <v>261</v>
      </c>
      <c r="D536" s="736"/>
      <c r="E536" s="736"/>
      <c r="F536" s="736"/>
      <c r="G536" s="736"/>
      <c r="H536" s="755"/>
      <c r="I536" s="726"/>
      <c r="J536" s="726"/>
      <c r="K536" s="726"/>
      <c r="L536" s="726"/>
    </row>
    <row r="537" spans="1:12">
      <c r="A537" s="972"/>
      <c r="B537" s="752"/>
      <c r="C537" s="811" t="s">
        <v>24</v>
      </c>
      <c r="D537" s="736"/>
      <c r="E537" s="736"/>
      <c r="F537" s="736"/>
      <c r="G537" s="736"/>
      <c r="H537" s="757"/>
      <c r="I537" s="726"/>
      <c r="J537" s="726"/>
      <c r="K537" s="726"/>
      <c r="L537" s="726"/>
    </row>
    <row r="538" spans="1:12">
      <c r="A538" s="972"/>
      <c r="B538" s="752"/>
      <c r="C538" s="812" t="s">
        <v>218</v>
      </c>
      <c r="D538" s="736" t="s">
        <v>131</v>
      </c>
      <c r="E538" s="736">
        <v>48</v>
      </c>
      <c r="F538" s="736">
        <f>'Lead statement (2)'!J24</f>
        <v>4.6975999999999996</v>
      </c>
      <c r="G538" s="732">
        <f>ROUND(E538*F538,2)</f>
        <v>225.48</v>
      </c>
      <c r="H538" s="757"/>
      <c r="I538" s="726"/>
      <c r="J538" s="726"/>
      <c r="K538" s="726"/>
      <c r="L538" s="726"/>
    </row>
    <row r="539" spans="1:12" ht="18" customHeight="1">
      <c r="A539" s="972"/>
      <c r="B539" s="752"/>
      <c r="C539" s="812" t="s">
        <v>294</v>
      </c>
      <c r="D539" s="736" t="s">
        <v>217</v>
      </c>
      <c r="E539" s="736">
        <v>512</v>
      </c>
      <c r="F539" s="732">
        <f>'Lead statement (2)'!J22</f>
        <v>6323</v>
      </c>
      <c r="G539" s="732">
        <f>(E539*F539)/1000</f>
        <v>3237.3760000000002</v>
      </c>
      <c r="H539" s="752"/>
      <c r="I539" s="726"/>
      <c r="J539" s="726"/>
      <c r="K539" s="726"/>
      <c r="L539" s="726"/>
    </row>
    <row r="540" spans="1:12">
      <c r="A540" s="972"/>
      <c r="B540" s="752"/>
      <c r="C540" s="812" t="s">
        <v>263</v>
      </c>
      <c r="D540" s="736" t="s">
        <v>117</v>
      </c>
      <c r="E540" s="736">
        <v>0.2</v>
      </c>
      <c r="F540" s="732">
        <f>'Lead statement (2)'!J8</f>
        <v>1013.6</v>
      </c>
      <c r="G540" s="732">
        <f>ROUND(E540*F540,2)</f>
        <v>202.72</v>
      </c>
      <c r="H540" s="752"/>
      <c r="I540" s="726"/>
      <c r="J540" s="726"/>
      <c r="K540" s="726"/>
      <c r="L540" s="726"/>
    </row>
    <row r="541" spans="1:12">
      <c r="A541" s="972"/>
      <c r="B541" s="752"/>
      <c r="C541" s="811" t="s">
        <v>278</v>
      </c>
      <c r="D541" s="736"/>
      <c r="E541" s="736"/>
      <c r="F541" s="732"/>
      <c r="G541" s="732"/>
      <c r="H541" s="752"/>
      <c r="I541" s="726"/>
      <c r="J541" s="726"/>
      <c r="K541" s="726"/>
      <c r="L541" s="726"/>
    </row>
    <row r="542" spans="1:12" ht="15">
      <c r="A542" s="972"/>
      <c r="B542" s="752"/>
      <c r="C542" s="812" t="s">
        <v>1751</v>
      </c>
      <c r="D542" s="736" t="s">
        <v>119</v>
      </c>
      <c r="E542" s="736">
        <v>0.24</v>
      </c>
      <c r="F542" s="732">
        <f>F353</f>
        <v>500</v>
      </c>
      <c r="G542" s="732">
        <f>ROUND(E542*F542,2)</f>
        <v>120</v>
      </c>
      <c r="H542" s="726"/>
      <c r="I542" s="726"/>
      <c r="J542" s="726"/>
      <c r="K542" s="726"/>
      <c r="L542" s="726"/>
    </row>
    <row r="543" spans="1:12" ht="15">
      <c r="A543" s="972"/>
      <c r="B543" s="752"/>
      <c r="C543" s="812" t="s">
        <v>1752</v>
      </c>
      <c r="D543" s="736" t="s">
        <v>119</v>
      </c>
      <c r="E543" s="736">
        <v>0.56000000000000005</v>
      </c>
      <c r="F543" s="732">
        <f>F354</f>
        <v>460</v>
      </c>
      <c r="G543" s="732">
        <f>ROUND(E543*F543,2)</f>
        <v>257.60000000000002</v>
      </c>
      <c r="H543" s="755"/>
      <c r="I543" s="726"/>
      <c r="J543" s="726"/>
      <c r="K543" s="726"/>
      <c r="L543" s="726"/>
    </row>
    <row r="544" spans="1:12">
      <c r="A544" s="972"/>
      <c r="B544" s="752"/>
      <c r="C544" s="812" t="s">
        <v>268</v>
      </c>
      <c r="D544" s="736" t="s">
        <v>119</v>
      </c>
      <c r="E544" s="736">
        <v>1.89</v>
      </c>
      <c r="F544" s="732">
        <f>F355</f>
        <v>420</v>
      </c>
      <c r="G544" s="732">
        <f>ROUND(E544*F544,2)</f>
        <v>793.8</v>
      </c>
      <c r="H544" s="755"/>
      <c r="I544" s="726"/>
      <c r="J544" s="726"/>
      <c r="K544" s="726"/>
      <c r="L544" s="726"/>
    </row>
    <row r="545" spans="1:12" ht="13.5" customHeight="1">
      <c r="A545" s="970"/>
      <c r="B545" s="733"/>
      <c r="C545" s="745" t="s">
        <v>1726</v>
      </c>
      <c r="D545" s="737"/>
      <c r="E545" s="732">
        <f>SUM(G538:G544)</f>
        <v>4836.9759999999997</v>
      </c>
      <c r="F545" s="732"/>
      <c r="G545" s="736">
        <v>0</v>
      </c>
      <c r="H545" s="726"/>
      <c r="I545" s="726"/>
      <c r="J545" s="726"/>
      <c r="K545" s="726"/>
      <c r="L545" s="726"/>
    </row>
    <row r="546" spans="1:12" ht="13.5" hidden="1" customHeight="1">
      <c r="A546" s="970"/>
      <c r="B546" s="733"/>
      <c r="C546" s="735" t="s">
        <v>1724</v>
      </c>
      <c r="D546" s="737">
        <f>D1</f>
        <v>0</v>
      </c>
      <c r="E546" s="731"/>
      <c r="F546" s="732"/>
      <c r="G546" s="736">
        <f>(SUM(G542:G544))*D546</f>
        <v>0</v>
      </c>
      <c r="H546" s="726"/>
      <c r="I546" s="726"/>
      <c r="J546" s="726"/>
      <c r="K546" s="726"/>
      <c r="L546" s="726"/>
    </row>
    <row r="547" spans="1:12">
      <c r="A547" s="972"/>
      <c r="B547" s="752"/>
      <c r="C547" s="756" t="s">
        <v>142</v>
      </c>
      <c r="D547" s="732"/>
      <c r="E547" s="732"/>
      <c r="F547" s="732"/>
      <c r="G547" s="734">
        <f>ROUND(SUM(G538:G546,0),2)</f>
        <v>4836.9799999999996</v>
      </c>
      <c r="H547" s="752"/>
      <c r="I547" s="726"/>
      <c r="J547" s="726"/>
      <c r="K547" s="726"/>
      <c r="L547" s="726"/>
    </row>
    <row r="548" spans="1:12" ht="25.5" hidden="1" customHeight="1">
      <c r="A548" s="971" t="s">
        <v>293</v>
      </c>
      <c r="B548" s="1487">
        <v>10</v>
      </c>
      <c r="C548" s="2056" t="s">
        <v>41</v>
      </c>
      <c r="D548" s="2056"/>
      <c r="E548" s="2056"/>
      <c r="F548" s="2056"/>
      <c r="G548" s="736"/>
      <c r="H548" s="726"/>
      <c r="I548" s="726"/>
      <c r="J548" s="726"/>
      <c r="K548" s="726"/>
      <c r="L548" s="726"/>
    </row>
    <row r="549" spans="1:12" hidden="1">
      <c r="A549" s="972"/>
      <c r="B549" s="752"/>
      <c r="C549" s="811" t="s">
        <v>261</v>
      </c>
      <c r="D549" s="736"/>
      <c r="E549" s="736"/>
      <c r="F549" s="736"/>
      <c r="G549" s="736"/>
      <c r="H549" s="755"/>
      <c r="I549" s="726"/>
      <c r="J549" s="726"/>
      <c r="K549" s="726"/>
      <c r="L549" s="726"/>
    </row>
    <row r="550" spans="1:12" hidden="1">
      <c r="A550" s="972"/>
      <c r="B550" s="752"/>
      <c r="C550" s="811" t="s">
        <v>24</v>
      </c>
      <c r="D550" s="736"/>
      <c r="E550" s="736"/>
      <c r="F550" s="736"/>
      <c r="G550" s="736"/>
      <c r="H550" s="755"/>
      <c r="I550" s="726"/>
      <c r="J550" s="726"/>
      <c r="K550" s="726"/>
      <c r="L550" s="726"/>
    </row>
    <row r="551" spans="1:12" hidden="1">
      <c r="A551" s="972"/>
      <c r="B551" s="752"/>
      <c r="C551" s="812" t="s">
        <v>218</v>
      </c>
      <c r="D551" s="736" t="s">
        <v>131</v>
      </c>
      <c r="E551" s="736">
        <v>36</v>
      </c>
      <c r="F551" s="736">
        <f>F538</f>
        <v>4.6975999999999996</v>
      </c>
      <c r="G551" s="732">
        <f>ROUND(E551*F551,2)</f>
        <v>169.11</v>
      </c>
      <c r="H551" s="757"/>
      <c r="I551" s="726"/>
      <c r="J551" s="726"/>
      <c r="K551" s="726"/>
      <c r="L551" s="726"/>
    </row>
    <row r="552" spans="1:12" ht="12.75" hidden="1" customHeight="1">
      <c r="A552" s="972"/>
      <c r="B552" s="752"/>
      <c r="C552" s="812" t="s">
        <v>294</v>
      </c>
      <c r="D552" s="736" t="s">
        <v>217</v>
      </c>
      <c r="E552" s="736">
        <v>512</v>
      </c>
      <c r="F552" s="732">
        <f>F539</f>
        <v>6323</v>
      </c>
      <c r="G552" s="732">
        <f>(E552*F552)/1000</f>
        <v>3237.3760000000002</v>
      </c>
      <c r="H552" s="752"/>
      <c r="I552" s="726"/>
      <c r="J552" s="726"/>
      <c r="K552" s="726"/>
      <c r="L552" s="726"/>
    </row>
    <row r="553" spans="1:12" hidden="1">
      <c r="A553" s="972"/>
      <c r="B553" s="752"/>
      <c r="C553" s="812" t="s">
        <v>263</v>
      </c>
      <c r="D553" s="736" t="s">
        <v>117</v>
      </c>
      <c r="E553" s="736">
        <v>0.2</v>
      </c>
      <c r="F553" s="732">
        <f>F540</f>
        <v>1013.6</v>
      </c>
      <c r="G553" s="732">
        <f>ROUND(E553*F553,2)</f>
        <v>202.72</v>
      </c>
      <c r="H553" s="752"/>
      <c r="I553" s="726"/>
      <c r="J553" s="726"/>
      <c r="K553" s="726"/>
      <c r="L553" s="726"/>
    </row>
    <row r="554" spans="1:12" hidden="1">
      <c r="A554" s="972"/>
      <c r="B554" s="752"/>
      <c r="C554" s="812"/>
      <c r="D554" s="736"/>
      <c r="E554" s="736"/>
      <c r="F554" s="732"/>
      <c r="G554" s="732"/>
      <c r="H554" s="752"/>
      <c r="I554" s="726"/>
      <c r="J554" s="726"/>
      <c r="K554" s="726"/>
      <c r="L554" s="726"/>
    </row>
    <row r="555" spans="1:12" hidden="1">
      <c r="A555" s="972"/>
      <c r="B555" s="752"/>
      <c r="C555" s="811" t="s">
        <v>278</v>
      </c>
      <c r="D555" s="736"/>
      <c r="E555" s="736"/>
      <c r="F555" s="732"/>
      <c r="G555" s="732"/>
      <c r="H555" s="726"/>
      <c r="I555" s="726"/>
      <c r="J555" s="726"/>
      <c r="K555" s="726"/>
      <c r="L555" s="726"/>
    </row>
    <row r="556" spans="1:12" ht="15" hidden="1">
      <c r="A556" s="972"/>
      <c r="B556" s="752"/>
      <c r="C556" s="812" t="s">
        <v>1751</v>
      </c>
      <c r="D556" s="736" t="s">
        <v>119</v>
      </c>
      <c r="E556" s="736">
        <v>0.24</v>
      </c>
      <c r="F556" s="732">
        <f>F542</f>
        <v>500</v>
      </c>
      <c r="G556" s="732">
        <f>ROUND(E556*F556,2)</f>
        <v>120</v>
      </c>
      <c r="H556" s="755"/>
      <c r="I556" s="726"/>
      <c r="J556" s="726"/>
      <c r="K556" s="726"/>
      <c r="L556" s="726"/>
    </row>
    <row r="557" spans="1:12" ht="15" hidden="1">
      <c r="A557" s="972"/>
      <c r="B557" s="752"/>
      <c r="C557" s="812" t="s">
        <v>1752</v>
      </c>
      <c r="D557" s="736" t="s">
        <v>119</v>
      </c>
      <c r="E557" s="736">
        <v>0.56000000000000005</v>
      </c>
      <c r="F557" s="732">
        <f>F543</f>
        <v>460</v>
      </c>
      <c r="G557" s="732">
        <f>ROUND(E557*F557,2)</f>
        <v>257.60000000000002</v>
      </c>
      <c r="H557" s="755"/>
      <c r="I557" s="726"/>
      <c r="J557" s="726"/>
      <c r="K557" s="726"/>
      <c r="L557" s="726"/>
    </row>
    <row r="558" spans="1:12" hidden="1">
      <c r="A558" s="972"/>
      <c r="B558" s="752"/>
      <c r="C558" s="812" t="s">
        <v>268</v>
      </c>
      <c r="D558" s="736" t="s">
        <v>119</v>
      </c>
      <c r="E558" s="736">
        <v>1.89</v>
      </c>
      <c r="F558" s="732">
        <f>F544</f>
        <v>420</v>
      </c>
      <c r="G558" s="732">
        <f>ROUND(E558*F558,2)</f>
        <v>793.8</v>
      </c>
      <c r="H558" s="757"/>
      <c r="I558" s="726"/>
      <c r="J558" s="726"/>
      <c r="K558" s="726"/>
      <c r="L558" s="726"/>
    </row>
    <row r="559" spans="1:12" hidden="1">
      <c r="A559" s="972"/>
      <c r="B559" s="752"/>
      <c r="C559" s="756" t="s">
        <v>142</v>
      </c>
      <c r="D559" s="732"/>
      <c r="E559" s="732"/>
      <c r="F559" s="732"/>
      <c r="G559" s="734">
        <f>SUM(G551:G558,0)</f>
        <v>4780.6059999999998</v>
      </c>
      <c r="H559" s="752"/>
      <c r="I559" s="726"/>
      <c r="J559" s="726"/>
      <c r="K559" s="726"/>
      <c r="L559" s="726"/>
    </row>
    <row r="560" spans="1:12" ht="25.5" customHeight="1">
      <c r="A560" s="971" t="s">
        <v>293</v>
      </c>
      <c r="B560" s="1487">
        <v>17</v>
      </c>
      <c r="C560" s="2030" t="s">
        <v>21</v>
      </c>
      <c r="D560" s="2031"/>
      <c r="E560" s="2031"/>
      <c r="F560" s="2031"/>
      <c r="G560" s="736"/>
      <c r="H560" s="755"/>
      <c r="I560" s="726"/>
      <c r="J560" s="726"/>
      <c r="K560" s="726"/>
      <c r="L560" s="726"/>
    </row>
    <row r="561" spans="1:12">
      <c r="A561" s="972"/>
      <c r="B561" s="752"/>
      <c r="C561" s="811" t="s">
        <v>261</v>
      </c>
      <c r="D561" s="736"/>
      <c r="E561" s="736"/>
      <c r="F561" s="736"/>
      <c r="G561" s="736"/>
      <c r="H561" s="755"/>
      <c r="I561" s="726"/>
      <c r="J561" s="726"/>
      <c r="K561" s="726"/>
      <c r="L561" s="726"/>
    </row>
    <row r="562" spans="1:12">
      <c r="A562" s="972"/>
      <c r="B562" s="752"/>
      <c r="C562" s="811" t="s">
        <v>24</v>
      </c>
      <c r="D562" s="736"/>
      <c r="E562" s="736"/>
      <c r="F562" s="736"/>
      <c r="G562" s="728" t="s">
        <v>613</v>
      </c>
      <c r="H562" s="738" t="s">
        <v>611</v>
      </c>
      <c r="I562" s="738" t="s">
        <v>614</v>
      </c>
      <c r="J562" s="726"/>
      <c r="K562" s="726"/>
      <c r="L562" s="726"/>
    </row>
    <row r="563" spans="1:12">
      <c r="A563" s="972"/>
      <c r="B563" s="752"/>
      <c r="C563" s="812" t="s">
        <v>218</v>
      </c>
      <c r="D563" s="736" t="s">
        <v>131</v>
      </c>
      <c r="E563" s="736">
        <v>36</v>
      </c>
      <c r="F563" s="736">
        <f>F538</f>
        <v>4.6975999999999996</v>
      </c>
      <c r="G563" s="732">
        <f>ROUND(E563*F563,2)</f>
        <v>169.11</v>
      </c>
      <c r="H563" s="747">
        <f>ROUND(E563*F563,2)</f>
        <v>169.11</v>
      </c>
      <c r="I563" s="752">
        <f>ROUND(E563*F563,2)</f>
        <v>169.11</v>
      </c>
      <c r="J563" s="726"/>
      <c r="K563" s="726"/>
      <c r="L563" s="726"/>
    </row>
    <row r="564" spans="1:12" ht="12.75" customHeight="1">
      <c r="A564" s="972"/>
      <c r="B564" s="752"/>
      <c r="C564" s="812" t="s">
        <v>294</v>
      </c>
      <c r="D564" s="736" t="s">
        <v>217</v>
      </c>
      <c r="E564" s="736">
        <v>512</v>
      </c>
      <c r="F564" s="732">
        <f>F539</f>
        <v>6323</v>
      </c>
      <c r="G564" s="732">
        <f>(E564*F564)/1000</f>
        <v>3237.3760000000002</v>
      </c>
      <c r="H564" s="747">
        <f>ROUND(E564*F564,2)/1000</f>
        <v>3237.3760000000002</v>
      </c>
      <c r="I564" s="757">
        <f>ROUND(E564*F564,2)/1000</f>
        <v>3237.3760000000002</v>
      </c>
      <c r="J564" s="726"/>
      <c r="K564" s="726"/>
      <c r="L564" s="726"/>
    </row>
    <row r="565" spans="1:12">
      <c r="A565" s="972"/>
      <c r="B565" s="752"/>
      <c r="C565" s="812" t="s">
        <v>263</v>
      </c>
      <c r="D565" s="736" t="s">
        <v>117</v>
      </c>
      <c r="E565" s="736">
        <v>0.2</v>
      </c>
      <c r="F565" s="732">
        <f>F540</f>
        <v>1013.6</v>
      </c>
      <c r="G565" s="732">
        <f>ROUND(E565*F565,2)</f>
        <v>202.72</v>
      </c>
      <c r="H565" s="747">
        <f t="shared" ref="H565:H569" si="6">ROUND(E565*F565,2)</f>
        <v>202.72</v>
      </c>
      <c r="I565" s="752">
        <f t="shared" ref="I565:I569" si="7">ROUND(E565*F565,2)</f>
        <v>202.72</v>
      </c>
      <c r="J565" s="726"/>
      <c r="K565" s="726"/>
      <c r="L565" s="726"/>
    </row>
    <row r="566" spans="1:12">
      <c r="A566" s="972"/>
      <c r="B566" s="752"/>
      <c r="C566" s="811" t="s">
        <v>278</v>
      </c>
      <c r="D566" s="736"/>
      <c r="E566" s="736"/>
      <c r="F566" s="732"/>
      <c r="G566" s="732"/>
      <c r="H566" s="747"/>
      <c r="I566" s="752"/>
      <c r="J566" s="726"/>
      <c r="K566" s="726"/>
      <c r="L566" s="726"/>
    </row>
    <row r="567" spans="1:12" ht="15">
      <c r="A567" s="972"/>
      <c r="B567" s="752"/>
      <c r="C567" s="812" t="s">
        <v>1751</v>
      </c>
      <c r="D567" s="736" t="s">
        <v>119</v>
      </c>
      <c r="E567" s="736">
        <v>0.24</v>
      </c>
      <c r="F567" s="732">
        <f>F542</f>
        <v>500</v>
      </c>
      <c r="G567" s="732">
        <f>ROUND(E567*F567,2)</f>
        <v>120</v>
      </c>
      <c r="H567" s="747">
        <f t="shared" si="6"/>
        <v>120</v>
      </c>
      <c r="I567" s="757">
        <f t="shared" si="7"/>
        <v>120</v>
      </c>
      <c r="J567" s="726"/>
      <c r="K567" s="726"/>
      <c r="L567" s="726"/>
    </row>
    <row r="568" spans="1:12" ht="15">
      <c r="A568" s="972"/>
      <c r="B568" s="752"/>
      <c r="C568" s="812" t="s">
        <v>1752</v>
      </c>
      <c r="D568" s="736" t="s">
        <v>119</v>
      </c>
      <c r="E568" s="736">
        <v>0.56000000000000005</v>
      </c>
      <c r="F568" s="732">
        <f>F543</f>
        <v>460</v>
      </c>
      <c r="G568" s="732">
        <f>ROUND(E568*F568,2)</f>
        <v>257.60000000000002</v>
      </c>
      <c r="H568" s="747">
        <f t="shared" si="6"/>
        <v>257.60000000000002</v>
      </c>
      <c r="I568" s="757">
        <f t="shared" si="7"/>
        <v>257.60000000000002</v>
      </c>
      <c r="J568" s="726"/>
      <c r="K568" s="726"/>
      <c r="L568" s="726"/>
    </row>
    <row r="569" spans="1:12">
      <c r="A569" s="972"/>
      <c r="B569" s="752"/>
      <c r="C569" s="812" t="s">
        <v>268</v>
      </c>
      <c r="D569" s="736" t="s">
        <v>119</v>
      </c>
      <c r="E569" s="736">
        <v>1.89</v>
      </c>
      <c r="F569" s="732">
        <f>F544</f>
        <v>420</v>
      </c>
      <c r="G569" s="732">
        <f>ROUND(E569*F569,2)</f>
        <v>793.8</v>
      </c>
      <c r="H569" s="747">
        <f t="shared" si="6"/>
        <v>793.8</v>
      </c>
      <c r="I569" s="757">
        <f t="shared" si="7"/>
        <v>793.8</v>
      </c>
      <c r="J569" s="726"/>
      <c r="K569" s="726"/>
      <c r="L569" s="726"/>
    </row>
    <row r="570" spans="1:12" ht="13.5" hidden="1" customHeight="1">
      <c r="A570" s="970"/>
      <c r="B570" s="733"/>
      <c r="C570" s="735" t="s">
        <v>1724</v>
      </c>
      <c r="D570" s="737">
        <f>D1</f>
        <v>0</v>
      </c>
      <c r="E570" s="731"/>
      <c r="F570" s="732"/>
      <c r="G570" s="736">
        <f>(SUM(G567:G569))*D570</f>
        <v>0</v>
      </c>
      <c r="H570" s="736">
        <f>(SUM(H567:H569))*D570</f>
        <v>0</v>
      </c>
      <c r="I570" s="736">
        <f>(SUM(I567:I569))*D570</f>
        <v>0</v>
      </c>
      <c r="J570" s="726"/>
      <c r="K570" s="726"/>
      <c r="L570" s="726"/>
    </row>
    <row r="571" spans="1:12" ht="13.5" customHeight="1">
      <c r="A571" s="970"/>
      <c r="B571" s="733"/>
      <c r="C571" s="735" t="s">
        <v>615</v>
      </c>
      <c r="D571" s="726"/>
      <c r="E571" s="731"/>
      <c r="F571" s="732"/>
      <c r="G571" s="726"/>
      <c r="H571" s="747">
        <f>ROUND(H569+H568+H567,2)*10%</f>
        <v>117.14000000000001</v>
      </c>
      <c r="I571" s="757">
        <f>ROUND(I569+I568+I567,2)*20%</f>
        <v>234.28000000000003</v>
      </c>
      <c r="J571" s="726"/>
      <c r="K571" s="726"/>
      <c r="L571" s="726"/>
    </row>
    <row r="572" spans="1:12">
      <c r="A572" s="972"/>
      <c r="B572" s="752"/>
      <c r="C572" s="729" t="s">
        <v>295</v>
      </c>
      <c r="D572" s="732"/>
      <c r="E572" s="732"/>
      <c r="F572" s="732"/>
      <c r="G572" s="789">
        <f>SUM(G563:G571,0)</f>
        <v>4780.6059999999998</v>
      </c>
      <c r="H572" s="789">
        <f>SUM(H563:H571,0)</f>
        <v>4897.7460000000001</v>
      </c>
      <c r="I572" s="789">
        <f>SUM(I563:I571,0)</f>
        <v>5014.8859999999995</v>
      </c>
      <c r="J572" s="726"/>
      <c r="K572" s="726"/>
      <c r="L572" s="726"/>
    </row>
    <row r="573" spans="1:12" ht="26">
      <c r="A573" s="972"/>
      <c r="B573" s="752"/>
      <c r="C573" s="745" t="s">
        <v>296</v>
      </c>
      <c r="D573" s="732" t="s">
        <v>113</v>
      </c>
      <c r="E573" s="732">
        <v>4.3499999999999996</v>
      </c>
      <c r="F573" s="732">
        <f>'[125]Centring charges'!Q27</f>
        <v>89.78</v>
      </c>
      <c r="G573" s="792">
        <f>ROUND(E573*F573,2)</f>
        <v>390.54</v>
      </c>
      <c r="H573" s="792">
        <f>ROUND(E573*'[125]Centring charges'!Q28,2)</f>
        <v>539.84</v>
      </c>
      <c r="I573" s="792">
        <f>ROUND(E573*'[125]Centring charges'!AC27,2)</f>
        <v>689.08</v>
      </c>
      <c r="J573" s="726"/>
      <c r="K573" s="726"/>
      <c r="L573" s="726"/>
    </row>
    <row r="574" spans="1:12">
      <c r="A574" s="972"/>
      <c r="B574" s="752"/>
      <c r="C574" s="745" t="s">
        <v>1726</v>
      </c>
      <c r="D574" s="732"/>
      <c r="E574" s="732"/>
      <c r="F574" s="732"/>
      <c r="G574" s="792">
        <f>G572*0</f>
        <v>0</v>
      </c>
      <c r="H574" s="792">
        <f>H572*0</f>
        <v>0</v>
      </c>
      <c r="I574" s="792">
        <f>I572*0</f>
        <v>0</v>
      </c>
      <c r="J574" s="726"/>
      <c r="K574" s="726"/>
      <c r="L574" s="726"/>
    </row>
    <row r="575" spans="1:12">
      <c r="A575" s="972"/>
      <c r="B575" s="752"/>
      <c r="C575" s="756" t="s">
        <v>142</v>
      </c>
      <c r="D575" s="732"/>
      <c r="E575" s="732"/>
      <c r="F575" s="732"/>
      <c r="G575" s="789">
        <f>ROUND(SUM(G572:G574,0),2)</f>
        <v>5171.1499999999996</v>
      </c>
      <c r="H575" s="789">
        <f>ROUND(SUM(H572:H574,0),2)</f>
        <v>5437.59</v>
      </c>
      <c r="I575" s="789">
        <f>ROUND(SUM(I572:I574,0),2)</f>
        <v>5703.97</v>
      </c>
      <c r="J575" s="726"/>
      <c r="K575" s="726"/>
      <c r="L575" s="726"/>
    </row>
    <row r="576" spans="1:12" ht="80.25" hidden="1" customHeight="1">
      <c r="A576" s="971" t="s">
        <v>43</v>
      </c>
      <c r="B576" s="810">
        <v>15</v>
      </c>
      <c r="C576" s="2056" t="s">
        <v>340</v>
      </c>
      <c r="D576" s="2056"/>
      <c r="E576" s="2056"/>
      <c r="F576" s="2056"/>
      <c r="G576" s="813"/>
      <c r="H576" s="734"/>
      <c r="I576" s="726"/>
      <c r="J576" s="726"/>
      <c r="K576" s="726"/>
      <c r="L576" s="726"/>
    </row>
    <row r="577" spans="1:12" hidden="1">
      <c r="A577" s="972"/>
      <c r="B577" s="752"/>
      <c r="C577" s="813" t="s">
        <v>397</v>
      </c>
      <c r="D577" s="730"/>
      <c r="E577" s="778"/>
      <c r="F577" s="730"/>
      <c r="G577" s="730"/>
      <c r="H577" s="726"/>
      <c r="I577" s="726"/>
      <c r="J577" s="726"/>
      <c r="K577" s="726"/>
      <c r="L577" s="726"/>
    </row>
    <row r="578" spans="1:12" hidden="1">
      <c r="A578" s="972"/>
      <c r="B578" s="752"/>
      <c r="C578" s="813" t="s">
        <v>398</v>
      </c>
      <c r="D578" s="730"/>
      <c r="E578" s="778"/>
      <c r="F578" s="730"/>
      <c r="G578" s="730"/>
      <c r="H578" s="726"/>
      <c r="I578" s="726"/>
      <c r="J578" s="726"/>
      <c r="K578" s="726"/>
      <c r="L578" s="726"/>
    </row>
    <row r="579" spans="1:12" hidden="1">
      <c r="A579" s="972"/>
      <c r="B579" s="752"/>
      <c r="C579" s="813" t="s">
        <v>24</v>
      </c>
      <c r="D579" s="730"/>
      <c r="E579" s="778"/>
      <c r="F579" s="730"/>
      <c r="G579" s="730"/>
      <c r="H579" s="726"/>
      <c r="I579" s="726"/>
      <c r="J579" s="726"/>
      <c r="K579" s="726"/>
      <c r="L579" s="726"/>
    </row>
    <row r="580" spans="1:12" ht="26" hidden="1">
      <c r="A580" s="972"/>
      <c r="B580" s="752"/>
      <c r="C580" s="813" t="s">
        <v>399</v>
      </c>
      <c r="D580" s="730" t="s">
        <v>217</v>
      </c>
      <c r="E580" s="778">
        <v>110</v>
      </c>
      <c r="F580" s="778">
        <f>'Lead statement (2)'!J23</f>
        <v>25601</v>
      </c>
      <c r="G580" s="778">
        <f>E580*F580/1000</f>
        <v>2816.11</v>
      </c>
      <c r="H580" s="726"/>
      <c r="I580" s="726"/>
      <c r="J580" s="726"/>
      <c r="K580" s="726"/>
      <c r="L580" s="726"/>
    </row>
    <row r="581" spans="1:12" hidden="1">
      <c r="A581" s="972"/>
      <c r="B581" s="752"/>
      <c r="C581" s="813" t="s">
        <v>341</v>
      </c>
      <c r="D581" s="730" t="s">
        <v>117</v>
      </c>
      <c r="E581" s="778">
        <v>0.1</v>
      </c>
      <c r="F581" s="778">
        <f>G173</f>
        <v>2275.6999999999998</v>
      </c>
      <c r="G581" s="732">
        <f>ROUND(E581*F581,2)</f>
        <v>227.57</v>
      </c>
      <c r="H581" s="726"/>
      <c r="I581" s="726"/>
      <c r="J581" s="726"/>
      <c r="K581" s="726"/>
      <c r="L581" s="726"/>
    </row>
    <row r="582" spans="1:12" hidden="1">
      <c r="A582" s="972"/>
      <c r="B582" s="752"/>
      <c r="C582" s="813" t="s">
        <v>128</v>
      </c>
      <c r="D582" s="730"/>
      <c r="E582" s="778"/>
      <c r="F582" s="778"/>
      <c r="G582" s="730"/>
      <c r="H582" s="726"/>
      <c r="I582" s="726"/>
      <c r="J582" s="726"/>
      <c r="K582" s="726"/>
      <c r="L582" s="726"/>
    </row>
    <row r="583" spans="1:12" hidden="1">
      <c r="A583" s="972"/>
      <c r="B583" s="752"/>
      <c r="C583" s="813" t="s">
        <v>401</v>
      </c>
      <c r="D583" s="730" t="s">
        <v>119</v>
      </c>
      <c r="E583" s="778">
        <v>0.42</v>
      </c>
      <c r="F583" s="778">
        <f>F567</f>
        <v>500</v>
      </c>
      <c r="G583" s="732">
        <f>ROUND(E583*F583,2)</f>
        <v>210</v>
      </c>
      <c r="H583" s="726"/>
      <c r="I583" s="726"/>
      <c r="J583" s="726"/>
      <c r="K583" s="726"/>
      <c r="L583" s="726"/>
    </row>
    <row r="584" spans="1:12" hidden="1">
      <c r="A584" s="972"/>
      <c r="B584" s="752"/>
      <c r="C584" s="813" t="s">
        <v>402</v>
      </c>
      <c r="D584" s="730" t="s">
        <v>119</v>
      </c>
      <c r="E584" s="778">
        <v>0.92</v>
      </c>
      <c r="F584" s="778">
        <f>F568</f>
        <v>460</v>
      </c>
      <c r="G584" s="732">
        <f>ROUND(E584*F584,2)</f>
        <v>423.2</v>
      </c>
      <c r="H584" s="726"/>
      <c r="I584" s="726"/>
      <c r="J584" s="726"/>
      <c r="K584" s="726"/>
      <c r="L584" s="726"/>
    </row>
    <row r="585" spans="1:12" hidden="1">
      <c r="A585" s="972"/>
      <c r="B585" s="752"/>
      <c r="C585" s="813" t="s">
        <v>403</v>
      </c>
      <c r="D585" s="730" t="s">
        <v>119</v>
      </c>
      <c r="E585" s="778">
        <v>0.7</v>
      </c>
      <c r="F585" s="778">
        <f>F569</f>
        <v>420</v>
      </c>
      <c r="G585" s="732">
        <f>ROUND(E585*F585,2)</f>
        <v>294</v>
      </c>
      <c r="H585" s="726"/>
      <c r="I585" s="726"/>
      <c r="J585" s="726"/>
      <c r="K585" s="726"/>
      <c r="L585" s="726"/>
    </row>
    <row r="586" spans="1:12" hidden="1">
      <c r="A586" s="972"/>
      <c r="B586" s="752"/>
      <c r="C586" s="813" t="s">
        <v>404</v>
      </c>
      <c r="D586" s="730" t="s">
        <v>119</v>
      </c>
      <c r="E586" s="778">
        <v>2.1</v>
      </c>
      <c r="F586" s="778">
        <f>F585</f>
        <v>420</v>
      </c>
      <c r="G586" s="732">
        <f>ROUND(E586*F586,2)</f>
        <v>882</v>
      </c>
      <c r="H586" s="726"/>
      <c r="I586" s="726"/>
      <c r="J586" s="726"/>
      <c r="K586" s="726"/>
      <c r="L586" s="726"/>
    </row>
    <row r="587" spans="1:12" hidden="1">
      <c r="A587" s="972"/>
      <c r="B587" s="752"/>
      <c r="C587" s="745" t="s">
        <v>1726</v>
      </c>
      <c r="D587" s="732"/>
      <c r="E587" s="732">
        <f>SUM(G580:G586)</f>
        <v>4852.88</v>
      </c>
      <c r="F587" s="732"/>
      <c r="G587" s="732">
        <f>E587*0.01</f>
        <v>48.528800000000004</v>
      </c>
      <c r="H587" s="726"/>
      <c r="I587" s="726"/>
      <c r="J587" s="726"/>
      <c r="K587" s="726"/>
      <c r="L587" s="726"/>
    </row>
    <row r="588" spans="1:12" hidden="1">
      <c r="A588" s="972"/>
      <c r="B588" s="752"/>
      <c r="C588" s="813" t="s">
        <v>1724</v>
      </c>
      <c r="D588" s="730">
        <v>0.25</v>
      </c>
      <c r="E588" s="778"/>
      <c r="F588" s="778"/>
      <c r="G588" s="736">
        <f>(SUM(G583:G586))*D588</f>
        <v>452.3</v>
      </c>
      <c r="H588" s="726"/>
      <c r="I588" s="726"/>
      <c r="J588" s="726"/>
      <c r="K588" s="726"/>
      <c r="L588" s="726"/>
    </row>
    <row r="589" spans="1:12" hidden="1">
      <c r="A589" s="972"/>
      <c r="B589" s="752"/>
      <c r="C589" s="746" t="s">
        <v>142</v>
      </c>
      <c r="D589" s="1487"/>
      <c r="E589" s="814"/>
      <c r="F589" s="814"/>
      <c r="G589" s="734">
        <f>SUM(G580:G588)</f>
        <v>5353.7088000000003</v>
      </c>
      <c r="H589" s="726"/>
      <c r="I589" s="726"/>
      <c r="J589" s="726"/>
      <c r="K589" s="726"/>
      <c r="L589" s="726"/>
    </row>
    <row r="590" spans="1:12" ht="80.25" hidden="1" customHeight="1">
      <c r="A590" s="971" t="s">
        <v>43</v>
      </c>
      <c r="B590" s="752"/>
      <c r="C590" s="2056" t="s">
        <v>788</v>
      </c>
      <c r="D590" s="2056"/>
      <c r="E590" s="2056"/>
      <c r="F590" s="2056"/>
      <c r="G590" s="813"/>
      <c r="H590" s="734"/>
      <c r="I590" s="726"/>
      <c r="J590" s="726"/>
      <c r="K590" s="726"/>
      <c r="L590" s="726"/>
    </row>
    <row r="591" spans="1:12" hidden="1">
      <c r="A591" s="972"/>
      <c r="B591" s="752"/>
      <c r="C591" s="813" t="s">
        <v>397</v>
      </c>
      <c r="D591" s="730"/>
      <c r="E591" s="778"/>
      <c r="F591" s="730"/>
      <c r="G591" s="730"/>
      <c r="H591" s="726"/>
      <c r="I591" s="726"/>
      <c r="J591" s="726"/>
      <c r="K591" s="726"/>
      <c r="L591" s="726"/>
    </row>
    <row r="592" spans="1:12" hidden="1">
      <c r="A592" s="972"/>
      <c r="B592" s="752"/>
      <c r="C592" s="813" t="s">
        <v>398</v>
      </c>
      <c r="D592" s="730"/>
      <c r="E592" s="778"/>
      <c r="F592" s="730"/>
      <c r="G592" s="730"/>
      <c r="H592" s="726"/>
      <c r="I592" s="726"/>
      <c r="J592" s="726"/>
      <c r="K592" s="726"/>
      <c r="L592" s="726"/>
    </row>
    <row r="593" spans="1:12" hidden="1">
      <c r="A593" s="972"/>
      <c r="B593" s="752"/>
      <c r="C593" s="813" t="s">
        <v>24</v>
      </c>
      <c r="D593" s="730"/>
      <c r="E593" s="778"/>
      <c r="F593" s="730"/>
      <c r="G593" s="730"/>
      <c r="H593" s="726"/>
      <c r="I593" s="726"/>
      <c r="J593" s="726"/>
      <c r="K593" s="726"/>
      <c r="L593" s="726"/>
    </row>
    <row r="594" spans="1:12" ht="26" hidden="1">
      <c r="A594" s="972"/>
      <c r="B594" s="752"/>
      <c r="C594" s="813" t="s">
        <v>399</v>
      </c>
      <c r="D594" s="730" t="s">
        <v>217</v>
      </c>
      <c r="E594" s="778">
        <v>123</v>
      </c>
      <c r="F594" s="778">
        <f>'Lead statement (2)'!J28</f>
        <v>21905</v>
      </c>
      <c r="G594" s="778">
        <f>E594*F594/1000</f>
        <v>2694.3150000000001</v>
      </c>
      <c r="H594" s="726"/>
      <c r="I594" s="726"/>
      <c r="J594" s="726"/>
      <c r="K594" s="726"/>
      <c r="L594" s="726"/>
    </row>
    <row r="595" spans="1:12" hidden="1">
      <c r="A595" s="972"/>
      <c r="B595" s="752"/>
      <c r="C595" s="813" t="s">
        <v>341</v>
      </c>
      <c r="D595" s="730" t="s">
        <v>117</v>
      </c>
      <c r="E595" s="778">
        <v>0.1</v>
      </c>
      <c r="F595" s="778">
        <f>F581</f>
        <v>2275.6999999999998</v>
      </c>
      <c r="G595" s="732">
        <f>ROUND(E595*F595,2)</f>
        <v>227.57</v>
      </c>
      <c r="H595" s="726"/>
      <c r="I595" s="726"/>
      <c r="J595" s="726"/>
      <c r="K595" s="726"/>
      <c r="L595" s="726"/>
    </row>
    <row r="596" spans="1:12" hidden="1">
      <c r="A596" s="972"/>
      <c r="B596" s="752"/>
      <c r="C596" s="813" t="s">
        <v>128</v>
      </c>
      <c r="D596" s="730"/>
      <c r="E596" s="778"/>
      <c r="F596" s="778"/>
      <c r="G596" s="730"/>
      <c r="H596" s="726"/>
      <c r="I596" s="726"/>
      <c r="J596" s="726"/>
      <c r="K596" s="726"/>
      <c r="L596" s="726"/>
    </row>
    <row r="597" spans="1:12" hidden="1">
      <c r="A597" s="972"/>
      <c r="B597" s="752"/>
      <c r="C597" s="813" t="s">
        <v>401</v>
      </c>
      <c r="D597" s="730" t="s">
        <v>119</v>
      </c>
      <c r="E597" s="778">
        <v>0.42</v>
      </c>
      <c r="F597" s="778">
        <f>[125]Bldg.rates!F84</f>
        <v>500</v>
      </c>
      <c r="G597" s="732">
        <f>ROUND(E597*F597,2)</f>
        <v>210</v>
      </c>
      <c r="H597" s="726"/>
      <c r="I597" s="726"/>
      <c r="J597" s="726"/>
      <c r="K597" s="726"/>
      <c r="L597" s="726"/>
    </row>
    <row r="598" spans="1:12" hidden="1">
      <c r="A598" s="972"/>
      <c r="B598" s="752"/>
      <c r="C598" s="813" t="s">
        <v>402</v>
      </c>
      <c r="D598" s="730" t="s">
        <v>119</v>
      </c>
      <c r="E598" s="778">
        <v>0.92</v>
      </c>
      <c r="F598" s="778">
        <f>[125]Bldg.rates!F85</f>
        <v>460</v>
      </c>
      <c r="G598" s="732">
        <f>ROUND(E598*F598,2)</f>
        <v>423.2</v>
      </c>
      <c r="H598" s="726"/>
      <c r="I598" s="726"/>
      <c r="J598" s="726"/>
      <c r="K598" s="726"/>
      <c r="L598" s="726"/>
    </row>
    <row r="599" spans="1:12" hidden="1">
      <c r="A599" s="972"/>
      <c r="B599" s="752"/>
      <c r="C599" s="813" t="s">
        <v>403</v>
      </c>
      <c r="D599" s="730" t="s">
        <v>119</v>
      </c>
      <c r="E599" s="778">
        <v>0.7</v>
      </c>
      <c r="F599" s="778">
        <f>[125]Bldg.rates!F86</f>
        <v>420</v>
      </c>
      <c r="G599" s="732">
        <f>ROUND(E599*F599,2)</f>
        <v>294</v>
      </c>
      <c r="H599" s="726"/>
      <c r="I599" s="726"/>
      <c r="J599" s="726"/>
      <c r="K599" s="726"/>
      <c r="L599" s="726"/>
    </row>
    <row r="600" spans="1:12" hidden="1">
      <c r="A600" s="972"/>
      <c r="B600" s="752"/>
      <c r="C600" s="813" t="s">
        <v>404</v>
      </c>
      <c r="D600" s="730" t="s">
        <v>119</v>
      </c>
      <c r="E600" s="778">
        <v>2.1</v>
      </c>
      <c r="F600" s="778">
        <f>F599</f>
        <v>420</v>
      </c>
      <c r="G600" s="732">
        <f>ROUND(E600*F600,2)</f>
        <v>882</v>
      </c>
      <c r="H600" s="726"/>
      <c r="I600" s="726"/>
      <c r="J600" s="726"/>
      <c r="K600" s="726"/>
      <c r="L600" s="726"/>
    </row>
    <row r="601" spans="1:12" hidden="1">
      <c r="A601" s="972"/>
      <c r="B601" s="752"/>
      <c r="C601" s="746" t="s">
        <v>142</v>
      </c>
      <c r="D601" s="1487"/>
      <c r="E601" s="814"/>
      <c r="F601" s="814"/>
      <c r="G601" s="734">
        <f>SUM(G594:G600)</f>
        <v>4731.085</v>
      </c>
      <c r="H601" s="726"/>
      <c r="I601" s="726"/>
      <c r="J601" s="726"/>
      <c r="K601" s="726"/>
      <c r="L601" s="726"/>
    </row>
    <row r="602" spans="1:12" ht="81.75" hidden="1" customHeight="1">
      <c r="A602" s="971" t="s">
        <v>43</v>
      </c>
      <c r="B602" s="752"/>
      <c r="C602" s="2056" t="s">
        <v>789</v>
      </c>
      <c r="D602" s="2056"/>
      <c r="E602" s="2056"/>
      <c r="F602" s="2056"/>
      <c r="G602" s="1484"/>
      <c r="H602" s="726"/>
      <c r="I602" s="726"/>
      <c r="J602" s="726"/>
      <c r="K602" s="726"/>
      <c r="L602" s="726"/>
    </row>
    <row r="603" spans="1:12" hidden="1">
      <c r="A603" s="972"/>
      <c r="B603" s="752"/>
      <c r="C603" s="813" t="s">
        <v>397</v>
      </c>
      <c r="D603" s="730"/>
      <c r="E603" s="778"/>
      <c r="F603" s="730"/>
      <c r="G603" s="730"/>
      <c r="H603" s="726"/>
      <c r="I603" s="726"/>
      <c r="J603" s="726"/>
      <c r="K603" s="726"/>
      <c r="L603" s="726"/>
    </row>
    <row r="604" spans="1:12" hidden="1">
      <c r="A604" s="972"/>
      <c r="B604" s="752"/>
      <c r="C604" s="813" t="s">
        <v>398</v>
      </c>
      <c r="D604" s="730"/>
      <c r="E604" s="778"/>
      <c r="F604" s="730"/>
      <c r="G604" s="730"/>
      <c r="H604" s="726"/>
      <c r="I604" s="726"/>
      <c r="J604" s="726"/>
      <c r="K604" s="726"/>
      <c r="L604" s="726"/>
    </row>
    <row r="605" spans="1:12" hidden="1">
      <c r="A605" s="972"/>
      <c r="B605" s="752"/>
      <c r="C605" s="813" t="s">
        <v>24</v>
      </c>
      <c r="D605" s="730"/>
      <c r="E605" s="778"/>
      <c r="F605" s="730"/>
      <c r="G605" s="728" t="s">
        <v>613</v>
      </c>
      <c r="H605" s="726"/>
      <c r="I605" s="726"/>
      <c r="J605" s="726"/>
      <c r="K605" s="726"/>
      <c r="L605" s="726"/>
    </row>
    <row r="606" spans="1:12" ht="26" hidden="1">
      <c r="A606" s="972"/>
      <c r="B606" s="752"/>
      <c r="C606" s="813" t="s">
        <v>399</v>
      </c>
      <c r="D606" s="730" t="s">
        <v>217</v>
      </c>
      <c r="E606" s="778">
        <v>123</v>
      </c>
      <c r="F606" s="778">
        <f>'Lead statement (2)'!J28</f>
        <v>21905</v>
      </c>
      <c r="G606" s="778">
        <f>E606*F606/1000</f>
        <v>2694.3150000000001</v>
      </c>
      <c r="H606" s="747"/>
      <c r="I606" s="726"/>
      <c r="J606" s="726"/>
      <c r="K606" s="726"/>
      <c r="L606" s="726"/>
    </row>
    <row r="607" spans="1:12" hidden="1">
      <c r="A607" s="972"/>
      <c r="B607" s="752"/>
      <c r="C607" s="813" t="s">
        <v>400</v>
      </c>
      <c r="D607" s="730" t="s">
        <v>117</v>
      </c>
      <c r="E607" s="778">
        <v>0.1</v>
      </c>
      <c r="F607" s="778">
        <f>F622</f>
        <v>1993.85</v>
      </c>
      <c r="G607" s="732">
        <f>ROUND(E607*F607,2)</f>
        <v>199.39</v>
      </c>
      <c r="H607" s="747"/>
      <c r="I607" s="726"/>
      <c r="J607" s="726"/>
      <c r="K607" s="726"/>
      <c r="L607" s="726"/>
    </row>
    <row r="608" spans="1:12" hidden="1">
      <c r="A608" s="972"/>
      <c r="B608" s="752"/>
      <c r="C608" s="813" t="s">
        <v>128</v>
      </c>
      <c r="D608" s="730"/>
      <c r="E608" s="778"/>
      <c r="F608" s="778"/>
      <c r="G608" s="730"/>
      <c r="H608" s="747"/>
      <c r="I608" s="726"/>
      <c r="J608" s="726"/>
      <c r="K608" s="726"/>
      <c r="L608" s="726"/>
    </row>
    <row r="609" spans="1:12" hidden="1">
      <c r="A609" s="972"/>
      <c r="B609" s="752"/>
      <c r="C609" s="813" t="s">
        <v>401</v>
      </c>
      <c r="D609" s="730" t="s">
        <v>119</v>
      </c>
      <c r="E609" s="778">
        <v>0.42</v>
      </c>
      <c r="F609" s="778">
        <f>F597</f>
        <v>500</v>
      </c>
      <c r="G609" s="732">
        <f>ROUND(E609*F609,2)</f>
        <v>210</v>
      </c>
      <c r="H609" s="747"/>
      <c r="I609" s="726"/>
      <c r="J609" s="726"/>
      <c r="K609" s="726"/>
      <c r="L609" s="726"/>
    </row>
    <row r="610" spans="1:12" hidden="1">
      <c r="A610" s="972"/>
      <c r="B610" s="752"/>
      <c r="C610" s="813" t="s">
        <v>402</v>
      </c>
      <c r="D610" s="730" t="s">
        <v>119</v>
      </c>
      <c r="E610" s="778">
        <v>0.92</v>
      </c>
      <c r="F610" s="778">
        <f>F598</f>
        <v>460</v>
      </c>
      <c r="G610" s="732">
        <f>ROUND(E610*F610,2)</f>
        <v>423.2</v>
      </c>
      <c r="H610" s="747"/>
      <c r="I610" s="726"/>
      <c r="J610" s="726"/>
      <c r="K610" s="726"/>
      <c r="L610" s="726"/>
    </row>
    <row r="611" spans="1:12" hidden="1">
      <c r="A611" s="972"/>
      <c r="B611" s="752"/>
      <c r="C611" s="813" t="s">
        <v>403</v>
      </c>
      <c r="D611" s="730" t="s">
        <v>119</v>
      </c>
      <c r="E611" s="778">
        <v>0.7</v>
      </c>
      <c r="F611" s="778">
        <f>F599</f>
        <v>420</v>
      </c>
      <c r="G611" s="732">
        <f>ROUND(E611*F611,2)</f>
        <v>294</v>
      </c>
      <c r="H611" s="747"/>
      <c r="I611" s="726"/>
      <c r="J611" s="726"/>
      <c r="K611" s="726"/>
      <c r="L611" s="726"/>
    </row>
    <row r="612" spans="1:12" hidden="1">
      <c r="A612" s="972"/>
      <c r="B612" s="752"/>
      <c r="C612" s="813" t="s">
        <v>404</v>
      </c>
      <c r="D612" s="730" t="s">
        <v>119</v>
      </c>
      <c r="E612" s="778">
        <v>2.1</v>
      </c>
      <c r="F612" s="778">
        <f>F600</f>
        <v>420</v>
      </c>
      <c r="G612" s="732">
        <f>ROUND(E612*F612,2)</f>
        <v>882</v>
      </c>
      <c r="H612" s="747"/>
      <c r="I612" s="726"/>
      <c r="J612" s="726"/>
      <c r="K612" s="726"/>
      <c r="L612" s="726"/>
    </row>
    <row r="613" spans="1:12" hidden="1">
      <c r="A613" s="972"/>
      <c r="B613" s="752"/>
      <c r="C613" s="746" t="s">
        <v>142</v>
      </c>
      <c r="D613" s="1487"/>
      <c r="E613" s="814"/>
      <c r="F613" s="814"/>
      <c r="G613" s="734">
        <f>SUM(G606:G612)</f>
        <v>4702.9049999999997</v>
      </c>
      <c r="H613" s="747"/>
      <c r="I613" s="726"/>
      <c r="J613" s="726"/>
      <c r="K613" s="726"/>
      <c r="L613" s="726"/>
    </row>
    <row r="614" spans="1:12" hidden="1">
      <c r="A614" s="972"/>
      <c r="B614" s="752"/>
      <c r="C614" s="729" t="s">
        <v>295</v>
      </c>
      <c r="D614" s="732"/>
      <c r="E614" s="732"/>
      <c r="F614" s="732"/>
      <c r="G614" s="734"/>
      <c r="H614" s="726"/>
      <c r="I614" s="726"/>
      <c r="J614" s="726"/>
      <c r="K614" s="726"/>
      <c r="L614" s="726"/>
    </row>
    <row r="615" spans="1:12" ht="26" hidden="1">
      <c r="A615" s="972"/>
      <c r="B615" s="752"/>
      <c r="C615" s="745" t="s">
        <v>850</v>
      </c>
      <c r="D615" s="732" t="s">
        <v>113</v>
      </c>
      <c r="E615" s="732">
        <v>5</v>
      </c>
      <c r="F615" s="732">
        <f>'[125]Centring charges'!Q27</f>
        <v>89.78</v>
      </c>
      <c r="G615" s="732">
        <f>ROUND(E615*F615,2)</f>
        <v>448.9</v>
      </c>
      <c r="H615" s="755"/>
      <c r="I615" s="726"/>
      <c r="J615" s="726"/>
      <c r="K615" s="726"/>
      <c r="L615" s="726"/>
    </row>
    <row r="616" spans="1:12" hidden="1">
      <c r="A616" s="972"/>
      <c r="B616" s="752"/>
      <c r="C616" s="745"/>
      <c r="D616" s="732"/>
      <c r="E616" s="732"/>
      <c r="F616" s="732"/>
      <c r="G616" s="807">
        <f>ROUND(SUM(G613:G615),2)</f>
        <v>5151.8100000000004</v>
      </c>
      <c r="H616" s="734"/>
      <c r="I616" s="726"/>
      <c r="J616" s="726"/>
      <c r="K616" s="726"/>
      <c r="L616" s="726"/>
    </row>
    <row r="617" spans="1:12" ht="83.25" hidden="1" customHeight="1">
      <c r="A617" s="971" t="s">
        <v>43</v>
      </c>
      <c r="B617" s="810">
        <v>16</v>
      </c>
      <c r="C617" s="2044" t="s">
        <v>320</v>
      </c>
      <c r="D617" s="2045"/>
      <c r="E617" s="2045"/>
      <c r="F617" s="2045"/>
      <c r="G617" s="2046"/>
      <c r="H617" s="726"/>
      <c r="I617" s="726"/>
      <c r="J617" s="726"/>
      <c r="K617" s="726"/>
      <c r="L617" s="726"/>
    </row>
    <row r="618" spans="1:12" hidden="1">
      <c r="A618" s="972"/>
      <c r="B618" s="752"/>
      <c r="C618" s="813" t="s">
        <v>397</v>
      </c>
      <c r="D618" s="730"/>
      <c r="E618" s="778"/>
      <c r="F618" s="730"/>
      <c r="G618" s="730"/>
      <c r="H618" s="726"/>
      <c r="I618" s="726"/>
      <c r="J618" s="726"/>
      <c r="K618" s="726"/>
      <c r="L618" s="726"/>
    </row>
    <row r="619" spans="1:12" hidden="1">
      <c r="A619" s="972"/>
      <c r="B619" s="752"/>
      <c r="C619" s="813" t="s">
        <v>398</v>
      </c>
      <c r="D619" s="730"/>
      <c r="E619" s="778"/>
      <c r="F619" s="730"/>
      <c r="G619" s="730"/>
      <c r="H619" s="726"/>
      <c r="I619" s="726"/>
      <c r="J619" s="726"/>
      <c r="K619" s="726"/>
      <c r="L619" s="726"/>
    </row>
    <row r="620" spans="1:12" hidden="1">
      <c r="A620" s="972"/>
      <c r="B620" s="752"/>
      <c r="C620" s="813" t="s">
        <v>24</v>
      </c>
      <c r="D620" s="730"/>
      <c r="E620" s="778"/>
      <c r="F620" s="730"/>
      <c r="G620" s="728" t="s">
        <v>613</v>
      </c>
      <c r="H620" s="738" t="s">
        <v>611</v>
      </c>
      <c r="I620" s="738" t="s">
        <v>614</v>
      </c>
      <c r="J620" s="726"/>
      <c r="K620" s="726"/>
      <c r="L620" s="726"/>
    </row>
    <row r="621" spans="1:12" ht="26" hidden="1">
      <c r="A621" s="972"/>
      <c r="B621" s="752"/>
      <c r="C621" s="813" t="s">
        <v>399</v>
      </c>
      <c r="D621" s="730" t="s">
        <v>217</v>
      </c>
      <c r="E621" s="778">
        <v>110</v>
      </c>
      <c r="F621" s="778">
        <f>'Lead statement (2)'!J23</f>
        <v>25601</v>
      </c>
      <c r="G621" s="778">
        <f>E621*F621/1000</f>
        <v>2816.11</v>
      </c>
      <c r="H621" s="757">
        <f>G621</f>
        <v>2816.11</v>
      </c>
      <c r="I621" s="757">
        <f>G621</f>
        <v>2816.11</v>
      </c>
      <c r="J621" s="726"/>
      <c r="K621" s="726"/>
      <c r="L621" s="726"/>
    </row>
    <row r="622" spans="1:12" hidden="1">
      <c r="A622" s="972"/>
      <c r="B622" s="752"/>
      <c r="C622" s="813" t="s">
        <v>400</v>
      </c>
      <c r="D622" s="730" t="s">
        <v>117</v>
      </c>
      <c r="E622" s="778">
        <v>0.1</v>
      </c>
      <c r="F622" s="778">
        <f>G184</f>
        <v>1993.85</v>
      </c>
      <c r="G622" s="732">
        <f>ROUND(E622*F622,2)</f>
        <v>199.39</v>
      </c>
      <c r="H622" s="757">
        <f t="shared" ref="H622:H627" si="8">G622</f>
        <v>199.39</v>
      </c>
      <c r="I622" s="757">
        <f t="shared" ref="I622:I627" si="9">G622</f>
        <v>199.39</v>
      </c>
      <c r="J622" s="726"/>
      <c r="K622" s="726"/>
      <c r="L622" s="726"/>
    </row>
    <row r="623" spans="1:12" hidden="1">
      <c r="A623" s="972"/>
      <c r="B623" s="752"/>
      <c r="C623" s="813" t="s">
        <v>128</v>
      </c>
      <c r="D623" s="730"/>
      <c r="E623" s="778"/>
      <c r="F623" s="778"/>
      <c r="G623" s="730"/>
      <c r="H623" s="757"/>
      <c r="I623" s="757"/>
      <c r="J623" s="726"/>
      <c r="K623" s="726"/>
      <c r="L623" s="726"/>
    </row>
    <row r="624" spans="1:12" hidden="1">
      <c r="A624" s="972"/>
      <c r="B624" s="752"/>
      <c r="C624" s="813" t="s">
        <v>401</v>
      </c>
      <c r="D624" s="730" t="s">
        <v>119</v>
      </c>
      <c r="E624" s="778">
        <v>0.42</v>
      </c>
      <c r="F624" s="778">
        <f>F583</f>
        <v>500</v>
      </c>
      <c r="G624" s="732">
        <f>ROUND(E624*F624,2)</f>
        <v>210</v>
      </c>
      <c r="H624" s="757">
        <f t="shared" si="8"/>
        <v>210</v>
      </c>
      <c r="I624" s="757">
        <f t="shared" si="9"/>
        <v>210</v>
      </c>
      <c r="J624" s="726"/>
      <c r="K624" s="726"/>
      <c r="L624" s="726"/>
    </row>
    <row r="625" spans="1:12" hidden="1">
      <c r="A625" s="972"/>
      <c r="B625" s="752"/>
      <c r="C625" s="813" t="s">
        <v>402</v>
      </c>
      <c r="D625" s="730" t="s">
        <v>119</v>
      </c>
      <c r="E625" s="778">
        <v>0.92</v>
      </c>
      <c r="F625" s="778">
        <f>F584</f>
        <v>460</v>
      </c>
      <c r="G625" s="732">
        <f>ROUND(E625*F625,2)</f>
        <v>423.2</v>
      </c>
      <c r="H625" s="757">
        <f t="shared" si="8"/>
        <v>423.2</v>
      </c>
      <c r="I625" s="757">
        <f t="shared" si="9"/>
        <v>423.2</v>
      </c>
      <c r="J625" s="726"/>
      <c r="K625" s="726"/>
      <c r="L625" s="726"/>
    </row>
    <row r="626" spans="1:12" hidden="1">
      <c r="A626" s="972"/>
      <c r="B626" s="752"/>
      <c r="C626" s="813" t="s">
        <v>403</v>
      </c>
      <c r="D626" s="730" t="s">
        <v>119</v>
      </c>
      <c r="E626" s="778">
        <v>0.7</v>
      </c>
      <c r="F626" s="778">
        <f>F585</f>
        <v>420</v>
      </c>
      <c r="G626" s="732">
        <f>ROUND(E626*F626,2)</f>
        <v>294</v>
      </c>
      <c r="H626" s="757">
        <f t="shared" si="8"/>
        <v>294</v>
      </c>
      <c r="I626" s="757">
        <f t="shared" si="9"/>
        <v>294</v>
      </c>
      <c r="J626" s="726"/>
      <c r="K626" s="726"/>
      <c r="L626" s="726"/>
    </row>
    <row r="627" spans="1:12" hidden="1">
      <c r="A627" s="972"/>
      <c r="B627" s="752"/>
      <c r="C627" s="813" t="s">
        <v>404</v>
      </c>
      <c r="D627" s="730" t="s">
        <v>119</v>
      </c>
      <c r="E627" s="778">
        <v>2.1</v>
      </c>
      <c r="F627" s="778">
        <f>F586</f>
        <v>420</v>
      </c>
      <c r="G627" s="732">
        <f>ROUND(E627*F627,2)</f>
        <v>882</v>
      </c>
      <c r="H627" s="757">
        <f t="shared" si="8"/>
        <v>882</v>
      </c>
      <c r="I627" s="757">
        <f t="shared" si="9"/>
        <v>882</v>
      </c>
      <c r="J627" s="726"/>
      <c r="K627" s="726"/>
      <c r="L627" s="726"/>
    </row>
    <row r="628" spans="1:12" hidden="1">
      <c r="A628" s="972"/>
      <c r="B628" s="752"/>
      <c r="C628" s="745" t="s">
        <v>1726</v>
      </c>
      <c r="D628" s="732"/>
      <c r="E628" s="732">
        <f>SUM(G621:G627)</f>
        <v>4824.7</v>
      </c>
      <c r="F628" s="732"/>
      <c r="G628" s="732">
        <f>E628*0.01</f>
        <v>48.247</v>
      </c>
      <c r="H628" s="757">
        <f>G628</f>
        <v>48.247</v>
      </c>
      <c r="I628" s="757">
        <f>H628</f>
        <v>48.247</v>
      </c>
      <c r="J628" s="726"/>
      <c r="K628" s="726"/>
      <c r="L628" s="726"/>
    </row>
    <row r="629" spans="1:12" hidden="1">
      <c r="A629" s="972"/>
      <c r="B629" s="752"/>
      <c r="C629" s="813" t="s">
        <v>1724</v>
      </c>
      <c r="D629" s="730">
        <v>0.25</v>
      </c>
      <c r="E629" s="778"/>
      <c r="F629" s="778"/>
      <c r="G629" s="736">
        <f>(SUM(G624:G627))*D629</f>
        <v>452.3</v>
      </c>
      <c r="H629" s="736">
        <f>(SUM(H624:H627))*D629</f>
        <v>452.3</v>
      </c>
      <c r="I629" s="736">
        <f>(SUM(I624:I627))*D629</f>
        <v>452.3</v>
      </c>
      <c r="J629" s="726"/>
      <c r="K629" s="726"/>
      <c r="L629" s="726"/>
    </row>
    <row r="630" spans="1:12" ht="13.5" hidden="1" customHeight="1">
      <c r="A630" s="970"/>
      <c r="B630" s="733"/>
      <c r="C630" s="735" t="s">
        <v>615</v>
      </c>
      <c r="D630" s="737"/>
      <c r="E630" s="731"/>
      <c r="F630" s="732"/>
      <c r="G630" s="755"/>
      <c r="H630" s="757">
        <f>ROUND(H627+H626+H625+H624,2)*10%</f>
        <v>180.92000000000002</v>
      </c>
      <c r="I630" s="757">
        <f>ROUND(I627+I626+I625+I624,2)*20%</f>
        <v>361.84000000000003</v>
      </c>
      <c r="J630" s="726"/>
      <c r="K630" s="726"/>
      <c r="L630" s="726"/>
    </row>
    <row r="631" spans="1:12" hidden="1">
      <c r="A631" s="972"/>
      <c r="B631" s="752"/>
      <c r="C631" s="746" t="s">
        <v>142</v>
      </c>
      <c r="D631" s="1487"/>
      <c r="E631" s="814"/>
      <c r="F631" s="814"/>
      <c r="G631" s="734">
        <f>SUM(G621:G630)</f>
        <v>5325.2470000000003</v>
      </c>
      <c r="H631" s="734">
        <f>SUM(H621:H630)</f>
        <v>5506.1670000000004</v>
      </c>
      <c r="I631" s="734">
        <f>SUM(I621:I630)</f>
        <v>5687.0870000000004</v>
      </c>
      <c r="J631" s="726"/>
      <c r="K631" s="726"/>
      <c r="L631" s="726"/>
    </row>
    <row r="632" spans="1:12" hidden="1">
      <c r="A632" s="972"/>
      <c r="B632" s="752"/>
      <c r="C632" s="729" t="s">
        <v>295</v>
      </c>
      <c r="D632" s="732"/>
      <c r="E632" s="732"/>
      <c r="F632" s="732"/>
      <c r="G632" s="734"/>
      <c r="H632" s="726"/>
      <c r="I632" s="752"/>
      <c r="J632" s="726"/>
      <c r="K632" s="726"/>
      <c r="L632" s="726"/>
    </row>
    <row r="633" spans="1:12" ht="26" hidden="1">
      <c r="A633" s="972"/>
      <c r="B633" s="752"/>
      <c r="C633" s="745" t="s">
        <v>296</v>
      </c>
      <c r="D633" s="732" t="s">
        <v>113</v>
      </c>
      <c r="E633" s="732">
        <v>4.3499999999999996</v>
      </c>
      <c r="F633" s="732">
        <f>F573</f>
        <v>89.78</v>
      </c>
      <c r="G633" s="732">
        <f>ROUND(E633*F633,2)</f>
        <v>390.54</v>
      </c>
      <c r="H633" s="755">
        <f>ROUND(E633*'[125]Centring charges'!Q28,2)</f>
        <v>539.84</v>
      </c>
      <c r="I633" s="755">
        <f>ROUND(E633*'[125]Centring charges'!AC27,2)</f>
        <v>689.08</v>
      </c>
      <c r="J633" s="726"/>
      <c r="K633" s="726"/>
      <c r="L633" s="726"/>
    </row>
    <row r="634" spans="1:12" hidden="1">
      <c r="A634" s="972"/>
      <c r="B634" s="752"/>
      <c r="C634" s="745"/>
      <c r="D634" s="732"/>
      <c r="E634" s="732"/>
      <c r="F634" s="732"/>
      <c r="G634" s="734">
        <f>SUM(G631:G633)</f>
        <v>5715.7870000000003</v>
      </c>
      <c r="H634" s="734">
        <f>SUM(H631:H633)</f>
        <v>6046.0070000000005</v>
      </c>
      <c r="I634" s="734">
        <f>SUM(I631:I633)</f>
        <v>6376.1670000000004</v>
      </c>
      <c r="J634" s="726"/>
      <c r="K634" s="726"/>
      <c r="L634" s="726"/>
    </row>
    <row r="635" spans="1:12" s="817" customFormat="1" ht="92.25" customHeight="1">
      <c r="A635" s="977" t="s">
        <v>1049</v>
      </c>
      <c r="B635" s="815">
        <v>18</v>
      </c>
      <c r="C635" s="2030" t="s">
        <v>1050</v>
      </c>
      <c r="D635" s="2031"/>
      <c r="E635" s="2031"/>
      <c r="F635" s="2031"/>
      <c r="G635" s="2080"/>
      <c r="H635" s="2081"/>
      <c r="I635" s="816"/>
      <c r="J635" s="816"/>
      <c r="K635" s="816"/>
      <c r="L635" s="816"/>
    </row>
    <row r="636" spans="1:12" s="817" customFormat="1">
      <c r="A636" s="978"/>
      <c r="B636" s="818"/>
      <c r="C636" s="819" t="s">
        <v>397</v>
      </c>
      <c r="D636" s="820"/>
      <c r="E636" s="821"/>
      <c r="F636" s="820"/>
      <c r="G636" s="820"/>
      <c r="H636" s="816"/>
      <c r="I636" s="816"/>
      <c r="J636" s="816"/>
      <c r="K636" s="816"/>
      <c r="L636" s="816"/>
    </row>
    <row r="637" spans="1:12" s="817" customFormat="1">
      <c r="A637" s="978"/>
      <c r="B637" s="818"/>
      <c r="C637" s="819" t="s">
        <v>1051</v>
      </c>
      <c r="D637" s="820"/>
      <c r="E637" s="821"/>
      <c r="F637" s="820"/>
      <c r="G637" s="820"/>
      <c r="H637" s="816"/>
      <c r="I637" s="816"/>
      <c r="J637" s="816"/>
      <c r="K637" s="816"/>
      <c r="L637" s="816"/>
    </row>
    <row r="638" spans="1:12" s="817" customFormat="1">
      <c r="A638" s="978"/>
      <c r="B638" s="818"/>
      <c r="C638" s="819" t="s">
        <v>24</v>
      </c>
      <c r="D638" s="820"/>
      <c r="E638" s="821"/>
      <c r="F638" s="820"/>
      <c r="G638" s="822" t="s">
        <v>613</v>
      </c>
      <c r="H638" s="823" t="s">
        <v>611</v>
      </c>
      <c r="I638" s="823" t="s">
        <v>614</v>
      </c>
      <c r="J638" s="816"/>
      <c r="K638" s="816"/>
      <c r="L638" s="816"/>
    </row>
    <row r="639" spans="1:12" s="817" customFormat="1">
      <c r="A639" s="978"/>
      <c r="B639" s="818"/>
      <c r="C639" s="819" t="s">
        <v>1673</v>
      </c>
      <c r="D639" s="820" t="s">
        <v>217</v>
      </c>
      <c r="E639" s="821">
        <v>512</v>
      </c>
      <c r="F639" s="821">
        <f>'Lead statement (2)'!J22</f>
        <v>6323</v>
      </c>
      <c r="G639" s="821">
        <f>E639*F639/1000</f>
        <v>3237.3760000000002</v>
      </c>
      <c r="H639" s="824">
        <f>G639</f>
        <v>3237.3760000000002</v>
      </c>
      <c r="I639" s="824">
        <f>H639</f>
        <v>3237.3760000000002</v>
      </c>
      <c r="J639" s="816"/>
      <c r="K639" s="816"/>
      <c r="L639" s="816"/>
    </row>
    <row r="640" spans="1:12" s="817" customFormat="1">
      <c r="A640" s="978"/>
      <c r="B640" s="818"/>
      <c r="C640" s="819" t="s">
        <v>341</v>
      </c>
      <c r="D640" s="820" t="s">
        <v>117</v>
      </c>
      <c r="E640" s="821">
        <v>0.2</v>
      </c>
      <c r="F640" s="821">
        <f>G173</f>
        <v>2275.6999999999998</v>
      </c>
      <c r="G640" s="825">
        <f>ROUND(E640*F640,2)</f>
        <v>455.14</v>
      </c>
      <c r="H640" s="824">
        <f>G640</f>
        <v>455.14</v>
      </c>
      <c r="I640" s="824">
        <f>H640</f>
        <v>455.14</v>
      </c>
      <c r="J640" s="816"/>
      <c r="K640" s="816"/>
      <c r="L640" s="816"/>
    </row>
    <row r="641" spans="1:12" s="817" customFormat="1">
      <c r="A641" s="978"/>
      <c r="B641" s="818"/>
      <c r="C641" s="819" t="s">
        <v>128</v>
      </c>
      <c r="D641" s="820"/>
      <c r="E641" s="821"/>
      <c r="F641" s="821"/>
      <c r="G641" s="820"/>
      <c r="H641" s="824"/>
      <c r="I641" s="824"/>
      <c r="J641" s="816"/>
      <c r="K641" s="816"/>
      <c r="L641" s="816"/>
    </row>
    <row r="642" spans="1:12" s="817" customFormat="1">
      <c r="A642" s="978"/>
      <c r="B642" s="818"/>
      <c r="C642" s="819" t="s">
        <v>401</v>
      </c>
      <c r="D642" s="820" t="s">
        <v>119</v>
      </c>
      <c r="E642" s="821">
        <v>0.6</v>
      </c>
      <c r="F642" s="821">
        <f>F624</f>
        <v>500</v>
      </c>
      <c r="G642" s="825">
        <f>ROUND(E642*F642,2)</f>
        <v>300</v>
      </c>
      <c r="H642" s="824">
        <f t="shared" ref="H642:I644" si="10">G642</f>
        <v>300</v>
      </c>
      <c r="I642" s="824">
        <f t="shared" si="10"/>
        <v>300</v>
      </c>
      <c r="J642" s="816"/>
      <c r="K642" s="816"/>
      <c r="L642" s="816"/>
    </row>
    <row r="643" spans="1:12" s="817" customFormat="1">
      <c r="A643" s="978"/>
      <c r="B643" s="818"/>
      <c r="C643" s="819" t="s">
        <v>402</v>
      </c>
      <c r="D643" s="820" t="s">
        <v>119</v>
      </c>
      <c r="E643" s="821">
        <v>0.6</v>
      </c>
      <c r="F643" s="821">
        <f>F625</f>
        <v>460</v>
      </c>
      <c r="G643" s="825">
        <f>ROUND(E643*F643,2)</f>
        <v>276</v>
      </c>
      <c r="H643" s="824">
        <f t="shared" si="10"/>
        <v>276</v>
      </c>
      <c r="I643" s="824">
        <f t="shared" si="10"/>
        <v>276</v>
      </c>
      <c r="J643" s="816"/>
      <c r="K643" s="816"/>
      <c r="L643" s="816"/>
    </row>
    <row r="644" spans="1:12" s="817" customFormat="1">
      <c r="A644" s="978"/>
      <c r="B644" s="818"/>
      <c r="C644" s="819" t="s">
        <v>1053</v>
      </c>
      <c r="D644" s="820" t="s">
        <v>119</v>
      </c>
      <c r="E644" s="821">
        <v>2.75</v>
      </c>
      <c r="F644" s="821">
        <f>F626</f>
        <v>420</v>
      </c>
      <c r="G644" s="825">
        <f>ROUND(E644*F644,2)</f>
        <v>1155</v>
      </c>
      <c r="H644" s="824">
        <f t="shared" si="10"/>
        <v>1155</v>
      </c>
      <c r="I644" s="824">
        <f t="shared" si="10"/>
        <v>1155</v>
      </c>
      <c r="J644" s="816"/>
      <c r="K644" s="816"/>
      <c r="L644" s="816"/>
    </row>
    <row r="645" spans="1:12">
      <c r="A645" s="972"/>
      <c r="B645" s="752"/>
      <c r="C645" s="745" t="s">
        <v>1726</v>
      </c>
      <c r="D645" s="732"/>
      <c r="E645" s="732">
        <f>SUM(G639:G644)</f>
        <v>5423.5159999999996</v>
      </c>
      <c r="F645" s="732"/>
      <c r="G645" s="732">
        <v>0</v>
      </c>
      <c r="H645" s="757">
        <v>0</v>
      </c>
      <c r="I645" s="757">
        <f>H645</f>
        <v>0</v>
      </c>
      <c r="J645" s="726"/>
      <c r="K645" s="726"/>
      <c r="L645" s="726"/>
    </row>
    <row r="646" spans="1:12" hidden="1">
      <c r="A646" s="972"/>
      <c r="B646" s="752"/>
      <c r="C646" s="813" t="s">
        <v>1724</v>
      </c>
      <c r="D646" s="737">
        <f>D1</f>
        <v>0</v>
      </c>
      <c r="E646" s="778"/>
      <c r="F646" s="778"/>
      <c r="G646" s="736">
        <f>(SUM(G641:G644))*D646</f>
        <v>0</v>
      </c>
      <c r="H646" s="736">
        <f>(SUM(H641:H644))*D646</f>
        <v>0</v>
      </c>
      <c r="I646" s="736">
        <f>(SUM(I641:I644))*D646</f>
        <v>0</v>
      </c>
      <c r="J646" s="726"/>
      <c r="K646" s="726"/>
      <c r="L646" s="726"/>
    </row>
    <row r="647" spans="1:12" s="817" customFormat="1" ht="13.5" customHeight="1">
      <c r="A647" s="979"/>
      <c r="B647" s="826"/>
      <c r="C647" s="827" t="s">
        <v>615</v>
      </c>
      <c r="D647" s="828"/>
      <c r="E647" s="829"/>
      <c r="F647" s="825"/>
      <c r="G647" s="830"/>
      <c r="H647" s="830">
        <f>SUM(H642:H644)*10/100</f>
        <v>173.1</v>
      </c>
      <c r="I647" s="830">
        <f>SUM(I642:I644)*20/100</f>
        <v>346.2</v>
      </c>
      <c r="J647" s="816"/>
      <c r="K647" s="816"/>
      <c r="L647" s="816"/>
    </row>
    <row r="648" spans="1:12" s="817" customFormat="1">
      <c r="A648" s="978"/>
      <c r="B648" s="818"/>
      <c r="C648" s="819" t="s">
        <v>142</v>
      </c>
      <c r="D648" s="823"/>
      <c r="E648" s="831"/>
      <c r="F648" s="831"/>
      <c r="G648" s="832">
        <f>SUM(G639:G647)</f>
        <v>5423.5159999999996</v>
      </c>
      <c r="H648" s="832">
        <f>SUM(H639:H647)</f>
        <v>5596.616</v>
      </c>
      <c r="I648" s="832">
        <f>SUM(I639:I647)</f>
        <v>5769.7159999999994</v>
      </c>
      <c r="J648" s="816"/>
      <c r="K648" s="816"/>
      <c r="L648" s="816"/>
    </row>
    <row r="649" spans="1:12" s="817" customFormat="1">
      <c r="A649" s="978"/>
      <c r="B649" s="818"/>
      <c r="C649" s="833" t="s">
        <v>295</v>
      </c>
      <c r="D649" s="825"/>
      <c r="E649" s="825"/>
      <c r="F649" s="825"/>
      <c r="G649" s="832"/>
      <c r="H649" s="830"/>
      <c r="I649" s="830"/>
      <c r="J649" s="816"/>
      <c r="K649" s="816"/>
      <c r="L649" s="816"/>
    </row>
    <row r="650" spans="1:12" s="817" customFormat="1">
      <c r="A650" s="978"/>
      <c r="B650" s="818"/>
      <c r="C650" s="834" t="s">
        <v>1054</v>
      </c>
      <c r="D650" s="825" t="s">
        <v>113</v>
      </c>
      <c r="E650" s="825">
        <v>10</v>
      </c>
      <c r="F650" s="825">
        <f>F633</f>
        <v>89.78</v>
      </c>
      <c r="G650" s="825">
        <f>ROUND(E650*F650,2)</f>
        <v>897.8</v>
      </c>
      <c r="H650" s="755">
        <f>ROUND(E650*'[125]Centring charges'!Q28,2)</f>
        <v>1241</v>
      </c>
      <c r="I650" s="755">
        <f>ROUND(E650*'[125]Centring charges'!AC27,2)</f>
        <v>1584.1</v>
      </c>
      <c r="J650" s="835"/>
      <c r="K650" s="816"/>
      <c r="L650" s="835"/>
    </row>
    <row r="651" spans="1:12" s="817" customFormat="1">
      <c r="A651" s="978"/>
      <c r="B651" s="818"/>
      <c r="C651" s="834"/>
      <c r="D651" s="825"/>
      <c r="E651" s="825"/>
      <c r="F651" s="825"/>
      <c r="G651" s="832">
        <f>SUM(G648:G650)</f>
        <v>6321.3159999999998</v>
      </c>
      <c r="H651" s="832">
        <f>SUM(H648:H650)</f>
        <v>6837.616</v>
      </c>
      <c r="I651" s="832">
        <f>SUM(I648:I650)</f>
        <v>7353.8159999999989</v>
      </c>
      <c r="J651" s="816"/>
      <c r="K651" s="816"/>
      <c r="L651" s="816"/>
    </row>
    <row r="652" spans="1:12" s="817" customFormat="1">
      <c r="A652" s="978"/>
      <c r="B652" s="818"/>
      <c r="C652" s="819" t="s">
        <v>1055</v>
      </c>
      <c r="D652" s="823"/>
      <c r="E652" s="831"/>
      <c r="F652" s="831"/>
      <c r="G652" s="832">
        <f>ROUND(G651/10,2)</f>
        <v>632.13</v>
      </c>
      <c r="H652" s="832">
        <f>ROUND(H651/10,2)</f>
        <v>683.76</v>
      </c>
      <c r="I652" s="832">
        <f>ROUND(I651/10,2)</f>
        <v>735.38</v>
      </c>
      <c r="J652" s="816"/>
      <c r="K652" s="816"/>
      <c r="L652" s="816"/>
    </row>
    <row r="653" spans="1:12" ht="26.25" customHeight="1">
      <c r="A653" s="967" t="s">
        <v>126</v>
      </c>
      <c r="B653" s="1307">
        <v>19</v>
      </c>
      <c r="C653" s="2030" t="s">
        <v>2078</v>
      </c>
      <c r="D653" s="2031"/>
      <c r="E653" s="2031"/>
      <c r="F653" s="2031"/>
      <c r="G653" s="2080"/>
      <c r="H653" s="2081"/>
      <c r="I653" s="752"/>
      <c r="J653" s="726"/>
      <c r="K653" s="726"/>
      <c r="L653" s="726"/>
    </row>
    <row r="654" spans="1:12">
      <c r="A654" s="967"/>
      <c r="B654" s="836"/>
      <c r="C654" s="749" t="s">
        <v>23</v>
      </c>
      <c r="D654" s="758"/>
      <c r="E654" s="758"/>
      <c r="F654" s="724"/>
      <c r="G654" s="758"/>
      <c r="H654" s="789"/>
      <c r="I654" s="789"/>
      <c r="J654" s="726"/>
      <c r="K654" s="726"/>
      <c r="L654" s="726"/>
    </row>
    <row r="655" spans="1:12">
      <c r="A655" s="967"/>
      <c r="B655" s="836"/>
      <c r="C655" s="749" t="s">
        <v>24</v>
      </c>
      <c r="D655" s="758"/>
      <c r="E655" s="758"/>
      <c r="F655" s="724"/>
      <c r="G655" s="728" t="s">
        <v>613</v>
      </c>
      <c r="H655" s="728" t="s">
        <v>611</v>
      </c>
      <c r="I655" s="728" t="s">
        <v>614</v>
      </c>
      <c r="J655" s="726"/>
      <c r="K655" s="726"/>
      <c r="L655" s="726"/>
    </row>
    <row r="656" spans="1:12">
      <c r="A656" s="967"/>
      <c r="B656" s="836"/>
      <c r="C656" s="759" t="s">
        <v>1056</v>
      </c>
      <c r="D656" s="837" t="s">
        <v>117</v>
      </c>
      <c r="E656" s="757">
        <v>0.15</v>
      </c>
      <c r="F656" s="725">
        <f>G117</f>
        <v>2839.42</v>
      </c>
      <c r="G656" s="732">
        <f>ROUND(E656*F656,2)</f>
        <v>425.91</v>
      </c>
      <c r="H656" s="757">
        <f>G656</f>
        <v>425.91</v>
      </c>
      <c r="I656" s="757">
        <f>H656</f>
        <v>425.91</v>
      </c>
      <c r="J656" s="726"/>
      <c r="K656" s="726"/>
      <c r="L656" s="726"/>
    </row>
    <row r="657" spans="1:12">
      <c r="A657" s="972"/>
      <c r="B657" s="752"/>
      <c r="C657" s="808" t="s">
        <v>278</v>
      </c>
      <c r="D657" s="752"/>
      <c r="E657" s="752"/>
      <c r="F657" s="752"/>
      <c r="G657" s="758"/>
      <c r="H657" s="757"/>
      <c r="I657" s="757"/>
      <c r="J657" s="726"/>
      <c r="K657" s="726"/>
      <c r="L657" s="726"/>
    </row>
    <row r="658" spans="1:12">
      <c r="A658" s="972"/>
      <c r="B658" s="752"/>
      <c r="C658" s="726" t="s">
        <v>401</v>
      </c>
      <c r="D658" s="752" t="s">
        <v>119</v>
      </c>
      <c r="E658" s="757">
        <v>0.45</v>
      </c>
      <c r="F658" s="757">
        <f>F624</f>
        <v>500</v>
      </c>
      <c r="G658" s="732">
        <f>ROUND((E658*F658),2)</f>
        <v>225</v>
      </c>
      <c r="H658" s="757">
        <f>G658</f>
        <v>225</v>
      </c>
      <c r="I658" s="757">
        <f t="shared" ref="I658:I665" si="11">H658</f>
        <v>225</v>
      </c>
      <c r="J658" s="726"/>
      <c r="K658" s="726"/>
      <c r="L658" s="726"/>
    </row>
    <row r="659" spans="1:12">
      <c r="A659" s="972"/>
      <c r="B659" s="752"/>
      <c r="C659" s="726" t="s">
        <v>402</v>
      </c>
      <c r="D659" s="752" t="s">
        <v>119</v>
      </c>
      <c r="E659" s="757">
        <v>1.05</v>
      </c>
      <c r="F659" s="757">
        <f>F625</f>
        <v>460</v>
      </c>
      <c r="G659" s="732">
        <f>ROUND((E659*F659),2)</f>
        <v>483</v>
      </c>
      <c r="H659" s="757">
        <f>G659</f>
        <v>483</v>
      </c>
      <c r="I659" s="757">
        <f t="shared" si="11"/>
        <v>483</v>
      </c>
      <c r="J659" s="726"/>
      <c r="K659" s="726"/>
      <c r="L659" s="726"/>
    </row>
    <row r="660" spans="1:12">
      <c r="A660" s="972"/>
      <c r="B660" s="752"/>
      <c r="C660" s="726" t="s">
        <v>268</v>
      </c>
      <c r="D660" s="752" t="s">
        <v>119</v>
      </c>
      <c r="E660" s="757">
        <v>2.8</v>
      </c>
      <c r="F660" s="757">
        <f>F626</f>
        <v>420</v>
      </c>
      <c r="G660" s="732">
        <f>ROUND((E660*F660),2)</f>
        <v>1176</v>
      </c>
      <c r="H660" s="757">
        <f>G660</f>
        <v>1176</v>
      </c>
      <c r="I660" s="757">
        <f t="shared" si="11"/>
        <v>1176</v>
      </c>
      <c r="J660" s="726"/>
      <c r="K660" s="726"/>
      <c r="L660" s="726"/>
    </row>
    <row r="661" spans="1:12">
      <c r="A661" s="972"/>
      <c r="B661" s="752"/>
      <c r="C661" s="745" t="s">
        <v>1726</v>
      </c>
      <c r="D661" s="732"/>
      <c r="E661" s="732">
        <f>SUM(G655:G660)</f>
        <v>2309.91</v>
      </c>
      <c r="F661" s="732"/>
      <c r="G661" s="732">
        <f>E661*0</f>
        <v>0</v>
      </c>
      <c r="H661" s="757">
        <f>G661</f>
        <v>0</v>
      </c>
      <c r="I661" s="757">
        <f>H661</f>
        <v>0</v>
      </c>
      <c r="J661" s="726"/>
      <c r="K661" s="726"/>
      <c r="L661" s="726"/>
    </row>
    <row r="662" spans="1:12" hidden="1">
      <c r="A662" s="972"/>
      <c r="B662" s="752"/>
      <c r="C662" s="813" t="s">
        <v>1724</v>
      </c>
      <c r="D662" s="737">
        <f>D1</f>
        <v>0</v>
      </c>
      <c r="E662" s="778"/>
      <c r="F662" s="778"/>
      <c r="G662" s="736">
        <f>(SUM(G657:G660))*D662</f>
        <v>0</v>
      </c>
      <c r="H662" s="736">
        <f>(SUM(H657:H660))*D662</f>
        <v>0</v>
      </c>
      <c r="I662" s="736">
        <f>(SUM(I657:I660))*D662</f>
        <v>0</v>
      </c>
      <c r="J662" s="726"/>
      <c r="K662" s="726"/>
      <c r="L662" s="726"/>
    </row>
    <row r="663" spans="1:12" ht="13.5" customHeight="1">
      <c r="A663" s="970"/>
      <c r="B663" s="733"/>
      <c r="C663" s="735" t="s">
        <v>615</v>
      </c>
      <c r="D663" s="737"/>
      <c r="E663" s="731"/>
      <c r="F663" s="732"/>
      <c r="G663" s="755"/>
      <c r="H663" s="757">
        <f>ROUND(H660+H659+H658,2)*10%</f>
        <v>188.4</v>
      </c>
      <c r="I663" s="757">
        <f>ROUND(I660+I659+I658,2)*20%</f>
        <v>376.8</v>
      </c>
      <c r="J663" s="726"/>
      <c r="K663" s="726"/>
      <c r="L663" s="726"/>
    </row>
    <row r="664" spans="1:12">
      <c r="A664" s="972"/>
      <c r="B664" s="752"/>
      <c r="C664" s="729" t="s">
        <v>295</v>
      </c>
      <c r="D664" s="732"/>
      <c r="E664" s="732"/>
      <c r="F664" s="732"/>
      <c r="G664" s="780"/>
      <c r="H664" s="726"/>
      <c r="I664" s="757"/>
      <c r="J664" s="726"/>
      <c r="K664" s="726"/>
      <c r="L664" s="726"/>
    </row>
    <row r="665" spans="1:12">
      <c r="A665" s="972"/>
      <c r="B665" s="752"/>
      <c r="C665" s="745" t="s">
        <v>419</v>
      </c>
      <c r="D665" s="732" t="s">
        <v>113</v>
      </c>
      <c r="E665" s="732">
        <v>10</v>
      </c>
      <c r="F665" s="732">
        <v>18.37</v>
      </c>
      <c r="G665" s="732">
        <v>183.7</v>
      </c>
      <c r="H665" s="757">
        <f>ROUND(E665*'[125]Centring charges'!Q34,2)</f>
        <v>250.3</v>
      </c>
      <c r="I665" s="757">
        <f t="shared" si="11"/>
        <v>250.3</v>
      </c>
      <c r="J665" s="726"/>
      <c r="K665" s="726"/>
      <c r="L665" s="726"/>
    </row>
    <row r="666" spans="1:12">
      <c r="A666" s="972"/>
      <c r="B666" s="752"/>
      <c r="C666" s="838" t="s">
        <v>423</v>
      </c>
      <c r="D666" s="752"/>
      <c r="E666" s="752"/>
      <c r="F666" s="752"/>
      <c r="G666" s="732">
        <f>SUM(G656:G665)</f>
        <v>2493.6099999999997</v>
      </c>
      <c r="H666" s="732">
        <f>SUM(H656:H665)</f>
        <v>2748.61</v>
      </c>
      <c r="I666" s="732">
        <f>SUM(I656:I665)</f>
        <v>2937.01</v>
      </c>
      <c r="J666" s="726"/>
      <c r="K666" s="726"/>
      <c r="L666" s="726"/>
    </row>
    <row r="667" spans="1:12">
      <c r="A667" s="972"/>
      <c r="B667" s="752"/>
      <c r="C667" s="796" t="s">
        <v>424</v>
      </c>
      <c r="D667" s="752"/>
      <c r="E667" s="752"/>
      <c r="F667" s="752"/>
      <c r="G667" s="734">
        <f>ROUND(G666/10,2)</f>
        <v>249.36</v>
      </c>
      <c r="H667" s="734">
        <f>ROUND(H666/10,2)</f>
        <v>274.86</v>
      </c>
      <c r="I667" s="734">
        <f>ROUND(I666/10,2)</f>
        <v>293.7</v>
      </c>
      <c r="J667" s="726"/>
      <c r="K667" s="726"/>
      <c r="L667" s="726"/>
    </row>
    <row r="668" spans="1:12" ht="27" customHeight="1">
      <c r="A668" s="967" t="s">
        <v>126</v>
      </c>
      <c r="B668" s="1308">
        <v>20</v>
      </c>
      <c r="C668" s="2030" t="s">
        <v>219</v>
      </c>
      <c r="D668" s="2031"/>
      <c r="E668" s="2031"/>
      <c r="F668" s="2031"/>
      <c r="G668" s="2080"/>
      <c r="H668" s="2081"/>
      <c r="I668" s="726"/>
      <c r="J668" s="726"/>
      <c r="K668" s="726"/>
      <c r="L668" s="726"/>
    </row>
    <row r="669" spans="1:12">
      <c r="A669" s="967"/>
      <c r="B669" s="778"/>
      <c r="C669" s="749" t="s">
        <v>23</v>
      </c>
      <c r="D669" s="758"/>
      <c r="E669" s="758"/>
      <c r="F669" s="724"/>
      <c r="G669" s="758"/>
      <c r="H669" s="726"/>
      <c r="I669" s="726"/>
      <c r="J669" s="726"/>
      <c r="K669" s="726"/>
      <c r="L669" s="726"/>
    </row>
    <row r="670" spans="1:12">
      <c r="A670" s="967"/>
      <c r="B670" s="778"/>
      <c r="C670" s="749" t="s">
        <v>24</v>
      </c>
      <c r="D670" s="758"/>
      <c r="E670" s="758"/>
      <c r="F670" s="724"/>
      <c r="G670" s="728" t="s">
        <v>613</v>
      </c>
      <c r="H670" s="728" t="s">
        <v>611</v>
      </c>
      <c r="I670" s="728" t="s">
        <v>614</v>
      </c>
      <c r="J670" s="726"/>
      <c r="K670" s="726"/>
      <c r="L670" s="726"/>
    </row>
    <row r="671" spans="1:12">
      <c r="A671" s="967"/>
      <c r="B671" s="836"/>
      <c r="C671" s="759" t="s">
        <v>422</v>
      </c>
      <c r="D671" s="837" t="s">
        <v>117</v>
      </c>
      <c r="E671" s="757">
        <v>0.15</v>
      </c>
      <c r="F671" s="725">
        <f>G140</f>
        <v>2501.19</v>
      </c>
      <c r="G671" s="732">
        <f>ROUND(E671*F671,2)</f>
        <v>375.18</v>
      </c>
      <c r="H671" s="757">
        <f>ROUND(E671*F671,2)</f>
        <v>375.18</v>
      </c>
      <c r="I671" s="757">
        <f>ROUND(E671*F671,2)</f>
        <v>375.18</v>
      </c>
      <c r="J671" s="726"/>
      <c r="K671" s="726"/>
      <c r="L671" s="726"/>
    </row>
    <row r="672" spans="1:12">
      <c r="A672" s="972"/>
      <c r="B672" s="752"/>
      <c r="C672" s="808" t="s">
        <v>278</v>
      </c>
      <c r="D672" s="752"/>
      <c r="E672" s="757"/>
      <c r="F672" s="752"/>
      <c r="G672" s="758"/>
      <c r="H672" s="757"/>
      <c r="I672" s="757"/>
      <c r="J672" s="726"/>
      <c r="K672" s="726"/>
      <c r="L672" s="726"/>
    </row>
    <row r="673" spans="1:12">
      <c r="A673" s="972"/>
      <c r="B673" s="752"/>
      <c r="C673" s="726" t="s">
        <v>401</v>
      </c>
      <c r="D673" s="752" t="s">
        <v>119</v>
      </c>
      <c r="E673" s="757">
        <v>0.45</v>
      </c>
      <c r="F673" s="757">
        <f>F658</f>
        <v>500</v>
      </c>
      <c r="G673" s="732">
        <f>ROUND(E673*F673,2)</f>
        <v>225</v>
      </c>
      <c r="H673" s="757">
        <f>ROUND(E673*F673,2)</f>
        <v>225</v>
      </c>
      <c r="I673" s="757">
        <f>ROUND(E673*F673,2)</f>
        <v>225</v>
      </c>
      <c r="J673" s="726"/>
      <c r="K673" s="726"/>
      <c r="L673" s="726"/>
    </row>
    <row r="674" spans="1:12">
      <c r="A674" s="972"/>
      <c r="B674" s="752"/>
      <c r="C674" s="726" t="s">
        <v>402</v>
      </c>
      <c r="D674" s="752" t="s">
        <v>119</v>
      </c>
      <c r="E674" s="757">
        <v>1.05</v>
      </c>
      <c r="F674" s="757">
        <f>F659</f>
        <v>460</v>
      </c>
      <c r="G674" s="732">
        <f>ROUND((E674*F674),2)</f>
        <v>483</v>
      </c>
      <c r="H674" s="757">
        <f>ROUND(E674*F674,2)</f>
        <v>483</v>
      </c>
      <c r="I674" s="757">
        <f>ROUND(E674*F674,2)</f>
        <v>483</v>
      </c>
      <c r="J674" s="726"/>
      <c r="K674" s="726"/>
      <c r="L674" s="726"/>
    </row>
    <row r="675" spans="1:12">
      <c r="A675" s="972"/>
      <c r="B675" s="752"/>
      <c r="C675" s="726" t="s">
        <v>268</v>
      </c>
      <c r="D675" s="752" t="s">
        <v>119</v>
      </c>
      <c r="E675" s="757">
        <v>2.8</v>
      </c>
      <c r="F675" s="757">
        <f>F660</f>
        <v>420</v>
      </c>
      <c r="G675" s="732">
        <f>ROUND(E675*F675,2)</f>
        <v>1176</v>
      </c>
      <c r="H675" s="757">
        <f>ROUND(E675*F675,2)</f>
        <v>1176</v>
      </c>
      <c r="I675" s="757">
        <f>ROUND(E675*F675,2)</f>
        <v>1176</v>
      </c>
      <c r="J675" s="726"/>
      <c r="K675" s="726"/>
      <c r="L675" s="726"/>
    </row>
    <row r="676" spans="1:12">
      <c r="A676" s="972"/>
      <c r="B676" s="752"/>
      <c r="C676" s="745" t="s">
        <v>1726</v>
      </c>
      <c r="D676" s="732"/>
      <c r="E676" s="732">
        <f>SUM(G670:G675)</f>
        <v>2259.1800000000003</v>
      </c>
      <c r="F676" s="732"/>
      <c r="G676" s="732">
        <f>E676*0</f>
        <v>0</v>
      </c>
      <c r="H676" s="757">
        <f>G676</f>
        <v>0</v>
      </c>
      <c r="I676" s="757">
        <f>H676</f>
        <v>0</v>
      </c>
      <c r="J676" s="726"/>
      <c r="K676" s="726"/>
      <c r="L676" s="726"/>
    </row>
    <row r="677" spans="1:12" hidden="1">
      <c r="A677" s="972"/>
      <c r="B677" s="752"/>
      <c r="C677" s="813" t="s">
        <v>1724</v>
      </c>
      <c r="D677" s="737">
        <f>D1</f>
        <v>0</v>
      </c>
      <c r="E677" s="778"/>
      <c r="F677" s="778"/>
      <c r="G677" s="736">
        <f>(SUM(G672:G675))*D677</f>
        <v>0</v>
      </c>
      <c r="H677" s="736">
        <f>(SUM(H672:H675))*D677</f>
        <v>0</v>
      </c>
      <c r="I677" s="736">
        <f>(SUM(I672:I675))*D677</f>
        <v>0</v>
      </c>
      <c r="J677" s="726"/>
      <c r="K677" s="726"/>
      <c r="L677" s="726"/>
    </row>
    <row r="678" spans="1:12" ht="13.5" customHeight="1">
      <c r="A678" s="970"/>
      <c r="B678" s="733"/>
      <c r="C678" s="735" t="s">
        <v>615</v>
      </c>
      <c r="D678" s="737"/>
      <c r="E678" s="731"/>
      <c r="F678" s="732"/>
      <c r="G678" s="755"/>
      <c r="H678" s="757">
        <f>ROUND(H675+H674+H673,2)*10%</f>
        <v>188.4</v>
      </c>
      <c r="I678" s="757">
        <f>ROUND(I675+I674+I673,2)*20%</f>
        <v>376.8</v>
      </c>
      <c r="J678" s="726"/>
      <c r="K678" s="726"/>
      <c r="L678" s="726"/>
    </row>
    <row r="679" spans="1:12">
      <c r="A679" s="972"/>
      <c r="B679" s="752"/>
      <c r="C679" s="729" t="s">
        <v>295</v>
      </c>
      <c r="D679" s="732"/>
      <c r="E679" s="732"/>
      <c r="F679" s="732"/>
      <c r="G679" s="780"/>
      <c r="H679" s="757"/>
      <c r="I679" s="757"/>
      <c r="J679" s="726"/>
      <c r="K679" s="726"/>
      <c r="L679" s="726"/>
    </row>
    <row r="680" spans="1:12" ht="12" customHeight="1">
      <c r="A680" s="972"/>
      <c r="B680" s="752"/>
      <c r="C680" s="745" t="s">
        <v>419</v>
      </c>
      <c r="D680" s="732" t="s">
        <v>113</v>
      </c>
      <c r="E680" s="732">
        <v>10</v>
      </c>
      <c r="F680" s="732">
        <f>'[125]Centring charges'!Q30</f>
        <v>8.98</v>
      </c>
      <c r="G680" s="732">
        <v>89.78</v>
      </c>
      <c r="H680" s="757">
        <f>ROUND(E680*'[125]Centring charges'!Q31,2)</f>
        <v>124.1</v>
      </c>
      <c r="I680" s="757">
        <v>124.1</v>
      </c>
      <c r="J680" s="998" t="s">
        <v>1138</v>
      </c>
      <c r="K680" s="726"/>
      <c r="L680" s="726"/>
    </row>
    <row r="681" spans="1:12">
      <c r="A681" s="972"/>
      <c r="B681" s="752"/>
      <c r="C681" s="838" t="s">
        <v>423</v>
      </c>
      <c r="D681" s="752"/>
      <c r="E681" s="752"/>
      <c r="F681" s="752"/>
      <c r="G681" s="732">
        <f>SUM(G671:G680)</f>
        <v>2348.9600000000005</v>
      </c>
      <c r="H681" s="732">
        <f>SUM(H671:H680)</f>
        <v>2571.6800000000003</v>
      </c>
      <c r="I681" s="732">
        <f>SUM(I671:I680)</f>
        <v>2760.0800000000004</v>
      </c>
      <c r="J681" s="744">
        <f>G681-G680</f>
        <v>2259.1800000000003</v>
      </c>
      <c r="K681" s="726"/>
      <c r="L681" s="726"/>
    </row>
    <row r="682" spans="1:12">
      <c r="A682" s="972"/>
      <c r="B682" s="752"/>
      <c r="C682" s="796" t="s">
        <v>424</v>
      </c>
      <c r="D682" s="752"/>
      <c r="E682" s="752"/>
      <c r="F682" s="752"/>
      <c r="G682" s="734">
        <f>ROUND(G681/10,2)</f>
        <v>234.9</v>
      </c>
      <c r="H682" s="734">
        <f>ROUND(H681/10,2)</f>
        <v>257.17</v>
      </c>
      <c r="I682" s="734">
        <f>ROUND(I681/10,2)</f>
        <v>276.01</v>
      </c>
      <c r="J682" s="734">
        <f>ROUND(J681/10,2)</f>
        <v>225.92</v>
      </c>
      <c r="K682" s="726"/>
      <c r="L682" s="726"/>
    </row>
    <row r="683" spans="1:12" s="751" customFormat="1" ht="39.75" hidden="1" customHeight="1">
      <c r="A683" s="967" t="s">
        <v>111</v>
      </c>
      <c r="B683" s="748">
        <v>20</v>
      </c>
      <c r="C683" s="2043" t="s">
        <v>460</v>
      </c>
      <c r="D683" s="2043"/>
      <c r="E683" s="2043"/>
      <c r="F683" s="2043"/>
      <c r="G683" s="750"/>
      <c r="H683" s="726"/>
      <c r="I683" s="748"/>
      <c r="J683" s="748"/>
      <c r="K683" s="748"/>
      <c r="L683" s="748"/>
    </row>
    <row r="684" spans="1:12" s="777" customFormat="1" ht="15" hidden="1" customHeight="1">
      <c r="A684" s="975"/>
      <c r="B684" s="748"/>
      <c r="C684" s="759" t="s">
        <v>22</v>
      </c>
      <c r="D684" s="758" t="s">
        <v>522</v>
      </c>
      <c r="E684" s="758" t="s">
        <v>522</v>
      </c>
      <c r="F684" s="724" t="s">
        <v>522</v>
      </c>
      <c r="G684" s="728" t="s">
        <v>522</v>
      </c>
      <c r="H684" s="724"/>
      <c r="I684" s="724"/>
      <c r="J684" s="724"/>
      <c r="K684" s="724"/>
      <c r="L684" s="724"/>
    </row>
    <row r="685" spans="1:12" hidden="1">
      <c r="A685" s="972"/>
      <c r="B685" s="752"/>
      <c r="C685" s="729" t="s">
        <v>130</v>
      </c>
      <c r="D685" s="732"/>
      <c r="E685" s="732"/>
      <c r="F685" s="731"/>
      <c r="G685" s="728" t="s">
        <v>613</v>
      </c>
      <c r="H685" s="1487"/>
      <c r="I685" s="726"/>
      <c r="J685" s="726"/>
      <c r="K685" s="726"/>
      <c r="L685" s="726"/>
    </row>
    <row r="686" spans="1:12" hidden="1">
      <c r="A686" s="972"/>
      <c r="B686" s="752"/>
      <c r="C686" s="745" t="s">
        <v>461</v>
      </c>
      <c r="D686" s="732" t="s">
        <v>182</v>
      </c>
      <c r="E686" s="732">
        <v>1</v>
      </c>
      <c r="F686" s="840">
        <f>[125]Bldg.rates!F65</f>
        <v>180</v>
      </c>
      <c r="G686" s="732">
        <f>ROUND(E686*F686,2)</f>
        <v>180</v>
      </c>
      <c r="H686" s="744"/>
      <c r="I686" s="726"/>
      <c r="J686" s="726"/>
      <c r="K686" s="726"/>
      <c r="L686" s="726"/>
    </row>
    <row r="687" spans="1:12" hidden="1">
      <c r="A687" s="972"/>
      <c r="B687" s="752"/>
      <c r="C687" s="808" t="s">
        <v>278</v>
      </c>
      <c r="D687" s="752"/>
      <c r="E687" s="752"/>
      <c r="F687" s="752"/>
      <c r="G687" s="758"/>
      <c r="H687" s="744"/>
      <c r="I687" s="726"/>
      <c r="J687" s="726"/>
      <c r="K687" s="726"/>
      <c r="L687" s="726"/>
    </row>
    <row r="688" spans="1:12" hidden="1">
      <c r="A688" s="972"/>
      <c r="B688" s="752"/>
      <c r="C688" s="726" t="s">
        <v>224</v>
      </c>
      <c r="D688" s="752" t="s">
        <v>119</v>
      </c>
      <c r="E688" s="757">
        <v>0.7</v>
      </c>
      <c r="F688" s="757"/>
      <c r="G688" s="758"/>
      <c r="H688" s="744"/>
      <c r="I688" s="726"/>
      <c r="J688" s="726"/>
      <c r="K688" s="726"/>
      <c r="L688" s="726"/>
    </row>
    <row r="689" spans="1:12" hidden="1">
      <c r="A689" s="972"/>
      <c r="B689" s="752"/>
      <c r="C689" s="726" t="s">
        <v>225</v>
      </c>
      <c r="D689" s="752"/>
      <c r="E689" s="757">
        <f>E688*30/100</f>
        <v>0.21</v>
      </c>
      <c r="F689" s="757">
        <f>[125]Bldg.rates!F87</f>
        <v>580</v>
      </c>
      <c r="G689" s="732">
        <f>ROUND(E689*F689,2)</f>
        <v>121.8</v>
      </c>
      <c r="H689" s="744"/>
      <c r="I689" s="726"/>
      <c r="J689" s="726"/>
      <c r="K689" s="726"/>
      <c r="L689" s="726"/>
    </row>
    <row r="690" spans="1:12" hidden="1">
      <c r="A690" s="972"/>
      <c r="B690" s="752"/>
      <c r="C690" s="726" t="s">
        <v>226</v>
      </c>
      <c r="D690" s="752"/>
      <c r="E690" s="757">
        <f>E688*70/100</f>
        <v>0.49</v>
      </c>
      <c r="F690" s="757">
        <f>[125]Bldg.rates!F88</f>
        <v>460</v>
      </c>
      <c r="G690" s="732">
        <f>ROUND(E690*F690,2)</f>
        <v>225.4</v>
      </c>
      <c r="H690" s="744"/>
      <c r="I690" s="726"/>
      <c r="J690" s="726"/>
      <c r="K690" s="726"/>
      <c r="L690" s="726"/>
    </row>
    <row r="691" spans="1:12" hidden="1">
      <c r="A691" s="972"/>
      <c r="B691" s="752"/>
      <c r="C691" s="813" t="s">
        <v>1724</v>
      </c>
      <c r="D691" s="730">
        <v>0.25</v>
      </c>
      <c r="E691" s="778"/>
      <c r="F691" s="778"/>
      <c r="G691" s="736">
        <f>(SUM(G687:G690))*D691</f>
        <v>86.8</v>
      </c>
      <c r="H691" s="736"/>
      <c r="I691" s="736"/>
      <c r="J691" s="726"/>
      <c r="K691" s="726"/>
      <c r="L691" s="726"/>
    </row>
    <row r="692" spans="1:12" ht="13.5" hidden="1" customHeight="1">
      <c r="A692" s="970"/>
      <c r="B692" s="733"/>
      <c r="C692" s="735" t="s">
        <v>615</v>
      </c>
      <c r="D692" s="737"/>
      <c r="E692" s="731"/>
      <c r="F692" s="732"/>
      <c r="G692" s="755"/>
      <c r="H692" s="841"/>
      <c r="I692" s="726"/>
      <c r="J692" s="726"/>
      <c r="K692" s="726"/>
      <c r="L692" s="726"/>
    </row>
    <row r="693" spans="1:12" ht="26" hidden="1">
      <c r="A693" s="972"/>
      <c r="B693" s="752"/>
      <c r="C693" s="745" t="s">
        <v>464</v>
      </c>
      <c r="D693" s="752"/>
      <c r="E693" s="757"/>
      <c r="F693" s="757"/>
      <c r="G693" s="755">
        <f>SUM(G689:G692)*0.5/100</f>
        <v>2.17</v>
      </c>
      <c r="H693" s="755"/>
      <c r="I693" s="726"/>
      <c r="J693" s="726"/>
      <c r="K693" s="726"/>
      <c r="L693" s="726"/>
    </row>
    <row r="694" spans="1:12" hidden="1">
      <c r="A694" s="972"/>
      <c r="B694" s="752"/>
      <c r="C694" s="729" t="s">
        <v>130</v>
      </c>
      <c r="D694" s="752"/>
      <c r="E694" s="757"/>
      <c r="F694" s="757"/>
      <c r="G694" s="758"/>
      <c r="H694" s="744"/>
      <c r="I694" s="726"/>
      <c r="J694" s="726"/>
      <c r="K694" s="726"/>
      <c r="L694" s="726"/>
    </row>
    <row r="695" spans="1:12" hidden="1">
      <c r="A695" s="972"/>
      <c r="B695" s="752"/>
      <c r="C695" s="729"/>
      <c r="D695" s="752"/>
      <c r="E695" s="757"/>
      <c r="F695" s="757"/>
      <c r="G695" s="758"/>
      <c r="H695" s="744"/>
      <c r="I695" s="726"/>
      <c r="J695" s="726"/>
      <c r="K695" s="726"/>
      <c r="L695" s="726"/>
    </row>
    <row r="696" spans="1:12" hidden="1">
      <c r="A696" s="972"/>
      <c r="B696" s="752"/>
      <c r="C696" s="745" t="s">
        <v>462</v>
      </c>
      <c r="D696" s="732" t="s">
        <v>182</v>
      </c>
      <c r="E696" s="795">
        <v>3.5</v>
      </c>
      <c r="F696" s="840">
        <f>[125]Bldg.rates!F70</f>
        <v>49</v>
      </c>
      <c r="G696" s="732">
        <f>ROUND(E696*F696,2)</f>
        <v>171.5</v>
      </c>
      <c r="H696" s="744"/>
      <c r="I696" s="726"/>
      <c r="J696" s="726"/>
      <c r="K696" s="726"/>
      <c r="L696" s="726"/>
    </row>
    <row r="697" spans="1:12" hidden="1">
      <c r="A697" s="972"/>
      <c r="B697" s="752"/>
      <c r="C697" s="808" t="s">
        <v>278</v>
      </c>
      <c r="D697" s="752"/>
      <c r="E697" s="752"/>
      <c r="F697" s="752"/>
      <c r="G697" s="758"/>
      <c r="H697" s="744"/>
      <c r="I697" s="726"/>
      <c r="J697" s="726"/>
      <c r="K697" s="726"/>
      <c r="L697" s="726"/>
    </row>
    <row r="698" spans="1:12" hidden="1">
      <c r="A698" s="972"/>
      <c r="B698" s="752"/>
      <c r="C698" s="726" t="s">
        <v>224</v>
      </c>
      <c r="D698" s="752" t="s">
        <v>119</v>
      </c>
      <c r="E698" s="757">
        <v>0.5</v>
      </c>
      <c r="F698" s="757"/>
      <c r="G698" s="758"/>
      <c r="H698" s="744"/>
      <c r="I698" s="726"/>
      <c r="J698" s="726"/>
      <c r="K698" s="726"/>
      <c r="L698" s="726"/>
    </row>
    <row r="699" spans="1:12" hidden="1">
      <c r="A699" s="972"/>
      <c r="B699" s="752"/>
      <c r="C699" s="726" t="s">
        <v>225</v>
      </c>
      <c r="D699" s="752"/>
      <c r="E699" s="757">
        <f>E698*30/100</f>
        <v>0.15</v>
      </c>
      <c r="F699" s="757">
        <f>F689</f>
        <v>580</v>
      </c>
      <c r="G699" s="732">
        <f>ROUND(E699*F699,2)</f>
        <v>87</v>
      </c>
      <c r="H699" s="744"/>
      <c r="I699" s="726"/>
      <c r="J699" s="726"/>
      <c r="K699" s="726"/>
      <c r="L699" s="726"/>
    </row>
    <row r="700" spans="1:12" hidden="1">
      <c r="A700" s="972"/>
      <c r="B700" s="752"/>
      <c r="C700" s="726" t="s">
        <v>226</v>
      </c>
      <c r="D700" s="752"/>
      <c r="E700" s="757">
        <f>E698*70/100</f>
        <v>0.35</v>
      </c>
      <c r="F700" s="757">
        <f>F690</f>
        <v>460</v>
      </c>
      <c r="G700" s="732">
        <f>ROUND(E700*F700,2)</f>
        <v>161</v>
      </c>
      <c r="H700" s="744"/>
      <c r="I700" s="726"/>
      <c r="J700" s="726"/>
      <c r="K700" s="726"/>
      <c r="L700" s="726"/>
    </row>
    <row r="701" spans="1:12" s="843" customFormat="1" hidden="1">
      <c r="A701" s="980"/>
      <c r="B701" s="813"/>
      <c r="C701" s="813" t="s">
        <v>268</v>
      </c>
      <c r="D701" s="730" t="s">
        <v>119</v>
      </c>
      <c r="E701" s="842">
        <v>1.5</v>
      </c>
      <c r="F701" s="778">
        <f>F675</f>
        <v>420</v>
      </c>
      <c r="G701" s="732">
        <f>ROUND(E701*F701,2)</f>
        <v>630</v>
      </c>
      <c r="H701" s="744"/>
      <c r="I701" s="813"/>
      <c r="J701" s="813"/>
      <c r="K701" s="813"/>
      <c r="L701" s="813"/>
    </row>
    <row r="702" spans="1:12" hidden="1">
      <c r="A702" s="972"/>
      <c r="B702" s="752"/>
      <c r="C702" s="813" t="s">
        <v>1724</v>
      </c>
      <c r="D702" s="730">
        <v>0.25</v>
      </c>
      <c r="E702" s="778"/>
      <c r="F702" s="778"/>
      <c r="G702" s="736">
        <f>(SUM(G698:G701))*D702</f>
        <v>219.5</v>
      </c>
      <c r="H702" s="736"/>
      <c r="I702" s="736"/>
      <c r="J702" s="726"/>
      <c r="K702" s="726"/>
      <c r="L702" s="726"/>
    </row>
    <row r="703" spans="1:12" ht="13.5" hidden="1" customHeight="1">
      <c r="A703" s="970"/>
      <c r="B703" s="733"/>
      <c r="C703" s="735" t="s">
        <v>615</v>
      </c>
      <c r="D703" s="737"/>
      <c r="E703" s="731"/>
      <c r="F703" s="732"/>
      <c r="G703" s="755"/>
      <c r="H703" s="841"/>
      <c r="I703" s="726"/>
      <c r="J703" s="726"/>
      <c r="K703" s="726"/>
      <c r="L703" s="726"/>
    </row>
    <row r="704" spans="1:12" ht="26" hidden="1">
      <c r="A704" s="972"/>
      <c r="B704" s="752"/>
      <c r="C704" s="745" t="s">
        <v>463</v>
      </c>
      <c r="D704" s="732"/>
      <c r="E704" s="795"/>
      <c r="F704" s="840"/>
      <c r="G704" s="755">
        <f>SUM(G699:G701)*1/100</f>
        <v>8.7799999999999994</v>
      </c>
      <c r="H704" s="841"/>
      <c r="I704" s="726"/>
      <c r="J704" s="726"/>
      <c r="K704" s="726"/>
      <c r="L704" s="726"/>
    </row>
    <row r="705" spans="1:12" ht="23.25" hidden="1" customHeight="1">
      <c r="A705" s="972"/>
      <c r="B705" s="752"/>
      <c r="C705" s="729" t="s">
        <v>134</v>
      </c>
      <c r="D705" s="731"/>
      <c r="E705" s="795"/>
      <c r="F705" s="840"/>
      <c r="G705" s="732">
        <f>SUM(G686:G704)</f>
        <v>1893.95</v>
      </c>
      <c r="H705" s="844"/>
      <c r="I705" s="726"/>
      <c r="J705" s="726"/>
      <c r="K705" s="726"/>
      <c r="L705" s="726"/>
    </row>
    <row r="706" spans="1:12" hidden="1">
      <c r="A706" s="972"/>
      <c r="B706" s="752"/>
      <c r="C706" s="756" t="s">
        <v>421</v>
      </c>
      <c r="D706" s="731"/>
      <c r="E706" s="731"/>
      <c r="F706" s="731"/>
      <c r="G706" s="734">
        <f>G705/10</f>
        <v>189.39500000000001</v>
      </c>
      <c r="H706" s="845"/>
      <c r="I706" s="726"/>
      <c r="J706" s="726"/>
      <c r="K706" s="726"/>
      <c r="L706" s="726"/>
    </row>
    <row r="707" spans="1:12" hidden="1">
      <c r="A707" s="972"/>
      <c r="B707" s="752"/>
      <c r="C707" s="756"/>
      <c r="D707" s="731"/>
      <c r="E707" s="731"/>
      <c r="F707" s="731"/>
      <c r="G707" s="734">
        <f>SUM(G706:G706)</f>
        <v>189.39500000000001</v>
      </c>
      <c r="H707" s="845"/>
      <c r="I707" s="726"/>
      <c r="J707" s="726"/>
      <c r="K707" s="726"/>
      <c r="L707" s="726"/>
    </row>
    <row r="708" spans="1:12" s="843" customFormat="1" ht="28.5" customHeight="1">
      <c r="A708" s="975" t="s">
        <v>102</v>
      </c>
      <c r="B708" s="748">
        <v>21</v>
      </c>
      <c r="C708" s="2030" t="s">
        <v>1782</v>
      </c>
      <c r="D708" s="2031"/>
      <c r="E708" s="2031"/>
      <c r="F708" s="2031"/>
      <c r="G708" s="2032"/>
      <c r="H708" s="813"/>
      <c r="I708" s="813"/>
      <c r="J708" s="813"/>
      <c r="K708" s="813"/>
      <c r="L708" s="813"/>
    </row>
    <row r="709" spans="1:12" s="843" customFormat="1">
      <c r="A709" s="975"/>
      <c r="B709" s="724"/>
      <c r="C709" s="813" t="s">
        <v>23</v>
      </c>
      <c r="D709" s="730"/>
      <c r="E709" s="730"/>
      <c r="F709" s="730"/>
      <c r="G709" s="730"/>
      <c r="H709" s="813"/>
      <c r="I709" s="813"/>
      <c r="J709" s="813"/>
      <c r="K709" s="813"/>
      <c r="L709" s="813"/>
    </row>
    <row r="710" spans="1:12" s="843" customFormat="1">
      <c r="A710" s="975"/>
      <c r="B710" s="724"/>
      <c r="C710" s="813" t="s">
        <v>24</v>
      </c>
      <c r="D710" s="730"/>
      <c r="E710" s="730"/>
      <c r="F710" s="730"/>
      <c r="G710" s="730"/>
      <c r="H710" s="813"/>
      <c r="I710" s="813"/>
      <c r="J710" s="813"/>
      <c r="K710" s="813"/>
      <c r="L710" s="813"/>
    </row>
    <row r="711" spans="1:12" s="843" customFormat="1">
      <c r="A711" s="975"/>
      <c r="B711" s="724"/>
      <c r="C711" s="813" t="s">
        <v>1783</v>
      </c>
      <c r="D711" s="730"/>
      <c r="E711" s="730"/>
      <c r="F711" s="730"/>
      <c r="G711" s="738" t="s">
        <v>613</v>
      </c>
      <c r="H711" s="738" t="s">
        <v>611</v>
      </c>
      <c r="I711" s="738" t="s">
        <v>614</v>
      </c>
      <c r="J711" s="813"/>
      <c r="K711" s="813"/>
      <c r="L711" s="813"/>
    </row>
    <row r="712" spans="1:12" s="843" customFormat="1">
      <c r="A712" s="975"/>
      <c r="B712" s="724"/>
      <c r="C712" s="813" t="s">
        <v>218</v>
      </c>
      <c r="D712" s="730" t="s">
        <v>131</v>
      </c>
      <c r="E712" s="730">
        <v>21.5</v>
      </c>
      <c r="F712" s="778">
        <f>'Lead statement (2)'!J24</f>
        <v>4.6975999999999996</v>
      </c>
      <c r="G712" s="778">
        <f>E712*F712</f>
        <v>100.99839999999999</v>
      </c>
      <c r="H712" s="778">
        <f>G712</f>
        <v>100.99839999999999</v>
      </c>
      <c r="I712" s="778">
        <f>H712</f>
        <v>100.99839999999999</v>
      </c>
      <c r="J712" s="813"/>
      <c r="K712" s="813"/>
      <c r="L712" s="813"/>
    </row>
    <row r="713" spans="1:12" s="843" customFormat="1">
      <c r="A713" s="975"/>
      <c r="B713" s="724"/>
      <c r="C713" s="813" t="s">
        <v>263</v>
      </c>
      <c r="D713" s="730" t="s">
        <v>117</v>
      </c>
      <c r="E713" s="730">
        <v>0.11</v>
      </c>
      <c r="F713" s="778">
        <f>'Lead statement (2)'!J8</f>
        <v>1013.6</v>
      </c>
      <c r="G713" s="778">
        <f>E713*F713</f>
        <v>111.49600000000001</v>
      </c>
      <c r="H713" s="778">
        <f>G713</f>
        <v>111.49600000000001</v>
      </c>
      <c r="I713" s="778">
        <f>H713</f>
        <v>111.49600000000001</v>
      </c>
      <c r="J713" s="813"/>
      <c r="K713" s="813"/>
      <c r="L713" s="813"/>
    </row>
    <row r="714" spans="1:12" s="843" customFormat="1">
      <c r="A714" s="975"/>
      <c r="B714" s="724"/>
      <c r="C714" s="813" t="s">
        <v>1692</v>
      </c>
      <c r="D714" s="730"/>
      <c r="E714" s="730"/>
      <c r="F714" s="730"/>
      <c r="G714" s="778"/>
      <c r="H714" s="778"/>
      <c r="I714" s="778"/>
      <c r="J714" s="813"/>
      <c r="K714" s="813"/>
      <c r="L714" s="813"/>
    </row>
    <row r="715" spans="1:12" s="843" customFormat="1">
      <c r="A715" s="975"/>
      <c r="B715" s="724"/>
      <c r="C715" s="813" t="s">
        <v>218</v>
      </c>
      <c r="D715" s="730" t="s">
        <v>131</v>
      </c>
      <c r="E715" s="730">
        <v>14.5</v>
      </c>
      <c r="F715" s="778">
        <f>F712</f>
        <v>4.6975999999999996</v>
      </c>
      <c r="G715" s="778">
        <f>E715*F715</f>
        <v>68.115199999999987</v>
      </c>
      <c r="H715" s="778">
        <f>G715</f>
        <v>68.115199999999987</v>
      </c>
      <c r="I715" s="778">
        <f>H715</f>
        <v>68.115199999999987</v>
      </c>
      <c r="J715" s="813"/>
      <c r="K715" s="813"/>
      <c r="L715" s="813"/>
    </row>
    <row r="716" spans="1:12" s="843" customFormat="1">
      <c r="A716" s="975"/>
      <c r="B716" s="724"/>
      <c r="C716" s="813" t="s">
        <v>263</v>
      </c>
      <c r="D716" s="730" t="s">
        <v>117</v>
      </c>
      <c r="E716" s="730">
        <v>0.04</v>
      </c>
      <c r="F716" s="778">
        <f>F713</f>
        <v>1013.6</v>
      </c>
      <c r="G716" s="778">
        <f>E716*F716</f>
        <v>40.544000000000004</v>
      </c>
      <c r="H716" s="778">
        <f>G716</f>
        <v>40.544000000000004</v>
      </c>
      <c r="I716" s="778">
        <f>H716</f>
        <v>40.544000000000004</v>
      </c>
      <c r="J716" s="813"/>
      <c r="K716" s="813"/>
      <c r="L716" s="813"/>
    </row>
    <row r="717" spans="1:12" s="843" customFormat="1">
      <c r="A717" s="975"/>
      <c r="B717" s="724"/>
      <c r="C717" s="813" t="s">
        <v>278</v>
      </c>
      <c r="D717" s="730"/>
      <c r="E717" s="730"/>
      <c r="F717" s="730"/>
      <c r="G717" s="778"/>
      <c r="H717" s="778"/>
      <c r="I717" s="778"/>
      <c r="J717" s="813"/>
      <c r="K717" s="813"/>
      <c r="L717" s="813"/>
    </row>
    <row r="718" spans="1:12" s="843" customFormat="1">
      <c r="A718" s="975"/>
      <c r="B718" s="724"/>
      <c r="C718" s="813" t="s">
        <v>401</v>
      </c>
      <c r="D718" s="730" t="s">
        <v>119</v>
      </c>
      <c r="E718" s="730">
        <v>0.63</v>
      </c>
      <c r="F718" s="778">
        <v>500</v>
      </c>
      <c r="G718" s="778">
        <f>E718*F718</f>
        <v>315</v>
      </c>
      <c r="H718" s="778">
        <f t="shared" ref="H718:I722" si="12">G718</f>
        <v>315</v>
      </c>
      <c r="I718" s="778">
        <f t="shared" si="12"/>
        <v>315</v>
      </c>
      <c r="J718" s="813"/>
      <c r="K718" s="813"/>
      <c r="L718" s="813"/>
    </row>
    <row r="719" spans="1:12" s="843" customFormat="1">
      <c r="A719" s="975"/>
      <c r="B719" s="724"/>
      <c r="C719" s="813" t="s">
        <v>402</v>
      </c>
      <c r="D719" s="730" t="s">
        <v>119</v>
      </c>
      <c r="E719" s="730">
        <v>1.47</v>
      </c>
      <c r="F719" s="778">
        <v>460</v>
      </c>
      <c r="G719" s="778">
        <f>E719*F719</f>
        <v>676.19999999999993</v>
      </c>
      <c r="H719" s="778">
        <f t="shared" si="12"/>
        <v>676.19999999999993</v>
      </c>
      <c r="I719" s="778">
        <f t="shared" si="12"/>
        <v>676.19999999999993</v>
      </c>
      <c r="J719" s="813"/>
      <c r="K719" s="813"/>
      <c r="L719" s="813"/>
    </row>
    <row r="720" spans="1:12" s="843" customFormat="1">
      <c r="A720" s="975"/>
      <c r="B720" s="724"/>
      <c r="C720" s="813" t="s">
        <v>268</v>
      </c>
      <c r="D720" s="730" t="s">
        <v>119</v>
      </c>
      <c r="E720" s="730">
        <v>3.9</v>
      </c>
      <c r="F720" s="778">
        <v>420</v>
      </c>
      <c r="G720" s="778">
        <f>E720*F720</f>
        <v>1638</v>
      </c>
      <c r="H720" s="778">
        <f t="shared" si="12"/>
        <v>1638</v>
      </c>
      <c r="I720" s="778">
        <f t="shared" si="12"/>
        <v>1638</v>
      </c>
      <c r="J720" s="813"/>
      <c r="K720" s="813"/>
      <c r="L720" s="813"/>
    </row>
    <row r="721" spans="1:12">
      <c r="A721" s="972"/>
      <c r="B721" s="726"/>
      <c r="C721" s="745" t="s">
        <v>1727</v>
      </c>
      <c r="D721" s="732"/>
      <c r="E721" s="732"/>
      <c r="F721" s="732">
        <f>SUM(G712:G720)</f>
        <v>2950.3535999999999</v>
      </c>
      <c r="G721" s="732">
        <v>0</v>
      </c>
      <c r="H721" s="732">
        <f t="shared" si="12"/>
        <v>0</v>
      </c>
      <c r="I721" s="732">
        <f t="shared" si="12"/>
        <v>0</v>
      </c>
      <c r="J721" s="726"/>
      <c r="K721" s="726"/>
      <c r="L721" s="726"/>
    </row>
    <row r="722" spans="1:12" hidden="1">
      <c r="A722" s="972"/>
      <c r="B722" s="752"/>
      <c r="C722" s="813" t="s">
        <v>1724</v>
      </c>
      <c r="D722" s="737">
        <f>D1</f>
        <v>0</v>
      </c>
      <c r="E722" s="778"/>
      <c r="F722" s="778"/>
      <c r="G722" s="736">
        <f>(SUM(G718:G720))*D722</f>
        <v>0</v>
      </c>
      <c r="H722" s="736">
        <f t="shared" si="12"/>
        <v>0</v>
      </c>
      <c r="I722" s="736">
        <f t="shared" si="12"/>
        <v>0</v>
      </c>
      <c r="J722" s="726"/>
      <c r="K722" s="726"/>
      <c r="L722" s="726"/>
    </row>
    <row r="723" spans="1:12" ht="13.5" customHeight="1">
      <c r="A723" s="970"/>
      <c r="B723" s="733"/>
      <c r="C723" s="735" t="s">
        <v>615</v>
      </c>
      <c r="D723" s="737"/>
      <c r="E723" s="731"/>
      <c r="F723" s="732"/>
      <c r="G723" s="755"/>
      <c r="H723" s="755">
        <f>SUM(H718:H720)*10/100</f>
        <v>262.92</v>
      </c>
      <c r="I723" s="755">
        <f>SUM(I718:I720)*20/100</f>
        <v>525.84</v>
      </c>
      <c r="J723" s="726"/>
      <c r="K723" s="726"/>
      <c r="L723" s="726"/>
    </row>
    <row r="724" spans="1:12">
      <c r="A724" s="972"/>
      <c r="B724" s="752"/>
      <c r="C724" s="729" t="s">
        <v>295</v>
      </c>
      <c r="D724" s="732"/>
      <c r="E724" s="732"/>
      <c r="F724" s="732"/>
      <c r="G724" s="780"/>
      <c r="H724" s="757"/>
      <c r="I724" s="757"/>
      <c r="J724" s="726"/>
      <c r="K724" s="726"/>
      <c r="L724" s="726"/>
    </row>
    <row r="725" spans="1:12" ht="16.5" customHeight="1">
      <c r="A725" s="972"/>
      <c r="B725" s="752"/>
      <c r="C725" s="745" t="s">
        <v>419</v>
      </c>
      <c r="D725" s="732" t="s">
        <v>113</v>
      </c>
      <c r="E725" s="732">
        <v>10</v>
      </c>
      <c r="F725" s="732"/>
      <c r="G725" s="732">
        <v>89.78</v>
      </c>
      <c r="H725" s="757">
        <v>124.1</v>
      </c>
      <c r="I725" s="757">
        <v>124.1</v>
      </c>
      <c r="J725" s="998" t="s">
        <v>1138</v>
      </c>
      <c r="K725" s="726"/>
      <c r="L725" s="726"/>
    </row>
    <row r="726" spans="1:12" s="843" customFormat="1">
      <c r="A726" s="975"/>
      <c r="B726" s="724"/>
      <c r="C726" s="813" t="s">
        <v>335</v>
      </c>
      <c r="D726" s="730"/>
      <c r="E726" s="730"/>
      <c r="F726" s="730"/>
      <c r="G726" s="778">
        <f>SUM(G712:G725)</f>
        <v>3040.1336000000001</v>
      </c>
      <c r="H726" s="778">
        <f>SUM(H712:H725)</f>
        <v>3337.3735999999999</v>
      </c>
      <c r="I726" s="778">
        <f>SUM(I712:I725)</f>
        <v>3600.2936</v>
      </c>
      <c r="J726" s="813"/>
      <c r="K726" s="813"/>
      <c r="L726" s="813"/>
    </row>
    <row r="727" spans="1:12" s="863" customFormat="1">
      <c r="A727" s="967"/>
      <c r="B727" s="748"/>
      <c r="C727" s="746" t="s">
        <v>336</v>
      </c>
      <c r="D727" s="1487"/>
      <c r="E727" s="1487"/>
      <c r="F727" s="1487"/>
      <c r="G727" s="734">
        <f>ROUND(G726/10,2)</f>
        <v>304.01</v>
      </c>
      <c r="H727" s="734">
        <f>ROUND(H726/10,2)</f>
        <v>333.74</v>
      </c>
      <c r="I727" s="734">
        <f>ROUND(I726/10,2)</f>
        <v>360.03</v>
      </c>
      <c r="J727" s="746"/>
      <c r="K727" s="746"/>
      <c r="L727" s="746"/>
    </row>
    <row r="728" spans="1:12" ht="65.25" customHeight="1">
      <c r="A728" s="971" t="s">
        <v>425</v>
      </c>
      <c r="B728" s="730">
        <v>22</v>
      </c>
      <c r="C728" s="2030" t="s">
        <v>426</v>
      </c>
      <c r="D728" s="2031"/>
      <c r="E728" s="2031"/>
      <c r="F728" s="2031"/>
      <c r="G728" s="2080"/>
      <c r="H728" s="2081"/>
      <c r="I728" s="726"/>
      <c r="J728" s="726"/>
      <c r="K728" s="726"/>
      <c r="L728" s="726"/>
    </row>
    <row r="729" spans="1:12">
      <c r="A729" s="972"/>
      <c r="B729" s="752"/>
      <c r="C729" s="1483" t="s">
        <v>129</v>
      </c>
      <c r="D729" s="732"/>
      <c r="E729" s="732"/>
      <c r="F729" s="731"/>
      <c r="G729" s="731"/>
      <c r="H729" s="726"/>
      <c r="I729" s="726"/>
      <c r="J729" s="726"/>
      <c r="K729" s="726"/>
      <c r="L729" s="726"/>
    </row>
    <row r="730" spans="1:12">
      <c r="A730" s="972"/>
      <c r="B730" s="752"/>
      <c r="C730" s="2021" t="s">
        <v>427</v>
      </c>
      <c r="D730" s="2041"/>
      <c r="E730" s="2041"/>
      <c r="F730" s="2041"/>
      <c r="G730" s="731"/>
      <c r="H730" s="726"/>
      <c r="I730" s="726"/>
      <c r="J730" s="726"/>
      <c r="K730" s="726"/>
      <c r="L730" s="726"/>
    </row>
    <row r="731" spans="1:12">
      <c r="A731" s="972"/>
      <c r="B731" s="752"/>
      <c r="C731" s="729" t="s">
        <v>130</v>
      </c>
      <c r="D731" s="732"/>
      <c r="E731" s="732"/>
      <c r="F731" s="731"/>
      <c r="G731" s="728" t="s">
        <v>613</v>
      </c>
      <c r="H731" s="1487" t="s">
        <v>611</v>
      </c>
      <c r="I731" s="728" t="s">
        <v>614</v>
      </c>
      <c r="J731" s="726"/>
      <c r="K731" s="726"/>
      <c r="L731" s="726"/>
    </row>
    <row r="732" spans="1:12">
      <c r="A732" s="972"/>
      <c r="B732" s="752"/>
      <c r="C732" s="745" t="s">
        <v>428</v>
      </c>
      <c r="D732" s="732" t="s">
        <v>429</v>
      </c>
      <c r="E732" s="732">
        <v>0.7</v>
      </c>
      <c r="F732" s="840">
        <v>130</v>
      </c>
      <c r="G732" s="840">
        <f>ROUND(E732*F732,2)</f>
        <v>91</v>
      </c>
      <c r="H732" s="755">
        <f>G732</f>
        <v>91</v>
      </c>
      <c r="I732" s="755">
        <f>H732</f>
        <v>91</v>
      </c>
      <c r="J732" s="726"/>
      <c r="K732" s="726"/>
      <c r="L732" s="726"/>
    </row>
    <row r="733" spans="1:12">
      <c r="A733" s="972"/>
      <c r="B733" s="752"/>
      <c r="C733" s="808" t="s">
        <v>278</v>
      </c>
      <c r="D733" s="752"/>
      <c r="E733" s="752"/>
      <c r="F733" s="752"/>
      <c r="G733" s="758"/>
      <c r="H733" s="755"/>
      <c r="I733" s="752"/>
      <c r="J733" s="726"/>
      <c r="K733" s="726"/>
      <c r="L733" s="726"/>
    </row>
    <row r="734" spans="1:12">
      <c r="A734" s="972"/>
      <c r="B734" s="752"/>
      <c r="C734" s="726" t="s">
        <v>224</v>
      </c>
      <c r="D734" s="752" t="s">
        <v>119</v>
      </c>
      <c r="E734" s="757">
        <v>0.7</v>
      </c>
      <c r="F734" s="757"/>
      <c r="G734" s="758"/>
      <c r="H734" s="755"/>
      <c r="I734" s="752"/>
      <c r="J734" s="726"/>
      <c r="K734" s="726"/>
      <c r="L734" s="726"/>
    </row>
    <row r="735" spans="1:12">
      <c r="A735" s="972"/>
      <c r="B735" s="752"/>
      <c r="C735" s="726" t="s">
        <v>225</v>
      </c>
      <c r="D735" s="752"/>
      <c r="E735" s="757">
        <f>0.7*30/100</f>
        <v>0.21</v>
      </c>
      <c r="F735" s="757">
        <f>F689</f>
        <v>580</v>
      </c>
      <c r="G735" s="732">
        <f>ROUND(E735*F735,2)</f>
        <v>121.8</v>
      </c>
      <c r="H735" s="755">
        <f>G735</f>
        <v>121.8</v>
      </c>
      <c r="I735" s="755">
        <f>G735</f>
        <v>121.8</v>
      </c>
      <c r="J735" s="726"/>
      <c r="K735" s="726"/>
      <c r="L735" s="726"/>
    </row>
    <row r="736" spans="1:12">
      <c r="A736" s="972"/>
      <c r="B736" s="752"/>
      <c r="C736" s="726" t="s">
        <v>226</v>
      </c>
      <c r="D736" s="752"/>
      <c r="E736" s="757">
        <f>E734*70/100</f>
        <v>0.49</v>
      </c>
      <c r="F736" s="757">
        <f>F690</f>
        <v>460</v>
      </c>
      <c r="G736" s="732">
        <f>ROUND(E736*F736,2)</f>
        <v>225.4</v>
      </c>
      <c r="H736" s="755">
        <f>G736</f>
        <v>225.4</v>
      </c>
      <c r="I736" s="755">
        <f>G736</f>
        <v>225.4</v>
      </c>
      <c r="J736" s="726"/>
      <c r="K736" s="726"/>
      <c r="L736" s="726"/>
    </row>
    <row r="737" spans="1:12" hidden="1">
      <c r="A737" s="972"/>
      <c r="B737" s="752"/>
      <c r="C737" s="813" t="s">
        <v>1724</v>
      </c>
      <c r="D737" s="737">
        <f>D1</f>
        <v>0</v>
      </c>
      <c r="E737" s="778"/>
      <c r="F737" s="778"/>
      <c r="G737" s="736">
        <f>(SUM(G733:G736))*D737</f>
        <v>0</v>
      </c>
      <c r="H737" s="736">
        <f>(SUM(H733:H736))*D737</f>
        <v>0</v>
      </c>
      <c r="I737" s="736">
        <f>(SUM(I733:I736))*D737</f>
        <v>0</v>
      </c>
      <c r="J737" s="726"/>
      <c r="K737" s="726"/>
      <c r="L737" s="726"/>
    </row>
    <row r="738" spans="1:12">
      <c r="A738" s="972"/>
      <c r="B738" s="752"/>
      <c r="C738" s="735" t="s">
        <v>615</v>
      </c>
      <c r="D738" s="752"/>
      <c r="E738" s="757"/>
      <c r="F738" s="757"/>
      <c r="G738" s="732"/>
      <c r="H738" s="755">
        <f>ROUND(H736+H6296,2)*10%</f>
        <v>22.540000000000003</v>
      </c>
      <c r="I738" s="755">
        <f>ROUND(I736+I6296,2)*20%</f>
        <v>45.080000000000005</v>
      </c>
      <c r="J738" s="726"/>
      <c r="K738" s="726"/>
      <c r="L738" s="726"/>
    </row>
    <row r="739" spans="1:12" ht="26">
      <c r="A739" s="972"/>
      <c r="B739" s="752"/>
      <c r="C739" s="745" t="s">
        <v>430</v>
      </c>
      <c r="D739" s="732" t="s">
        <v>429</v>
      </c>
      <c r="E739" s="795">
        <v>1.2</v>
      </c>
      <c r="F739" s="840">
        <v>248</v>
      </c>
      <c r="G739" s="732">
        <f>ROUND(E739*F739,2)</f>
        <v>297.60000000000002</v>
      </c>
      <c r="H739" s="755">
        <f>G739</f>
        <v>297.60000000000002</v>
      </c>
      <c r="I739" s="755">
        <f>H739</f>
        <v>297.60000000000002</v>
      </c>
      <c r="J739" s="726"/>
      <c r="K739" s="726"/>
      <c r="L739" s="726"/>
    </row>
    <row r="740" spans="1:12">
      <c r="A740" s="972"/>
      <c r="B740" s="752"/>
      <c r="C740" s="808" t="s">
        <v>278</v>
      </c>
      <c r="D740" s="752"/>
      <c r="E740" s="752"/>
      <c r="F740" s="752"/>
      <c r="G740" s="758"/>
      <c r="H740" s="755"/>
      <c r="I740" s="752"/>
      <c r="J740" s="726"/>
      <c r="K740" s="726"/>
      <c r="L740" s="726"/>
    </row>
    <row r="741" spans="1:12">
      <c r="A741" s="972"/>
      <c r="B741" s="752"/>
      <c r="C741" s="726" t="s">
        <v>224</v>
      </c>
      <c r="D741" s="752" t="s">
        <v>119</v>
      </c>
      <c r="E741" s="757">
        <v>1.2</v>
      </c>
      <c r="F741" s="757"/>
      <c r="G741" s="758"/>
      <c r="H741" s="755"/>
      <c r="I741" s="752"/>
      <c r="J741" s="726"/>
      <c r="K741" s="726"/>
      <c r="L741" s="726"/>
    </row>
    <row r="742" spans="1:12">
      <c r="A742" s="972"/>
      <c r="B742" s="752"/>
      <c r="C742" s="726" t="s">
        <v>225</v>
      </c>
      <c r="D742" s="752"/>
      <c r="E742" s="757">
        <f>E741*30/100</f>
        <v>0.36</v>
      </c>
      <c r="F742" s="757">
        <f>F735</f>
        <v>580</v>
      </c>
      <c r="G742" s="732">
        <f>ROUND(E742*F742,2)</f>
        <v>208.8</v>
      </c>
      <c r="H742" s="755">
        <f>G742</f>
        <v>208.8</v>
      </c>
      <c r="I742" s="755">
        <f>H742</f>
        <v>208.8</v>
      </c>
      <c r="J742" s="726"/>
      <c r="K742" s="726"/>
      <c r="L742" s="726"/>
    </row>
    <row r="743" spans="1:12">
      <c r="A743" s="972"/>
      <c r="B743" s="752"/>
      <c r="C743" s="726" t="s">
        <v>226</v>
      </c>
      <c r="D743" s="752"/>
      <c r="E743" s="757">
        <f>E741*70/100</f>
        <v>0.84</v>
      </c>
      <c r="F743" s="757">
        <f>F736</f>
        <v>460</v>
      </c>
      <c r="G743" s="732">
        <f>ROUND(E743*F743,2)</f>
        <v>386.4</v>
      </c>
      <c r="H743" s="755">
        <f>G743</f>
        <v>386.4</v>
      </c>
      <c r="I743" s="755">
        <f>H743</f>
        <v>386.4</v>
      </c>
      <c r="J743" s="726"/>
      <c r="K743" s="726"/>
      <c r="L743" s="726"/>
    </row>
    <row r="744" spans="1:12" hidden="1">
      <c r="A744" s="972"/>
      <c r="B744" s="752"/>
      <c r="C744" s="813" t="s">
        <v>1724</v>
      </c>
      <c r="D744" s="737">
        <f>D1</f>
        <v>0</v>
      </c>
      <c r="E744" s="778"/>
      <c r="F744" s="778"/>
      <c r="G744" s="736">
        <f>(SUM(G740:G743))*D744</f>
        <v>0</v>
      </c>
      <c r="H744" s="736">
        <f>(SUM(H742:H743))*D744</f>
        <v>0</v>
      </c>
      <c r="I744" s="736">
        <f>(SUM(I740:I743))*D744</f>
        <v>0</v>
      </c>
      <c r="J744" s="726"/>
      <c r="K744" s="726"/>
      <c r="L744" s="726"/>
    </row>
    <row r="745" spans="1:12" ht="13.5" customHeight="1">
      <c r="A745" s="970"/>
      <c r="B745" s="733"/>
      <c r="C745" s="735" t="s">
        <v>615</v>
      </c>
      <c r="D745" s="737"/>
      <c r="E745" s="731"/>
      <c r="F745" s="732"/>
      <c r="G745" s="755"/>
      <c r="H745" s="755">
        <f>ROUND(H743+H6302,2)*10%</f>
        <v>38.64</v>
      </c>
      <c r="I745" s="755">
        <f>ROUND(I743+I6302,2)*20%</f>
        <v>77.28</v>
      </c>
      <c r="J745" s="726"/>
      <c r="K745" s="726"/>
      <c r="L745" s="726"/>
    </row>
    <row r="746" spans="1:12" ht="13.5" hidden="1" customHeight="1">
      <c r="A746" s="972"/>
      <c r="B746" s="752"/>
      <c r="C746" s="745" t="s">
        <v>227</v>
      </c>
      <c r="D746" s="732"/>
      <c r="E746" s="795"/>
      <c r="F746" s="840"/>
      <c r="G746" s="732"/>
      <c r="H746" s="752"/>
      <c r="I746" s="752"/>
      <c r="J746" s="726"/>
      <c r="K746" s="726"/>
      <c r="L746" s="726"/>
    </row>
    <row r="747" spans="1:12">
      <c r="A747" s="972"/>
      <c r="B747" s="752"/>
      <c r="C747" s="729" t="s">
        <v>134</v>
      </c>
      <c r="D747" s="731"/>
      <c r="E747" s="795"/>
      <c r="F747" s="840"/>
      <c r="G747" s="732">
        <f>SUM(G732:G746)</f>
        <v>1331</v>
      </c>
      <c r="H747" s="732">
        <f>SUM(H732:H746)</f>
        <v>1392.18</v>
      </c>
      <c r="I747" s="732">
        <f>SUM(I732:I746)</f>
        <v>1453.36</v>
      </c>
      <c r="J747" s="726"/>
      <c r="K747" s="726"/>
      <c r="L747" s="726"/>
    </row>
    <row r="748" spans="1:12" ht="17.25" customHeight="1">
      <c r="A748" s="972"/>
      <c r="B748" s="752"/>
      <c r="C748" s="756" t="s">
        <v>421</v>
      </c>
      <c r="D748" s="731"/>
      <c r="E748" s="731"/>
      <c r="F748" s="731"/>
      <c r="G748" s="734">
        <f>ROUND(G747/10,2)</f>
        <v>133.1</v>
      </c>
      <c r="H748" s="734">
        <f>ROUND(H747/10,2)</f>
        <v>139.22</v>
      </c>
      <c r="I748" s="734">
        <f>ROUND(I747/10,2)</f>
        <v>145.34</v>
      </c>
      <c r="J748" s="726"/>
      <c r="K748" s="726"/>
      <c r="L748" s="726"/>
    </row>
    <row r="749" spans="1:12" s="751" customFormat="1" ht="52.5" customHeight="1">
      <c r="A749" s="967" t="s">
        <v>455</v>
      </c>
      <c r="B749" s="730">
        <v>23</v>
      </c>
      <c r="C749" s="2030" t="s">
        <v>458</v>
      </c>
      <c r="D749" s="2031"/>
      <c r="E749" s="2031"/>
      <c r="F749" s="2031"/>
      <c r="G749" s="2080"/>
      <c r="H749" s="2081"/>
      <c r="I749" s="748"/>
      <c r="J749" s="748"/>
      <c r="K749" s="748"/>
      <c r="L749" s="748"/>
    </row>
    <row r="750" spans="1:12" s="777" customFormat="1" ht="15" customHeight="1">
      <c r="A750" s="975"/>
      <c r="B750" s="748"/>
      <c r="C750" s="796" t="s">
        <v>129</v>
      </c>
      <c r="D750" s="736"/>
      <c r="E750" s="736"/>
      <c r="F750" s="724"/>
      <c r="G750" s="728"/>
      <c r="H750" s="728"/>
      <c r="I750" s="724"/>
      <c r="J750" s="724"/>
      <c r="K750" s="724"/>
      <c r="L750" s="724"/>
    </row>
    <row r="751" spans="1:12" s="777" customFormat="1" ht="15" customHeight="1">
      <c r="A751" s="975"/>
      <c r="B751" s="748"/>
      <c r="C751" s="753" t="s">
        <v>130</v>
      </c>
      <c r="D751" s="736"/>
      <c r="E751" s="736"/>
      <c r="F751" s="724"/>
      <c r="G751" s="728" t="s">
        <v>613</v>
      </c>
      <c r="H751" s="728"/>
      <c r="I751" s="724"/>
      <c r="J751" s="724"/>
      <c r="K751" s="724"/>
      <c r="L751" s="724"/>
    </row>
    <row r="752" spans="1:12" s="777" customFormat="1" ht="15" customHeight="1">
      <c r="A752" s="975"/>
      <c r="B752" s="748"/>
      <c r="C752" s="796" t="s">
        <v>456</v>
      </c>
      <c r="D752" s="736" t="s">
        <v>457</v>
      </c>
      <c r="E752" s="736">
        <v>2</v>
      </c>
      <c r="F752" s="736">
        <v>27</v>
      </c>
      <c r="G752" s="732">
        <f>ROUND(E752*F752,2)</f>
        <v>54</v>
      </c>
      <c r="H752" s="725"/>
      <c r="I752" s="724"/>
      <c r="J752" s="724"/>
      <c r="K752" s="724"/>
      <c r="L752" s="724"/>
    </row>
    <row r="753" spans="1:12" s="843" customFormat="1" ht="26.25" customHeight="1">
      <c r="A753" s="980"/>
      <c r="B753" s="813"/>
      <c r="C753" s="813" t="s">
        <v>432</v>
      </c>
      <c r="D753" s="730"/>
      <c r="E753" s="730" t="s">
        <v>433</v>
      </c>
      <c r="F753" s="730"/>
      <c r="G753" s="778"/>
      <c r="H753" s="725"/>
      <c r="I753" s="813"/>
      <c r="J753" s="813"/>
      <c r="K753" s="813"/>
      <c r="L753" s="813"/>
    </row>
    <row r="754" spans="1:12" s="843" customFormat="1">
      <c r="A754" s="980"/>
      <c r="B754" s="813"/>
      <c r="C754" s="813" t="s">
        <v>128</v>
      </c>
      <c r="D754" s="730" t="s">
        <v>119</v>
      </c>
      <c r="E754" s="778">
        <v>0.21</v>
      </c>
      <c r="F754" s="730"/>
      <c r="G754" s="778"/>
      <c r="H754" s="725"/>
      <c r="I754" s="813"/>
      <c r="J754" s="813"/>
      <c r="K754" s="813"/>
      <c r="L754" s="813"/>
    </row>
    <row r="755" spans="1:12" s="843" customFormat="1" ht="12.75" customHeight="1">
      <c r="A755" s="980"/>
      <c r="B755" s="813"/>
      <c r="C755" s="813" t="s">
        <v>434</v>
      </c>
      <c r="D755" s="730" t="s">
        <v>119</v>
      </c>
      <c r="E755" s="842">
        <f>E754*30/100</f>
        <v>6.3E-2</v>
      </c>
      <c r="F755" s="778">
        <f>F742</f>
        <v>580</v>
      </c>
      <c r="G755" s="732">
        <f>ROUND(E755*F755,2)</f>
        <v>36.54</v>
      </c>
      <c r="H755" s="725"/>
      <c r="I755" s="813"/>
      <c r="J755" s="813"/>
      <c r="K755" s="813"/>
      <c r="L755" s="813"/>
    </row>
    <row r="756" spans="1:12" s="843" customFormat="1" ht="12.75" customHeight="1">
      <c r="A756" s="980"/>
      <c r="B756" s="813"/>
      <c r="C756" s="813" t="s">
        <v>435</v>
      </c>
      <c r="D756" s="730" t="s">
        <v>119</v>
      </c>
      <c r="E756" s="842">
        <f>E754*70/100</f>
        <v>0.14699999999999999</v>
      </c>
      <c r="F756" s="778">
        <f>F743</f>
        <v>460</v>
      </c>
      <c r="G756" s="732">
        <f>ROUND(E756*F756,2)</f>
        <v>67.62</v>
      </c>
      <c r="H756" s="725"/>
      <c r="I756" s="813"/>
      <c r="J756" s="813"/>
      <c r="K756" s="813"/>
      <c r="L756" s="813"/>
    </row>
    <row r="757" spans="1:12" s="843" customFormat="1">
      <c r="A757" s="980"/>
      <c r="B757" s="813"/>
      <c r="C757" s="813" t="s">
        <v>268</v>
      </c>
      <c r="D757" s="730" t="s">
        <v>119</v>
      </c>
      <c r="E757" s="842">
        <v>0.32</v>
      </c>
      <c r="F757" s="778">
        <f>F701</f>
        <v>420</v>
      </c>
      <c r="G757" s="732">
        <f>ROUND(E757*F757,2)</f>
        <v>134.4</v>
      </c>
      <c r="H757" s="725"/>
      <c r="I757" s="813"/>
      <c r="J757" s="813"/>
      <c r="K757" s="813"/>
      <c r="L757" s="813"/>
    </row>
    <row r="758" spans="1:12" hidden="1">
      <c r="A758" s="972"/>
      <c r="B758" s="752"/>
      <c r="C758" s="813" t="s">
        <v>1724</v>
      </c>
      <c r="D758" s="737">
        <f>D1</f>
        <v>0</v>
      </c>
      <c r="E758" s="778"/>
      <c r="F758" s="778"/>
      <c r="G758" s="736">
        <f>(SUM(G755:G757))*D758</f>
        <v>0</v>
      </c>
      <c r="H758" s="736"/>
      <c r="I758" s="736"/>
      <c r="J758" s="726"/>
      <c r="K758" s="726"/>
      <c r="L758" s="726"/>
    </row>
    <row r="759" spans="1:12" s="843" customFormat="1" ht="13.5" customHeight="1">
      <c r="A759" s="980"/>
      <c r="B759" s="813"/>
      <c r="C759" s="813" t="s">
        <v>436</v>
      </c>
      <c r="D759" s="730"/>
      <c r="E759" s="778"/>
      <c r="F759" s="730"/>
      <c r="G759" s="755">
        <f>SUM(G755:G757)*1/100</f>
        <v>2.3856000000000002</v>
      </c>
      <c r="H759" s="755"/>
      <c r="I759" s="813"/>
      <c r="J759" s="813"/>
      <c r="K759" s="813"/>
      <c r="L759" s="813"/>
    </row>
    <row r="760" spans="1:12" s="843" customFormat="1">
      <c r="A760" s="980"/>
      <c r="B760" s="813"/>
      <c r="C760" s="813" t="s">
        <v>132</v>
      </c>
      <c r="D760" s="730"/>
      <c r="E760" s="778"/>
      <c r="F760" s="730"/>
      <c r="G760" s="814">
        <f>SUM(G752:G759)</f>
        <v>294.94560000000001</v>
      </c>
      <c r="H760" s="814"/>
      <c r="I760" s="813"/>
      <c r="J760" s="813"/>
      <c r="K760" s="813"/>
      <c r="L760" s="813"/>
    </row>
    <row r="761" spans="1:12" s="843" customFormat="1">
      <c r="A761" s="980"/>
      <c r="B761" s="813"/>
      <c r="C761" s="813" t="s">
        <v>39</v>
      </c>
      <c r="D761" s="730"/>
      <c r="E761" s="778"/>
      <c r="F761" s="730"/>
      <c r="G761" s="814">
        <f>G760/10</f>
        <v>29.49456</v>
      </c>
      <c r="H761" s="814"/>
      <c r="I761" s="813"/>
      <c r="J761" s="813"/>
      <c r="K761" s="813"/>
      <c r="L761" s="813"/>
    </row>
    <row r="762" spans="1:12" s="843" customFormat="1" ht="67.5" hidden="1" customHeight="1">
      <c r="A762" s="971" t="s">
        <v>105</v>
      </c>
      <c r="B762" s="746">
        <v>23</v>
      </c>
      <c r="C762" s="2043" t="s">
        <v>459</v>
      </c>
      <c r="D762" s="2043"/>
      <c r="E762" s="2043"/>
      <c r="F762" s="2043"/>
      <c r="G762" s="730"/>
      <c r="H762" s="813"/>
      <c r="I762" s="813"/>
      <c r="J762" s="813"/>
      <c r="K762" s="813"/>
      <c r="L762" s="813"/>
    </row>
    <row r="763" spans="1:12" s="843" customFormat="1" hidden="1">
      <c r="A763" s="980"/>
      <c r="B763" s="813"/>
      <c r="C763" s="813" t="s">
        <v>129</v>
      </c>
      <c r="D763" s="730"/>
      <c r="E763" s="778"/>
      <c r="F763" s="730"/>
      <c r="G763" s="730"/>
      <c r="H763" s="813"/>
      <c r="I763" s="813"/>
      <c r="J763" s="813"/>
      <c r="K763" s="813"/>
      <c r="L763" s="813"/>
    </row>
    <row r="764" spans="1:12" s="843" customFormat="1" hidden="1">
      <c r="A764" s="980"/>
      <c r="B764" s="813"/>
      <c r="C764" s="813" t="s">
        <v>130</v>
      </c>
      <c r="D764" s="730"/>
      <c r="E764" s="778"/>
      <c r="F764" s="730"/>
      <c r="G764" s="728" t="s">
        <v>613</v>
      </c>
      <c r="H764" s="728"/>
      <c r="I764" s="813"/>
      <c r="J764" s="813"/>
      <c r="K764" s="813"/>
      <c r="L764" s="813"/>
    </row>
    <row r="765" spans="1:12" s="843" customFormat="1" hidden="1">
      <c r="A765" s="980"/>
      <c r="B765" s="813"/>
      <c r="C765" s="813" t="s">
        <v>431</v>
      </c>
      <c r="D765" s="730" t="s">
        <v>135</v>
      </c>
      <c r="E765" s="778">
        <v>1.2</v>
      </c>
      <c r="F765" s="778">
        <f>F752</f>
        <v>27</v>
      </c>
      <c r="G765" s="732">
        <f>ROUND(E765*F765,2)</f>
        <v>32.4</v>
      </c>
      <c r="H765" s="725"/>
      <c r="I765" s="813"/>
      <c r="J765" s="813"/>
      <c r="K765" s="813"/>
      <c r="L765" s="813"/>
    </row>
    <row r="766" spans="1:12" s="843" customFormat="1" ht="37.5" hidden="1" customHeight="1">
      <c r="A766" s="980"/>
      <c r="B766" s="813"/>
      <c r="C766" s="813" t="s">
        <v>432</v>
      </c>
      <c r="D766" s="730"/>
      <c r="E766" s="730" t="s">
        <v>433</v>
      </c>
      <c r="F766" s="730"/>
      <c r="G766" s="778"/>
      <c r="H766" s="725"/>
      <c r="I766" s="813"/>
      <c r="J766" s="813"/>
      <c r="K766" s="813"/>
      <c r="L766" s="813"/>
    </row>
    <row r="767" spans="1:12" s="843" customFormat="1" hidden="1">
      <c r="A767" s="980"/>
      <c r="B767" s="813"/>
      <c r="C767" s="813" t="s">
        <v>128</v>
      </c>
      <c r="D767" s="730" t="s">
        <v>119</v>
      </c>
      <c r="E767" s="778">
        <v>0.11</v>
      </c>
      <c r="F767" s="730"/>
      <c r="G767" s="778"/>
      <c r="H767" s="725"/>
      <c r="I767" s="813"/>
      <c r="J767" s="813"/>
      <c r="K767" s="813"/>
      <c r="L767" s="813"/>
    </row>
    <row r="768" spans="1:12" s="843" customFormat="1" ht="12.75" hidden="1" customHeight="1">
      <c r="A768" s="980"/>
      <c r="B768" s="813"/>
      <c r="C768" s="813" t="s">
        <v>434</v>
      </c>
      <c r="D768" s="730" t="s">
        <v>119</v>
      </c>
      <c r="E768" s="842">
        <f>E767*30/100</f>
        <v>3.3000000000000002E-2</v>
      </c>
      <c r="F768" s="778">
        <f>F755</f>
        <v>580</v>
      </c>
      <c r="G768" s="732">
        <f>ROUND(E768*F768,2)</f>
        <v>19.14</v>
      </c>
      <c r="H768" s="725"/>
      <c r="I768" s="813"/>
      <c r="J768" s="813"/>
      <c r="K768" s="813"/>
      <c r="L768" s="813"/>
    </row>
    <row r="769" spans="1:12" s="843" customFormat="1" ht="12.75" hidden="1" customHeight="1">
      <c r="A769" s="980"/>
      <c r="B769" s="813"/>
      <c r="C769" s="813" t="s">
        <v>435</v>
      </c>
      <c r="D769" s="730" t="s">
        <v>119</v>
      </c>
      <c r="E769" s="842">
        <f>E767*70/100</f>
        <v>7.6999999999999999E-2</v>
      </c>
      <c r="F769" s="778">
        <f>F756</f>
        <v>460</v>
      </c>
      <c r="G769" s="732">
        <f>ROUND(E769*F769,2)</f>
        <v>35.42</v>
      </c>
      <c r="H769" s="725"/>
      <c r="I769" s="813"/>
      <c r="J769" s="813"/>
      <c r="K769" s="813"/>
      <c r="L769" s="813"/>
    </row>
    <row r="770" spans="1:12" s="843" customFormat="1" hidden="1">
      <c r="A770" s="980"/>
      <c r="B770" s="813"/>
      <c r="C770" s="813" t="s">
        <v>268</v>
      </c>
      <c r="D770" s="730" t="s">
        <v>119</v>
      </c>
      <c r="E770" s="842">
        <v>0.22</v>
      </c>
      <c r="F770" s="778">
        <f>F757</f>
        <v>420</v>
      </c>
      <c r="G770" s="732">
        <f>ROUND(E770*F770,2)</f>
        <v>92.4</v>
      </c>
      <c r="H770" s="725"/>
      <c r="I770" s="813"/>
      <c r="J770" s="813"/>
      <c r="K770" s="813"/>
      <c r="L770" s="813"/>
    </row>
    <row r="771" spans="1:12" hidden="1">
      <c r="A771" s="972"/>
      <c r="B771" s="752"/>
      <c r="C771" s="813" t="s">
        <v>1724</v>
      </c>
      <c r="D771" s="730">
        <v>0.25</v>
      </c>
      <c r="E771" s="778"/>
      <c r="F771" s="778"/>
      <c r="G771" s="736">
        <f>(SUM(G767:G770))*D771</f>
        <v>36.74</v>
      </c>
      <c r="H771" s="736"/>
      <c r="I771" s="736"/>
      <c r="J771" s="726"/>
      <c r="K771" s="726"/>
      <c r="L771" s="726"/>
    </row>
    <row r="772" spans="1:12" ht="13.5" hidden="1" customHeight="1">
      <c r="A772" s="970"/>
      <c r="B772" s="733"/>
      <c r="C772" s="735" t="s">
        <v>615</v>
      </c>
      <c r="D772" s="737"/>
      <c r="E772" s="731"/>
      <c r="F772" s="732"/>
      <c r="G772" s="755"/>
      <c r="H772" s="755"/>
      <c r="I772" s="726"/>
      <c r="J772" s="726"/>
      <c r="K772" s="726"/>
      <c r="L772" s="726"/>
    </row>
    <row r="773" spans="1:12" s="843" customFormat="1" ht="26" hidden="1">
      <c r="A773" s="980"/>
      <c r="B773" s="813"/>
      <c r="C773" s="813" t="s">
        <v>552</v>
      </c>
      <c r="D773" s="730"/>
      <c r="E773" s="778"/>
      <c r="F773" s="730"/>
      <c r="G773" s="755">
        <f>SUM(G768:G772)*0.5/100</f>
        <v>0.91850000000000009</v>
      </c>
      <c r="H773" s="755"/>
      <c r="I773" s="813"/>
      <c r="J773" s="813"/>
      <c r="K773" s="813"/>
      <c r="L773" s="813"/>
    </row>
    <row r="774" spans="1:12" s="843" customFormat="1" hidden="1">
      <c r="A774" s="980"/>
      <c r="B774" s="813"/>
      <c r="C774" s="813" t="s">
        <v>132</v>
      </c>
      <c r="D774" s="730"/>
      <c r="E774" s="778"/>
      <c r="F774" s="730"/>
      <c r="G774" s="814">
        <f>SUM(G765:G773)</f>
        <v>217.01850000000002</v>
      </c>
      <c r="H774" s="814"/>
      <c r="I774" s="813"/>
      <c r="J774" s="813"/>
      <c r="K774" s="813"/>
      <c r="L774" s="813"/>
    </row>
    <row r="775" spans="1:12" s="843" customFormat="1" hidden="1">
      <c r="A775" s="980"/>
      <c r="B775" s="813"/>
      <c r="C775" s="813" t="s">
        <v>39</v>
      </c>
      <c r="D775" s="730"/>
      <c r="E775" s="778"/>
      <c r="F775" s="730"/>
      <c r="G775" s="814">
        <f>G774/10</f>
        <v>21.70185</v>
      </c>
      <c r="H775" s="814"/>
      <c r="I775" s="813"/>
      <c r="J775" s="813"/>
      <c r="K775" s="813"/>
      <c r="L775" s="813"/>
    </row>
    <row r="776" spans="1:12" ht="85.5" hidden="1" customHeight="1">
      <c r="A776" s="967" t="s">
        <v>107</v>
      </c>
      <c r="B776" s="748">
        <v>22</v>
      </c>
      <c r="C776" s="2030" t="s">
        <v>1890</v>
      </c>
      <c r="D776" s="2031"/>
      <c r="E776" s="2031"/>
      <c r="F776" s="2031"/>
      <c r="G776" s="2032"/>
      <c r="H776" s="726"/>
      <c r="I776" s="726"/>
      <c r="J776" s="726"/>
      <c r="K776" s="726"/>
      <c r="L776" s="726"/>
    </row>
    <row r="777" spans="1:12" hidden="1">
      <c r="A777" s="967"/>
      <c r="B777" s="1487"/>
      <c r="C777" s="796" t="s">
        <v>383</v>
      </c>
      <c r="D777" s="736"/>
      <c r="E777" s="736"/>
      <c r="F777" s="736"/>
      <c r="G777" s="728" t="s">
        <v>613</v>
      </c>
      <c r="H777" s="728" t="s">
        <v>611</v>
      </c>
      <c r="I777" s="728" t="s">
        <v>614</v>
      </c>
      <c r="J777" s="726"/>
      <c r="K777" s="726"/>
      <c r="L777" s="726"/>
    </row>
    <row r="778" spans="1:12" hidden="1">
      <c r="A778" s="970"/>
      <c r="B778" s="1487"/>
      <c r="C778" s="782" t="s">
        <v>357</v>
      </c>
      <c r="D778" s="736" t="s">
        <v>131</v>
      </c>
      <c r="E778" s="736">
        <v>1</v>
      </c>
      <c r="F778" s="736">
        <f>[125]Bldg.rates!F64</f>
        <v>141</v>
      </c>
      <c r="G778" s="778">
        <f>E778*F778</f>
        <v>141</v>
      </c>
      <c r="H778" s="757">
        <f t="shared" ref="H778:I780" si="13">G778</f>
        <v>141</v>
      </c>
      <c r="I778" s="755">
        <f t="shared" si="13"/>
        <v>141</v>
      </c>
      <c r="J778" s="726"/>
      <c r="K778" s="726"/>
      <c r="L778" s="726"/>
    </row>
    <row r="779" spans="1:12" hidden="1">
      <c r="A779" s="970"/>
      <c r="B779" s="1487"/>
      <c r="C779" s="796" t="s">
        <v>362</v>
      </c>
      <c r="D779" s="730" t="s">
        <v>119</v>
      </c>
      <c r="E779" s="736">
        <v>0.21</v>
      </c>
      <c r="F779" s="736">
        <f>F768</f>
        <v>580</v>
      </c>
      <c r="G779" s="778">
        <f>E779*F779</f>
        <v>121.8</v>
      </c>
      <c r="H779" s="757">
        <f t="shared" si="13"/>
        <v>121.8</v>
      </c>
      <c r="I779" s="755">
        <f t="shared" si="13"/>
        <v>121.8</v>
      </c>
      <c r="J779" s="726"/>
      <c r="K779" s="726"/>
      <c r="L779" s="726"/>
    </row>
    <row r="780" spans="1:12" hidden="1">
      <c r="A780" s="970"/>
      <c r="B780" s="1487"/>
      <c r="C780" s="796" t="s">
        <v>359</v>
      </c>
      <c r="D780" s="730" t="s">
        <v>119</v>
      </c>
      <c r="E780" s="736">
        <v>0.49</v>
      </c>
      <c r="F780" s="736">
        <f>F769</f>
        <v>460</v>
      </c>
      <c r="G780" s="778">
        <f>E780*F780</f>
        <v>225.4</v>
      </c>
      <c r="H780" s="757">
        <f t="shared" si="13"/>
        <v>225.4</v>
      </c>
      <c r="I780" s="755">
        <f t="shared" si="13"/>
        <v>225.4</v>
      </c>
      <c r="J780" s="726"/>
      <c r="K780" s="726"/>
      <c r="L780" s="726"/>
    </row>
    <row r="781" spans="1:12" hidden="1">
      <c r="A781" s="972"/>
      <c r="B781" s="752"/>
      <c r="C781" s="813" t="s">
        <v>1724</v>
      </c>
      <c r="D781" s="737">
        <f>D1</f>
        <v>0</v>
      </c>
      <c r="E781" s="778"/>
      <c r="F781" s="778"/>
      <c r="G781" s="736">
        <f>(SUM(G778:G780))*D781</f>
        <v>0</v>
      </c>
      <c r="H781" s="736">
        <f>G781</f>
        <v>0</v>
      </c>
      <c r="I781" s="736">
        <f>H781</f>
        <v>0</v>
      </c>
      <c r="J781" s="726"/>
      <c r="K781" s="726"/>
      <c r="L781" s="726"/>
    </row>
    <row r="782" spans="1:12" ht="13.5" hidden="1" customHeight="1">
      <c r="A782" s="970"/>
      <c r="B782" s="733"/>
      <c r="C782" s="735" t="s">
        <v>615</v>
      </c>
      <c r="D782" s="737"/>
      <c r="E782" s="731"/>
      <c r="F782" s="732"/>
      <c r="G782" s="755"/>
      <c r="H782" s="755">
        <f>SUM(H779:H780)*10/100</f>
        <v>34.72</v>
      </c>
      <c r="I782" s="755">
        <f>SUM(I779:I780)*20/100</f>
        <v>69.44</v>
      </c>
      <c r="J782" s="726"/>
      <c r="K782" s="726"/>
      <c r="L782" s="726"/>
    </row>
    <row r="783" spans="1:12" ht="26" hidden="1">
      <c r="A783" s="981"/>
      <c r="B783" s="1487"/>
      <c r="C783" s="782" t="s">
        <v>384</v>
      </c>
      <c r="D783" s="725" t="s">
        <v>131</v>
      </c>
      <c r="E783" s="725">
        <v>3.5</v>
      </c>
      <c r="F783" s="725">
        <f>[125]Bldg.rates!F70</f>
        <v>49</v>
      </c>
      <c r="G783" s="758">
        <f>E783*F783</f>
        <v>171.5</v>
      </c>
      <c r="H783" s="1335">
        <f t="shared" ref="H783:I786" si="14">G783</f>
        <v>171.5</v>
      </c>
      <c r="I783" s="1534">
        <f t="shared" si="14"/>
        <v>171.5</v>
      </c>
      <c r="J783" s="726"/>
      <c r="K783" s="726"/>
      <c r="L783" s="726"/>
    </row>
    <row r="784" spans="1:12" hidden="1">
      <c r="A784" s="981"/>
      <c r="B784" s="1487"/>
      <c r="C784" s="796" t="s">
        <v>358</v>
      </c>
      <c r="D784" s="730" t="s">
        <v>119</v>
      </c>
      <c r="E784" s="736">
        <v>0.15</v>
      </c>
      <c r="F784" s="736">
        <f>F779</f>
        <v>580</v>
      </c>
      <c r="G784" s="778">
        <f>E784*F784</f>
        <v>87</v>
      </c>
      <c r="H784" s="757">
        <f t="shared" si="14"/>
        <v>87</v>
      </c>
      <c r="I784" s="755">
        <f t="shared" si="14"/>
        <v>87</v>
      </c>
      <c r="J784" s="726"/>
      <c r="K784" s="726"/>
      <c r="L784" s="726"/>
    </row>
    <row r="785" spans="1:12" hidden="1">
      <c r="A785" s="981"/>
      <c r="B785" s="1487"/>
      <c r="C785" s="796" t="s">
        <v>359</v>
      </c>
      <c r="D785" s="730" t="s">
        <v>119</v>
      </c>
      <c r="E785" s="736">
        <v>0.35</v>
      </c>
      <c r="F785" s="736">
        <f>F780</f>
        <v>460</v>
      </c>
      <c r="G785" s="778">
        <f>E785*F785</f>
        <v>161</v>
      </c>
      <c r="H785" s="757">
        <f t="shared" si="14"/>
        <v>161</v>
      </c>
      <c r="I785" s="755">
        <f t="shared" si="14"/>
        <v>161</v>
      </c>
      <c r="J785" s="726"/>
      <c r="K785" s="726"/>
      <c r="L785" s="726"/>
    </row>
    <row r="786" spans="1:12" hidden="1">
      <c r="A786" s="981"/>
      <c r="B786" s="1487"/>
      <c r="C786" s="796" t="s">
        <v>268</v>
      </c>
      <c r="D786" s="730" t="s">
        <v>119</v>
      </c>
      <c r="E786" s="736">
        <v>1.5</v>
      </c>
      <c r="F786" s="736">
        <f>F770</f>
        <v>420</v>
      </c>
      <c r="G786" s="778">
        <f>E786*F786</f>
        <v>630</v>
      </c>
      <c r="H786" s="757">
        <f t="shared" si="14"/>
        <v>630</v>
      </c>
      <c r="I786" s="755">
        <f t="shared" si="14"/>
        <v>630</v>
      </c>
      <c r="J786" s="726"/>
      <c r="K786" s="726"/>
      <c r="L786" s="726"/>
    </row>
    <row r="787" spans="1:12" hidden="1">
      <c r="A787" s="972"/>
      <c r="B787" s="752"/>
      <c r="C787" s="813" t="s">
        <v>1724</v>
      </c>
      <c r="D787" s="737">
        <f>D1</f>
        <v>0</v>
      </c>
      <c r="E787" s="778"/>
      <c r="F787" s="778"/>
      <c r="G787" s="736">
        <f>(SUM(G783:G786))*D787</f>
        <v>0</v>
      </c>
      <c r="H787" s="736">
        <f>G787</f>
        <v>0</v>
      </c>
      <c r="I787" s="736">
        <f>H787</f>
        <v>0</v>
      </c>
      <c r="J787" s="726"/>
      <c r="K787" s="726"/>
      <c r="L787" s="726"/>
    </row>
    <row r="788" spans="1:12" ht="13.5" hidden="1" customHeight="1">
      <c r="A788" s="970"/>
      <c r="B788" s="733"/>
      <c r="C788" s="735" t="s">
        <v>615</v>
      </c>
      <c r="D788" s="737"/>
      <c r="E788" s="731"/>
      <c r="F788" s="732"/>
      <c r="G788" s="755"/>
      <c r="H788" s="755">
        <f>SUM(H784:H786)*10/100</f>
        <v>87.8</v>
      </c>
      <c r="I788" s="755">
        <f>SUM(I784:I786)*20/100</f>
        <v>175.6</v>
      </c>
      <c r="J788" s="726"/>
      <c r="K788" s="726"/>
      <c r="L788" s="726"/>
    </row>
    <row r="789" spans="1:12" hidden="1">
      <c r="A789" s="981"/>
      <c r="B789" s="1487"/>
      <c r="C789" s="838" t="s">
        <v>423</v>
      </c>
      <c r="D789" s="847"/>
      <c r="E789" s="736"/>
      <c r="F789" s="848"/>
      <c r="G789" s="778">
        <f>SUM(G778:G788)</f>
        <v>1537.7</v>
      </c>
      <c r="H789" s="778">
        <f>SUM(H778:H788)</f>
        <v>1660.22</v>
      </c>
      <c r="I789" s="778">
        <f>SUM(I778:I788)</f>
        <v>1782.74</v>
      </c>
      <c r="J789" s="726"/>
      <c r="K789" s="726"/>
      <c r="L789" s="726"/>
    </row>
    <row r="790" spans="1:12" hidden="1">
      <c r="A790" s="972"/>
      <c r="B790" s="752"/>
      <c r="C790" s="796" t="s">
        <v>424</v>
      </c>
      <c r="D790" s="726"/>
      <c r="E790" s="726"/>
      <c r="F790" s="726"/>
      <c r="G790" s="734">
        <f>G789/10</f>
        <v>153.77000000000001</v>
      </c>
      <c r="H790" s="734">
        <f>H789/10</f>
        <v>166.02199999999999</v>
      </c>
      <c r="I790" s="734">
        <f>I789/10</f>
        <v>178.274</v>
      </c>
      <c r="J790" s="726"/>
      <c r="K790" s="726"/>
      <c r="L790" s="726"/>
    </row>
    <row r="791" spans="1:12" ht="93.75" customHeight="1">
      <c r="A791" s="971" t="s">
        <v>356</v>
      </c>
      <c r="B791" s="746">
        <v>24</v>
      </c>
      <c r="C791" s="2030" t="s">
        <v>2080</v>
      </c>
      <c r="D791" s="2031"/>
      <c r="E791" s="2031"/>
      <c r="F791" s="2031"/>
      <c r="G791" s="2080"/>
      <c r="H791" s="2081"/>
      <c r="I791" s="755"/>
      <c r="J791" s="726"/>
      <c r="K791" s="726"/>
      <c r="L791" s="726"/>
    </row>
    <row r="792" spans="1:12">
      <c r="A792" s="972"/>
      <c r="B792" s="726"/>
      <c r="C792" s="1483" t="s">
        <v>129</v>
      </c>
      <c r="D792" s="745"/>
      <c r="E792" s="850"/>
      <c r="F792" s="745"/>
      <c r="G792" s="728" t="s">
        <v>613</v>
      </c>
      <c r="H792" s="728" t="s">
        <v>611</v>
      </c>
      <c r="I792" s="728" t="s">
        <v>614</v>
      </c>
      <c r="J792" s="726"/>
      <c r="K792" s="726"/>
      <c r="L792" s="726"/>
    </row>
    <row r="793" spans="1:12">
      <c r="A793" s="972"/>
      <c r="B793" s="726"/>
      <c r="C793" s="1483" t="s">
        <v>357</v>
      </c>
      <c r="D793" s="1483" t="s">
        <v>182</v>
      </c>
      <c r="E793" s="745">
        <v>1</v>
      </c>
      <c r="F793" s="745">
        <f>[125]Bldg.rates!F64</f>
        <v>141</v>
      </c>
      <c r="G793" s="732">
        <f>ROUND(E793*F793,2)</f>
        <v>141</v>
      </c>
      <c r="H793" s="755">
        <f t="shared" ref="H793:I796" si="15">G793</f>
        <v>141</v>
      </c>
      <c r="I793" s="755">
        <f t="shared" si="15"/>
        <v>141</v>
      </c>
      <c r="J793" s="726"/>
      <c r="K793" s="726"/>
      <c r="L793" s="726"/>
    </row>
    <row r="794" spans="1:12">
      <c r="A794" s="972"/>
      <c r="B794" s="726"/>
      <c r="C794" s="745" t="s">
        <v>358</v>
      </c>
      <c r="D794" s="1483" t="s">
        <v>119</v>
      </c>
      <c r="E794" s="850">
        <v>0.21</v>
      </c>
      <c r="F794" s="745">
        <f>F768</f>
        <v>580</v>
      </c>
      <c r="G794" s="732">
        <f>ROUND(E794*F794,2)</f>
        <v>121.8</v>
      </c>
      <c r="H794" s="755">
        <f t="shared" si="15"/>
        <v>121.8</v>
      </c>
      <c r="I794" s="755">
        <f t="shared" si="15"/>
        <v>121.8</v>
      </c>
      <c r="J794" s="726"/>
      <c r="K794" s="726"/>
      <c r="L794" s="726"/>
    </row>
    <row r="795" spans="1:12">
      <c r="A795" s="972"/>
      <c r="B795" s="726"/>
      <c r="C795" s="745" t="s">
        <v>359</v>
      </c>
      <c r="D795" s="1483" t="s">
        <v>119</v>
      </c>
      <c r="E795" s="1483">
        <v>0.49</v>
      </c>
      <c r="F795" s="745">
        <f>F769</f>
        <v>460</v>
      </c>
      <c r="G795" s="732">
        <f>ROUND(E795*F795,2)</f>
        <v>225.4</v>
      </c>
      <c r="H795" s="755">
        <f t="shared" si="15"/>
        <v>225.4</v>
      </c>
      <c r="I795" s="755">
        <f t="shared" si="15"/>
        <v>225.4</v>
      </c>
      <c r="J795" s="726"/>
      <c r="K795" s="726"/>
      <c r="L795" s="726"/>
    </row>
    <row r="796" spans="1:12" hidden="1">
      <c r="A796" s="972"/>
      <c r="B796" s="752"/>
      <c r="C796" s="813" t="s">
        <v>1724</v>
      </c>
      <c r="D796" s="730">
        <v>0</v>
      </c>
      <c r="E796" s="778"/>
      <c r="F796" s="778"/>
      <c r="G796" s="736">
        <f>(SUM(G792:G795))*D796</f>
        <v>0</v>
      </c>
      <c r="H796" s="736">
        <f t="shared" si="15"/>
        <v>0</v>
      </c>
      <c r="I796" s="736">
        <f t="shared" si="15"/>
        <v>0</v>
      </c>
      <c r="J796" s="726"/>
      <c r="K796" s="726"/>
      <c r="L796" s="726"/>
    </row>
    <row r="797" spans="1:12" ht="13.5" customHeight="1">
      <c r="A797" s="970"/>
      <c r="B797" s="733"/>
      <c r="C797" s="735" t="s">
        <v>615</v>
      </c>
      <c r="D797" s="737"/>
      <c r="E797" s="731"/>
      <c r="F797" s="732"/>
      <c r="G797" s="755"/>
      <c r="H797" s="755">
        <f>SUM(H794:H795)*10/100</f>
        <v>34.72</v>
      </c>
      <c r="I797" s="755">
        <f>SUM(I794:I795)*20/100</f>
        <v>69.44</v>
      </c>
      <c r="J797" s="726"/>
      <c r="K797" s="726"/>
      <c r="L797" s="726"/>
    </row>
    <row r="798" spans="1:12" ht="13.5" customHeight="1">
      <c r="A798" s="972"/>
      <c r="B798" s="726"/>
      <c r="C798" s="851" t="s">
        <v>360</v>
      </c>
      <c r="D798" s="1483"/>
      <c r="E798" s="1483"/>
      <c r="F798" s="745"/>
      <c r="G798" s="755">
        <f>SUM(G794:G797)*0.5/100</f>
        <v>1.736</v>
      </c>
      <c r="H798" s="755">
        <f>SUM(H794:H797)*0.5/100</f>
        <v>1.9095999999999997</v>
      </c>
      <c r="I798" s="755">
        <f>SUM(I794:I797)*0.5/100</f>
        <v>2.0831999999999997</v>
      </c>
      <c r="J798" s="726"/>
      <c r="K798" s="726"/>
      <c r="L798" s="726"/>
    </row>
    <row r="799" spans="1:12" ht="25.5" customHeight="1">
      <c r="A799" s="972"/>
      <c r="B799" s="726"/>
      <c r="C799" s="745" t="s">
        <v>1948</v>
      </c>
      <c r="D799" s="1483" t="s">
        <v>2002</v>
      </c>
      <c r="E799" s="852">
        <v>0.8</v>
      </c>
      <c r="F799" s="745">
        <v>248</v>
      </c>
      <c r="G799" s="732">
        <f>ROUND(E799*F799,2)</f>
        <v>198.4</v>
      </c>
      <c r="H799" s="755">
        <f t="shared" ref="H799:I803" si="16">G799</f>
        <v>198.4</v>
      </c>
      <c r="I799" s="755">
        <f t="shared" si="16"/>
        <v>198.4</v>
      </c>
      <c r="J799" s="726"/>
      <c r="K799" s="726"/>
      <c r="L799" s="726"/>
    </row>
    <row r="800" spans="1:12">
      <c r="A800" s="972"/>
      <c r="B800" s="726"/>
      <c r="C800" s="1483" t="s">
        <v>362</v>
      </c>
      <c r="D800" s="1483" t="s">
        <v>119</v>
      </c>
      <c r="E800" s="850">
        <v>0.36</v>
      </c>
      <c r="F800" s="745">
        <f>F794</f>
        <v>580</v>
      </c>
      <c r="G800" s="732">
        <f>ROUND(E800*F800,2)</f>
        <v>208.8</v>
      </c>
      <c r="H800" s="755">
        <f t="shared" si="16"/>
        <v>208.8</v>
      </c>
      <c r="I800" s="755">
        <f t="shared" si="16"/>
        <v>208.8</v>
      </c>
      <c r="J800" s="726"/>
      <c r="K800" s="726"/>
      <c r="L800" s="726"/>
    </row>
    <row r="801" spans="1:12">
      <c r="A801" s="972"/>
      <c r="B801" s="726"/>
      <c r="C801" s="745" t="s">
        <v>359</v>
      </c>
      <c r="D801" s="1483" t="s">
        <v>119</v>
      </c>
      <c r="E801" s="1483">
        <v>0.84</v>
      </c>
      <c r="F801" s="745">
        <f>F795</f>
        <v>460</v>
      </c>
      <c r="G801" s="732">
        <f>ROUND(E801*F801,2)</f>
        <v>386.4</v>
      </c>
      <c r="H801" s="755">
        <f t="shared" si="16"/>
        <v>386.4</v>
      </c>
      <c r="I801" s="755">
        <f t="shared" si="16"/>
        <v>386.4</v>
      </c>
      <c r="J801" s="726"/>
      <c r="K801" s="726"/>
      <c r="L801" s="726"/>
    </row>
    <row r="802" spans="1:12" hidden="1">
      <c r="A802" s="972"/>
      <c r="B802" s="726"/>
      <c r="C802" s="726" t="s">
        <v>268</v>
      </c>
      <c r="D802" s="726" t="s">
        <v>119</v>
      </c>
      <c r="E802" s="841">
        <v>0</v>
      </c>
      <c r="F802" s="854">
        <v>420</v>
      </c>
      <c r="G802" s="732">
        <f>ROUND(E802*F802,2)</f>
        <v>0</v>
      </c>
      <c r="H802" s="755">
        <f t="shared" si="16"/>
        <v>0</v>
      </c>
      <c r="I802" s="755">
        <f t="shared" si="16"/>
        <v>0</v>
      </c>
      <c r="J802" s="726"/>
      <c r="K802" s="726"/>
      <c r="L802" s="726"/>
    </row>
    <row r="803" spans="1:12" hidden="1">
      <c r="A803" s="972"/>
      <c r="B803" s="752"/>
      <c r="C803" s="813" t="s">
        <v>1724</v>
      </c>
      <c r="D803" s="730">
        <v>0</v>
      </c>
      <c r="E803" s="778"/>
      <c r="F803" s="778"/>
      <c r="G803" s="736">
        <f>(SUM(G798:G801))*D803</f>
        <v>0</v>
      </c>
      <c r="H803" s="736">
        <f t="shared" si="16"/>
        <v>0</v>
      </c>
      <c r="I803" s="736">
        <f t="shared" si="16"/>
        <v>0</v>
      </c>
      <c r="J803" s="726"/>
      <c r="K803" s="726"/>
      <c r="L803" s="726"/>
    </row>
    <row r="804" spans="1:12" ht="13.5" customHeight="1">
      <c r="A804" s="970"/>
      <c r="B804" s="733"/>
      <c r="C804" s="735" t="s">
        <v>615</v>
      </c>
      <c r="D804" s="737"/>
      <c r="E804" s="731"/>
      <c r="F804" s="732"/>
      <c r="G804" s="755"/>
      <c r="H804" s="755">
        <f>SUM(H800:H801)*10/100</f>
        <v>59.52</v>
      </c>
      <c r="I804" s="755">
        <f>SUM(I800:I801)*20/100</f>
        <v>119.04</v>
      </c>
      <c r="J804" s="726"/>
      <c r="K804" s="726"/>
      <c r="L804" s="726"/>
    </row>
    <row r="805" spans="1:12">
      <c r="A805" s="972"/>
      <c r="B805" s="726"/>
      <c r="C805" s="756" t="s">
        <v>134</v>
      </c>
      <c r="D805" s="1483"/>
      <c r="E805" s="853"/>
      <c r="F805" s="745"/>
      <c r="G805" s="734">
        <f>SUM(G793:G804)</f>
        <v>1283.5360000000001</v>
      </c>
      <c r="H805" s="734">
        <f>SUM(H793:H804)</f>
        <v>1377.9495999999999</v>
      </c>
      <c r="I805" s="734">
        <f>SUM(I793:I804)</f>
        <v>1472.3632000000002</v>
      </c>
      <c r="J805" s="726"/>
      <c r="K805" s="726"/>
      <c r="L805" s="726"/>
    </row>
    <row r="806" spans="1:12">
      <c r="A806" s="972"/>
      <c r="B806" s="726"/>
      <c r="C806" s="756" t="s">
        <v>421</v>
      </c>
      <c r="D806" s="726"/>
      <c r="E806" s="1483"/>
      <c r="F806" s="1483"/>
      <c r="G806" s="734">
        <f>ROUND(G805/10,2)</f>
        <v>128.35</v>
      </c>
      <c r="H806" s="734">
        <f>ROUND(H805/10,2)</f>
        <v>137.79</v>
      </c>
      <c r="I806" s="734">
        <f>ROUND(I805/10,2)</f>
        <v>147.24</v>
      </c>
      <c r="J806" s="726"/>
      <c r="K806" s="726"/>
      <c r="L806" s="726"/>
    </row>
    <row r="807" spans="1:12" ht="93.75" customHeight="1">
      <c r="A807" s="971" t="s">
        <v>622</v>
      </c>
      <c r="B807" s="746">
        <v>25</v>
      </c>
      <c r="C807" s="2030" t="s">
        <v>2079</v>
      </c>
      <c r="D807" s="2031"/>
      <c r="E807" s="2031"/>
      <c r="F807" s="2031"/>
      <c r="G807" s="2080"/>
      <c r="H807" s="2081"/>
      <c r="I807" s="849"/>
      <c r="J807" s="726"/>
      <c r="K807" s="726"/>
      <c r="L807" s="726"/>
    </row>
    <row r="808" spans="1:12" ht="15.75" customHeight="1">
      <c r="A808" s="972"/>
      <c r="B808" s="726"/>
      <c r="C808" s="1483" t="s">
        <v>129</v>
      </c>
      <c r="D808" s="745"/>
      <c r="E808" s="850"/>
      <c r="F808" s="745"/>
      <c r="G808" s="728" t="s">
        <v>613</v>
      </c>
      <c r="H808" s="728" t="s">
        <v>611</v>
      </c>
      <c r="I808" s="728" t="s">
        <v>614</v>
      </c>
      <c r="J808" s="726"/>
      <c r="K808" s="726"/>
      <c r="L808" s="726"/>
    </row>
    <row r="809" spans="1:12">
      <c r="A809" s="972"/>
      <c r="B809" s="726"/>
      <c r="C809" s="1553" t="s">
        <v>1946</v>
      </c>
      <c r="D809" s="1483" t="s">
        <v>182</v>
      </c>
      <c r="E809" s="745">
        <v>1</v>
      </c>
      <c r="F809" s="745">
        <v>180</v>
      </c>
      <c r="G809" s="732">
        <f>ROUND(E809*F809,2)</f>
        <v>180</v>
      </c>
      <c r="H809" s="755">
        <f t="shared" ref="H809:I812" si="17">G809</f>
        <v>180</v>
      </c>
      <c r="I809" s="755">
        <f t="shared" si="17"/>
        <v>180</v>
      </c>
      <c r="J809" s="726"/>
      <c r="K809" s="726"/>
      <c r="L809" s="726"/>
    </row>
    <row r="810" spans="1:12">
      <c r="A810" s="972"/>
      <c r="B810" s="726"/>
      <c r="C810" s="745" t="s">
        <v>358</v>
      </c>
      <c r="D810" s="1483" t="s">
        <v>119</v>
      </c>
      <c r="E810" s="850">
        <v>0.21</v>
      </c>
      <c r="F810" s="745">
        <f>F794</f>
        <v>580</v>
      </c>
      <c r="G810" s="732">
        <f>ROUND(E810*F810,2)</f>
        <v>121.8</v>
      </c>
      <c r="H810" s="755">
        <f t="shared" si="17"/>
        <v>121.8</v>
      </c>
      <c r="I810" s="755">
        <f t="shared" si="17"/>
        <v>121.8</v>
      </c>
      <c r="J810" s="726"/>
      <c r="K810" s="726"/>
      <c r="L810" s="726"/>
    </row>
    <row r="811" spans="1:12">
      <c r="A811" s="972"/>
      <c r="B811" s="726"/>
      <c r="C811" s="745" t="s">
        <v>359</v>
      </c>
      <c r="D811" s="1483" t="s">
        <v>119</v>
      </c>
      <c r="E811" s="1483">
        <v>0.49</v>
      </c>
      <c r="F811" s="745">
        <f>F795</f>
        <v>460</v>
      </c>
      <c r="G811" s="732">
        <f>ROUND(E811*F811,2)</f>
        <v>225.4</v>
      </c>
      <c r="H811" s="755">
        <f t="shared" si="17"/>
        <v>225.4</v>
      </c>
      <c r="I811" s="755">
        <f t="shared" si="17"/>
        <v>225.4</v>
      </c>
      <c r="J811" s="726"/>
      <c r="K811" s="726"/>
      <c r="L811" s="726"/>
    </row>
    <row r="812" spans="1:12" hidden="1">
      <c r="A812" s="972"/>
      <c r="B812" s="752"/>
      <c r="C812" s="813" t="s">
        <v>1724</v>
      </c>
      <c r="D812" s="737">
        <f>D1</f>
        <v>0</v>
      </c>
      <c r="E812" s="778"/>
      <c r="F812" s="778"/>
      <c r="G812" s="736">
        <f>(SUM(G810:G811))*D812</f>
        <v>0</v>
      </c>
      <c r="H812" s="736">
        <f t="shared" si="17"/>
        <v>0</v>
      </c>
      <c r="I812" s="736">
        <f t="shared" si="17"/>
        <v>0</v>
      </c>
      <c r="J812" s="726"/>
      <c r="K812" s="726"/>
      <c r="L812" s="726"/>
    </row>
    <row r="813" spans="1:12" ht="13.5" customHeight="1">
      <c r="A813" s="970"/>
      <c r="B813" s="733"/>
      <c r="C813" s="735" t="s">
        <v>615</v>
      </c>
      <c r="D813" s="737"/>
      <c r="E813" s="731"/>
      <c r="F813" s="732"/>
      <c r="G813" s="755"/>
      <c r="H813" s="755">
        <f>SUM(H810:H811)*10/100</f>
        <v>34.72</v>
      </c>
      <c r="I813" s="755">
        <f>SUM(I810:I811)*20/100</f>
        <v>69.44</v>
      </c>
      <c r="J813" s="726"/>
      <c r="K813" s="726"/>
      <c r="L813" s="726"/>
    </row>
    <row r="814" spans="1:12">
      <c r="A814" s="972"/>
      <c r="B814" s="726"/>
      <c r="C814" s="851" t="s">
        <v>360</v>
      </c>
      <c r="D814" s="1483"/>
      <c r="E814" s="1483"/>
      <c r="F814" s="745"/>
      <c r="G814" s="755">
        <f>SUM(G810:G813)*0.5/100</f>
        <v>1.736</v>
      </c>
      <c r="H814" s="755">
        <f>SUM(H810:H813)*0.5/100</f>
        <v>1.9095999999999997</v>
      </c>
      <c r="I814" s="755">
        <f>SUM(I810:I813)*0.5/100</f>
        <v>2.0831999999999997</v>
      </c>
      <c r="J814" s="726"/>
      <c r="K814" s="726"/>
      <c r="L814" s="726"/>
    </row>
    <row r="815" spans="1:12" ht="39">
      <c r="A815" s="972"/>
      <c r="B815" s="726"/>
      <c r="C815" s="745" t="s">
        <v>1947</v>
      </c>
      <c r="D815" s="1483" t="s">
        <v>1209</v>
      </c>
      <c r="E815" s="852">
        <v>0.8</v>
      </c>
      <c r="F815" s="745">
        <v>310</v>
      </c>
      <c r="G815" s="732">
        <f>ROUND(E815*F815,2)</f>
        <v>248</v>
      </c>
      <c r="H815" s="755">
        <f t="shared" ref="H815:I819" si="18">G815</f>
        <v>248</v>
      </c>
      <c r="I815" s="755">
        <f t="shared" si="18"/>
        <v>248</v>
      </c>
      <c r="J815" s="726"/>
      <c r="K815" s="726"/>
      <c r="L815" s="726"/>
    </row>
    <row r="816" spans="1:12">
      <c r="A816" s="972"/>
      <c r="B816" s="726"/>
      <c r="C816" s="1483" t="s">
        <v>362</v>
      </c>
      <c r="D816" s="1483" t="s">
        <v>119</v>
      </c>
      <c r="E816" s="844">
        <v>0.21</v>
      </c>
      <c r="F816" s="745">
        <f>F810</f>
        <v>580</v>
      </c>
      <c r="G816" s="732">
        <f>ROUND(E816*F816,2)</f>
        <v>121.8</v>
      </c>
      <c r="H816" s="755">
        <f t="shared" si="18"/>
        <v>121.8</v>
      </c>
      <c r="I816" s="755">
        <f t="shared" si="18"/>
        <v>121.8</v>
      </c>
      <c r="J816" s="726"/>
      <c r="K816" s="726"/>
      <c r="L816" s="726"/>
    </row>
    <row r="817" spans="1:12">
      <c r="A817" s="972"/>
      <c r="B817" s="726"/>
      <c r="C817" s="745" t="s">
        <v>359</v>
      </c>
      <c r="D817" s="1483" t="s">
        <v>119</v>
      </c>
      <c r="E817" s="844">
        <v>0.49</v>
      </c>
      <c r="F817" s="745">
        <f>F811</f>
        <v>460</v>
      </c>
      <c r="G817" s="732">
        <f>ROUND(E817*F817,2)</f>
        <v>225.4</v>
      </c>
      <c r="H817" s="755">
        <f t="shared" si="18"/>
        <v>225.4</v>
      </c>
      <c r="I817" s="755">
        <f t="shared" si="18"/>
        <v>225.4</v>
      </c>
      <c r="J817" s="726"/>
      <c r="K817" s="726"/>
      <c r="L817" s="726"/>
    </row>
    <row r="818" spans="1:12">
      <c r="A818" s="972"/>
      <c r="B818" s="752"/>
      <c r="C818" s="726" t="s">
        <v>268</v>
      </c>
      <c r="D818" s="726" t="s">
        <v>119</v>
      </c>
      <c r="E818" s="841">
        <v>1.5</v>
      </c>
      <c r="F818" s="854">
        <f>F831</f>
        <v>420</v>
      </c>
      <c r="G818" s="732">
        <f>ROUND(E818*F818,2)</f>
        <v>630</v>
      </c>
      <c r="H818" s="755">
        <f t="shared" si="18"/>
        <v>630</v>
      </c>
      <c r="I818" s="755">
        <f t="shared" si="18"/>
        <v>630</v>
      </c>
      <c r="J818" s="726"/>
      <c r="K818" s="726"/>
      <c r="L818" s="726"/>
    </row>
    <row r="819" spans="1:12" hidden="1">
      <c r="A819" s="972"/>
      <c r="B819" s="752"/>
      <c r="C819" s="813" t="s">
        <v>1724</v>
      </c>
      <c r="D819" s="737">
        <f>D1</f>
        <v>0</v>
      </c>
      <c r="E819" s="778"/>
      <c r="F819" s="778"/>
      <c r="G819" s="736">
        <f>(SUM(G816:G818))*D819</f>
        <v>0</v>
      </c>
      <c r="H819" s="736">
        <f t="shared" si="18"/>
        <v>0</v>
      </c>
      <c r="I819" s="736">
        <f t="shared" si="18"/>
        <v>0</v>
      </c>
      <c r="J819" s="726"/>
      <c r="K819" s="726"/>
      <c r="L819" s="726"/>
    </row>
    <row r="820" spans="1:12" ht="13.5" customHeight="1">
      <c r="A820" s="970"/>
      <c r="B820" s="733"/>
      <c r="C820" s="735" t="s">
        <v>615</v>
      </c>
      <c r="D820" s="737"/>
      <c r="E820" s="731"/>
      <c r="F820" s="732"/>
      <c r="G820" s="755"/>
      <c r="H820" s="755">
        <f>SUM(H816:H818)*10/100</f>
        <v>97.72</v>
      </c>
      <c r="I820" s="755">
        <f>SUM(I816:I818)*20/100</f>
        <v>195.44</v>
      </c>
      <c r="J820" s="726"/>
      <c r="K820" s="726"/>
      <c r="L820" s="726"/>
    </row>
    <row r="821" spans="1:12">
      <c r="A821" s="972"/>
      <c r="B821" s="726"/>
      <c r="C821" s="756" t="s">
        <v>134</v>
      </c>
      <c r="D821" s="1483"/>
      <c r="E821" s="853"/>
      <c r="F821" s="745"/>
      <c r="G821" s="734">
        <f>SUM(G809:G820)</f>
        <v>1754.136</v>
      </c>
      <c r="H821" s="734">
        <f>SUM(H809:H820)</f>
        <v>1886.7496000000001</v>
      </c>
      <c r="I821" s="734">
        <f>SUM(I809:I820)</f>
        <v>2019.3632000000002</v>
      </c>
      <c r="J821" s="726"/>
      <c r="K821" s="726"/>
      <c r="L821" s="726"/>
    </row>
    <row r="822" spans="1:12">
      <c r="A822" s="972"/>
      <c r="B822" s="726"/>
      <c r="C822" s="756" t="s">
        <v>421</v>
      </c>
      <c r="D822" s="726"/>
      <c r="E822" s="1483"/>
      <c r="F822" s="1483"/>
      <c r="G822" s="734">
        <f>ROUND(G821/10,2)</f>
        <v>175.41</v>
      </c>
      <c r="H822" s="734">
        <f>ROUND(H821/10,2)</f>
        <v>188.67</v>
      </c>
      <c r="I822" s="734">
        <f>ROUND(I821/10,2)</f>
        <v>201.94</v>
      </c>
      <c r="J822" s="726"/>
      <c r="K822" s="726"/>
      <c r="L822" s="726"/>
    </row>
    <row r="823" spans="1:12" ht="66.75" customHeight="1">
      <c r="A823" s="971" t="s">
        <v>101</v>
      </c>
      <c r="B823" s="855">
        <v>26</v>
      </c>
      <c r="C823" s="2030" t="s">
        <v>437</v>
      </c>
      <c r="D823" s="2031"/>
      <c r="E823" s="2031"/>
      <c r="F823" s="2031"/>
      <c r="G823" s="2080"/>
      <c r="H823" s="2081"/>
      <c r="I823" s="726"/>
      <c r="J823" s="726"/>
      <c r="K823" s="726"/>
      <c r="L823" s="726"/>
    </row>
    <row r="824" spans="1:12">
      <c r="A824" s="972"/>
      <c r="B824" s="726"/>
      <c r="C824" s="729" t="s">
        <v>23</v>
      </c>
      <c r="D824" s="732"/>
      <c r="E824" s="732"/>
      <c r="F824" s="732"/>
      <c r="G824" s="732"/>
      <c r="H824" s="1483"/>
      <c r="I824" s="726"/>
      <c r="J824" s="726"/>
      <c r="K824" s="726"/>
      <c r="L824" s="726"/>
    </row>
    <row r="825" spans="1:12">
      <c r="A825" s="972"/>
      <c r="B825" s="726"/>
      <c r="C825" s="729" t="s">
        <v>24</v>
      </c>
      <c r="D825" s="732"/>
      <c r="E825" s="732"/>
      <c r="F825" s="732"/>
      <c r="G825" s="728" t="s">
        <v>611</v>
      </c>
      <c r="H825" s="728" t="s">
        <v>614</v>
      </c>
      <c r="I825" s="726"/>
      <c r="J825" s="726"/>
      <c r="K825" s="726"/>
      <c r="L825" s="726"/>
    </row>
    <row r="826" spans="1:12">
      <c r="A826" s="972"/>
      <c r="B826" s="726"/>
      <c r="C826" s="745" t="s">
        <v>438</v>
      </c>
      <c r="D826" s="732" t="s">
        <v>117</v>
      </c>
      <c r="E826" s="732">
        <v>0.21</v>
      </c>
      <c r="F826" s="732">
        <f>G162</f>
        <v>3403.13</v>
      </c>
      <c r="G826" s="732">
        <f>E826*F826</f>
        <v>714.65729999999996</v>
      </c>
      <c r="H826" s="732">
        <f>G826</f>
        <v>714.65729999999996</v>
      </c>
      <c r="I826" s="726"/>
      <c r="J826" s="726"/>
      <c r="K826" s="726"/>
      <c r="L826" s="726"/>
    </row>
    <row r="827" spans="1:12">
      <c r="A827" s="972"/>
      <c r="B827" s="726"/>
      <c r="C827" s="745" t="s">
        <v>439</v>
      </c>
      <c r="D827" s="732" t="s">
        <v>131</v>
      </c>
      <c r="E827" s="732">
        <v>2</v>
      </c>
      <c r="F827" s="732">
        <v>80</v>
      </c>
      <c r="G827" s="732">
        <f>E827*F827</f>
        <v>160</v>
      </c>
      <c r="H827" s="732">
        <f>G827</f>
        <v>160</v>
      </c>
      <c r="I827" s="726"/>
      <c r="J827" s="726"/>
      <c r="K827" s="726"/>
      <c r="L827" s="726"/>
    </row>
    <row r="828" spans="1:12">
      <c r="A828" s="972"/>
      <c r="B828" s="726"/>
      <c r="C828" s="729" t="s">
        <v>128</v>
      </c>
      <c r="D828" s="732"/>
      <c r="E828" s="795"/>
      <c r="F828" s="732"/>
      <c r="G828" s="732"/>
      <c r="H828" s="732"/>
      <c r="I828" s="726"/>
      <c r="J828" s="726"/>
      <c r="K828" s="726"/>
      <c r="L828" s="726"/>
    </row>
    <row r="829" spans="1:12" ht="15">
      <c r="A829" s="972"/>
      <c r="B829" s="726"/>
      <c r="C829" s="745" t="s">
        <v>1751</v>
      </c>
      <c r="D829" s="732" t="s">
        <v>119</v>
      </c>
      <c r="E829" s="795">
        <v>0.66</v>
      </c>
      <c r="F829" s="732">
        <v>500</v>
      </c>
      <c r="G829" s="732">
        <f>ROUND(E829*F829,2)</f>
        <v>330</v>
      </c>
      <c r="H829" s="732">
        <f>G829</f>
        <v>330</v>
      </c>
      <c r="I829" s="726"/>
      <c r="J829" s="726"/>
      <c r="K829" s="726"/>
      <c r="L829" s="726"/>
    </row>
    <row r="830" spans="1:12" ht="15">
      <c r="A830" s="972"/>
      <c r="B830" s="726"/>
      <c r="C830" s="745" t="s">
        <v>1752</v>
      </c>
      <c r="D830" s="732" t="s">
        <v>119</v>
      </c>
      <c r="E830" s="795">
        <v>1.54</v>
      </c>
      <c r="F830" s="732">
        <v>460</v>
      </c>
      <c r="G830" s="732">
        <f>ROUND(E830*F830,2)</f>
        <v>708.4</v>
      </c>
      <c r="H830" s="732">
        <f>G830</f>
        <v>708.4</v>
      </c>
      <c r="I830" s="726"/>
      <c r="J830" s="726"/>
      <c r="K830" s="726"/>
      <c r="L830" s="726"/>
    </row>
    <row r="831" spans="1:12">
      <c r="A831" s="972"/>
      <c r="B831" s="726"/>
      <c r="C831" s="745" t="s">
        <v>440</v>
      </c>
      <c r="D831" s="732" t="s">
        <v>119</v>
      </c>
      <c r="E831" s="732">
        <v>3.7</v>
      </c>
      <c r="F831" s="732">
        <v>420</v>
      </c>
      <c r="G831" s="732">
        <f>ROUND(E831*F831,2)</f>
        <v>1554</v>
      </c>
      <c r="H831" s="732">
        <f>G831</f>
        <v>1554</v>
      </c>
      <c r="I831" s="726"/>
      <c r="J831" s="726"/>
      <c r="K831" s="726"/>
      <c r="L831" s="726"/>
    </row>
    <row r="832" spans="1:12">
      <c r="A832" s="972"/>
      <c r="B832" s="726"/>
      <c r="C832" s="745" t="s">
        <v>1727</v>
      </c>
      <c r="D832" s="732"/>
      <c r="E832" s="732"/>
      <c r="F832" s="732">
        <f>SUM(G826:G831)</f>
        <v>3467.0572999999999</v>
      </c>
      <c r="G832" s="732">
        <f>F832*0.01</f>
        <v>34.670572999999997</v>
      </c>
      <c r="H832" s="732">
        <f>F832*0.01</f>
        <v>34.670572999999997</v>
      </c>
      <c r="I832" s="726"/>
      <c r="J832" s="726"/>
      <c r="K832" s="726"/>
      <c r="L832" s="726"/>
    </row>
    <row r="833" spans="1:12" hidden="1">
      <c r="A833" s="972"/>
      <c r="B833" s="752"/>
      <c r="C833" s="813" t="s">
        <v>1724</v>
      </c>
      <c r="D833" s="737">
        <f>D1</f>
        <v>0</v>
      </c>
      <c r="E833" s="778"/>
      <c r="F833" s="778"/>
      <c r="G833" s="736">
        <f>(SUM(G829:G831))*D833</f>
        <v>0</v>
      </c>
      <c r="H833" s="736">
        <f>G833</f>
        <v>0</v>
      </c>
      <c r="I833" s="736"/>
      <c r="J833" s="726"/>
      <c r="K833" s="726"/>
      <c r="L833" s="726"/>
    </row>
    <row r="834" spans="1:12" ht="13.5" customHeight="1">
      <c r="A834" s="970"/>
      <c r="B834" s="733"/>
      <c r="C834" s="735" t="s">
        <v>615</v>
      </c>
      <c r="D834" s="737"/>
      <c r="E834" s="731"/>
      <c r="F834" s="732"/>
      <c r="G834" s="755">
        <f>ROUND(G831+G830+G829,2)*10%</f>
        <v>259.24</v>
      </c>
      <c r="H834" s="755">
        <f>ROUND(H831+H830+H829,2)*20%</f>
        <v>518.48</v>
      </c>
      <c r="I834" s="726"/>
      <c r="J834" s="726"/>
      <c r="K834" s="726"/>
      <c r="L834" s="726"/>
    </row>
    <row r="835" spans="1:12">
      <c r="A835" s="972"/>
      <c r="B835" s="726"/>
      <c r="C835" s="756" t="s">
        <v>420</v>
      </c>
      <c r="D835" s="732"/>
      <c r="E835" s="732"/>
      <c r="F835" s="732"/>
      <c r="G835" s="732">
        <f>SUM(G826:G834)</f>
        <v>3760.9678729999996</v>
      </c>
      <c r="H835" s="732">
        <f>SUM(H826:H834)</f>
        <v>4020.2078729999998</v>
      </c>
      <c r="I835" s="726"/>
      <c r="J835" s="726"/>
      <c r="K835" s="726"/>
      <c r="L835" s="726"/>
    </row>
    <row r="836" spans="1:12">
      <c r="A836" s="972"/>
      <c r="B836" s="726"/>
      <c r="C836" s="756" t="s">
        <v>421</v>
      </c>
      <c r="D836" s="752"/>
      <c r="E836" s="731"/>
      <c r="F836" s="731"/>
      <c r="G836" s="734">
        <f>ROUND(G835/10,2)</f>
        <v>376.1</v>
      </c>
      <c r="H836" s="734">
        <f>ROUND(H835/10,2)</f>
        <v>402.02</v>
      </c>
      <c r="I836" s="726"/>
      <c r="J836" s="726"/>
      <c r="K836" s="726"/>
      <c r="L836" s="726"/>
    </row>
    <row r="837" spans="1:12" hidden="1">
      <c r="A837" s="969" t="s">
        <v>256</v>
      </c>
      <c r="B837" s="1487">
        <v>28</v>
      </c>
      <c r="C837" s="2060" t="s">
        <v>924</v>
      </c>
      <c r="D837" s="2060"/>
      <c r="E837" s="2060"/>
      <c r="F837" s="2060"/>
      <c r="G837" s="2060"/>
      <c r="H837" s="726"/>
      <c r="I837" s="726"/>
      <c r="J837" s="726"/>
      <c r="K837" s="726"/>
      <c r="L837" s="726"/>
    </row>
    <row r="838" spans="1:12" ht="184.5" hidden="1" customHeight="1">
      <c r="A838" s="971" t="s">
        <v>593</v>
      </c>
      <c r="B838" s="1487"/>
      <c r="C838" s="2043" t="s">
        <v>594</v>
      </c>
      <c r="D838" s="2043"/>
      <c r="E838" s="2043"/>
      <c r="F838" s="2043"/>
      <c r="G838" s="778"/>
      <c r="H838" s="779"/>
      <c r="I838" s="726"/>
      <c r="J838" s="726"/>
      <c r="K838" s="726"/>
      <c r="L838" s="726"/>
    </row>
    <row r="839" spans="1:12" hidden="1">
      <c r="A839" s="970"/>
      <c r="B839" s="1487" t="s">
        <v>144</v>
      </c>
      <c r="C839" s="726" t="s">
        <v>322</v>
      </c>
      <c r="D839" s="736"/>
      <c r="E839" s="736"/>
      <c r="F839" s="736"/>
      <c r="G839" s="780"/>
      <c r="H839" s="726"/>
      <c r="I839" s="726"/>
      <c r="J839" s="726"/>
      <c r="K839" s="726"/>
      <c r="L839" s="726"/>
    </row>
    <row r="840" spans="1:12" hidden="1">
      <c r="A840" s="970"/>
      <c r="B840" s="1487"/>
      <c r="C840" s="753" t="s">
        <v>24</v>
      </c>
      <c r="D840" s="736"/>
      <c r="E840" s="736"/>
      <c r="F840" s="736"/>
      <c r="G840" s="780"/>
      <c r="H840" s="726"/>
      <c r="I840" s="726"/>
      <c r="J840" s="726"/>
      <c r="K840" s="726"/>
      <c r="L840" s="726"/>
    </row>
    <row r="841" spans="1:12" hidden="1">
      <c r="A841" s="970"/>
      <c r="B841" s="1487"/>
      <c r="C841" s="1482" t="s">
        <v>276</v>
      </c>
      <c r="D841" s="736" t="s">
        <v>117</v>
      </c>
      <c r="E841" s="760">
        <v>0.6</v>
      </c>
      <c r="F841" s="732">
        <f>'Lead statement (2)'!J12</f>
        <v>2111.4</v>
      </c>
      <c r="G841" s="732">
        <f>ROUND(E841*F841,2)</f>
        <v>1266.8399999999999</v>
      </c>
      <c r="H841" s="726"/>
      <c r="I841" s="726"/>
      <c r="J841" s="726"/>
      <c r="K841" s="726"/>
      <c r="L841" s="726"/>
    </row>
    <row r="842" spans="1:12" hidden="1">
      <c r="A842" s="970"/>
      <c r="B842" s="1487"/>
      <c r="C842" s="1482" t="s">
        <v>925</v>
      </c>
      <c r="D842" s="736" t="s">
        <v>117</v>
      </c>
      <c r="E842" s="760">
        <v>0.3</v>
      </c>
      <c r="F842" s="732">
        <f>'Lead statement (2)'!J13</f>
        <v>1851.4</v>
      </c>
      <c r="G842" s="732">
        <f>ROUND(E842*F842,2)</f>
        <v>555.41999999999996</v>
      </c>
      <c r="H842" s="726"/>
      <c r="I842" s="726"/>
      <c r="J842" s="726"/>
      <c r="K842" s="726"/>
      <c r="L842" s="726"/>
    </row>
    <row r="843" spans="1:12" hidden="1">
      <c r="A843" s="970"/>
      <c r="B843" s="1487"/>
      <c r="C843" s="1482" t="s">
        <v>277</v>
      </c>
      <c r="D843" s="736" t="s">
        <v>117</v>
      </c>
      <c r="E843" s="760">
        <v>0.45</v>
      </c>
      <c r="F843" s="732">
        <f>'Lead statement (2)'!J7</f>
        <v>933.6</v>
      </c>
      <c r="G843" s="732">
        <f>ROUND(E843*F843,2)</f>
        <v>420.12</v>
      </c>
      <c r="H843" s="726"/>
      <c r="I843" s="726"/>
      <c r="J843" s="726"/>
      <c r="K843" s="726"/>
      <c r="L843" s="726"/>
    </row>
    <row r="844" spans="1:12" hidden="1">
      <c r="A844" s="970"/>
      <c r="B844" s="1487"/>
      <c r="C844" s="1482" t="s">
        <v>218</v>
      </c>
      <c r="D844" s="736" t="s">
        <v>207</v>
      </c>
      <c r="E844" s="743">
        <v>380</v>
      </c>
      <c r="F844" s="732">
        <f>'Lead statement (2)'!J24</f>
        <v>4.6975999999999996</v>
      </c>
      <c r="G844" s="732">
        <f>ROUND(E844*F844,2)</f>
        <v>1785.09</v>
      </c>
      <c r="H844" s="726"/>
      <c r="I844" s="726"/>
      <c r="J844" s="726"/>
      <c r="K844" s="726"/>
      <c r="L844" s="726"/>
    </row>
    <row r="845" spans="1:12" hidden="1">
      <c r="A845" s="970"/>
      <c r="B845" s="1487"/>
      <c r="C845" s="753" t="s">
        <v>278</v>
      </c>
      <c r="D845" s="736"/>
      <c r="E845" s="760"/>
      <c r="F845" s="732"/>
      <c r="G845" s="734"/>
      <c r="H845" s="726"/>
      <c r="I845" s="726"/>
      <c r="J845" s="726"/>
      <c r="K845" s="726"/>
      <c r="L845" s="726"/>
    </row>
    <row r="846" spans="1:12" hidden="1">
      <c r="A846" s="970"/>
      <c r="B846" s="1487"/>
      <c r="C846" s="1482" t="s">
        <v>279</v>
      </c>
      <c r="D846" s="736" t="s">
        <v>119</v>
      </c>
      <c r="E846" s="760">
        <v>0.13300000000000001</v>
      </c>
      <c r="F846" s="732">
        <f>[125]Bldg.rates!F84</f>
        <v>500</v>
      </c>
      <c r="G846" s="732">
        <f>ROUND(E846*F846,2)</f>
        <v>66.5</v>
      </c>
      <c r="H846" s="726"/>
      <c r="I846" s="726"/>
      <c r="J846" s="726"/>
      <c r="K846" s="726"/>
      <c r="L846" s="726"/>
    </row>
    <row r="847" spans="1:12" hidden="1">
      <c r="A847" s="970"/>
      <c r="B847" s="1487"/>
      <c r="C847" s="1482" t="s">
        <v>280</v>
      </c>
      <c r="D847" s="736" t="s">
        <v>119</v>
      </c>
      <c r="E847" s="760">
        <v>0.26700000000000002</v>
      </c>
      <c r="F847" s="732">
        <f>[125]Bldg.rates!F85</f>
        <v>460</v>
      </c>
      <c r="G847" s="732">
        <f>ROUND(E847*F847,2)</f>
        <v>122.82</v>
      </c>
      <c r="H847" s="726"/>
      <c r="I847" s="726"/>
      <c r="J847" s="726"/>
      <c r="K847" s="726"/>
      <c r="L847" s="726"/>
    </row>
    <row r="848" spans="1:12" hidden="1">
      <c r="A848" s="970"/>
      <c r="B848" s="1487"/>
      <c r="C848" s="1482" t="s">
        <v>281</v>
      </c>
      <c r="D848" s="736" t="s">
        <v>119</v>
      </c>
      <c r="E848" s="760">
        <v>3.6</v>
      </c>
      <c r="F848" s="732">
        <f>[125]Bldg.rates!F86</f>
        <v>420</v>
      </c>
      <c r="G848" s="732">
        <f>ROUND(E848*F848,2)</f>
        <v>1512</v>
      </c>
      <c r="H848" s="726"/>
      <c r="I848" s="726"/>
      <c r="J848" s="726"/>
      <c r="K848" s="726"/>
      <c r="L848" s="726"/>
    </row>
    <row r="849" spans="1:12" hidden="1">
      <c r="A849" s="970"/>
      <c r="B849" s="1487"/>
      <c r="C849" s="753" t="s">
        <v>252</v>
      </c>
      <c r="D849" s="736"/>
      <c r="E849" s="760"/>
      <c r="F849" s="732"/>
      <c r="G849" s="734"/>
      <c r="H849" s="726"/>
      <c r="I849" s="726"/>
      <c r="J849" s="726"/>
      <c r="K849" s="726"/>
      <c r="L849" s="726"/>
    </row>
    <row r="850" spans="1:12" ht="26.25" hidden="1" customHeight="1">
      <c r="A850" s="970"/>
      <c r="B850" s="1487"/>
      <c r="C850" s="1482" t="s">
        <v>567</v>
      </c>
      <c r="D850" s="736" t="s">
        <v>267</v>
      </c>
      <c r="E850" s="736">
        <v>1</v>
      </c>
      <c r="F850" s="736">
        <f>[125]Bldg.rates!F98</f>
        <v>524.70000000000005</v>
      </c>
      <c r="G850" s="736">
        <f>ROUND(E850*F850,2)</f>
        <v>524.70000000000005</v>
      </c>
      <c r="H850" s="726"/>
      <c r="I850" s="726"/>
      <c r="J850" s="726"/>
      <c r="K850" s="726"/>
      <c r="L850" s="726"/>
    </row>
    <row r="851" spans="1:12" hidden="1">
      <c r="A851" s="970"/>
      <c r="B851" s="1487"/>
      <c r="C851" s="745" t="s">
        <v>264</v>
      </c>
      <c r="D851" s="732" t="s">
        <v>265</v>
      </c>
      <c r="E851" s="760">
        <v>1.2</v>
      </c>
      <c r="F851" s="736">
        <f>[125]Bldg.rates!F99</f>
        <v>209.1</v>
      </c>
      <c r="G851" s="736"/>
      <c r="H851" s="726"/>
      <c r="I851" s="726"/>
      <c r="J851" s="726"/>
      <c r="K851" s="726"/>
      <c r="L851" s="726"/>
    </row>
    <row r="852" spans="1:12" hidden="1">
      <c r="A852" s="970"/>
      <c r="B852" s="1487"/>
      <c r="C852" s="753" t="s">
        <v>284</v>
      </c>
      <c r="D852" s="736"/>
      <c r="E852" s="732"/>
      <c r="F852" s="732"/>
      <c r="G852" s="734">
        <f>SUM(G841:G851,0)</f>
        <v>6253.4899999999989</v>
      </c>
      <c r="H852" s="781"/>
      <c r="I852" s="726"/>
      <c r="J852" s="726"/>
      <c r="K852" s="726"/>
      <c r="L852" s="726"/>
    </row>
    <row r="853" spans="1:12" ht="194.25" hidden="1" customHeight="1">
      <c r="A853" s="972"/>
      <c r="B853" s="752"/>
      <c r="C853" s="2043" t="s">
        <v>441</v>
      </c>
      <c r="D853" s="2043"/>
      <c r="E853" s="2043"/>
      <c r="F853" s="2043"/>
      <c r="G853" s="752"/>
      <c r="H853" s="726"/>
      <c r="I853" s="726"/>
      <c r="J853" s="726"/>
      <c r="K853" s="726"/>
      <c r="L853" s="726"/>
    </row>
    <row r="854" spans="1:12" ht="15.75" hidden="1" customHeight="1">
      <c r="A854" s="972"/>
      <c r="B854" s="752"/>
      <c r="C854" s="856" t="s">
        <v>106</v>
      </c>
      <c r="D854" s="1481"/>
      <c r="E854" s="1481"/>
      <c r="F854" s="1481"/>
      <c r="G854" s="726"/>
      <c r="H854" s="726"/>
      <c r="I854" s="726"/>
      <c r="J854" s="726"/>
      <c r="K854" s="726"/>
      <c r="L854" s="726"/>
    </row>
    <row r="855" spans="1:12" hidden="1">
      <c r="A855" s="972"/>
      <c r="B855" s="752"/>
      <c r="C855" s="726" t="s">
        <v>443</v>
      </c>
      <c r="D855" s="726" t="s">
        <v>117</v>
      </c>
      <c r="E855" s="857">
        <v>0.16600000000000001</v>
      </c>
      <c r="F855" s="747">
        <f>G852</f>
        <v>6253.4899999999989</v>
      </c>
      <c r="G855" s="732">
        <f>ROUND(E855*F855,2)</f>
        <v>1038.08</v>
      </c>
      <c r="H855" s="726"/>
      <c r="I855" s="726"/>
      <c r="J855" s="726"/>
      <c r="K855" s="726"/>
      <c r="L855" s="726"/>
    </row>
    <row r="856" spans="1:12" hidden="1">
      <c r="A856" s="972"/>
      <c r="B856" s="752"/>
      <c r="C856" s="726" t="s">
        <v>448</v>
      </c>
      <c r="D856" s="726" t="s">
        <v>119</v>
      </c>
      <c r="E856" s="747">
        <f>3.5*0.526</f>
        <v>1.8410000000000002</v>
      </c>
      <c r="F856" s="747">
        <f>F864</f>
        <v>420</v>
      </c>
      <c r="G856" s="732">
        <f>ROUND(E856*F856,2)</f>
        <v>773.22</v>
      </c>
      <c r="H856" s="726"/>
      <c r="I856" s="726"/>
      <c r="J856" s="726"/>
      <c r="K856" s="726"/>
      <c r="L856" s="726"/>
    </row>
    <row r="857" spans="1:12" hidden="1">
      <c r="A857" s="972"/>
      <c r="B857" s="752"/>
      <c r="C857" s="726" t="s">
        <v>449</v>
      </c>
      <c r="D857" s="726" t="s">
        <v>119</v>
      </c>
      <c r="E857" s="747">
        <f>2*0.56</f>
        <v>1.1200000000000001</v>
      </c>
      <c r="F857" s="747">
        <f>F865</f>
        <v>420</v>
      </c>
      <c r="G857" s="732">
        <f>ROUND(E857*F857,2)</f>
        <v>470.4</v>
      </c>
      <c r="H857" s="726"/>
      <c r="I857" s="726"/>
      <c r="J857" s="726"/>
      <c r="K857" s="726"/>
      <c r="L857" s="726"/>
    </row>
    <row r="858" spans="1:12" ht="13.5" hidden="1" customHeight="1">
      <c r="A858" s="970"/>
      <c r="B858" s="733"/>
      <c r="C858" s="756" t="s">
        <v>592</v>
      </c>
      <c r="D858" s="737" t="e">
        <f>#REF!</f>
        <v>#REF!</v>
      </c>
      <c r="E858" s="731"/>
      <c r="F858" s="732"/>
      <c r="G858" s="755" t="e">
        <f>D858*SUM(G856:G857)</f>
        <v>#REF!</v>
      </c>
      <c r="H858" s="732"/>
      <c r="I858" s="726"/>
      <c r="J858" s="726"/>
      <c r="K858" s="726"/>
      <c r="L858" s="726"/>
    </row>
    <row r="859" spans="1:12" hidden="1">
      <c r="A859" s="972"/>
      <c r="B859" s="752"/>
      <c r="C859" s="726"/>
      <c r="D859" s="726"/>
      <c r="E859" s="747"/>
      <c r="F859" s="747"/>
      <c r="G859" s="734" t="e">
        <f>SUM(G855:G858)</f>
        <v>#REF!</v>
      </c>
      <c r="H859" s="726"/>
      <c r="I859" s="726"/>
      <c r="J859" s="726"/>
      <c r="K859" s="726"/>
      <c r="L859" s="726"/>
    </row>
    <row r="860" spans="1:12" ht="26" hidden="1">
      <c r="A860" s="972"/>
      <c r="B860" s="752"/>
      <c r="C860" s="813" t="s">
        <v>578</v>
      </c>
      <c r="D860" s="752"/>
      <c r="E860" s="757"/>
      <c r="F860" s="757"/>
      <c r="G860" s="734" t="e">
        <f>G859*0</f>
        <v>#REF!</v>
      </c>
      <c r="H860" s="726"/>
      <c r="I860" s="726"/>
      <c r="J860" s="726"/>
      <c r="K860" s="726"/>
      <c r="L860" s="726"/>
    </row>
    <row r="861" spans="1:12" hidden="1">
      <c r="A861" s="972"/>
      <c r="B861" s="752"/>
      <c r="C861" s="726"/>
      <c r="D861" s="752"/>
      <c r="E861" s="757"/>
      <c r="F861" s="757"/>
      <c r="G861" s="734" t="e">
        <f>SUM(G859:G860)</f>
        <v>#REF!</v>
      </c>
      <c r="H861" s="726"/>
      <c r="I861" s="726"/>
      <c r="J861" s="726"/>
      <c r="K861" s="726"/>
      <c r="L861" s="726"/>
    </row>
    <row r="862" spans="1:12" ht="15.75" hidden="1" customHeight="1">
      <c r="A862" s="972"/>
      <c r="B862" s="752"/>
      <c r="C862" s="856" t="s">
        <v>447</v>
      </c>
      <c r="D862" s="730"/>
      <c r="E862" s="730"/>
      <c r="F862" s="730"/>
      <c r="G862" s="752"/>
      <c r="H862" s="726"/>
      <c r="I862" s="726"/>
      <c r="J862" s="726"/>
      <c r="K862" s="726"/>
      <c r="L862" s="726"/>
    </row>
    <row r="863" spans="1:12" hidden="1">
      <c r="A863" s="972"/>
      <c r="B863" s="752"/>
      <c r="C863" s="726" t="s">
        <v>1099</v>
      </c>
      <c r="D863" s="752" t="s">
        <v>117</v>
      </c>
      <c r="E863" s="858">
        <v>0.28199999999999997</v>
      </c>
      <c r="F863" s="757">
        <f>F855</f>
        <v>6253.4899999999989</v>
      </c>
      <c r="G863" s="732">
        <f>ROUND(E863*F863,2)</f>
        <v>1763.48</v>
      </c>
      <c r="H863" s="726"/>
      <c r="I863" s="726"/>
      <c r="J863" s="726"/>
      <c r="K863" s="726"/>
      <c r="L863" s="726"/>
    </row>
    <row r="864" spans="1:12" hidden="1">
      <c r="A864" s="972"/>
      <c r="B864" s="752"/>
      <c r="C864" s="726" t="s">
        <v>448</v>
      </c>
      <c r="D864" s="752" t="s">
        <v>119</v>
      </c>
      <c r="E864" s="757">
        <f>3.5*0.526</f>
        <v>1.8410000000000002</v>
      </c>
      <c r="F864" s="757">
        <f>[125]Bldg.rates!F86</f>
        <v>420</v>
      </c>
      <c r="G864" s="732">
        <f>ROUND(E864*F864,2)</f>
        <v>773.22</v>
      </c>
      <c r="H864" s="726"/>
      <c r="I864" s="726"/>
      <c r="J864" s="726"/>
      <c r="K864" s="726"/>
      <c r="L864" s="726"/>
    </row>
    <row r="865" spans="1:12" hidden="1">
      <c r="A865" s="972"/>
      <c r="B865" s="752"/>
      <c r="C865" s="726" t="s">
        <v>449</v>
      </c>
      <c r="D865" s="752" t="s">
        <v>119</v>
      </c>
      <c r="E865" s="757">
        <f>2*0.56</f>
        <v>1.1200000000000001</v>
      </c>
      <c r="F865" s="757">
        <f>F864</f>
        <v>420</v>
      </c>
      <c r="G865" s="732">
        <f>ROUND(E865*F865,2)</f>
        <v>470.4</v>
      </c>
      <c r="H865" s="726"/>
      <c r="I865" s="726"/>
      <c r="J865" s="726"/>
      <c r="K865" s="726"/>
      <c r="L865" s="726"/>
    </row>
    <row r="866" spans="1:12" hidden="1">
      <c r="A866" s="972"/>
      <c r="B866" s="752"/>
      <c r="C866" s="726"/>
      <c r="D866" s="752"/>
      <c r="E866" s="757"/>
      <c r="F866" s="757"/>
      <c r="G866" s="734">
        <f>ROUND(SUM(G863:G865),2)</f>
        <v>3007.1</v>
      </c>
      <c r="H866" s="726"/>
      <c r="I866" s="726"/>
      <c r="J866" s="726"/>
      <c r="K866" s="726"/>
      <c r="L866" s="726"/>
    </row>
    <row r="867" spans="1:12" hidden="1">
      <c r="A867" s="972"/>
      <c r="B867" s="752"/>
      <c r="C867" s="726"/>
      <c r="D867" s="752"/>
      <c r="E867" s="757"/>
      <c r="F867" s="757"/>
      <c r="G867" s="807">
        <f>G866</f>
        <v>3007.1</v>
      </c>
      <c r="H867" s="726"/>
      <c r="I867" s="726"/>
      <c r="J867" s="726"/>
      <c r="K867" s="726"/>
      <c r="L867" s="726"/>
    </row>
    <row r="868" spans="1:12" ht="12" hidden="1" customHeight="1">
      <c r="A868" s="972"/>
      <c r="B868" s="752"/>
      <c r="C868" s="856" t="s">
        <v>273</v>
      </c>
      <c r="D868" s="730"/>
      <c r="E868" s="730"/>
      <c r="F868" s="730"/>
      <c r="G868" s="752"/>
      <c r="H868" s="726"/>
      <c r="I868" s="726"/>
      <c r="J868" s="726"/>
      <c r="K868" s="726"/>
      <c r="L868" s="726"/>
    </row>
    <row r="869" spans="1:12" ht="12" hidden="1" customHeight="1">
      <c r="A869" s="972"/>
      <c r="B869" s="752"/>
      <c r="C869" s="726" t="s">
        <v>1099</v>
      </c>
      <c r="D869" s="752" t="s">
        <v>117</v>
      </c>
      <c r="E869" s="858">
        <v>0.438</v>
      </c>
      <c r="F869" s="757">
        <f>F863</f>
        <v>6253.4899999999989</v>
      </c>
      <c r="G869" s="732">
        <f>ROUND(E869*F869,2)</f>
        <v>2739.03</v>
      </c>
      <c r="H869" s="726"/>
      <c r="I869" s="726"/>
      <c r="J869" s="726"/>
      <c r="K869" s="726"/>
      <c r="L869" s="726"/>
    </row>
    <row r="870" spans="1:12" ht="12" hidden="1" customHeight="1">
      <c r="A870" s="972"/>
      <c r="B870" s="752"/>
      <c r="C870" s="726" t="s">
        <v>448</v>
      </c>
      <c r="D870" s="752" t="s">
        <v>119</v>
      </c>
      <c r="E870" s="757">
        <f>3.5*0.526</f>
        <v>1.8410000000000002</v>
      </c>
      <c r="F870" s="757">
        <f>F864</f>
        <v>420</v>
      </c>
      <c r="G870" s="732">
        <f>ROUND(E870*F870,2)</f>
        <v>773.22</v>
      </c>
      <c r="H870" s="726"/>
      <c r="I870" s="726"/>
      <c r="J870" s="726"/>
      <c r="K870" s="726"/>
      <c r="L870" s="726"/>
    </row>
    <row r="871" spans="1:12" ht="12" hidden="1" customHeight="1">
      <c r="A871" s="972"/>
      <c r="B871" s="752"/>
      <c r="C871" s="726" t="s">
        <v>449</v>
      </c>
      <c r="D871" s="752" t="s">
        <v>119</v>
      </c>
      <c r="E871" s="757">
        <f>2*0.56</f>
        <v>1.1200000000000001</v>
      </c>
      <c r="F871" s="757">
        <f>F865</f>
        <v>420</v>
      </c>
      <c r="G871" s="732">
        <f>ROUND(E871*F871,2)</f>
        <v>470.4</v>
      </c>
      <c r="H871" s="726"/>
      <c r="I871" s="726"/>
      <c r="J871" s="726"/>
      <c r="K871" s="726"/>
      <c r="L871" s="726"/>
    </row>
    <row r="872" spans="1:12" ht="18" hidden="1" customHeight="1">
      <c r="A872" s="972"/>
      <c r="B872" s="752"/>
      <c r="C872" s="1481"/>
      <c r="D872" s="730"/>
      <c r="E872" s="730"/>
      <c r="F872" s="730"/>
      <c r="G872" s="734">
        <f>SUM(G869:G871)</f>
        <v>3982.65</v>
      </c>
      <c r="H872" s="726"/>
      <c r="I872" s="726"/>
      <c r="J872" s="726"/>
      <c r="K872" s="726"/>
      <c r="L872" s="726"/>
    </row>
    <row r="873" spans="1:12" ht="12" hidden="1" customHeight="1">
      <c r="A873" s="972"/>
      <c r="B873" s="752"/>
      <c r="C873" s="856" t="s">
        <v>274</v>
      </c>
      <c r="D873" s="1481"/>
      <c r="E873" s="1481"/>
      <c r="F873" s="1481"/>
      <c r="G873" s="726"/>
      <c r="H873" s="726"/>
      <c r="I873" s="726"/>
      <c r="J873" s="726"/>
      <c r="K873" s="726"/>
      <c r="L873" s="726"/>
    </row>
    <row r="874" spans="1:12" ht="12" hidden="1" customHeight="1">
      <c r="A874" s="972"/>
      <c r="B874" s="752"/>
      <c r="C874" s="726" t="s">
        <v>443</v>
      </c>
      <c r="D874" s="726" t="s">
        <v>117</v>
      </c>
      <c r="E874" s="857">
        <v>0.45600000000000002</v>
      </c>
      <c r="F874" s="747">
        <f>F869</f>
        <v>6253.4899999999989</v>
      </c>
      <c r="G874" s="732">
        <f>ROUND(E874*F874,2)</f>
        <v>2851.59</v>
      </c>
      <c r="H874" s="726"/>
      <c r="I874" s="726"/>
      <c r="J874" s="726"/>
      <c r="K874" s="726"/>
      <c r="L874" s="726"/>
    </row>
    <row r="875" spans="1:12" ht="12" hidden="1" customHeight="1">
      <c r="A875" s="972"/>
      <c r="B875" s="752"/>
      <c r="C875" s="726" t="s">
        <v>553</v>
      </c>
      <c r="D875" s="752" t="s">
        <v>119</v>
      </c>
      <c r="E875" s="747">
        <f>3.75*0.526</f>
        <v>1.9725000000000001</v>
      </c>
      <c r="F875" s="747">
        <f>F871</f>
        <v>420</v>
      </c>
      <c r="G875" s="732">
        <f>ROUND(E875*F875,2)</f>
        <v>828.45</v>
      </c>
      <c r="H875" s="726"/>
      <c r="I875" s="726"/>
      <c r="J875" s="726"/>
      <c r="K875" s="726"/>
      <c r="L875" s="726"/>
    </row>
    <row r="876" spans="1:12" ht="12" hidden="1" customHeight="1">
      <c r="A876" s="972"/>
      <c r="B876" s="752"/>
      <c r="C876" s="726" t="s">
        <v>449</v>
      </c>
      <c r="D876" s="752" t="s">
        <v>119</v>
      </c>
      <c r="E876" s="747">
        <f>2*0.56</f>
        <v>1.1200000000000001</v>
      </c>
      <c r="F876" s="747">
        <f>F870</f>
        <v>420</v>
      </c>
      <c r="G876" s="732">
        <f>ROUND(E876*F876,2)</f>
        <v>470.4</v>
      </c>
      <c r="H876" s="726"/>
      <c r="I876" s="726"/>
      <c r="J876" s="726"/>
      <c r="K876" s="726"/>
      <c r="L876" s="726"/>
    </row>
    <row r="877" spans="1:12" ht="13.5" hidden="1" customHeight="1">
      <c r="A877" s="970"/>
      <c r="B877" s="733"/>
      <c r="C877" s="756" t="s">
        <v>592</v>
      </c>
      <c r="D877" s="737" t="e">
        <f>#REF!</f>
        <v>#REF!</v>
      </c>
      <c r="E877" s="731"/>
      <c r="F877" s="732"/>
      <c r="G877" s="755" t="e">
        <f>D877*SUM(G875:G876)</f>
        <v>#REF!</v>
      </c>
      <c r="H877" s="732"/>
      <c r="I877" s="726"/>
      <c r="J877" s="726"/>
      <c r="K877" s="726"/>
      <c r="L877" s="726"/>
    </row>
    <row r="878" spans="1:12" ht="12" hidden="1" customHeight="1">
      <c r="A878" s="972"/>
      <c r="B878" s="752"/>
      <c r="C878" s="1481"/>
      <c r="D878" s="1481"/>
      <c r="E878" s="1481"/>
      <c r="F878" s="1481"/>
      <c r="G878" s="734" t="e">
        <f>SUM(G874:G877)</f>
        <v>#REF!</v>
      </c>
      <c r="H878" s="726"/>
      <c r="I878" s="726"/>
      <c r="J878" s="726"/>
      <c r="K878" s="726"/>
      <c r="L878" s="726"/>
    </row>
    <row r="879" spans="1:12" ht="24.75" hidden="1" customHeight="1">
      <c r="A879" s="972"/>
      <c r="B879" s="752"/>
      <c r="C879" s="813" t="s">
        <v>578</v>
      </c>
      <c r="D879" s="730"/>
      <c r="E879" s="730"/>
      <c r="F879" s="730"/>
      <c r="G879" s="734" t="e">
        <f>G878*0</f>
        <v>#REF!</v>
      </c>
      <c r="H879" s="726"/>
      <c r="I879" s="726"/>
      <c r="J879" s="726"/>
      <c r="K879" s="726"/>
      <c r="L879" s="726"/>
    </row>
    <row r="880" spans="1:12" ht="18.75" hidden="1" customHeight="1">
      <c r="A880" s="972"/>
      <c r="B880" s="752"/>
      <c r="C880" s="1481"/>
      <c r="D880" s="730"/>
      <c r="E880" s="730"/>
      <c r="F880" s="730"/>
      <c r="G880" s="734" t="e">
        <f>SUM(G878:G879)</f>
        <v>#REF!</v>
      </c>
      <c r="H880" s="726"/>
      <c r="I880" s="726"/>
      <c r="J880" s="726"/>
      <c r="K880" s="726"/>
      <c r="L880" s="726"/>
    </row>
    <row r="881" spans="1:12" ht="12" hidden="1" customHeight="1">
      <c r="A881" s="972"/>
      <c r="B881" s="752"/>
      <c r="C881" s="856" t="s">
        <v>352</v>
      </c>
      <c r="D881" s="1481"/>
      <c r="E881" s="1481"/>
      <c r="F881" s="1481"/>
      <c r="G881" s="726"/>
      <c r="H881" s="726"/>
      <c r="I881" s="726"/>
      <c r="J881" s="726"/>
      <c r="K881" s="726"/>
      <c r="L881" s="726"/>
    </row>
    <row r="882" spans="1:12" ht="12" hidden="1" customHeight="1">
      <c r="A882" s="972"/>
      <c r="B882" s="752"/>
      <c r="C882" s="726" t="s">
        <v>443</v>
      </c>
      <c r="D882" s="726" t="s">
        <v>117</v>
      </c>
      <c r="E882" s="857">
        <v>0.48099999999999998</v>
      </c>
      <c r="F882" s="747">
        <f>F890</f>
        <v>6253.4899999999989</v>
      </c>
      <c r="G882" s="732">
        <f>ROUND(E882*F882,2)</f>
        <v>3007.93</v>
      </c>
      <c r="H882" s="726"/>
      <c r="I882" s="726"/>
      <c r="J882" s="726"/>
      <c r="K882" s="726"/>
      <c r="L882" s="726"/>
    </row>
    <row r="883" spans="1:12" ht="12" hidden="1" customHeight="1">
      <c r="A883" s="972"/>
      <c r="B883" s="752"/>
      <c r="C883" s="726" t="s">
        <v>353</v>
      </c>
      <c r="D883" s="752" t="s">
        <v>119</v>
      </c>
      <c r="E883" s="747">
        <f>4.1*0.526</f>
        <v>2.1566000000000001</v>
      </c>
      <c r="F883" s="747">
        <f>F892</f>
        <v>420</v>
      </c>
      <c r="G883" s="732">
        <f>ROUND(E883*F883,2)</f>
        <v>905.77</v>
      </c>
      <c r="H883" s="726"/>
      <c r="I883" s="726"/>
      <c r="J883" s="726"/>
      <c r="K883" s="726"/>
      <c r="L883" s="726"/>
    </row>
    <row r="884" spans="1:12" ht="12" hidden="1" customHeight="1">
      <c r="A884" s="972"/>
      <c r="B884" s="752"/>
      <c r="C884" s="726" t="s">
        <v>449</v>
      </c>
      <c r="D884" s="752" t="s">
        <v>119</v>
      </c>
      <c r="E884" s="747">
        <f>2*0.56</f>
        <v>1.1200000000000001</v>
      </c>
      <c r="F884" s="747">
        <f>F891</f>
        <v>420</v>
      </c>
      <c r="G884" s="732">
        <f>ROUND(E884*F884,2)</f>
        <v>470.4</v>
      </c>
      <c r="H884" s="726"/>
      <c r="I884" s="726"/>
      <c r="J884" s="726"/>
      <c r="K884" s="726"/>
      <c r="L884" s="726"/>
    </row>
    <row r="885" spans="1:12" ht="13.5" hidden="1" customHeight="1">
      <c r="A885" s="970"/>
      <c r="B885" s="733"/>
      <c r="C885" s="756" t="s">
        <v>592</v>
      </c>
      <c r="D885" s="737" t="e">
        <f>D877</f>
        <v>#REF!</v>
      </c>
      <c r="E885" s="731"/>
      <c r="F885" s="732"/>
      <c r="G885" s="755" t="e">
        <f>D885*SUM(G883:G884)</f>
        <v>#REF!</v>
      </c>
      <c r="H885" s="732"/>
      <c r="I885" s="726"/>
      <c r="J885" s="726"/>
      <c r="K885" s="726"/>
      <c r="L885" s="726"/>
    </row>
    <row r="886" spans="1:12" ht="12" hidden="1" customHeight="1">
      <c r="A886" s="972"/>
      <c r="B886" s="752"/>
      <c r="C886" s="1481"/>
      <c r="D886" s="1481"/>
      <c r="E886" s="1481"/>
      <c r="F886" s="1481"/>
      <c r="G886" s="734" t="e">
        <f>SUM(G882:G885)</f>
        <v>#REF!</v>
      </c>
      <c r="H886" s="726"/>
      <c r="I886" s="726"/>
      <c r="J886" s="726"/>
      <c r="K886" s="726"/>
      <c r="L886" s="726"/>
    </row>
    <row r="887" spans="1:12" ht="26" hidden="1">
      <c r="A887" s="972"/>
      <c r="B887" s="752"/>
      <c r="C887" s="813" t="s">
        <v>578</v>
      </c>
      <c r="D887" s="752"/>
      <c r="E887" s="757"/>
      <c r="F887" s="757"/>
      <c r="G887" s="734" t="e">
        <f>G886*0</f>
        <v>#REF!</v>
      </c>
      <c r="H887" s="726"/>
      <c r="I887" s="726"/>
      <c r="J887" s="726"/>
      <c r="K887" s="726"/>
      <c r="L887" s="726"/>
    </row>
    <row r="888" spans="1:12" hidden="1">
      <c r="A888" s="972"/>
      <c r="B888" s="752"/>
      <c r="C888" s="746"/>
      <c r="D888" s="752"/>
      <c r="E888" s="757"/>
      <c r="F888" s="757"/>
      <c r="G888" s="734" t="e">
        <f>SUM(G886:G887)</f>
        <v>#REF!</v>
      </c>
      <c r="H888" s="726"/>
      <c r="I888" s="726"/>
      <c r="J888" s="726"/>
      <c r="K888" s="726"/>
      <c r="L888" s="726"/>
    </row>
    <row r="889" spans="1:12" ht="15.75" hidden="1" customHeight="1">
      <c r="A889" s="972"/>
      <c r="B889" s="752"/>
      <c r="C889" s="856" t="s">
        <v>442</v>
      </c>
      <c r="D889" s="730"/>
      <c r="E889" s="730"/>
      <c r="F889" s="730"/>
      <c r="G889" s="752"/>
      <c r="H889" s="726"/>
      <c r="I889" s="726"/>
      <c r="J889" s="726"/>
      <c r="K889" s="726"/>
      <c r="L889" s="726"/>
    </row>
    <row r="890" spans="1:12" hidden="1">
      <c r="A890" s="972"/>
      <c r="B890" s="752"/>
      <c r="C890" s="726" t="s">
        <v>1099</v>
      </c>
      <c r="D890" s="752" t="s">
        <v>117</v>
      </c>
      <c r="E890" s="858">
        <v>0.78700000000000003</v>
      </c>
      <c r="F890" s="757">
        <f>F863</f>
        <v>6253.4899999999989</v>
      </c>
      <c r="G890" s="732">
        <f>ROUND(E890*F890,2)</f>
        <v>4921.5</v>
      </c>
      <c r="H890" s="726"/>
      <c r="I890" s="726"/>
      <c r="J890" s="726"/>
      <c r="K890" s="726"/>
      <c r="L890" s="726"/>
    </row>
    <row r="891" spans="1:12" hidden="1">
      <c r="A891" s="972"/>
      <c r="B891" s="752"/>
      <c r="C891" s="726" t="s">
        <v>444</v>
      </c>
      <c r="D891" s="752" t="s">
        <v>119</v>
      </c>
      <c r="E891" s="757">
        <f>3.75*0.631</f>
        <v>2.36625</v>
      </c>
      <c r="F891" s="757">
        <f>F870</f>
        <v>420</v>
      </c>
      <c r="G891" s="732">
        <f>ROUND(E891*F891,2)</f>
        <v>993.83</v>
      </c>
      <c r="H891" s="726"/>
      <c r="I891" s="726"/>
      <c r="J891" s="726"/>
      <c r="K891" s="726"/>
      <c r="L891" s="726"/>
    </row>
    <row r="892" spans="1:12" hidden="1">
      <c r="A892" s="972"/>
      <c r="B892" s="752"/>
      <c r="C892" s="726" t="s">
        <v>446</v>
      </c>
      <c r="D892" s="752" t="s">
        <v>119</v>
      </c>
      <c r="E892" s="757">
        <f>2*0.789</f>
        <v>1.5780000000000001</v>
      </c>
      <c r="F892" s="757">
        <f>F871</f>
        <v>420</v>
      </c>
      <c r="G892" s="732">
        <f>ROUND(E892*F892,2)</f>
        <v>662.76</v>
      </c>
      <c r="H892" s="726"/>
      <c r="I892" s="726"/>
      <c r="J892" s="726"/>
      <c r="K892" s="726"/>
      <c r="L892" s="726"/>
    </row>
    <row r="893" spans="1:12" hidden="1">
      <c r="A893" s="972"/>
      <c r="B893" s="752"/>
      <c r="C893" s="726"/>
      <c r="D893" s="752"/>
      <c r="E893" s="757"/>
      <c r="F893" s="757"/>
      <c r="G893" s="734">
        <f>ROUND(SUM(G890:G892),2)</f>
        <v>6578.09</v>
      </c>
      <c r="H893" s="726"/>
      <c r="I893" s="726"/>
      <c r="J893" s="726"/>
      <c r="K893" s="726"/>
      <c r="L893" s="726"/>
    </row>
    <row r="894" spans="1:12" s="802" customFormat="1" ht="15.75" hidden="1" customHeight="1">
      <c r="A894" s="976"/>
      <c r="B894" s="797"/>
      <c r="C894" s="799" t="s">
        <v>784</v>
      </c>
      <c r="D894" s="797"/>
      <c r="E894" s="797"/>
      <c r="F894" s="797"/>
      <c r="G894" s="797"/>
      <c r="H894" s="797"/>
      <c r="I894" s="797"/>
      <c r="J894" s="797"/>
      <c r="K894" s="797"/>
      <c r="L894" s="797"/>
    </row>
    <row r="895" spans="1:12" s="802" customFormat="1" hidden="1">
      <c r="A895" s="976"/>
      <c r="B895" s="797"/>
      <c r="C895" s="1485" t="s">
        <v>785</v>
      </c>
      <c r="D895" s="797" t="s">
        <v>117</v>
      </c>
      <c r="E895" s="859">
        <v>1.36</v>
      </c>
      <c r="F895" s="860">
        <f>G852</f>
        <v>6253.4899999999989</v>
      </c>
      <c r="G895" s="800">
        <f>ROUND(E895*F895,2)</f>
        <v>8504.75</v>
      </c>
      <c r="H895" s="797"/>
      <c r="I895" s="797"/>
      <c r="J895" s="797"/>
      <c r="K895" s="797"/>
      <c r="L895" s="797"/>
    </row>
    <row r="896" spans="1:12" s="802" customFormat="1" hidden="1">
      <c r="A896" s="976"/>
      <c r="B896" s="797"/>
      <c r="C896" s="805" t="s">
        <v>786</v>
      </c>
      <c r="D896" s="797" t="s">
        <v>445</v>
      </c>
      <c r="E896" s="859">
        <v>2.84</v>
      </c>
      <c r="F896" s="860">
        <f>F891</f>
        <v>420</v>
      </c>
      <c r="G896" s="800">
        <f>ROUND(E896*F896,2)</f>
        <v>1192.8</v>
      </c>
      <c r="H896" s="797"/>
      <c r="I896" s="797"/>
      <c r="J896" s="797"/>
      <c r="K896" s="797"/>
      <c r="L896" s="797"/>
    </row>
    <row r="897" spans="1:12" s="802" customFormat="1" hidden="1">
      <c r="A897" s="976"/>
      <c r="B897" s="797"/>
      <c r="C897" s="805" t="s">
        <v>446</v>
      </c>
      <c r="D897" s="797" t="s">
        <v>445</v>
      </c>
      <c r="E897" s="859">
        <v>1.5780000000000001</v>
      </c>
      <c r="F897" s="860">
        <f>F896</f>
        <v>420</v>
      </c>
      <c r="G897" s="800">
        <f>ROUND(E897*F897,2)</f>
        <v>662.76</v>
      </c>
      <c r="H897" s="797"/>
      <c r="I897" s="797"/>
      <c r="J897" s="797"/>
      <c r="K897" s="797"/>
      <c r="L897" s="797"/>
    </row>
    <row r="898" spans="1:12" s="802" customFormat="1" hidden="1">
      <c r="A898" s="976"/>
      <c r="B898" s="797"/>
      <c r="C898" s="805"/>
      <c r="D898" s="797"/>
      <c r="E898" s="859"/>
      <c r="F898" s="860"/>
      <c r="G898" s="734">
        <f>ROUND(SUM(G894:G897),2)</f>
        <v>10360.31</v>
      </c>
      <c r="H898" s="797"/>
      <c r="I898" s="797"/>
      <c r="J898" s="797"/>
      <c r="K898" s="797"/>
      <c r="L898" s="797"/>
    </row>
    <row r="899" spans="1:12" s="802" customFormat="1" ht="29.25" hidden="1" customHeight="1">
      <c r="A899" s="976"/>
      <c r="B899" s="797"/>
      <c r="C899" s="805" t="s">
        <v>578</v>
      </c>
      <c r="D899" s="797"/>
      <c r="E899" s="859"/>
      <c r="F899" s="860"/>
      <c r="G899" s="800"/>
      <c r="H899" s="797"/>
      <c r="I899" s="797"/>
      <c r="J899" s="797"/>
      <c r="K899" s="797"/>
      <c r="L899" s="797"/>
    </row>
    <row r="900" spans="1:12" s="802" customFormat="1" hidden="1">
      <c r="A900" s="976"/>
      <c r="B900" s="797"/>
      <c r="C900" s="805"/>
      <c r="D900" s="797"/>
      <c r="E900" s="859"/>
      <c r="F900" s="860"/>
      <c r="G900" s="861">
        <f>SUM(G898:G899)</f>
        <v>10360.31</v>
      </c>
      <c r="H900" s="797"/>
      <c r="I900" s="797"/>
      <c r="J900" s="797"/>
      <c r="K900" s="797"/>
      <c r="L900" s="797"/>
    </row>
    <row r="901" spans="1:12" ht="15.75" hidden="1" customHeight="1">
      <c r="A901" s="972"/>
      <c r="B901" s="752"/>
      <c r="C901" s="856" t="s">
        <v>342</v>
      </c>
      <c r="D901" s="730"/>
      <c r="E901" s="730"/>
      <c r="F901" s="730"/>
      <c r="G901" s="752"/>
      <c r="H901" s="726"/>
      <c r="I901" s="726"/>
      <c r="J901" s="726"/>
      <c r="K901" s="726"/>
      <c r="L901" s="726"/>
    </row>
    <row r="902" spans="1:12" hidden="1">
      <c r="A902" s="972"/>
      <c r="B902" s="752"/>
      <c r="C902" s="726" t="s">
        <v>443</v>
      </c>
      <c r="D902" s="752" t="s">
        <v>117</v>
      </c>
      <c r="E902" s="862">
        <v>0.95399999999999996</v>
      </c>
      <c r="F902" s="757">
        <f>F869</f>
        <v>6253.4899999999989</v>
      </c>
      <c r="G902" s="732">
        <f>ROUND(E902*F902,2)</f>
        <v>5965.83</v>
      </c>
      <c r="H902" s="726"/>
      <c r="I902" s="726"/>
      <c r="J902" s="726"/>
      <c r="K902" s="726"/>
      <c r="L902" s="726"/>
    </row>
    <row r="903" spans="1:12" hidden="1">
      <c r="A903" s="972"/>
      <c r="B903" s="752"/>
      <c r="C903" s="726" t="s">
        <v>343</v>
      </c>
      <c r="D903" s="752" t="s">
        <v>119</v>
      </c>
      <c r="E903" s="757">
        <f>4*0.631</f>
        <v>2.524</v>
      </c>
      <c r="F903" s="757">
        <f>F891</f>
        <v>420</v>
      </c>
      <c r="G903" s="732">
        <f>ROUND(E903*F903,2)</f>
        <v>1060.08</v>
      </c>
      <c r="H903" s="726"/>
      <c r="I903" s="726"/>
      <c r="J903" s="726"/>
      <c r="K903" s="726"/>
      <c r="L903" s="726"/>
    </row>
    <row r="904" spans="1:12" hidden="1">
      <c r="A904" s="972"/>
      <c r="B904" s="752"/>
      <c r="C904" s="726" t="s">
        <v>446</v>
      </c>
      <c r="D904" s="752" t="s">
        <v>119</v>
      </c>
      <c r="E904" s="757">
        <f>2*0.789</f>
        <v>1.5780000000000001</v>
      </c>
      <c r="F904" s="757">
        <f>F892</f>
        <v>420</v>
      </c>
      <c r="G904" s="732">
        <f>ROUND(E904*F904,2)</f>
        <v>662.76</v>
      </c>
      <c r="H904" s="726"/>
      <c r="I904" s="726"/>
      <c r="J904" s="726"/>
      <c r="K904" s="726"/>
      <c r="L904" s="726"/>
    </row>
    <row r="905" spans="1:12" ht="13.5" hidden="1" customHeight="1">
      <c r="A905" s="970"/>
      <c r="B905" s="733"/>
      <c r="C905" s="756" t="s">
        <v>592</v>
      </c>
      <c r="D905" s="737">
        <f>D1</f>
        <v>0</v>
      </c>
      <c r="E905" s="731"/>
      <c r="F905" s="732"/>
      <c r="G905" s="755">
        <f>D905*SUM(G903:G904)</f>
        <v>0</v>
      </c>
      <c r="H905" s="732"/>
      <c r="I905" s="726"/>
      <c r="J905" s="726"/>
      <c r="K905" s="726"/>
      <c r="L905" s="726"/>
    </row>
    <row r="906" spans="1:12" hidden="1">
      <c r="A906" s="972"/>
      <c r="B906" s="752"/>
      <c r="C906" s="726"/>
      <c r="D906" s="752"/>
      <c r="E906" s="757"/>
      <c r="F906" s="757"/>
      <c r="G906" s="734">
        <f>SUM(G902:G905)</f>
        <v>7688.67</v>
      </c>
      <c r="H906" s="726"/>
      <c r="I906" s="726"/>
      <c r="J906" s="726"/>
      <c r="K906" s="726"/>
      <c r="L906" s="726"/>
    </row>
    <row r="907" spans="1:12" ht="26" hidden="1">
      <c r="A907" s="972"/>
      <c r="B907" s="752"/>
      <c r="C907" s="813" t="s">
        <v>578</v>
      </c>
      <c r="D907" s="752"/>
      <c r="E907" s="757"/>
      <c r="F907" s="757"/>
      <c r="G907" s="734">
        <f>G906*0</f>
        <v>0</v>
      </c>
      <c r="H907" s="726"/>
      <c r="I907" s="726"/>
      <c r="J907" s="726"/>
      <c r="K907" s="726"/>
      <c r="L907" s="726"/>
    </row>
    <row r="908" spans="1:12" hidden="1">
      <c r="A908" s="972"/>
      <c r="B908" s="752"/>
      <c r="C908" s="746"/>
      <c r="D908" s="752"/>
      <c r="E908" s="757"/>
      <c r="F908" s="757"/>
      <c r="G908" s="734">
        <f>SUM(G906:G907)</f>
        <v>7688.67</v>
      </c>
      <c r="H908" s="726"/>
      <c r="I908" s="726"/>
      <c r="J908" s="726"/>
      <c r="K908" s="726"/>
      <c r="L908" s="726"/>
    </row>
    <row r="909" spans="1:12" ht="39" customHeight="1">
      <c r="A909" s="967" t="s">
        <v>330</v>
      </c>
      <c r="B909" s="810">
        <v>27</v>
      </c>
      <c r="C909" s="2030" t="s">
        <v>1805</v>
      </c>
      <c r="D909" s="2031"/>
      <c r="E909" s="2031"/>
      <c r="F909" s="2031"/>
      <c r="G909" s="2080"/>
      <c r="H909" s="2081"/>
      <c r="I909" s="726"/>
      <c r="J909" s="726"/>
      <c r="K909" s="726"/>
      <c r="L909" s="726"/>
    </row>
    <row r="910" spans="1:12">
      <c r="A910" s="972"/>
      <c r="B910" s="752"/>
      <c r="C910" s="813" t="s">
        <v>332</v>
      </c>
      <c r="D910" s="752"/>
      <c r="E910" s="752"/>
      <c r="F910" s="752"/>
      <c r="G910" s="738" t="s">
        <v>613</v>
      </c>
      <c r="H910" s="738" t="s">
        <v>611</v>
      </c>
      <c r="I910" s="726"/>
      <c r="J910" s="726"/>
      <c r="K910" s="726"/>
      <c r="L910" s="726"/>
    </row>
    <row r="911" spans="1:12" ht="26">
      <c r="A911" s="972"/>
      <c r="B911" s="752"/>
      <c r="C911" s="759" t="s">
        <v>1806</v>
      </c>
      <c r="D911" s="724" t="s">
        <v>181</v>
      </c>
      <c r="E911" s="758">
        <v>1</v>
      </c>
      <c r="F911" s="758">
        <f>G241</f>
        <v>3876.89</v>
      </c>
      <c r="G911" s="1335">
        <f>ROUND(E911*F911,2)</f>
        <v>3876.89</v>
      </c>
      <c r="H911" s="1335">
        <f>G911</f>
        <v>3876.89</v>
      </c>
      <c r="I911" s="726"/>
      <c r="J911" s="726"/>
      <c r="K911" s="726"/>
      <c r="L911" s="726"/>
    </row>
    <row r="912" spans="1:12" s="1361" customFormat="1" ht="17.25" customHeight="1">
      <c r="A912" s="1374"/>
      <c r="B912" s="1375"/>
      <c r="C912" s="759" t="s">
        <v>334</v>
      </c>
      <c r="D912" s="724" t="s">
        <v>181</v>
      </c>
      <c r="E912" s="758">
        <v>0.25</v>
      </c>
      <c r="F912" s="758">
        <f>'Lead statement (2)'!J17</f>
        <v>1631.4</v>
      </c>
      <c r="G912" s="758">
        <f>E912*F912</f>
        <v>407.85</v>
      </c>
      <c r="H912" s="1335">
        <f>G912</f>
        <v>407.85</v>
      </c>
      <c r="I912" s="1376"/>
      <c r="J912" s="1376"/>
      <c r="K912" s="1376"/>
      <c r="L912" s="1376"/>
    </row>
    <row r="913" spans="1:12" s="1361" customFormat="1">
      <c r="A913" s="1374"/>
      <c r="B913" s="1375"/>
      <c r="C913" s="759" t="s">
        <v>218</v>
      </c>
      <c r="D913" s="724" t="s">
        <v>207</v>
      </c>
      <c r="E913" s="758">
        <v>120</v>
      </c>
      <c r="F913" s="758">
        <f>'Lead statement (2)'!J24</f>
        <v>4.6975999999999996</v>
      </c>
      <c r="G913" s="758">
        <f>E913*F913</f>
        <v>563.71199999999999</v>
      </c>
      <c r="H913" s="1335">
        <f>G913</f>
        <v>563.71199999999999</v>
      </c>
      <c r="I913" s="1376"/>
      <c r="J913" s="1376"/>
      <c r="K913" s="1376"/>
      <c r="L913" s="1376"/>
    </row>
    <row r="914" spans="1:12">
      <c r="A914" s="972"/>
      <c r="B914" s="752"/>
      <c r="C914" s="813" t="s">
        <v>278</v>
      </c>
      <c r="D914" s="730"/>
      <c r="E914" s="778"/>
      <c r="F914" s="778"/>
      <c r="G914" s="778"/>
      <c r="H914" s="757"/>
      <c r="I914" s="726"/>
      <c r="J914" s="726"/>
      <c r="K914" s="726"/>
      <c r="L914" s="726"/>
    </row>
    <row r="915" spans="1:12">
      <c r="A915" s="972"/>
      <c r="B915" s="752"/>
      <c r="C915" s="813" t="s">
        <v>401</v>
      </c>
      <c r="D915" s="730" t="s">
        <v>119</v>
      </c>
      <c r="E915" s="778">
        <v>0.15</v>
      </c>
      <c r="F915" s="778">
        <f>F829</f>
        <v>500</v>
      </c>
      <c r="G915" s="778">
        <f>E915*F915</f>
        <v>75</v>
      </c>
      <c r="H915" s="757">
        <f>G915</f>
        <v>75</v>
      </c>
      <c r="I915" s="726"/>
      <c r="J915" s="726"/>
      <c r="K915" s="726"/>
      <c r="L915" s="726"/>
    </row>
    <row r="916" spans="1:12">
      <c r="A916" s="972"/>
      <c r="B916" s="752"/>
      <c r="C916" s="813" t="s">
        <v>402</v>
      </c>
      <c r="D916" s="730" t="s">
        <v>119</v>
      </c>
      <c r="E916" s="778">
        <v>0.35</v>
      </c>
      <c r="F916" s="778">
        <f>F830</f>
        <v>460</v>
      </c>
      <c r="G916" s="778">
        <f>E916*F916</f>
        <v>161</v>
      </c>
      <c r="H916" s="757">
        <f>G916</f>
        <v>161</v>
      </c>
      <c r="I916" s="726"/>
      <c r="J916" s="726"/>
      <c r="K916" s="726"/>
      <c r="L916" s="726"/>
    </row>
    <row r="917" spans="1:12">
      <c r="A917" s="972"/>
      <c r="B917" s="752"/>
      <c r="C917" s="813" t="s">
        <v>268</v>
      </c>
      <c r="D917" s="730" t="s">
        <v>119</v>
      </c>
      <c r="E917" s="778">
        <v>5.4</v>
      </c>
      <c r="F917" s="778">
        <f>F831</f>
        <v>420</v>
      </c>
      <c r="G917" s="778">
        <f>E917*F917</f>
        <v>2268</v>
      </c>
      <c r="H917" s="757">
        <f>G917</f>
        <v>2268</v>
      </c>
      <c r="I917" s="726"/>
      <c r="J917" s="726"/>
      <c r="K917" s="726"/>
      <c r="L917" s="726"/>
    </row>
    <row r="918" spans="1:12">
      <c r="A918" s="972"/>
      <c r="B918" s="726"/>
      <c r="C918" s="745" t="s">
        <v>1727</v>
      </c>
      <c r="D918" s="732"/>
      <c r="E918" s="732"/>
      <c r="F918" s="732">
        <f>SUM(G911:G917)</f>
        <v>7352.4519999999993</v>
      </c>
      <c r="G918" s="732">
        <v>0</v>
      </c>
      <c r="H918" s="732">
        <f>G918</f>
        <v>0</v>
      </c>
      <c r="I918" s="726"/>
      <c r="J918" s="726"/>
      <c r="K918" s="726"/>
      <c r="L918" s="726"/>
    </row>
    <row r="919" spans="1:12" hidden="1">
      <c r="A919" s="972"/>
      <c r="B919" s="752"/>
      <c r="C919" s="813" t="s">
        <v>1724</v>
      </c>
      <c r="D919" s="737">
        <v>0</v>
      </c>
      <c r="E919" s="778"/>
      <c r="F919" s="778"/>
      <c r="G919" s="736">
        <f>(SUM(G915:G917))*D919</f>
        <v>0</v>
      </c>
      <c r="H919" s="736">
        <f>G919</f>
        <v>0</v>
      </c>
      <c r="I919" s="736"/>
      <c r="J919" s="726"/>
      <c r="K919" s="726"/>
      <c r="L919" s="726"/>
    </row>
    <row r="920" spans="1:12" ht="13.5" customHeight="1">
      <c r="A920" s="970"/>
      <c r="B920" s="733"/>
      <c r="C920" s="735" t="s">
        <v>615</v>
      </c>
      <c r="D920" s="737"/>
      <c r="E920" s="731"/>
      <c r="F920" s="732"/>
      <c r="G920" s="755"/>
      <c r="H920" s="755">
        <f>SUM(H915:H917)*10/100</f>
        <v>250.4</v>
      </c>
      <c r="I920" s="726"/>
      <c r="J920" s="726"/>
      <c r="K920" s="726"/>
      <c r="L920" s="726"/>
    </row>
    <row r="921" spans="1:12">
      <c r="A921" s="972"/>
      <c r="B921" s="752"/>
      <c r="C921" s="813" t="s">
        <v>335</v>
      </c>
      <c r="D921" s="730"/>
      <c r="E921" s="778"/>
      <c r="F921" s="778"/>
      <c r="G921" s="734">
        <f>SUM(G911:G920)</f>
        <v>7352.4519999999993</v>
      </c>
      <c r="H921" s="734">
        <f>SUM(H911:H920)</f>
        <v>7602.851999999999</v>
      </c>
      <c r="I921" s="726"/>
      <c r="J921" s="726"/>
      <c r="K921" s="726"/>
      <c r="L921" s="726"/>
    </row>
    <row r="922" spans="1:12">
      <c r="A922" s="972"/>
      <c r="B922" s="752"/>
      <c r="C922" s="746" t="s">
        <v>336</v>
      </c>
      <c r="D922" s="1487"/>
      <c r="E922" s="814"/>
      <c r="F922" s="814"/>
      <c r="G922" s="734">
        <f>ROUND(G921/10,2)</f>
        <v>735.25</v>
      </c>
      <c r="H922" s="734">
        <f>ROUND(H921/10,2)</f>
        <v>760.29</v>
      </c>
      <c r="I922" s="726"/>
      <c r="J922" s="726"/>
      <c r="K922" s="726"/>
      <c r="L922" s="726"/>
    </row>
    <row r="923" spans="1:12" s="843" customFormat="1" ht="78" customHeight="1">
      <c r="A923" s="975" t="s">
        <v>26</v>
      </c>
      <c r="B923" s="748">
        <v>31</v>
      </c>
      <c r="C923" s="2030" t="s">
        <v>27</v>
      </c>
      <c r="D923" s="2031"/>
      <c r="E923" s="2031"/>
      <c r="F923" s="2031"/>
      <c r="G923" s="2080"/>
      <c r="H923" s="2081"/>
      <c r="I923" s="813"/>
      <c r="J923" s="813"/>
      <c r="K923" s="813"/>
      <c r="L923" s="813"/>
    </row>
    <row r="924" spans="1:12" s="843" customFormat="1">
      <c r="A924" s="975"/>
      <c r="B924" s="724"/>
      <c r="C924" s="813" t="s">
        <v>332</v>
      </c>
      <c r="D924" s="730"/>
      <c r="E924" s="730"/>
      <c r="F924" s="730"/>
      <c r="G924" s="730"/>
      <c r="H924" s="813"/>
      <c r="I924" s="813"/>
      <c r="J924" s="813"/>
      <c r="K924" s="813"/>
      <c r="L924" s="813"/>
    </row>
    <row r="925" spans="1:12" s="843" customFormat="1">
      <c r="A925" s="975"/>
      <c r="B925" s="724"/>
      <c r="C925" s="813" t="s">
        <v>28</v>
      </c>
      <c r="D925" s="730"/>
      <c r="E925" s="730"/>
      <c r="F925" s="730"/>
      <c r="G925" s="738" t="s">
        <v>613</v>
      </c>
      <c r="H925" s="738" t="s">
        <v>611</v>
      </c>
      <c r="I925" s="813"/>
      <c r="J925" s="813"/>
      <c r="K925" s="813"/>
      <c r="L925" s="813"/>
    </row>
    <row r="926" spans="1:12" s="843" customFormat="1" ht="13.5" customHeight="1">
      <c r="A926" s="975"/>
      <c r="B926" s="724"/>
      <c r="C926" s="813" t="s">
        <v>29</v>
      </c>
      <c r="D926" s="730" t="s">
        <v>113</v>
      </c>
      <c r="E926" s="778">
        <v>13.3</v>
      </c>
      <c r="F926" s="778">
        <f>[125]Bldg.rates!F10</f>
        <v>17</v>
      </c>
      <c r="G926" s="778">
        <f>E926*F926</f>
        <v>226.10000000000002</v>
      </c>
      <c r="H926" s="778">
        <f>G926</f>
        <v>226.10000000000002</v>
      </c>
      <c r="I926" s="813"/>
      <c r="J926" s="813"/>
      <c r="K926" s="813"/>
      <c r="L926" s="813"/>
    </row>
    <row r="927" spans="1:12" s="843" customFormat="1" ht="13.5" customHeight="1">
      <c r="A927" s="975"/>
      <c r="B927" s="724"/>
      <c r="C927" s="813" t="s">
        <v>30</v>
      </c>
      <c r="D927" s="730" t="s">
        <v>117</v>
      </c>
      <c r="E927" s="778">
        <v>0.25</v>
      </c>
      <c r="F927" s="778">
        <f>G162</f>
        <v>3403.13</v>
      </c>
      <c r="G927" s="778">
        <f>E927*F927</f>
        <v>850.78250000000003</v>
      </c>
      <c r="H927" s="778">
        <f>G927</f>
        <v>850.78250000000003</v>
      </c>
      <c r="I927" s="813"/>
      <c r="J927" s="813"/>
      <c r="K927" s="813"/>
      <c r="L927" s="813"/>
    </row>
    <row r="928" spans="1:12" s="843" customFormat="1" ht="13.5" customHeight="1">
      <c r="A928" s="975"/>
      <c r="B928" s="724"/>
      <c r="C928" s="813" t="s">
        <v>31</v>
      </c>
      <c r="D928" s="730" t="s">
        <v>131</v>
      </c>
      <c r="E928" s="778">
        <v>50</v>
      </c>
      <c r="F928" s="778">
        <f>'Lead statement (2)'!J24</f>
        <v>4.6975999999999996</v>
      </c>
      <c r="G928" s="778">
        <f>E928*F928</f>
        <v>234.87999999999997</v>
      </c>
      <c r="H928" s="778">
        <f>G928</f>
        <v>234.87999999999997</v>
      </c>
      <c r="I928" s="813"/>
      <c r="J928" s="813"/>
      <c r="K928" s="813"/>
      <c r="L928" s="813"/>
    </row>
    <row r="929" spans="1:12" s="843" customFormat="1" ht="13.5" customHeight="1">
      <c r="A929" s="975"/>
      <c r="B929" s="724"/>
      <c r="C929" s="813" t="s">
        <v>32</v>
      </c>
      <c r="D929" s="730" t="s">
        <v>113</v>
      </c>
      <c r="E929" s="778">
        <v>21.8</v>
      </c>
      <c r="F929" s="778">
        <f>G727</f>
        <v>304.01</v>
      </c>
      <c r="G929" s="778">
        <f>E929*F929</f>
        <v>6627.4179999999997</v>
      </c>
      <c r="H929" s="778">
        <f>G929</f>
        <v>6627.4179999999997</v>
      </c>
      <c r="I929" s="813"/>
      <c r="J929" s="813"/>
      <c r="K929" s="813"/>
      <c r="L929" s="813"/>
    </row>
    <row r="930" spans="1:12" s="843" customFormat="1" ht="13.5" customHeight="1">
      <c r="A930" s="975"/>
      <c r="B930" s="724"/>
      <c r="C930" s="813" t="s">
        <v>33</v>
      </c>
      <c r="D930" s="730"/>
      <c r="E930" s="778"/>
      <c r="F930" s="778"/>
      <c r="G930" s="778"/>
      <c r="H930" s="778"/>
      <c r="I930" s="813"/>
      <c r="J930" s="813"/>
      <c r="K930" s="813"/>
      <c r="L930" s="813"/>
    </row>
    <row r="931" spans="1:12" s="843" customFormat="1" ht="13.5" customHeight="1">
      <c r="A931" s="975"/>
      <c r="B931" s="724"/>
      <c r="C931" s="813" t="s">
        <v>34</v>
      </c>
      <c r="D931" s="730"/>
      <c r="E931" s="778"/>
      <c r="F931" s="778"/>
      <c r="G931" s="778"/>
      <c r="H931" s="778"/>
      <c r="I931" s="813"/>
      <c r="J931" s="813"/>
      <c r="K931" s="813"/>
      <c r="L931" s="813"/>
    </row>
    <row r="932" spans="1:12" s="843" customFormat="1" ht="13.5" customHeight="1">
      <c r="A932" s="975"/>
      <c r="B932" s="724"/>
      <c r="C932" s="813" t="s">
        <v>279</v>
      </c>
      <c r="D932" s="730" t="s">
        <v>119</v>
      </c>
      <c r="E932" s="778">
        <v>8</v>
      </c>
      <c r="F932" s="778">
        <f>F718</f>
        <v>500</v>
      </c>
      <c r="G932" s="778">
        <f>E932*F932</f>
        <v>4000</v>
      </c>
      <c r="H932" s="778">
        <f>G932</f>
        <v>4000</v>
      </c>
      <c r="I932" s="813"/>
      <c r="J932" s="813"/>
      <c r="K932" s="813"/>
      <c r="L932" s="813"/>
    </row>
    <row r="933" spans="1:12" s="843" customFormat="1" ht="13.5" customHeight="1">
      <c r="A933" s="975"/>
      <c r="B933" s="724"/>
      <c r="C933" s="813" t="s">
        <v>35</v>
      </c>
      <c r="D933" s="730" t="s">
        <v>119</v>
      </c>
      <c r="E933" s="778">
        <v>1</v>
      </c>
      <c r="F933" s="778">
        <f>[125]Bldg.rates!F96</f>
        <v>510</v>
      </c>
      <c r="G933" s="778">
        <f>E933*F933</f>
        <v>510</v>
      </c>
      <c r="H933" s="778">
        <f>G933</f>
        <v>510</v>
      </c>
      <c r="I933" s="813"/>
      <c r="J933" s="813"/>
      <c r="K933" s="813"/>
      <c r="L933" s="813"/>
    </row>
    <row r="934" spans="1:12" s="843" customFormat="1" ht="13.5" customHeight="1">
      <c r="A934" s="975"/>
      <c r="B934" s="724"/>
      <c r="C934" s="813" t="s">
        <v>268</v>
      </c>
      <c r="D934" s="730" t="s">
        <v>119</v>
      </c>
      <c r="E934" s="778">
        <v>10</v>
      </c>
      <c r="F934" s="778">
        <f>F720</f>
        <v>420</v>
      </c>
      <c r="G934" s="778">
        <f>E934*F934</f>
        <v>4200</v>
      </c>
      <c r="H934" s="778">
        <f>G934</f>
        <v>4200</v>
      </c>
      <c r="I934" s="813"/>
      <c r="J934" s="813"/>
      <c r="K934" s="813"/>
      <c r="L934" s="813"/>
    </row>
    <row r="935" spans="1:12">
      <c r="A935" s="972"/>
      <c r="B935" s="726"/>
      <c r="C935" s="745" t="s">
        <v>1727</v>
      </c>
      <c r="D935" s="732"/>
      <c r="E935" s="732"/>
      <c r="F935" s="732">
        <f>SUM(G926:G934)</f>
        <v>16649.180499999999</v>
      </c>
      <c r="G935" s="732">
        <f>F935*0.01</f>
        <v>166.491805</v>
      </c>
      <c r="H935" s="732">
        <f>G935</f>
        <v>166.491805</v>
      </c>
      <c r="I935" s="726"/>
      <c r="J935" s="726"/>
      <c r="K935" s="726"/>
      <c r="L935" s="726"/>
    </row>
    <row r="936" spans="1:12" ht="13.5" customHeight="1">
      <c r="A936" s="970"/>
      <c r="B936" s="733"/>
      <c r="C936" s="735" t="s">
        <v>615</v>
      </c>
      <c r="D936" s="737"/>
      <c r="E936" s="731"/>
      <c r="F936" s="732"/>
      <c r="G936" s="755"/>
      <c r="H936" s="755">
        <f>SUM(H932:H934)*10/100</f>
        <v>871</v>
      </c>
      <c r="I936" s="726"/>
      <c r="J936" s="726"/>
      <c r="K936" s="726"/>
      <c r="L936" s="726"/>
    </row>
    <row r="937" spans="1:12">
      <c r="A937" s="972"/>
      <c r="B937" s="752"/>
      <c r="C937" s="813" t="s">
        <v>1724</v>
      </c>
      <c r="D937" s="730">
        <v>0.25</v>
      </c>
      <c r="E937" s="778"/>
      <c r="F937" s="778"/>
      <c r="G937" s="736">
        <f>(SUM(G932:G934))*D937</f>
        <v>2177.5</v>
      </c>
      <c r="H937" s="736">
        <f>G937</f>
        <v>2177.5</v>
      </c>
      <c r="I937" s="736"/>
      <c r="J937" s="726"/>
      <c r="K937" s="726"/>
      <c r="L937" s="726"/>
    </row>
    <row r="938" spans="1:12" s="843" customFormat="1" ht="13.5" customHeight="1">
      <c r="A938" s="975"/>
      <c r="B938" s="724"/>
      <c r="C938" s="813" t="s">
        <v>36</v>
      </c>
      <c r="D938" s="730"/>
      <c r="E938" s="778"/>
      <c r="F938" s="778"/>
      <c r="G938" s="778"/>
      <c r="H938" s="755"/>
      <c r="I938" s="813"/>
      <c r="J938" s="813"/>
      <c r="K938" s="813"/>
      <c r="L938" s="813"/>
    </row>
    <row r="939" spans="1:12" s="843" customFormat="1" ht="13.5" customHeight="1">
      <c r="A939" s="975"/>
      <c r="B939" s="724"/>
      <c r="C939" s="813" t="s">
        <v>37</v>
      </c>
      <c r="D939" s="730" t="s">
        <v>445</v>
      </c>
      <c r="E939" s="778">
        <v>2</v>
      </c>
      <c r="F939" s="778">
        <f>[125]Bldg.rates!F98</f>
        <v>524.70000000000005</v>
      </c>
      <c r="G939" s="778">
        <f>E939*F939</f>
        <v>1049.4000000000001</v>
      </c>
      <c r="H939" s="755">
        <f>SUM(H934:H936)*10/100</f>
        <v>523.74918049999997</v>
      </c>
      <c r="I939" s="813"/>
      <c r="J939" s="813"/>
      <c r="K939" s="813"/>
      <c r="L939" s="813"/>
    </row>
    <row r="940" spans="1:12" s="843" customFormat="1" ht="13.5" customHeight="1">
      <c r="A940" s="975"/>
      <c r="B940" s="724"/>
      <c r="C940" s="813" t="s">
        <v>38</v>
      </c>
      <c r="D940" s="730"/>
      <c r="E940" s="730"/>
      <c r="F940" s="730"/>
      <c r="G940" s="778">
        <f>SUM(G926:G939)</f>
        <v>20042.572305000002</v>
      </c>
      <c r="H940" s="778">
        <f>SUM(H926:H939)</f>
        <v>20387.921485499999</v>
      </c>
      <c r="I940" s="813"/>
      <c r="J940" s="813"/>
      <c r="K940" s="813"/>
      <c r="L940" s="813"/>
    </row>
    <row r="941" spans="1:12" s="863" customFormat="1" ht="13.5" customHeight="1">
      <c r="A941" s="967"/>
      <c r="B941" s="748"/>
      <c r="C941" s="746"/>
      <c r="D941" s="1487"/>
      <c r="E941" s="1487"/>
      <c r="F941" s="1487"/>
      <c r="G941" s="814">
        <f>G940/10</f>
        <v>2004.2572305000001</v>
      </c>
      <c r="H941" s="814">
        <f>H940/10</f>
        <v>2038.7921485499999</v>
      </c>
      <c r="I941" s="746"/>
      <c r="J941" s="746"/>
      <c r="K941" s="746"/>
      <c r="L941" s="746"/>
    </row>
    <row r="942" spans="1:12" s="866" customFormat="1" ht="77.25" hidden="1" customHeight="1">
      <c r="A942" s="982">
        <v>25</v>
      </c>
      <c r="B942" s="865">
        <v>32</v>
      </c>
      <c r="C942" s="2057" t="s">
        <v>1642</v>
      </c>
      <c r="D942" s="2058"/>
      <c r="E942" s="2058"/>
      <c r="F942" s="2059"/>
      <c r="G942" s="1491"/>
      <c r="H942" s="1491"/>
      <c r="I942" s="1491"/>
      <c r="J942" s="1491"/>
      <c r="K942" s="1491"/>
      <c r="L942" s="1491"/>
    </row>
    <row r="943" spans="1:12" s="866" customFormat="1" ht="14" hidden="1">
      <c r="A943" s="982"/>
      <c r="B943" s="864"/>
      <c r="C943" s="1490" t="s">
        <v>23</v>
      </c>
      <c r="D943" s="867"/>
      <c r="E943" s="867"/>
      <c r="F943" s="867"/>
      <c r="G943" s="868" t="s">
        <v>613</v>
      </c>
      <c r="H943" s="869" t="s">
        <v>611</v>
      </c>
      <c r="I943" s="870"/>
      <c r="J943" s="1491"/>
      <c r="K943" s="1491"/>
      <c r="L943" s="1491"/>
    </row>
    <row r="944" spans="1:12" s="866" customFormat="1" ht="14" hidden="1">
      <c r="A944" s="982"/>
      <c r="B944" s="864"/>
      <c r="C944" s="1490" t="s">
        <v>1682</v>
      </c>
      <c r="D944" s="867" t="s">
        <v>113</v>
      </c>
      <c r="E944" s="867">
        <v>11</v>
      </c>
      <c r="F944" s="867">
        <f>[125]Bldg.rates!F33/10</f>
        <v>383.4</v>
      </c>
      <c r="G944" s="871">
        <f>ROUND(E944*F944,2)</f>
        <v>4217.3999999999996</v>
      </c>
      <c r="H944" s="867">
        <f>G944</f>
        <v>4217.3999999999996</v>
      </c>
      <c r="I944" s="1491"/>
      <c r="J944" s="1491"/>
      <c r="K944" s="1491"/>
      <c r="L944" s="1491"/>
    </row>
    <row r="945" spans="1:12" s="866" customFormat="1" ht="14" hidden="1">
      <c r="A945" s="982"/>
      <c r="B945" s="864"/>
      <c r="C945" s="1490" t="s">
        <v>1675</v>
      </c>
      <c r="D945" s="867" t="s">
        <v>117</v>
      </c>
      <c r="E945" s="867">
        <v>0.12</v>
      </c>
      <c r="F945" s="867">
        <f>'Lead statement (2)'!J8</f>
        <v>1013.6</v>
      </c>
      <c r="G945" s="871">
        <f t="shared" ref="G945:G952" si="19">ROUND(E945*F945,2)</f>
        <v>121.63</v>
      </c>
      <c r="H945" s="867">
        <f t="shared" ref="H945:H952" si="20">G945</f>
        <v>121.63</v>
      </c>
      <c r="I945" s="1491"/>
      <c r="J945" s="1491"/>
      <c r="K945" s="1491"/>
      <c r="L945" s="1491"/>
    </row>
    <row r="946" spans="1:12" s="866" customFormat="1" ht="14" hidden="1">
      <c r="A946" s="982"/>
      <c r="B946" s="864"/>
      <c r="C946" s="1490" t="s">
        <v>1676</v>
      </c>
      <c r="D946" s="867" t="s">
        <v>207</v>
      </c>
      <c r="E946" s="867">
        <v>34.56</v>
      </c>
      <c r="F946" s="867">
        <f>'Lead statement (2)'!J24</f>
        <v>4.6975999999999996</v>
      </c>
      <c r="G946" s="871">
        <f t="shared" si="19"/>
        <v>162.35</v>
      </c>
      <c r="H946" s="867">
        <f t="shared" si="20"/>
        <v>162.35</v>
      </c>
      <c r="I946" s="1491"/>
      <c r="J946" s="1491"/>
      <c r="K946" s="1491"/>
      <c r="L946" s="1491"/>
    </row>
    <row r="947" spans="1:12" s="866" customFormat="1" ht="14" hidden="1">
      <c r="A947" s="982"/>
      <c r="B947" s="864"/>
      <c r="C947" s="1490" t="s">
        <v>380</v>
      </c>
      <c r="D947" s="867" t="s">
        <v>207</v>
      </c>
      <c r="E947" s="867">
        <v>33</v>
      </c>
      <c r="F947" s="867">
        <f>F946</f>
        <v>4.6975999999999996</v>
      </c>
      <c r="G947" s="871">
        <f t="shared" si="19"/>
        <v>155.02000000000001</v>
      </c>
      <c r="H947" s="867">
        <f t="shared" si="20"/>
        <v>155.02000000000001</v>
      </c>
      <c r="I947" s="1491"/>
      <c r="J947" s="1491"/>
      <c r="K947" s="1491"/>
      <c r="L947" s="1491"/>
    </row>
    <row r="948" spans="1:12" s="866" customFormat="1" ht="14" hidden="1">
      <c r="A948" s="982"/>
      <c r="B948" s="864"/>
      <c r="C948" s="1490" t="s">
        <v>364</v>
      </c>
      <c r="D948" s="867" t="s">
        <v>207</v>
      </c>
      <c r="E948" s="867">
        <v>20</v>
      </c>
      <c r="F948" s="867">
        <f>F947</f>
        <v>4.6975999999999996</v>
      </c>
      <c r="G948" s="871">
        <f t="shared" si="19"/>
        <v>93.95</v>
      </c>
      <c r="H948" s="867">
        <f t="shared" si="20"/>
        <v>93.95</v>
      </c>
      <c r="I948" s="1491"/>
      <c r="J948" s="1491"/>
      <c r="K948" s="1491"/>
      <c r="L948" s="1491"/>
    </row>
    <row r="949" spans="1:12" s="866" customFormat="1" ht="14" hidden="1">
      <c r="A949" s="982"/>
      <c r="B949" s="864"/>
      <c r="C949" s="872" t="s">
        <v>1677</v>
      </c>
      <c r="D949" s="867"/>
      <c r="E949" s="867"/>
      <c r="F949" s="867"/>
      <c r="G949" s="871"/>
      <c r="H949" s="867"/>
      <c r="I949" s="1491"/>
      <c r="J949" s="1491"/>
      <c r="K949" s="1491"/>
      <c r="L949" s="1491"/>
    </row>
    <row r="950" spans="1:12" s="866" customFormat="1" ht="14" hidden="1">
      <c r="A950" s="982"/>
      <c r="B950" s="864"/>
      <c r="C950" s="1490" t="s">
        <v>401</v>
      </c>
      <c r="D950" s="867" t="s">
        <v>796</v>
      </c>
      <c r="E950" s="1492">
        <v>3.1</v>
      </c>
      <c r="F950" s="867">
        <f>F718</f>
        <v>500</v>
      </c>
      <c r="G950" s="871">
        <f t="shared" si="19"/>
        <v>1550</v>
      </c>
      <c r="H950" s="867">
        <f t="shared" si="20"/>
        <v>1550</v>
      </c>
      <c r="I950" s="1491"/>
      <c r="J950" s="1491"/>
      <c r="K950" s="1491"/>
      <c r="L950" s="1491"/>
    </row>
    <row r="951" spans="1:12" s="866" customFormat="1" ht="14" hidden="1">
      <c r="A951" s="982"/>
      <c r="B951" s="864"/>
      <c r="C951" s="1490" t="s">
        <v>402</v>
      </c>
      <c r="D951" s="873" t="s">
        <v>217</v>
      </c>
      <c r="E951" s="1492">
        <v>1.1000000000000001</v>
      </c>
      <c r="F951" s="867">
        <f>F719</f>
        <v>460</v>
      </c>
      <c r="G951" s="871">
        <f t="shared" si="19"/>
        <v>506</v>
      </c>
      <c r="H951" s="867">
        <f t="shared" si="20"/>
        <v>506</v>
      </c>
      <c r="I951" s="1491"/>
      <c r="J951" s="1491"/>
      <c r="K951" s="1491"/>
      <c r="L951" s="1491"/>
    </row>
    <row r="952" spans="1:12" s="866" customFormat="1" ht="14" hidden="1">
      <c r="A952" s="982"/>
      <c r="B952" s="864"/>
      <c r="C952" s="1490" t="s">
        <v>1678</v>
      </c>
      <c r="D952" s="867" t="s">
        <v>796</v>
      </c>
      <c r="E952" s="1492">
        <v>0.86</v>
      </c>
      <c r="F952" s="867">
        <f>F720</f>
        <v>420</v>
      </c>
      <c r="G952" s="871">
        <f t="shared" si="19"/>
        <v>361.2</v>
      </c>
      <c r="H952" s="867">
        <f t="shared" si="20"/>
        <v>361.2</v>
      </c>
      <c r="I952" s="1491"/>
      <c r="J952" s="1491"/>
      <c r="K952" s="1491"/>
      <c r="L952" s="1491"/>
    </row>
    <row r="953" spans="1:12" hidden="1">
      <c r="A953" s="972"/>
      <c r="B953" s="726"/>
      <c r="C953" s="745" t="s">
        <v>1727</v>
      </c>
      <c r="D953" s="732"/>
      <c r="E953" s="732"/>
      <c r="F953" s="732">
        <f>SUM(G944:G952)</f>
        <v>7167.55</v>
      </c>
      <c r="G953" s="732">
        <f>F953*0.01</f>
        <v>71.6755</v>
      </c>
      <c r="H953" s="732">
        <f>G953</f>
        <v>71.6755</v>
      </c>
      <c r="I953" s="726"/>
      <c r="J953" s="726"/>
      <c r="K953" s="726"/>
      <c r="L953" s="726"/>
    </row>
    <row r="954" spans="1:12" ht="13.5" hidden="1" customHeight="1">
      <c r="A954" s="970"/>
      <c r="B954" s="733"/>
      <c r="C954" s="735" t="s">
        <v>615</v>
      </c>
      <c r="D954" s="737"/>
      <c r="E954" s="731"/>
      <c r="F954" s="732"/>
      <c r="G954" s="755"/>
      <c r="H954" s="755">
        <f>SUM(H950:H952)*10/100</f>
        <v>241.72</v>
      </c>
      <c r="I954" s="726"/>
      <c r="J954" s="726"/>
      <c r="K954" s="726"/>
      <c r="L954" s="726"/>
    </row>
    <row r="955" spans="1:12" hidden="1">
      <c r="A955" s="972"/>
      <c r="B955" s="752"/>
      <c r="C955" s="813" t="s">
        <v>1724</v>
      </c>
      <c r="D955" s="737">
        <v>0</v>
      </c>
      <c r="E955" s="778"/>
      <c r="F955" s="778"/>
      <c r="G955" s="736">
        <f>(SUM(G950:G952))*D955</f>
        <v>0</v>
      </c>
      <c r="H955" s="736">
        <f>G955</f>
        <v>0</v>
      </c>
      <c r="I955" s="736"/>
      <c r="J955" s="726"/>
      <c r="K955" s="726"/>
      <c r="L955" s="726"/>
    </row>
    <row r="956" spans="1:12" s="866" customFormat="1" ht="14" hidden="1">
      <c r="A956" s="982"/>
      <c r="B956" s="864"/>
      <c r="C956" s="872" t="s">
        <v>1680</v>
      </c>
      <c r="D956" s="867"/>
      <c r="E956" s="867"/>
      <c r="F956" s="867"/>
      <c r="G956" s="874">
        <f>SUM(G944:G955)</f>
        <v>7239.2255000000005</v>
      </c>
      <c r="H956" s="874">
        <f>SUM(H944:H955)</f>
        <v>7480.9455000000007</v>
      </c>
      <c r="I956" s="1491"/>
      <c r="J956" s="1491"/>
      <c r="K956" s="1491"/>
      <c r="L956" s="1491"/>
    </row>
    <row r="957" spans="1:12" s="866" customFormat="1" ht="14" hidden="1">
      <c r="A957" s="982"/>
      <c r="B957" s="864"/>
      <c r="C957" s="872" t="s">
        <v>1681</v>
      </c>
      <c r="D957" s="875"/>
      <c r="E957" s="875"/>
      <c r="F957" s="875"/>
      <c r="G957" s="870">
        <f>G956/10</f>
        <v>723.92255</v>
      </c>
      <c r="H957" s="870">
        <f>H956/10</f>
        <v>748.09455000000003</v>
      </c>
      <c r="I957" s="1491"/>
      <c r="J957" s="1491"/>
      <c r="K957" s="1491"/>
      <c r="L957" s="1491"/>
    </row>
    <row r="958" spans="1:12" s="751" customFormat="1" ht="79.5" customHeight="1">
      <c r="A958" s="967" t="s">
        <v>133</v>
      </c>
      <c r="B958" s="748">
        <v>28</v>
      </c>
      <c r="C958" s="2030" t="s">
        <v>1872</v>
      </c>
      <c r="D958" s="2031"/>
      <c r="E958" s="2031"/>
      <c r="F958" s="2031"/>
      <c r="G958" s="2080"/>
      <c r="H958" s="2081"/>
      <c r="I958" s="748"/>
      <c r="J958" s="748"/>
      <c r="K958" s="748"/>
      <c r="L958" s="748"/>
    </row>
    <row r="959" spans="1:12" s="777" customFormat="1" ht="15" customHeight="1">
      <c r="A959" s="975"/>
      <c r="B959" s="748"/>
      <c r="C959" s="753" t="s">
        <v>23</v>
      </c>
      <c r="D959" s="836" t="s">
        <v>522</v>
      </c>
      <c r="E959" s="758" t="s">
        <v>522</v>
      </c>
      <c r="F959" s="724" t="s">
        <v>522</v>
      </c>
      <c r="G959" s="836" t="s">
        <v>522</v>
      </c>
      <c r="H959" s="724"/>
      <c r="I959" s="724"/>
      <c r="J959" s="724"/>
      <c r="K959" s="724"/>
      <c r="L959" s="724"/>
    </row>
    <row r="960" spans="1:12" s="777" customFormat="1" ht="15" customHeight="1">
      <c r="A960" s="975"/>
      <c r="B960" s="748"/>
      <c r="C960" s="753" t="s">
        <v>24</v>
      </c>
      <c r="D960" s="836" t="s">
        <v>522</v>
      </c>
      <c r="E960" s="758" t="s">
        <v>522</v>
      </c>
      <c r="F960" s="724" t="s">
        <v>522</v>
      </c>
      <c r="G960" s="738" t="s">
        <v>613</v>
      </c>
      <c r="H960" s="738" t="s">
        <v>611</v>
      </c>
      <c r="I960" s="724"/>
      <c r="J960" s="724"/>
      <c r="K960" s="724"/>
      <c r="L960" s="724"/>
    </row>
    <row r="961" spans="1:12" s="777" customFormat="1" ht="56.25" customHeight="1">
      <c r="A961" s="975"/>
      <c r="B961" s="748"/>
      <c r="C961" s="1905" t="s">
        <v>1873</v>
      </c>
      <c r="D961" s="725" t="s">
        <v>113</v>
      </c>
      <c r="E961" s="725">
        <v>10.5</v>
      </c>
      <c r="F961" s="725">
        <v>612</v>
      </c>
      <c r="G961" s="725">
        <f t="shared" ref="G961:G966" si="21">ROUND(E961*F961,2)</f>
        <v>6426</v>
      </c>
      <c r="H961" s="725">
        <f t="shared" ref="H961:H966" si="22">G961</f>
        <v>6426</v>
      </c>
      <c r="I961" s="724"/>
      <c r="J961" s="724"/>
      <c r="K961" s="724"/>
      <c r="L961" s="724"/>
    </row>
    <row r="962" spans="1:12" s="777" customFormat="1" ht="14.25" customHeight="1">
      <c r="A962" s="975"/>
      <c r="B962" s="748"/>
      <c r="C962" s="1482" t="s">
        <v>121</v>
      </c>
      <c r="D962" s="736" t="s">
        <v>115</v>
      </c>
      <c r="E962" s="736">
        <v>21.6</v>
      </c>
      <c r="F962" s="736">
        <f>F715</f>
        <v>4.6975999999999996</v>
      </c>
      <c r="G962" s="732">
        <f t="shared" si="21"/>
        <v>101.47</v>
      </c>
      <c r="H962" s="725">
        <f t="shared" si="22"/>
        <v>101.47</v>
      </c>
      <c r="I962" s="724"/>
      <c r="J962" s="724"/>
      <c r="K962" s="724"/>
      <c r="L962" s="724"/>
    </row>
    <row r="963" spans="1:12" s="777" customFormat="1" ht="15" customHeight="1">
      <c r="A963" s="975"/>
      <c r="B963" s="748"/>
      <c r="C963" s="1482" t="s">
        <v>122</v>
      </c>
      <c r="D963" s="736" t="s">
        <v>115</v>
      </c>
      <c r="E963" s="736">
        <v>33</v>
      </c>
      <c r="F963" s="736">
        <f>F962</f>
        <v>4.6975999999999996</v>
      </c>
      <c r="G963" s="732">
        <f t="shared" si="21"/>
        <v>155.02000000000001</v>
      </c>
      <c r="H963" s="725">
        <f t="shared" si="22"/>
        <v>155.02000000000001</v>
      </c>
      <c r="I963" s="724"/>
      <c r="J963" s="724"/>
      <c r="K963" s="724"/>
      <c r="L963" s="724"/>
    </row>
    <row r="964" spans="1:12" s="751" customFormat="1" ht="15" customHeight="1">
      <c r="A964" s="967"/>
      <c r="B964" s="748"/>
      <c r="C964" s="1482" t="s">
        <v>123</v>
      </c>
      <c r="D964" s="736" t="s">
        <v>115</v>
      </c>
      <c r="E964" s="876">
        <v>6</v>
      </c>
      <c r="F964" s="736">
        <f>F963</f>
        <v>4.6975999999999996</v>
      </c>
      <c r="G964" s="732">
        <f t="shared" si="21"/>
        <v>28.19</v>
      </c>
      <c r="H964" s="725">
        <f t="shared" si="22"/>
        <v>28.19</v>
      </c>
      <c r="I964" s="748"/>
      <c r="J964" s="748"/>
      <c r="K964" s="748"/>
      <c r="L964" s="748"/>
    </row>
    <row r="965" spans="1:12" s="751" customFormat="1" ht="15" customHeight="1">
      <c r="A965" s="967"/>
      <c r="B965" s="748"/>
      <c r="C965" s="1482" t="s">
        <v>124</v>
      </c>
      <c r="D965" s="736" t="s">
        <v>117</v>
      </c>
      <c r="E965" s="736">
        <v>0.12</v>
      </c>
      <c r="F965" s="736">
        <f>'Lead statement (2)'!J7</f>
        <v>933.6</v>
      </c>
      <c r="G965" s="732">
        <f t="shared" si="21"/>
        <v>112.03</v>
      </c>
      <c r="H965" s="725">
        <f t="shared" si="22"/>
        <v>112.03</v>
      </c>
      <c r="I965" s="748"/>
      <c r="J965" s="748"/>
      <c r="K965" s="748"/>
      <c r="L965" s="748"/>
    </row>
    <row r="966" spans="1:12" s="751" customFormat="1" ht="15" customHeight="1">
      <c r="A966" s="967"/>
      <c r="B966" s="748"/>
      <c r="C966" s="1482" t="s">
        <v>125</v>
      </c>
      <c r="D966" s="736" t="s">
        <v>117</v>
      </c>
      <c r="E966" s="876">
        <v>0.02</v>
      </c>
      <c r="F966" s="736">
        <f>F965</f>
        <v>933.6</v>
      </c>
      <c r="G966" s="732">
        <f t="shared" si="21"/>
        <v>18.670000000000002</v>
      </c>
      <c r="H966" s="725">
        <f t="shared" si="22"/>
        <v>18.670000000000002</v>
      </c>
      <c r="I966" s="748"/>
      <c r="J966" s="748"/>
      <c r="K966" s="748"/>
      <c r="L966" s="748"/>
    </row>
    <row r="967" spans="1:12">
      <c r="A967" s="972"/>
      <c r="B967" s="726"/>
      <c r="C967" s="729" t="s">
        <v>128</v>
      </c>
      <c r="D967" s="745"/>
      <c r="E967" s="732"/>
      <c r="F967" s="734"/>
      <c r="G967" s="732"/>
      <c r="H967" s="725"/>
      <c r="I967" s="726"/>
      <c r="J967" s="726"/>
      <c r="K967" s="726"/>
      <c r="L967" s="726"/>
    </row>
    <row r="968" spans="1:12" ht="15">
      <c r="A968" s="972"/>
      <c r="B968" s="726"/>
      <c r="C968" s="745" t="s">
        <v>1751</v>
      </c>
      <c r="D968" s="745" t="s">
        <v>119</v>
      </c>
      <c r="E968" s="732">
        <v>0.96</v>
      </c>
      <c r="F968" s="732">
        <f>F718</f>
        <v>500</v>
      </c>
      <c r="G968" s="732">
        <f>ROUND(E968*F968,2)</f>
        <v>480</v>
      </c>
      <c r="H968" s="725">
        <f>G968</f>
        <v>480</v>
      </c>
      <c r="I968" s="726"/>
      <c r="J968" s="726"/>
      <c r="K968" s="726"/>
      <c r="L968" s="726"/>
    </row>
    <row r="969" spans="1:12" ht="15">
      <c r="A969" s="972"/>
      <c r="B969" s="726"/>
      <c r="C969" s="745" t="s">
        <v>1752</v>
      </c>
      <c r="D969" s="745" t="s">
        <v>119</v>
      </c>
      <c r="E969" s="732">
        <v>2.2400000000000002</v>
      </c>
      <c r="F969" s="732">
        <f>F719</f>
        <v>460</v>
      </c>
      <c r="G969" s="732">
        <f>ROUND(E969*F969,2)</f>
        <v>1030.4000000000001</v>
      </c>
      <c r="H969" s="725">
        <f>G969</f>
        <v>1030.4000000000001</v>
      </c>
      <c r="I969" s="726"/>
      <c r="J969" s="726"/>
      <c r="K969" s="726"/>
      <c r="L969" s="726"/>
    </row>
    <row r="970" spans="1:12">
      <c r="A970" s="972"/>
      <c r="B970" s="726"/>
      <c r="C970" s="745" t="s">
        <v>440</v>
      </c>
      <c r="D970" s="745" t="s">
        <v>119</v>
      </c>
      <c r="E970" s="732">
        <v>3.3</v>
      </c>
      <c r="F970" s="732">
        <f>F720</f>
        <v>420</v>
      </c>
      <c r="G970" s="732">
        <f>ROUND(E970*F970,2)</f>
        <v>1386</v>
      </c>
      <c r="H970" s="725">
        <f>G970</f>
        <v>1386</v>
      </c>
      <c r="I970" s="726"/>
      <c r="J970" s="726"/>
      <c r="K970" s="726"/>
      <c r="L970" s="726"/>
    </row>
    <row r="971" spans="1:12" ht="13.5" customHeight="1">
      <c r="A971" s="970"/>
      <c r="B971" s="733"/>
      <c r="C971" s="735" t="s">
        <v>615</v>
      </c>
      <c r="D971" s="737"/>
      <c r="E971" s="731"/>
      <c r="F971" s="732"/>
      <c r="G971" s="755"/>
      <c r="H971" s="755">
        <f>SUM(H968:H970)*10/100</f>
        <v>289.64</v>
      </c>
      <c r="I971" s="726"/>
      <c r="J971" s="726"/>
      <c r="K971" s="726"/>
      <c r="L971" s="726"/>
    </row>
    <row r="972" spans="1:12" hidden="1">
      <c r="A972" s="972"/>
      <c r="B972" s="752"/>
      <c r="C972" s="813" t="s">
        <v>1724</v>
      </c>
      <c r="D972" s="737">
        <f>D1</f>
        <v>0</v>
      </c>
      <c r="E972" s="778"/>
      <c r="F972" s="778"/>
      <c r="G972" s="736">
        <f>(SUM(G968:G970))*D972</f>
        <v>0</v>
      </c>
      <c r="H972" s="736">
        <f>G972</f>
        <v>0</v>
      </c>
      <c r="I972" s="736"/>
      <c r="J972" s="726"/>
      <c r="K972" s="726"/>
      <c r="L972" s="726"/>
    </row>
    <row r="973" spans="1:12">
      <c r="A973" s="972"/>
      <c r="B973" s="726"/>
      <c r="C973" s="745" t="s">
        <v>478</v>
      </c>
      <c r="D973" s="745"/>
      <c r="E973" s="877">
        <v>0.01</v>
      </c>
      <c r="F973" s="732">
        <f>SUM(G961:G970)</f>
        <v>9737.7800000000007</v>
      </c>
      <c r="G973" s="840">
        <f>F973*0.01</f>
        <v>97.377800000000008</v>
      </c>
      <c r="H973" s="840">
        <f>G973</f>
        <v>97.377800000000008</v>
      </c>
      <c r="I973" s="726"/>
      <c r="J973" s="726"/>
      <c r="K973" s="726"/>
      <c r="L973" s="726"/>
    </row>
    <row r="974" spans="1:12">
      <c r="A974" s="972"/>
      <c r="B974" s="726"/>
      <c r="C974" s="729" t="s">
        <v>120</v>
      </c>
      <c r="D974" s="745"/>
      <c r="E974" s="732"/>
      <c r="F974" s="732"/>
      <c r="G974" s="734">
        <f>SUM(G961:G973)</f>
        <v>9835.1578000000009</v>
      </c>
      <c r="H974" s="734">
        <f>SUM(H961:H973)</f>
        <v>10124.7978</v>
      </c>
      <c r="I974" s="726"/>
      <c r="J974" s="726"/>
      <c r="K974" s="726"/>
      <c r="L974" s="726"/>
    </row>
    <row r="975" spans="1:12">
      <c r="A975" s="972"/>
      <c r="B975" s="726"/>
      <c r="C975" s="729" t="s">
        <v>479</v>
      </c>
      <c r="D975" s="745"/>
      <c r="E975" s="732"/>
      <c r="F975" s="732"/>
      <c r="G975" s="734">
        <f>ROUND(G974/10,2)</f>
        <v>983.52</v>
      </c>
      <c r="H975" s="734">
        <f>ROUND(H974/10,2)</f>
        <v>1012.48</v>
      </c>
      <c r="I975" s="726"/>
      <c r="J975" s="726"/>
      <c r="K975" s="726"/>
      <c r="L975" s="726"/>
    </row>
    <row r="976" spans="1:12" s="751" customFormat="1" ht="79.5" customHeight="1">
      <c r="A976" s="967" t="s">
        <v>595</v>
      </c>
      <c r="B976" s="748">
        <v>29</v>
      </c>
      <c r="C976" s="2030" t="s">
        <v>1874</v>
      </c>
      <c r="D976" s="2031"/>
      <c r="E976" s="2031"/>
      <c r="F976" s="2031"/>
      <c r="G976" s="2080"/>
      <c r="H976" s="2081"/>
      <c r="I976" s="748"/>
      <c r="J976" s="748"/>
      <c r="K976" s="748"/>
      <c r="L976" s="748"/>
    </row>
    <row r="977" spans="1:12" s="777" customFormat="1" ht="15" customHeight="1">
      <c r="A977" s="975"/>
      <c r="B977" s="748"/>
      <c r="C977" s="753" t="s">
        <v>23</v>
      </c>
      <c r="D977" s="836" t="s">
        <v>522</v>
      </c>
      <c r="E977" s="758" t="s">
        <v>522</v>
      </c>
      <c r="F977" s="724" t="s">
        <v>522</v>
      </c>
      <c r="G977" s="836" t="s">
        <v>522</v>
      </c>
      <c r="H977" s="724"/>
      <c r="I977" s="724"/>
      <c r="J977" s="724"/>
      <c r="K977" s="724"/>
      <c r="L977" s="724"/>
    </row>
    <row r="978" spans="1:12" s="777" customFormat="1" ht="15" customHeight="1">
      <c r="A978" s="975"/>
      <c r="B978" s="748"/>
      <c r="C978" s="753" t="s">
        <v>24</v>
      </c>
      <c r="D978" s="836" t="s">
        <v>522</v>
      </c>
      <c r="E978" s="758" t="s">
        <v>522</v>
      </c>
      <c r="F978" s="724" t="s">
        <v>522</v>
      </c>
      <c r="G978" s="738" t="s">
        <v>613</v>
      </c>
      <c r="H978" s="738" t="s">
        <v>611</v>
      </c>
      <c r="I978" s="724"/>
      <c r="J978" s="724"/>
      <c r="K978" s="724"/>
      <c r="L978" s="724"/>
    </row>
    <row r="979" spans="1:12" s="777" customFormat="1" ht="54" customHeight="1">
      <c r="A979" s="975"/>
      <c r="B979" s="748"/>
      <c r="C979" s="1905" t="str">
        <f>C961</f>
        <v>Vitrified tiles of Double charged / multi charged stain free full body porcelain vitrified tiles with double layer pigment of size 600x600mm (BMT-C-09)</v>
      </c>
      <c r="D979" s="725" t="s">
        <v>113</v>
      </c>
      <c r="E979" s="725">
        <v>10.5</v>
      </c>
      <c r="F979" s="725">
        <f>F961</f>
        <v>612</v>
      </c>
      <c r="G979" s="725">
        <f>ROUND(E979*F979,2)</f>
        <v>6426</v>
      </c>
      <c r="H979" s="725">
        <f>G979</f>
        <v>6426</v>
      </c>
      <c r="I979" s="724"/>
      <c r="J979" s="724"/>
      <c r="K979" s="724"/>
      <c r="L979" s="724"/>
    </row>
    <row r="980" spans="1:12" s="751" customFormat="1" ht="15" customHeight="1">
      <c r="A980" s="967"/>
      <c r="B980" s="748"/>
      <c r="C980" s="1482" t="s">
        <v>597</v>
      </c>
      <c r="D980" s="736" t="s">
        <v>117</v>
      </c>
      <c r="E980" s="736">
        <v>0.12</v>
      </c>
      <c r="F980" s="736">
        <f>'Lead statement (2)'!J7</f>
        <v>933.6</v>
      </c>
      <c r="G980" s="732">
        <f>ROUND(E980*F980,2)</f>
        <v>112.03</v>
      </c>
      <c r="H980" s="725">
        <f>G980</f>
        <v>112.03</v>
      </c>
      <c r="I980" s="748"/>
      <c r="J980" s="748"/>
      <c r="K980" s="748"/>
      <c r="L980" s="748"/>
    </row>
    <row r="981" spans="1:12" s="777" customFormat="1" ht="19.5" customHeight="1">
      <c r="A981" s="975"/>
      <c r="B981" s="748"/>
      <c r="C981" s="1482" t="s">
        <v>598</v>
      </c>
      <c r="D981" s="736" t="s">
        <v>115</v>
      </c>
      <c r="E981" s="736">
        <v>34.56</v>
      </c>
      <c r="F981" s="736">
        <f>'Lead statement (2)'!J24</f>
        <v>4.6975999999999996</v>
      </c>
      <c r="G981" s="732">
        <f>ROUND(E981*F981,2)</f>
        <v>162.35</v>
      </c>
      <c r="H981" s="725">
        <f>G981</f>
        <v>162.35</v>
      </c>
      <c r="I981" s="724"/>
      <c r="J981" s="724"/>
      <c r="K981" s="724"/>
      <c r="L981" s="724"/>
    </row>
    <row r="982" spans="1:12" s="777" customFormat="1" ht="15" customHeight="1">
      <c r="A982" s="975"/>
      <c r="B982" s="748"/>
      <c r="C982" s="1482" t="s">
        <v>122</v>
      </c>
      <c r="D982" s="736" t="s">
        <v>115</v>
      </c>
      <c r="E982" s="736">
        <v>33</v>
      </c>
      <c r="F982" s="736">
        <f>F981</f>
        <v>4.6975999999999996</v>
      </c>
      <c r="G982" s="732">
        <f>ROUND(E982*F982,2)</f>
        <v>155.02000000000001</v>
      </c>
      <c r="H982" s="725">
        <f>G982</f>
        <v>155.02000000000001</v>
      </c>
      <c r="I982" s="724"/>
      <c r="J982" s="724"/>
      <c r="K982" s="724"/>
      <c r="L982" s="724"/>
    </row>
    <row r="983" spans="1:12" s="751" customFormat="1" ht="15" customHeight="1">
      <c r="A983" s="967"/>
      <c r="B983" s="748"/>
      <c r="C983" s="1482" t="s">
        <v>599</v>
      </c>
      <c r="D983" s="736" t="s">
        <v>115</v>
      </c>
      <c r="E983" s="876">
        <v>2</v>
      </c>
      <c r="F983" s="736">
        <f>[125]Bldg.rates!F63</f>
        <v>27</v>
      </c>
      <c r="G983" s="732">
        <f>ROUND(E983*F983,2)</f>
        <v>54</v>
      </c>
      <c r="H983" s="725">
        <f>G983</f>
        <v>54</v>
      </c>
      <c r="I983" s="748"/>
      <c r="J983" s="748"/>
      <c r="K983" s="748"/>
      <c r="L983" s="748"/>
    </row>
    <row r="984" spans="1:12">
      <c r="A984" s="972"/>
      <c r="B984" s="726"/>
      <c r="C984" s="729" t="s">
        <v>128</v>
      </c>
      <c r="D984" s="745"/>
      <c r="E984" s="732"/>
      <c r="F984" s="734"/>
      <c r="G984" s="732"/>
      <c r="H984" s="725"/>
      <c r="I984" s="726"/>
      <c r="J984" s="726"/>
      <c r="K984" s="726"/>
      <c r="L984" s="726"/>
    </row>
    <row r="985" spans="1:12" ht="15">
      <c r="A985" s="972"/>
      <c r="B985" s="726"/>
      <c r="C985" s="745" t="s">
        <v>1751</v>
      </c>
      <c r="D985" s="745" t="s">
        <v>119</v>
      </c>
      <c r="E985" s="732">
        <v>0.96</v>
      </c>
      <c r="F985" s="732">
        <f>F968</f>
        <v>500</v>
      </c>
      <c r="G985" s="732">
        <f>ROUND(E985*F985,2)</f>
        <v>480</v>
      </c>
      <c r="H985" s="725">
        <f>G985</f>
        <v>480</v>
      </c>
      <c r="I985" s="726"/>
      <c r="J985" s="726"/>
      <c r="K985" s="726"/>
      <c r="L985" s="726"/>
    </row>
    <row r="986" spans="1:12" ht="15">
      <c r="A986" s="972"/>
      <c r="B986" s="726"/>
      <c r="C986" s="745" t="s">
        <v>1752</v>
      </c>
      <c r="D986" s="745" t="s">
        <v>119</v>
      </c>
      <c r="E986" s="732">
        <v>2.2400000000000002</v>
      </c>
      <c r="F986" s="732">
        <f>F969</f>
        <v>460</v>
      </c>
      <c r="G986" s="732">
        <f>ROUND(E986*F986,2)</f>
        <v>1030.4000000000001</v>
      </c>
      <c r="H986" s="725">
        <f>G986</f>
        <v>1030.4000000000001</v>
      </c>
      <c r="I986" s="726"/>
      <c r="J986" s="726"/>
      <c r="K986" s="726"/>
      <c r="L986" s="726"/>
    </row>
    <row r="987" spans="1:12">
      <c r="A987" s="972"/>
      <c r="B987" s="726"/>
      <c r="C987" s="745" t="s">
        <v>440</v>
      </c>
      <c r="D987" s="745" t="s">
        <v>119</v>
      </c>
      <c r="E987" s="732">
        <v>3.3</v>
      </c>
      <c r="F987" s="732">
        <f>F970</f>
        <v>420</v>
      </c>
      <c r="G987" s="732">
        <f>ROUND(E987*F987,2)</f>
        <v>1386</v>
      </c>
      <c r="H987" s="725">
        <f>G987</f>
        <v>1386</v>
      </c>
      <c r="I987" s="726"/>
      <c r="J987" s="726"/>
      <c r="K987" s="726"/>
      <c r="L987" s="726"/>
    </row>
    <row r="988" spans="1:12" ht="13.5" customHeight="1">
      <c r="A988" s="970"/>
      <c r="B988" s="733"/>
      <c r="C988" s="735" t="s">
        <v>615</v>
      </c>
      <c r="D988" s="737"/>
      <c r="E988" s="731"/>
      <c r="F988" s="732"/>
      <c r="G988" s="755"/>
      <c r="H988" s="755">
        <f>SUM(H985:H987)*10/100</f>
        <v>289.64</v>
      </c>
      <c r="I988" s="726"/>
      <c r="J988" s="726"/>
      <c r="K988" s="726"/>
      <c r="L988" s="726"/>
    </row>
    <row r="989" spans="1:12" hidden="1">
      <c r="A989" s="972"/>
      <c r="B989" s="752"/>
      <c r="C989" s="813" t="s">
        <v>1724</v>
      </c>
      <c r="D989" s="737">
        <f>D1</f>
        <v>0</v>
      </c>
      <c r="E989" s="778"/>
      <c r="F989" s="778"/>
      <c r="G989" s="736">
        <f>(SUM(G984:G987))*D989</f>
        <v>0</v>
      </c>
      <c r="H989" s="736">
        <f>G989</f>
        <v>0</v>
      </c>
      <c r="I989" s="736"/>
      <c r="J989" s="726"/>
      <c r="K989" s="726"/>
      <c r="L989" s="726"/>
    </row>
    <row r="990" spans="1:12">
      <c r="A990" s="972"/>
      <c r="B990" s="726"/>
      <c r="C990" s="745" t="s">
        <v>478</v>
      </c>
      <c r="D990" s="745"/>
      <c r="E990" s="877">
        <v>0.01</v>
      </c>
      <c r="F990" s="732">
        <f>SUM(G977:G987)</f>
        <v>9805.8000000000011</v>
      </c>
      <c r="G990" s="840">
        <f>F990*0.01</f>
        <v>98.058000000000007</v>
      </c>
      <c r="H990" s="840">
        <f>G990</f>
        <v>98.058000000000007</v>
      </c>
      <c r="I990" s="726"/>
      <c r="J990" s="726"/>
      <c r="K990" s="726"/>
      <c r="L990" s="726"/>
    </row>
    <row r="991" spans="1:12">
      <c r="A991" s="972"/>
      <c r="B991" s="726"/>
      <c r="C991" s="729" t="s">
        <v>120</v>
      </c>
      <c r="D991" s="745"/>
      <c r="E991" s="732"/>
      <c r="F991" s="732"/>
      <c r="G991" s="734">
        <f>SUM(G979:G990)</f>
        <v>9903.858000000002</v>
      </c>
      <c r="H991" s="734">
        <f>SUM(H979:H990)</f>
        <v>10193.498000000001</v>
      </c>
      <c r="I991" s="726"/>
      <c r="J991" s="726"/>
      <c r="K991" s="726"/>
      <c r="L991" s="726"/>
    </row>
    <row r="992" spans="1:12">
      <c r="A992" s="972"/>
      <c r="B992" s="726"/>
      <c r="C992" s="729" t="s">
        <v>479</v>
      </c>
      <c r="D992" s="745"/>
      <c r="E992" s="732"/>
      <c r="F992" s="732"/>
      <c r="G992" s="734">
        <f>ROUND(G991/10,2)</f>
        <v>990.39</v>
      </c>
      <c r="H992" s="734">
        <f>ROUND(H991/10,2)</f>
        <v>1019.35</v>
      </c>
      <c r="I992" s="726"/>
      <c r="J992" s="726"/>
      <c r="K992" s="726"/>
      <c r="L992" s="726"/>
    </row>
    <row r="993" spans="1:12" ht="64.5" customHeight="1">
      <c r="A993" s="971" t="s">
        <v>450</v>
      </c>
      <c r="B993" s="855">
        <v>30</v>
      </c>
      <c r="C993" s="2030" t="s">
        <v>476</v>
      </c>
      <c r="D993" s="2031"/>
      <c r="E993" s="2031"/>
      <c r="F993" s="2031"/>
      <c r="G993" s="2080"/>
      <c r="H993" s="2081"/>
      <c r="I993" s="726"/>
      <c r="J993" s="726"/>
      <c r="K993" s="726"/>
      <c r="L993" s="726"/>
    </row>
    <row r="994" spans="1:12">
      <c r="A994" s="972"/>
      <c r="B994" s="726"/>
      <c r="C994" s="729" t="s">
        <v>23</v>
      </c>
      <c r="D994" s="732"/>
      <c r="E994" s="732"/>
      <c r="F994" s="732"/>
      <c r="G994" s="732"/>
      <c r="H994" s="1483"/>
      <c r="I994" s="726"/>
      <c r="J994" s="726"/>
      <c r="K994" s="726"/>
      <c r="L994" s="726"/>
    </row>
    <row r="995" spans="1:12">
      <c r="A995" s="972"/>
      <c r="B995" s="726"/>
      <c r="C995" s="729" t="s">
        <v>24</v>
      </c>
      <c r="D995" s="732"/>
      <c r="E995" s="732"/>
      <c r="F995" s="732"/>
      <c r="G995" s="738" t="s">
        <v>613</v>
      </c>
      <c r="H995" s="738" t="s">
        <v>611</v>
      </c>
      <c r="I995" s="726"/>
      <c r="J995" s="726"/>
      <c r="K995" s="726"/>
      <c r="L995" s="726"/>
    </row>
    <row r="996" spans="1:12">
      <c r="A996" s="972"/>
      <c r="B996" s="726"/>
      <c r="C996" s="745" t="s">
        <v>477</v>
      </c>
      <c r="D996" s="732" t="s">
        <v>113</v>
      </c>
      <c r="E996" s="732">
        <v>10.5</v>
      </c>
      <c r="F996" s="732">
        <v>374</v>
      </c>
      <c r="G996" s="732">
        <f>ROUND(E996*F996,2)</f>
        <v>3927</v>
      </c>
      <c r="H996" s="732">
        <f>G996</f>
        <v>3927</v>
      </c>
      <c r="I996" s="726"/>
      <c r="J996" s="726"/>
      <c r="K996" s="726"/>
      <c r="L996" s="726"/>
    </row>
    <row r="997" spans="1:12">
      <c r="A997" s="972"/>
      <c r="B997" s="726"/>
      <c r="C997" s="745" t="s">
        <v>127</v>
      </c>
      <c r="D997" s="732" t="s">
        <v>115</v>
      </c>
      <c r="E997" s="732">
        <v>21.6</v>
      </c>
      <c r="F997" s="732">
        <f>F715</f>
        <v>4.6975999999999996</v>
      </c>
      <c r="G997" s="732">
        <f>ROUND(E997*F997,2)</f>
        <v>101.47</v>
      </c>
      <c r="H997" s="732">
        <f t="shared" ref="H997:H1004" si="23">G997</f>
        <v>101.47</v>
      </c>
      <c r="I997" s="726"/>
      <c r="J997" s="726"/>
      <c r="K997" s="726"/>
      <c r="L997" s="726"/>
    </row>
    <row r="998" spans="1:12">
      <c r="A998" s="972"/>
      <c r="B998" s="726"/>
      <c r="C998" s="745" t="s">
        <v>122</v>
      </c>
      <c r="D998" s="732" t="s">
        <v>115</v>
      </c>
      <c r="E998" s="732">
        <v>33</v>
      </c>
      <c r="F998" s="732">
        <f>F997</f>
        <v>4.6975999999999996</v>
      </c>
      <c r="G998" s="732">
        <f>ROUND(E998*F998,2)</f>
        <v>155.02000000000001</v>
      </c>
      <c r="H998" s="732">
        <f t="shared" si="23"/>
        <v>155.02000000000001</v>
      </c>
      <c r="I998" s="726"/>
      <c r="J998" s="726"/>
      <c r="K998" s="726"/>
      <c r="L998" s="726"/>
    </row>
    <row r="999" spans="1:12">
      <c r="A999" s="972"/>
      <c r="B999" s="726"/>
      <c r="C999" s="745" t="s">
        <v>194</v>
      </c>
      <c r="D999" s="732" t="s">
        <v>115</v>
      </c>
      <c r="E999" s="732">
        <v>2</v>
      </c>
      <c r="F999" s="732">
        <f>[125]Bldg.rates!F63</f>
        <v>27</v>
      </c>
      <c r="G999" s="732">
        <f>ROUND(E999*F999,2)</f>
        <v>54</v>
      </c>
      <c r="H999" s="732">
        <f t="shared" si="23"/>
        <v>54</v>
      </c>
      <c r="I999" s="726"/>
      <c r="J999" s="726"/>
      <c r="K999" s="726"/>
      <c r="L999" s="726"/>
    </row>
    <row r="1000" spans="1:12">
      <c r="A1000" s="972"/>
      <c r="B1000" s="726"/>
      <c r="C1000" s="745" t="s">
        <v>124</v>
      </c>
      <c r="D1000" s="732" t="s">
        <v>117</v>
      </c>
      <c r="E1000" s="732">
        <v>0.12</v>
      </c>
      <c r="F1000" s="732">
        <f>'Lead statement (2)'!J7</f>
        <v>933.6</v>
      </c>
      <c r="G1000" s="732">
        <f>ROUND(E1000*F1000,2)</f>
        <v>112.03</v>
      </c>
      <c r="H1000" s="732">
        <f t="shared" si="23"/>
        <v>112.03</v>
      </c>
      <c r="I1000" s="726"/>
      <c r="J1000" s="726"/>
      <c r="K1000" s="726"/>
      <c r="L1000" s="726"/>
    </row>
    <row r="1001" spans="1:12">
      <c r="A1001" s="972"/>
      <c r="B1001" s="726"/>
      <c r="C1001" s="729" t="s">
        <v>128</v>
      </c>
      <c r="D1001" s="732"/>
      <c r="E1001" s="732"/>
      <c r="F1001" s="734"/>
      <c r="G1001" s="732"/>
      <c r="H1001" s="732"/>
      <c r="I1001" s="726"/>
      <c r="J1001" s="726"/>
      <c r="K1001" s="726"/>
      <c r="L1001" s="726"/>
    </row>
    <row r="1002" spans="1:12" ht="15">
      <c r="A1002" s="972"/>
      <c r="B1002" s="726"/>
      <c r="C1002" s="745" t="s">
        <v>1751</v>
      </c>
      <c r="D1002" s="732" t="s">
        <v>119</v>
      </c>
      <c r="E1002" s="732">
        <v>0.96</v>
      </c>
      <c r="F1002" s="732">
        <f>F718</f>
        <v>500</v>
      </c>
      <c r="G1002" s="732">
        <f>ROUND(E1002*F1002,2)</f>
        <v>480</v>
      </c>
      <c r="H1002" s="732">
        <f t="shared" si="23"/>
        <v>480</v>
      </c>
      <c r="I1002" s="726"/>
      <c r="J1002" s="726"/>
      <c r="K1002" s="726"/>
      <c r="L1002" s="726"/>
    </row>
    <row r="1003" spans="1:12" ht="15">
      <c r="A1003" s="972"/>
      <c r="B1003" s="726"/>
      <c r="C1003" s="745" t="s">
        <v>1752</v>
      </c>
      <c r="D1003" s="732" t="s">
        <v>119</v>
      </c>
      <c r="E1003" s="732">
        <v>2.2400000000000002</v>
      </c>
      <c r="F1003" s="732">
        <f>F719</f>
        <v>460</v>
      </c>
      <c r="G1003" s="732">
        <f>ROUND(E1003*F1003,2)</f>
        <v>1030.4000000000001</v>
      </c>
      <c r="H1003" s="732">
        <f t="shared" si="23"/>
        <v>1030.4000000000001</v>
      </c>
      <c r="I1003" s="726"/>
      <c r="J1003" s="726"/>
      <c r="K1003" s="726"/>
      <c r="L1003" s="726"/>
    </row>
    <row r="1004" spans="1:12">
      <c r="A1004" s="972"/>
      <c r="B1004" s="726"/>
      <c r="C1004" s="745" t="s">
        <v>440</v>
      </c>
      <c r="D1004" s="732" t="s">
        <v>119</v>
      </c>
      <c r="E1004" s="732">
        <v>3.3</v>
      </c>
      <c r="F1004" s="732">
        <f>F720</f>
        <v>420</v>
      </c>
      <c r="G1004" s="732">
        <f>ROUND(E1004*F1004,2)</f>
        <v>1386</v>
      </c>
      <c r="H1004" s="732">
        <f t="shared" si="23"/>
        <v>1386</v>
      </c>
      <c r="I1004" s="726"/>
      <c r="J1004" s="726"/>
      <c r="K1004" s="726"/>
      <c r="L1004" s="726"/>
    </row>
    <row r="1005" spans="1:12" ht="13.5" customHeight="1">
      <c r="A1005" s="970"/>
      <c r="B1005" s="733"/>
      <c r="C1005" s="735" t="s">
        <v>615</v>
      </c>
      <c r="D1005" s="737"/>
      <c r="E1005" s="731"/>
      <c r="F1005" s="732"/>
      <c r="G1005" s="755"/>
      <c r="H1005" s="755">
        <f>(H1002+H1003+H1004)*10%</f>
        <v>289.64000000000004</v>
      </c>
      <c r="I1005" s="726"/>
      <c r="J1005" s="726"/>
      <c r="K1005" s="726"/>
      <c r="L1005" s="726"/>
    </row>
    <row r="1006" spans="1:12" hidden="1">
      <c r="A1006" s="972"/>
      <c r="B1006" s="752"/>
      <c r="C1006" s="813" t="s">
        <v>1724</v>
      </c>
      <c r="D1006" s="737">
        <f>D1</f>
        <v>0</v>
      </c>
      <c r="E1006" s="778"/>
      <c r="F1006" s="778"/>
      <c r="G1006" s="736">
        <f>(SUM(G1002:G1004))*D1006</f>
        <v>0</v>
      </c>
      <c r="H1006" s="736">
        <f>G1006</f>
        <v>0</v>
      </c>
      <c r="I1006" s="736"/>
      <c r="J1006" s="726"/>
      <c r="K1006" s="726"/>
      <c r="L1006" s="726"/>
    </row>
    <row r="1007" spans="1:12">
      <c r="A1007" s="972"/>
      <c r="B1007" s="726"/>
      <c r="C1007" s="745" t="s">
        <v>478</v>
      </c>
      <c r="D1007" s="732"/>
      <c r="E1007" s="877">
        <v>0.01</v>
      </c>
      <c r="F1007" s="732">
        <f>SUM(G994:G1004)</f>
        <v>7245.92</v>
      </c>
      <c r="G1007" s="840">
        <f>F1007*0.01</f>
        <v>72.459199999999996</v>
      </c>
      <c r="H1007" s="840">
        <f>G1007</f>
        <v>72.459199999999996</v>
      </c>
      <c r="I1007" s="726"/>
      <c r="J1007" s="726"/>
      <c r="K1007" s="726"/>
      <c r="L1007" s="726"/>
    </row>
    <row r="1008" spans="1:12">
      <c r="A1008" s="972"/>
      <c r="B1008" s="726"/>
      <c r="C1008" s="729" t="s">
        <v>120</v>
      </c>
      <c r="D1008" s="732"/>
      <c r="E1008" s="732"/>
      <c r="F1008" s="732"/>
      <c r="G1008" s="734">
        <f>ROUND(SUM(G996:G1007),2)</f>
        <v>7318.38</v>
      </c>
      <c r="H1008" s="734">
        <f>SUM(H996:H1007)</f>
        <v>7608.0192000000006</v>
      </c>
      <c r="I1008" s="726"/>
      <c r="J1008" s="726"/>
      <c r="K1008" s="726"/>
      <c r="L1008" s="726"/>
    </row>
    <row r="1009" spans="1:12">
      <c r="A1009" s="972"/>
      <c r="B1009" s="726"/>
      <c r="C1009" s="729" t="s">
        <v>479</v>
      </c>
      <c r="D1009" s="732"/>
      <c r="E1009" s="732"/>
      <c r="F1009" s="732"/>
      <c r="G1009" s="734">
        <f>ROUND(G1008/10,2)</f>
        <v>731.84</v>
      </c>
      <c r="H1009" s="734">
        <f>ROUND(H1008/10,2)</f>
        <v>760.8</v>
      </c>
      <c r="I1009" s="726"/>
      <c r="J1009" s="726"/>
      <c r="K1009" s="726"/>
      <c r="L1009" s="726"/>
    </row>
    <row r="1010" spans="1:12" s="777" customFormat="1" ht="112.5" hidden="1" customHeight="1">
      <c r="A1010" s="967" t="s">
        <v>600</v>
      </c>
      <c r="B1010" s="724"/>
      <c r="C1010" s="2042" t="s">
        <v>601</v>
      </c>
      <c r="D1010" s="2042"/>
      <c r="E1010" s="2042"/>
      <c r="F1010" s="2042"/>
      <c r="G1010" s="725"/>
      <c r="H1010" s="724"/>
      <c r="I1010" s="724"/>
      <c r="J1010" s="724"/>
      <c r="K1010" s="724"/>
      <c r="L1010" s="724"/>
    </row>
    <row r="1011" spans="1:12" s="777" customFormat="1" hidden="1">
      <c r="A1011" s="975"/>
      <c r="B1011" s="724"/>
      <c r="C1011" s="878" t="s">
        <v>23</v>
      </c>
      <c r="D1011" s="725"/>
      <c r="E1011" s="725"/>
      <c r="F1011" s="725"/>
      <c r="G1011" s="725"/>
      <c r="H1011" s="724"/>
      <c r="I1011" s="724"/>
      <c r="J1011" s="724"/>
      <c r="K1011" s="724"/>
      <c r="L1011" s="724"/>
    </row>
    <row r="1012" spans="1:12" s="777" customFormat="1" hidden="1">
      <c r="A1012" s="975"/>
      <c r="B1012" s="724"/>
      <c r="C1012" s="878" t="s">
        <v>24</v>
      </c>
      <c r="D1012" s="725"/>
      <c r="E1012" s="725"/>
      <c r="F1012" s="725"/>
      <c r="G1012" s="738" t="s">
        <v>613</v>
      </c>
      <c r="H1012" s="738" t="s">
        <v>611</v>
      </c>
      <c r="I1012" s="724"/>
      <c r="J1012" s="724"/>
      <c r="K1012" s="724"/>
      <c r="L1012" s="724"/>
    </row>
    <row r="1013" spans="1:12" s="777" customFormat="1" hidden="1">
      <c r="A1013" s="975"/>
      <c r="B1013" s="724"/>
      <c r="C1013" s="879" t="s">
        <v>477</v>
      </c>
      <c r="D1013" s="725" t="s">
        <v>113</v>
      </c>
      <c r="E1013" s="725">
        <v>10.5</v>
      </c>
      <c r="F1013" s="725">
        <f>F996</f>
        <v>374</v>
      </c>
      <c r="G1013" s="725">
        <f>ROUND(E1013*F1013,2)</f>
        <v>3927</v>
      </c>
      <c r="H1013" s="725">
        <v>5141.8500000000004</v>
      </c>
      <c r="I1013" s="724"/>
      <c r="J1013" s="724"/>
      <c r="K1013" s="724"/>
      <c r="L1013" s="724"/>
    </row>
    <row r="1014" spans="1:12" s="777" customFormat="1" hidden="1">
      <c r="A1014" s="975"/>
      <c r="B1014" s="724"/>
      <c r="C1014" s="879" t="s">
        <v>602</v>
      </c>
      <c r="D1014" s="725" t="s">
        <v>117</v>
      </c>
      <c r="E1014" s="725">
        <v>0.12</v>
      </c>
      <c r="F1014" s="725">
        <f>F1000</f>
        <v>933.6</v>
      </c>
      <c r="G1014" s="725">
        <f>ROUND(E1014*F1014,2)</f>
        <v>112.03</v>
      </c>
      <c r="H1014" s="725">
        <v>63.64</v>
      </c>
      <c r="I1014" s="724"/>
      <c r="J1014" s="724"/>
      <c r="K1014" s="724"/>
      <c r="L1014" s="724"/>
    </row>
    <row r="1015" spans="1:12" s="777" customFormat="1" hidden="1">
      <c r="A1015" s="975"/>
      <c r="B1015" s="724"/>
      <c r="C1015" s="879" t="s">
        <v>603</v>
      </c>
      <c r="D1015" s="725" t="s">
        <v>115</v>
      </c>
      <c r="E1015" s="725">
        <v>57.6</v>
      </c>
      <c r="F1015" s="725">
        <f>'Lead statement (2)'!J24</f>
        <v>4.6975999999999996</v>
      </c>
      <c r="G1015" s="725">
        <f>ROUND(E1015*F1015,2)</f>
        <v>270.58</v>
      </c>
      <c r="H1015" s="725">
        <v>276.48</v>
      </c>
      <c r="I1015" s="724"/>
      <c r="J1015" s="724"/>
      <c r="K1015" s="724"/>
      <c r="L1015" s="724"/>
    </row>
    <row r="1016" spans="1:12" s="777" customFormat="1" hidden="1">
      <c r="A1016" s="975"/>
      <c r="B1016" s="724"/>
      <c r="C1016" s="879" t="s">
        <v>122</v>
      </c>
      <c r="D1016" s="725" t="s">
        <v>115</v>
      </c>
      <c r="E1016" s="725">
        <v>33</v>
      </c>
      <c r="F1016" s="725">
        <f>F1015</f>
        <v>4.6975999999999996</v>
      </c>
      <c r="G1016" s="725">
        <f>ROUND(E1016*F1016,2)</f>
        <v>155.02000000000001</v>
      </c>
      <c r="H1016" s="725">
        <v>158.4</v>
      </c>
      <c r="I1016" s="724"/>
      <c r="J1016" s="724"/>
      <c r="K1016" s="724"/>
      <c r="L1016" s="724"/>
    </row>
    <row r="1017" spans="1:12" s="777" customFormat="1" hidden="1">
      <c r="A1017" s="975"/>
      <c r="B1017" s="724"/>
      <c r="C1017" s="879" t="s">
        <v>194</v>
      </c>
      <c r="D1017" s="725" t="s">
        <v>115</v>
      </c>
      <c r="E1017" s="725">
        <v>6</v>
      </c>
      <c r="F1017" s="725">
        <f>[125]Bldg.rates!F63</f>
        <v>27</v>
      </c>
      <c r="G1017" s="725">
        <f>ROUND(E1017*F1017,2)</f>
        <v>162</v>
      </c>
      <c r="H1017" s="725">
        <v>207.36</v>
      </c>
      <c r="I1017" s="724"/>
      <c r="J1017" s="724"/>
      <c r="K1017" s="724"/>
      <c r="L1017" s="724"/>
    </row>
    <row r="1018" spans="1:12" s="777" customFormat="1" hidden="1">
      <c r="A1018" s="975"/>
      <c r="B1018" s="724"/>
      <c r="C1018" s="879"/>
      <c r="D1018" s="725"/>
      <c r="E1018" s="725"/>
      <c r="F1018" s="725"/>
      <c r="G1018" s="725"/>
      <c r="H1018" s="725"/>
      <c r="I1018" s="724"/>
      <c r="J1018" s="724"/>
      <c r="K1018" s="724"/>
      <c r="L1018" s="724"/>
    </row>
    <row r="1019" spans="1:12" s="777" customFormat="1" hidden="1">
      <c r="A1019" s="975"/>
      <c r="B1019" s="724"/>
      <c r="C1019" s="878" t="s">
        <v>128</v>
      </c>
      <c r="D1019" s="725"/>
      <c r="E1019" s="725"/>
      <c r="F1019" s="880"/>
      <c r="G1019" s="725"/>
      <c r="H1019" s="725"/>
      <c r="I1019" s="724"/>
      <c r="J1019" s="724"/>
      <c r="K1019" s="724"/>
      <c r="L1019" s="724"/>
    </row>
    <row r="1020" spans="1:12" s="777" customFormat="1" ht="15" hidden="1">
      <c r="A1020" s="975"/>
      <c r="B1020" s="724"/>
      <c r="C1020" s="879" t="s">
        <v>1751</v>
      </c>
      <c r="D1020" s="725" t="s">
        <v>119</v>
      </c>
      <c r="E1020" s="725">
        <v>0.77</v>
      </c>
      <c r="F1020" s="725">
        <f>F1002</f>
        <v>500</v>
      </c>
      <c r="G1020" s="725">
        <f>ROUND(E1020*F1020,2)</f>
        <v>385</v>
      </c>
      <c r="H1020" s="725">
        <v>377.3</v>
      </c>
      <c r="I1020" s="724"/>
      <c r="J1020" s="724"/>
      <c r="K1020" s="724"/>
      <c r="L1020" s="724"/>
    </row>
    <row r="1021" spans="1:12" s="777" customFormat="1" hidden="1">
      <c r="A1021" s="975"/>
      <c r="B1021" s="724"/>
      <c r="C1021" s="879" t="s">
        <v>440</v>
      </c>
      <c r="D1021" s="725" t="s">
        <v>119</v>
      </c>
      <c r="E1021" s="725">
        <v>0.8</v>
      </c>
      <c r="F1021" s="725">
        <f>F1004</f>
        <v>420</v>
      </c>
      <c r="G1021" s="725">
        <f>ROUND(E1021*F1021,2)</f>
        <v>336</v>
      </c>
      <c r="H1021" s="725">
        <v>320</v>
      </c>
      <c r="I1021" s="724"/>
      <c r="J1021" s="724"/>
      <c r="K1021" s="724"/>
      <c r="L1021" s="724"/>
    </row>
    <row r="1022" spans="1:12" ht="13.5" hidden="1" customHeight="1">
      <c r="A1022" s="970"/>
      <c r="B1022" s="733"/>
      <c r="C1022" s="735" t="s">
        <v>615</v>
      </c>
      <c r="D1022" s="737"/>
      <c r="E1022" s="731"/>
      <c r="F1022" s="732"/>
      <c r="G1022" s="755"/>
      <c r="H1022" s="755">
        <f>(H1020+H1021)*10%</f>
        <v>69.73</v>
      </c>
      <c r="I1022" s="726"/>
      <c r="J1022" s="726"/>
      <c r="K1022" s="726"/>
      <c r="L1022" s="726"/>
    </row>
    <row r="1023" spans="1:12" s="777" customFormat="1" hidden="1">
      <c r="A1023" s="975"/>
      <c r="B1023" s="724"/>
      <c r="C1023" s="878" t="s">
        <v>120</v>
      </c>
      <c r="D1023" s="725"/>
      <c r="E1023" s="725"/>
      <c r="F1023" s="725"/>
      <c r="G1023" s="880">
        <f>SUM(G1013:G1022)</f>
        <v>5347.630000000001</v>
      </c>
      <c r="H1023" s="880">
        <f>SUM(H1013:H1022)</f>
        <v>6614.76</v>
      </c>
      <c r="I1023" s="724"/>
      <c r="J1023" s="724"/>
      <c r="K1023" s="724"/>
      <c r="L1023" s="724"/>
    </row>
    <row r="1024" spans="1:12" s="777" customFormat="1" hidden="1">
      <c r="A1024" s="975"/>
      <c r="B1024" s="724"/>
      <c r="C1024" s="878" t="s">
        <v>479</v>
      </c>
      <c r="D1024" s="725"/>
      <c r="E1024" s="725"/>
      <c r="F1024" s="725"/>
      <c r="G1024" s="881">
        <f>ROUND(G1023/10,2)</f>
        <v>534.76</v>
      </c>
      <c r="H1024" s="881">
        <f>ROUND(H1023/10,2)</f>
        <v>661.48</v>
      </c>
      <c r="I1024" s="724"/>
      <c r="J1024" s="724"/>
      <c r="K1024" s="724"/>
      <c r="L1024" s="724"/>
    </row>
    <row r="1025" spans="1:12" ht="77.25" customHeight="1">
      <c r="A1025" s="971" t="s">
        <v>600</v>
      </c>
      <c r="B1025" s="855">
        <v>31</v>
      </c>
      <c r="C1025" s="2030" t="s">
        <v>604</v>
      </c>
      <c r="D1025" s="2031"/>
      <c r="E1025" s="2031"/>
      <c r="F1025" s="2031"/>
      <c r="G1025" s="2080"/>
      <c r="H1025" s="2081"/>
      <c r="I1025" s="726"/>
      <c r="J1025" s="726"/>
      <c r="K1025" s="726"/>
      <c r="L1025" s="726"/>
    </row>
    <row r="1026" spans="1:12">
      <c r="A1026" s="972"/>
      <c r="B1026" s="726"/>
      <c r="C1026" s="729" t="s">
        <v>23</v>
      </c>
      <c r="D1026" s="732"/>
      <c r="E1026" s="732"/>
      <c r="F1026" s="732"/>
      <c r="G1026" s="732"/>
      <c r="H1026" s="1483"/>
      <c r="I1026" s="726"/>
      <c r="J1026" s="726"/>
      <c r="K1026" s="726"/>
      <c r="L1026" s="726"/>
    </row>
    <row r="1027" spans="1:12">
      <c r="A1027" s="972"/>
      <c r="B1027" s="726"/>
      <c r="C1027" s="729" t="s">
        <v>24</v>
      </c>
      <c r="D1027" s="732"/>
      <c r="E1027" s="732"/>
      <c r="F1027" s="732"/>
      <c r="G1027" s="738" t="s">
        <v>613</v>
      </c>
      <c r="H1027" s="738" t="s">
        <v>611</v>
      </c>
      <c r="I1027" s="726"/>
      <c r="J1027" s="726"/>
      <c r="K1027" s="726"/>
      <c r="L1027" s="726"/>
    </row>
    <row r="1028" spans="1:12">
      <c r="A1028" s="972"/>
      <c r="B1028" s="726"/>
      <c r="C1028" s="745" t="s">
        <v>477</v>
      </c>
      <c r="D1028" s="732" t="s">
        <v>113</v>
      </c>
      <c r="E1028" s="732">
        <v>10.5</v>
      </c>
      <c r="F1028" s="732">
        <v>538</v>
      </c>
      <c r="G1028" s="732">
        <f>ROUND(E1028*F1028,2)</f>
        <v>5649</v>
      </c>
      <c r="H1028" s="732">
        <f>G1028</f>
        <v>5649</v>
      </c>
      <c r="I1028" s="726"/>
      <c r="J1028" s="726"/>
      <c r="K1028" s="726"/>
      <c r="L1028" s="726"/>
    </row>
    <row r="1029" spans="1:12">
      <c r="A1029" s="972"/>
      <c r="B1029" s="726"/>
      <c r="C1029" s="745" t="s">
        <v>605</v>
      </c>
      <c r="D1029" s="732" t="s">
        <v>117</v>
      </c>
      <c r="E1029" s="732">
        <v>0.12</v>
      </c>
      <c r="F1029" s="732">
        <f>F1014</f>
        <v>933.6</v>
      </c>
      <c r="G1029" s="732">
        <f>ROUND(E1029*F1029,2)</f>
        <v>112.03</v>
      </c>
      <c r="H1029" s="732">
        <f>G1029</f>
        <v>112.03</v>
      </c>
      <c r="I1029" s="726"/>
      <c r="J1029" s="726"/>
      <c r="K1029" s="726"/>
      <c r="L1029" s="726"/>
    </row>
    <row r="1030" spans="1:12">
      <c r="A1030" s="972"/>
      <c r="B1030" s="726"/>
      <c r="C1030" s="745" t="s">
        <v>603</v>
      </c>
      <c r="D1030" s="732" t="s">
        <v>115</v>
      </c>
      <c r="E1030" s="732">
        <v>57.6</v>
      </c>
      <c r="F1030" s="732">
        <f>'Lead statement (2)'!J24</f>
        <v>4.6975999999999996</v>
      </c>
      <c r="G1030" s="732">
        <f>ROUND(E1030*F1030,2)</f>
        <v>270.58</v>
      </c>
      <c r="H1030" s="732">
        <f>G1030</f>
        <v>270.58</v>
      </c>
      <c r="I1030" s="726"/>
      <c r="J1030" s="726"/>
      <c r="K1030" s="726"/>
      <c r="L1030" s="726"/>
    </row>
    <row r="1031" spans="1:12">
      <c r="A1031" s="972"/>
      <c r="B1031" s="726"/>
      <c r="C1031" s="745" t="s">
        <v>122</v>
      </c>
      <c r="D1031" s="732" t="s">
        <v>115</v>
      </c>
      <c r="E1031" s="732">
        <v>33</v>
      </c>
      <c r="F1031" s="732">
        <f>F1030</f>
        <v>4.6975999999999996</v>
      </c>
      <c r="G1031" s="732">
        <f>ROUND(E1031*F1031,2)</f>
        <v>155.02000000000001</v>
      </c>
      <c r="H1031" s="732">
        <f>G1031</f>
        <v>155.02000000000001</v>
      </c>
      <c r="I1031" s="726"/>
      <c r="J1031" s="726"/>
      <c r="K1031" s="726"/>
      <c r="L1031" s="726"/>
    </row>
    <row r="1032" spans="1:12" ht="16.5" customHeight="1">
      <c r="A1032" s="972"/>
      <c r="B1032" s="726"/>
      <c r="C1032" s="1482" t="s">
        <v>599</v>
      </c>
      <c r="D1032" s="732" t="s">
        <v>115</v>
      </c>
      <c r="E1032" s="732">
        <v>6</v>
      </c>
      <c r="F1032" s="732">
        <f>F1017</f>
        <v>27</v>
      </c>
      <c r="G1032" s="732">
        <f>ROUND(E1032*F1032,2)</f>
        <v>162</v>
      </c>
      <c r="H1032" s="732">
        <f>G1032</f>
        <v>162</v>
      </c>
      <c r="I1032" s="726"/>
      <c r="J1032" s="726"/>
      <c r="K1032" s="726"/>
      <c r="L1032" s="726"/>
    </row>
    <row r="1033" spans="1:12">
      <c r="A1033" s="972"/>
      <c r="B1033" s="726"/>
      <c r="C1033" s="729" t="s">
        <v>128</v>
      </c>
      <c r="D1033" s="732"/>
      <c r="E1033" s="732"/>
      <c r="F1033" s="734"/>
      <c r="G1033" s="732"/>
      <c r="H1033" s="732"/>
      <c r="I1033" s="726"/>
      <c r="J1033" s="726"/>
      <c r="K1033" s="726"/>
      <c r="L1033" s="726"/>
    </row>
    <row r="1034" spans="1:12" ht="15">
      <c r="A1034" s="972"/>
      <c r="B1034" s="726"/>
      <c r="C1034" s="745" t="s">
        <v>1751</v>
      </c>
      <c r="D1034" s="732" t="s">
        <v>119</v>
      </c>
      <c r="E1034" s="732">
        <v>0.77</v>
      </c>
      <c r="F1034" s="732">
        <f>F1020</f>
        <v>500</v>
      </c>
      <c r="G1034" s="732">
        <f>ROUND(E1034*F1034,2)</f>
        <v>385</v>
      </c>
      <c r="H1034" s="732">
        <f>G1034</f>
        <v>385</v>
      </c>
      <c r="I1034" s="726"/>
      <c r="J1034" s="726"/>
      <c r="K1034" s="726"/>
      <c r="L1034" s="726"/>
    </row>
    <row r="1035" spans="1:12">
      <c r="A1035" s="972"/>
      <c r="B1035" s="726"/>
      <c r="C1035" s="745" t="s">
        <v>440</v>
      </c>
      <c r="D1035" s="732" t="s">
        <v>119</v>
      </c>
      <c r="E1035" s="732">
        <v>0.8</v>
      </c>
      <c r="F1035" s="732">
        <f>F1021</f>
        <v>420</v>
      </c>
      <c r="G1035" s="732">
        <f>ROUND(E1035*F1035,2)</f>
        <v>336</v>
      </c>
      <c r="H1035" s="732">
        <f>G1035</f>
        <v>336</v>
      </c>
      <c r="I1035" s="726"/>
      <c r="J1035" s="726"/>
      <c r="K1035" s="726"/>
      <c r="L1035" s="726"/>
    </row>
    <row r="1036" spans="1:12">
      <c r="A1036" s="972"/>
      <c r="B1036" s="726"/>
      <c r="C1036" s="745" t="s">
        <v>478</v>
      </c>
      <c r="D1036" s="732"/>
      <c r="E1036" s="877">
        <v>0.01</v>
      </c>
      <c r="F1036" s="732">
        <f>SUM(G1027:G1035)</f>
        <v>7069.63</v>
      </c>
      <c r="G1036" s="840">
        <f>F1036*0.01</f>
        <v>70.696300000000008</v>
      </c>
      <c r="H1036" s="840">
        <f>G1036</f>
        <v>70.696300000000008</v>
      </c>
      <c r="I1036" s="726"/>
      <c r="J1036" s="726"/>
      <c r="K1036" s="726"/>
      <c r="L1036" s="726"/>
    </row>
    <row r="1037" spans="1:12" hidden="1">
      <c r="A1037" s="972"/>
      <c r="B1037" s="752"/>
      <c r="C1037" s="813" t="s">
        <v>1724</v>
      </c>
      <c r="D1037" s="737">
        <f>D1</f>
        <v>0</v>
      </c>
      <c r="E1037" s="778"/>
      <c r="F1037" s="778"/>
      <c r="G1037" s="736">
        <f>(SUM(G1033:G1035))*D1037</f>
        <v>0</v>
      </c>
      <c r="H1037" s="736">
        <f>G1037</f>
        <v>0</v>
      </c>
      <c r="I1037" s="736"/>
      <c r="J1037" s="726"/>
      <c r="K1037" s="726"/>
      <c r="L1037" s="726"/>
    </row>
    <row r="1038" spans="1:12" ht="13.5" customHeight="1">
      <c r="A1038" s="970"/>
      <c r="B1038" s="733"/>
      <c r="C1038" s="735" t="s">
        <v>615</v>
      </c>
      <c r="D1038" s="737"/>
      <c r="E1038" s="731"/>
      <c r="F1038" s="732"/>
      <c r="G1038" s="755"/>
      <c r="H1038" s="755">
        <f>SUM(H1033:H1035)*10/100</f>
        <v>72.099999999999994</v>
      </c>
      <c r="I1038" s="726"/>
      <c r="J1038" s="726"/>
      <c r="K1038" s="726"/>
      <c r="L1038" s="726"/>
    </row>
    <row r="1039" spans="1:12">
      <c r="A1039" s="972"/>
      <c r="B1039" s="726"/>
      <c r="C1039" s="729" t="s">
        <v>120</v>
      </c>
      <c r="D1039" s="732"/>
      <c r="E1039" s="732"/>
      <c r="F1039" s="732"/>
      <c r="G1039" s="734">
        <f>SUM(G1028:G1038)</f>
        <v>7140.3262999999997</v>
      </c>
      <c r="H1039" s="734">
        <f>SUM(H1028:H1038)</f>
        <v>7212.4263000000001</v>
      </c>
      <c r="I1039" s="726"/>
      <c r="J1039" s="726"/>
      <c r="K1039" s="726"/>
      <c r="L1039" s="726"/>
    </row>
    <row r="1040" spans="1:12">
      <c r="A1040" s="972"/>
      <c r="B1040" s="726"/>
      <c r="C1040" s="729" t="s">
        <v>479</v>
      </c>
      <c r="D1040" s="732"/>
      <c r="E1040" s="732"/>
      <c r="F1040" s="732"/>
      <c r="G1040" s="734">
        <f>ROUND(G1039/10,2)</f>
        <v>714.03</v>
      </c>
      <c r="H1040" s="734">
        <f>ROUND(H1039/10,2)</f>
        <v>721.24</v>
      </c>
      <c r="I1040" s="726"/>
      <c r="J1040" s="726"/>
      <c r="K1040" s="726"/>
      <c r="L1040" s="726"/>
    </row>
    <row r="1041" spans="1:12" ht="88.5" hidden="1" customHeight="1">
      <c r="A1041" s="971" t="s">
        <v>103</v>
      </c>
      <c r="B1041" s="746">
        <v>28</v>
      </c>
      <c r="C1041" s="2043" t="s">
        <v>385</v>
      </c>
      <c r="D1041" s="2043"/>
      <c r="E1041" s="2043"/>
      <c r="F1041" s="2043"/>
      <c r="G1041" s="752"/>
      <c r="H1041" s="726"/>
      <c r="I1041" s="726"/>
      <c r="J1041" s="726"/>
      <c r="K1041" s="726"/>
      <c r="L1041" s="726"/>
    </row>
    <row r="1042" spans="1:12" hidden="1">
      <c r="A1042" s="972"/>
      <c r="B1042" s="726"/>
      <c r="C1042" s="729" t="s">
        <v>23</v>
      </c>
      <c r="D1042" s="732"/>
      <c r="E1042" s="732"/>
      <c r="F1042" s="732"/>
      <c r="G1042" s="731"/>
      <c r="H1042" s="1483"/>
      <c r="I1042" s="726"/>
      <c r="J1042" s="726"/>
      <c r="K1042" s="726"/>
      <c r="L1042" s="726"/>
    </row>
    <row r="1043" spans="1:12" hidden="1">
      <c r="A1043" s="972"/>
      <c r="B1043" s="726"/>
      <c r="C1043" s="729" t="s">
        <v>24</v>
      </c>
      <c r="D1043" s="732"/>
      <c r="E1043" s="732"/>
      <c r="F1043" s="732"/>
      <c r="G1043" s="738" t="s">
        <v>613</v>
      </c>
      <c r="H1043" s="738" t="s">
        <v>611</v>
      </c>
      <c r="I1043" s="726"/>
      <c r="J1043" s="726"/>
      <c r="K1043" s="726"/>
      <c r="L1043" s="726"/>
    </row>
    <row r="1044" spans="1:12" ht="26" hidden="1">
      <c r="A1044" s="972"/>
      <c r="B1044" s="726"/>
      <c r="C1044" s="745" t="s">
        <v>363</v>
      </c>
      <c r="D1044" s="732" t="s">
        <v>113</v>
      </c>
      <c r="E1044" s="732">
        <v>11</v>
      </c>
      <c r="F1044" s="732">
        <f>[125]Bldg.rates!F30/10</f>
        <v>161</v>
      </c>
      <c r="G1044" s="732">
        <f>ROUND(E1044*F1044,2)</f>
        <v>1771</v>
      </c>
      <c r="H1044" s="732">
        <f>G1044</f>
        <v>1771</v>
      </c>
      <c r="I1044" s="726"/>
      <c r="J1044" s="726"/>
      <c r="K1044" s="726"/>
      <c r="L1044" s="726"/>
    </row>
    <row r="1045" spans="1:12" ht="18" hidden="1" customHeight="1">
      <c r="A1045" s="972"/>
      <c r="B1045" s="726"/>
      <c r="C1045" s="745" t="s">
        <v>114</v>
      </c>
      <c r="D1045" s="732" t="s">
        <v>115</v>
      </c>
      <c r="E1045" s="732">
        <v>21.6</v>
      </c>
      <c r="F1045" s="732">
        <f>F997</f>
        <v>4.6975999999999996</v>
      </c>
      <c r="G1045" s="732">
        <f>ROUND(E1045*F1045,2)</f>
        <v>101.47</v>
      </c>
      <c r="H1045" s="732">
        <f>G1045</f>
        <v>101.47</v>
      </c>
      <c r="I1045" s="726"/>
      <c r="J1045" s="726"/>
      <c r="K1045" s="726"/>
      <c r="L1045" s="726"/>
    </row>
    <row r="1046" spans="1:12" hidden="1">
      <c r="A1046" s="972"/>
      <c r="B1046" s="726"/>
      <c r="C1046" s="745" t="s">
        <v>122</v>
      </c>
      <c r="D1046" s="732" t="s">
        <v>115</v>
      </c>
      <c r="E1046" s="732">
        <v>33</v>
      </c>
      <c r="F1046" s="732">
        <f>F1045</f>
        <v>4.6975999999999996</v>
      </c>
      <c r="G1046" s="732">
        <f>ROUND(E1046*F1046,2)</f>
        <v>155.02000000000001</v>
      </c>
      <c r="H1046" s="732">
        <f>G1046</f>
        <v>155.02000000000001</v>
      </c>
      <c r="I1046" s="726"/>
      <c r="J1046" s="726"/>
      <c r="K1046" s="726"/>
      <c r="L1046" s="726"/>
    </row>
    <row r="1047" spans="1:12" hidden="1">
      <c r="A1047" s="972"/>
      <c r="B1047" s="726"/>
      <c r="C1047" s="745" t="s">
        <v>364</v>
      </c>
      <c r="D1047" s="732" t="s">
        <v>115</v>
      </c>
      <c r="E1047" s="732">
        <v>20</v>
      </c>
      <c r="F1047" s="732">
        <f>F1046</f>
        <v>4.6975999999999996</v>
      </c>
      <c r="G1047" s="732">
        <f>ROUND(E1047*F1047,2)</f>
        <v>93.95</v>
      </c>
      <c r="H1047" s="732">
        <f>G1047</f>
        <v>93.95</v>
      </c>
      <c r="I1047" s="726"/>
      <c r="J1047" s="726"/>
      <c r="K1047" s="726"/>
      <c r="L1047" s="726"/>
    </row>
    <row r="1048" spans="1:12" hidden="1">
      <c r="A1048" s="972"/>
      <c r="B1048" s="726"/>
      <c r="C1048" s="745" t="s">
        <v>116</v>
      </c>
      <c r="D1048" s="732" t="s">
        <v>117</v>
      </c>
      <c r="E1048" s="732">
        <v>0.12</v>
      </c>
      <c r="F1048" s="732">
        <f>F1000</f>
        <v>933.6</v>
      </c>
      <c r="G1048" s="732">
        <f>ROUND(E1048*F1048,2)</f>
        <v>112.03</v>
      </c>
      <c r="H1048" s="732">
        <f>G1048</f>
        <v>112.03</v>
      </c>
      <c r="I1048" s="726"/>
      <c r="J1048" s="726"/>
      <c r="K1048" s="726"/>
      <c r="L1048" s="726"/>
    </row>
    <row r="1049" spans="1:12" hidden="1">
      <c r="A1049" s="972"/>
      <c r="B1049" s="726"/>
      <c r="C1049" s="729" t="s">
        <v>278</v>
      </c>
      <c r="D1049" s="732"/>
      <c r="E1049" s="732"/>
      <c r="F1049" s="734"/>
      <c r="G1049" s="732"/>
      <c r="H1049" s="732"/>
      <c r="I1049" s="726"/>
      <c r="J1049" s="726"/>
      <c r="K1049" s="726"/>
      <c r="L1049" s="726"/>
    </row>
    <row r="1050" spans="1:12" ht="15" hidden="1">
      <c r="A1050" s="972"/>
      <c r="B1050" s="726"/>
      <c r="C1050" s="745" t="s">
        <v>1751</v>
      </c>
      <c r="D1050" s="732" t="s">
        <v>119</v>
      </c>
      <c r="E1050" s="732">
        <v>3.1</v>
      </c>
      <c r="F1050" s="732">
        <f>F1002</f>
        <v>500</v>
      </c>
      <c r="G1050" s="732">
        <f>ROUND(E1050*F1050,2)</f>
        <v>1550</v>
      </c>
      <c r="H1050" s="732">
        <f>G1050</f>
        <v>1550</v>
      </c>
      <c r="I1050" s="726"/>
      <c r="J1050" s="726"/>
      <c r="K1050" s="726"/>
      <c r="L1050" s="726"/>
    </row>
    <row r="1051" spans="1:12" ht="15" hidden="1">
      <c r="A1051" s="972"/>
      <c r="B1051" s="726"/>
      <c r="C1051" s="745" t="s">
        <v>1752</v>
      </c>
      <c r="D1051" s="732" t="s">
        <v>119</v>
      </c>
      <c r="E1051" s="732">
        <v>1.1000000000000001</v>
      </c>
      <c r="F1051" s="732">
        <f>F1003</f>
        <v>460</v>
      </c>
      <c r="G1051" s="732">
        <f>ROUND(E1051*F1051,2)</f>
        <v>506</v>
      </c>
      <c r="H1051" s="732">
        <f>G1051</f>
        <v>506</v>
      </c>
      <c r="I1051" s="726"/>
      <c r="J1051" s="726"/>
      <c r="K1051" s="726"/>
      <c r="L1051" s="726"/>
    </row>
    <row r="1052" spans="1:12" hidden="1">
      <c r="A1052" s="972"/>
      <c r="B1052" s="726"/>
      <c r="C1052" s="745" t="s">
        <v>268</v>
      </c>
      <c r="D1052" s="732" t="s">
        <v>119</v>
      </c>
      <c r="E1052" s="732">
        <v>0.86</v>
      </c>
      <c r="F1052" s="732">
        <f>F1004</f>
        <v>420</v>
      </c>
      <c r="G1052" s="732">
        <f>ROUND(E1052*F1052,2)</f>
        <v>361.2</v>
      </c>
      <c r="H1052" s="732">
        <f>G1052</f>
        <v>361.2</v>
      </c>
      <c r="I1052" s="726"/>
      <c r="J1052" s="726"/>
      <c r="K1052" s="726"/>
      <c r="L1052" s="726"/>
    </row>
    <row r="1053" spans="1:12" ht="13.5" hidden="1" customHeight="1">
      <c r="A1053" s="970"/>
      <c r="B1053" s="733"/>
      <c r="C1053" s="735" t="s">
        <v>615</v>
      </c>
      <c r="D1053" s="737"/>
      <c r="E1053" s="731"/>
      <c r="F1053" s="732"/>
      <c r="G1053" s="755"/>
      <c r="H1053" s="755">
        <f>SUM(H1050:H1052)*10/100</f>
        <v>241.72</v>
      </c>
      <c r="I1053" s="726"/>
      <c r="J1053" s="726"/>
      <c r="K1053" s="726"/>
      <c r="L1053" s="726"/>
    </row>
    <row r="1054" spans="1:12" ht="13.5" hidden="1" customHeight="1">
      <c r="A1054" s="970"/>
      <c r="B1054" s="733"/>
      <c r="C1054" s="756" t="s">
        <v>592</v>
      </c>
      <c r="D1054" s="737">
        <f>D1</f>
        <v>0</v>
      </c>
      <c r="E1054" s="731"/>
      <c r="F1054" s="732"/>
      <c r="G1054" s="755">
        <f>D1054*SUM(G1050:G1052)</f>
        <v>0</v>
      </c>
      <c r="H1054" s="755">
        <f>D1054*SUM(H1050:H1053)</f>
        <v>0</v>
      </c>
      <c r="I1054" s="726"/>
      <c r="J1054" s="726"/>
      <c r="K1054" s="726"/>
      <c r="L1054" s="726"/>
    </row>
    <row r="1055" spans="1:12" hidden="1">
      <c r="A1055" s="972"/>
      <c r="B1055" s="726"/>
      <c r="C1055" s="745" t="s">
        <v>478</v>
      </c>
      <c r="D1055" s="732"/>
      <c r="E1055" s="732"/>
      <c r="F1055" s="732"/>
      <c r="G1055" s="731"/>
      <c r="H1055" s="732"/>
      <c r="I1055" s="726"/>
      <c r="J1055" s="726"/>
      <c r="K1055" s="726"/>
      <c r="L1055" s="726"/>
    </row>
    <row r="1056" spans="1:12" hidden="1">
      <c r="A1056" s="972"/>
      <c r="B1056" s="726"/>
      <c r="C1056" s="729" t="s">
        <v>120</v>
      </c>
      <c r="D1056" s="732"/>
      <c r="E1056" s="732"/>
      <c r="F1056" s="732"/>
      <c r="G1056" s="794">
        <f>SUM(G1044:G1055)</f>
        <v>4650.67</v>
      </c>
      <c r="H1056" s="794">
        <f>SUM(H1044:H1055)</f>
        <v>4892.3900000000003</v>
      </c>
      <c r="I1056" s="726"/>
      <c r="J1056" s="726"/>
      <c r="K1056" s="726"/>
      <c r="L1056" s="726"/>
    </row>
    <row r="1057" spans="1:12" s="882" customFormat="1" hidden="1">
      <c r="A1057" s="983"/>
      <c r="B1057" s="808"/>
      <c r="C1057" s="729" t="s">
        <v>479</v>
      </c>
      <c r="D1057" s="734"/>
      <c r="E1057" s="734"/>
      <c r="F1057" s="734"/>
      <c r="G1057" s="794">
        <f>ROUND(G1056/10,2)</f>
        <v>465.07</v>
      </c>
      <c r="H1057" s="794">
        <f>ROUND(H1056/10,2)</f>
        <v>489.24</v>
      </c>
      <c r="I1057" s="808"/>
      <c r="J1057" s="808"/>
      <c r="K1057" s="808"/>
      <c r="L1057" s="808"/>
    </row>
    <row r="1058" spans="1:12" s="882" customFormat="1" ht="26" hidden="1">
      <c r="A1058" s="983"/>
      <c r="B1058" s="808"/>
      <c r="C1058" s="746" t="s">
        <v>578</v>
      </c>
      <c r="D1058" s="734"/>
      <c r="E1058" s="734"/>
      <c r="F1058" s="734"/>
      <c r="G1058" s="734">
        <f>G1057*0</f>
        <v>0</v>
      </c>
      <c r="H1058" s="734">
        <f>H1057*0</f>
        <v>0</v>
      </c>
      <c r="I1058" s="808"/>
      <c r="J1058" s="808"/>
      <c r="K1058" s="808"/>
      <c r="L1058" s="808"/>
    </row>
    <row r="1059" spans="1:12" s="882" customFormat="1" hidden="1">
      <c r="A1059" s="983"/>
      <c r="B1059" s="808"/>
      <c r="C1059" s="729"/>
      <c r="D1059" s="734"/>
      <c r="E1059" s="734"/>
      <c r="F1059" s="734"/>
      <c r="G1059" s="734">
        <f>SUM(G1057:G1058)</f>
        <v>465.07</v>
      </c>
      <c r="H1059" s="734">
        <f>SUM(H1057:H1058)</f>
        <v>489.24</v>
      </c>
      <c r="I1059" s="808"/>
      <c r="J1059" s="808"/>
      <c r="K1059" s="808"/>
      <c r="L1059" s="808"/>
    </row>
    <row r="1060" spans="1:12" ht="84" hidden="1" customHeight="1">
      <c r="A1060" s="971" t="s">
        <v>104</v>
      </c>
      <c r="B1060" s="752"/>
      <c r="C1060" s="2043" t="s">
        <v>25</v>
      </c>
      <c r="D1060" s="2043"/>
      <c r="E1060" s="2043"/>
      <c r="F1060" s="2043"/>
      <c r="G1060" s="736"/>
      <c r="H1060" s="796"/>
      <c r="I1060" s="726"/>
      <c r="J1060" s="726"/>
      <c r="K1060" s="726"/>
      <c r="L1060" s="726"/>
    </row>
    <row r="1061" spans="1:12" hidden="1">
      <c r="A1061" s="972"/>
      <c r="B1061" s="752"/>
      <c r="C1061" s="753" t="s">
        <v>23</v>
      </c>
      <c r="D1061" s="736"/>
      <c r="E1061" s="736"/>
      <c r="F1061" s="736"/>
      <c r="G1061" s="736"/>
      <c r="H1061" s="796"/>
      <c r="I1061" s="726"/>
      <c r="J1061" s="726"/>
      <c r="K1061" s="726"/>
      <c r="L1061" s="726"/>
    </row>
    <row r="1062" spans="1:12" hidden="1">
      <c r="A1062" s="972"/>
      <c r="B1062" s="752"/>
      <c r="C1062" s="753" t="s">
        <v>24</v>
      </c>
      <c r="D1062" s="736"/>
      <c r="E1062" s="736"/>
      <c r="F1062" s="736"/>
      <c r="G1062" s="738" t="s">
        <v>613</v>
      </c>
      <c r="H1062" s="738" t="s">
        <v>611</v>
      </c>
      <c r="I1062" s="726"/>
      <c r="J1062" s="726"/>
      <c r="K1062" s="726"/>
      <c r="L1062" s="726"/>
    </row>
    <row r="1063" spans="1:12" ht="26" hidden="1">
      <c r="A1063" s="972"/>
      <c r="B1063" s="752"/>
      <c r="C1063" s="1482" t="s">
        <v>112</v>
      </c>
      <c r="D1063" s="736" t="s">
        <v>113</v>
      </c>
      <c r="E1063" s="736">
        <v>10.5</v>
      </c>
      <c r="F1063" s="736">
        <f>[125]Bldg.rates!F32</f>
        <v>96</v>
      </c>
      <c r="G1063" s="732">
        <f>ROUND(E1063*F1063,2)</f>
        <v>1008</v>
      </c>
      <c r="H1063" s="736">
        <f>G1063</f>
        <v>1008</v>
      </c>
      <c r="I1063" s="726"/>
      <c r="J1063" s="726"/>
      <c r="K1063" s="726"/>
      <c r="L1063" s="726"/>
    </row>
    <row r="1064" spans="1:12" ht="26" hidden="1">
      <c r="A1064" s="972"/>
      <c r="B1064" s="752"/>
      <c r="C1064" s="1482" t="s">
        <v>114</v>
      </c>
      <c r="D1064" s="736" t="s">
        <v>115</v>
      </c>
      <c r="E1064" s="736">
        <v>21.6</v>
      </c>
      <c r="F1064" s="736">
        <f>F1047</f>
        <v>4.6975999999999996</v>
      </c>
      <c r="G1064" s="732">
        <f>ROUND(E1064*F1064,2)</f>
        <v>101.47</v>
      </c>
      <c r="H1064" s="736">
        <f>G1064</f>
        <v>101.47</v>
      </c>
      <c r="I1064" s="726"/>
      <c r="J1064" s="726"/>
      <c r="K1064" s="726"/>
      <c r="L1064" s="726"/>
    </row>
    <row r="1065" spans="1:12" ht="26" hidden="1">
      <c r="A1065" s="972"/>
      <c r="B1065" s="752"/>
      <c r="C1065" s="1482" t="s">
        <v>405</v>
      </c>
      <c r="D1065" s="736" t="s">
        <v>115</v>
      </c>
      <c r="E1065" s="736">
        <v>9.6</v>
      </c>
      <c r="F1065" s="736">
        <f>F1064</f>
        <v>4.6975999999999996</v>
      </c>
      <c r="G1065" s="732">
        <f>ROUND(E1065*F1065,2)</f>
        <v>45.1</v>
      </c>
      <c r="H1065" s="736">
        <f>G1065</f>
        <v>45.1</v>
      </c>
      <c r="I1065" s="726"/>
      <c r="J1065" s="726"/>
      <c r="K1065" s="726"/>
      <c r="L1065" s="726"/>
    </row>
    <row r="1066" spans="1:12" hidden="1">
      <c r="A1066" s="972"/>
      <c r="B1066" s="752"/>
      <c r="C1066" s="1482" t="s">
        <v>116</v>
      </c>
      <c r="D1066" s="736" t="s">
        <v>117</v>
      </c>
      <c r="E1066" s="736">
        <v>0.12</v>
      </c>
      <c r="F1066" s="736">
        <f>F1048</f>
        <v>933.6</v>
      </c>
      <c r="G1066" s="732">
        <f>ROUND(E1066*F1066,2)</f>
        <v>112.03</v>
      </c>
      <c r="H1066" s="736">
        <f>G1066</f>
        <v>112.03</v>
      </c>
      <c r="I1066" s="726"/>
      <c r="J1066" s="726"/>
      <c r="K1066" s="726"/>
      <c r="L1066" s="726"/>
    </row>
    <row r="1067" spans="1:12" hidden="1">
      <c r="A1067" s="972"/>
      <c r="B1067" s="752"/>
      <c r="C1067" s="1482" t="s">
        <v>118</v>
      </c>
      <c r="D1067" s="736" t="s">
        <v>117</v>
      </c>
      <c r="E1067" s="736">
        <v>0.02</v>
      </c>
      <c r="F1067" s="736">
        <f>F1066</f>
        <v>933.6</v>
      </c>
      <c r="G1067" s="732">
        <f>ROUND(E1067*F1067,2)</f>
        <v>18.670000000000002</v>
      </c>
      <c r="H1067" s="736">
        <f>G1067</f>
        <v>18.670000000000002</v>
      </c>
      <c r="I1067" s="726"/>
      <c r="J1067" s="726"/>
      <c r="K1067" s="726"/>
      <c r="L1067" s="726"/>
    </row>
    <row r="1068" spans="1:12" hidden="1">
      <c r="A1068" s="972"/>
      <c r="B1068" s="752"/>
      <c r="C1068" s="811" t="s">
        <v>278</v>
      </c>
      <c r="D1068" s="812"/>
      <c r="E1068" s="736"/>
      <c r="F1068" s="732"/>
      <c r="G1068" s="732"/>
      <c r="H1068" s="736"/>
      <c r="I1068" s="726"/>
      <c r="J1068" s="726"/>
      <c r="K1068" s="726"/>
      <c r="L1068" s="726"/>
    </row>
    <row r="1069" spans="1:12" ht="15" hidden="1">
      <c r="A1069" s="972"/>
      <c r="B1069" s="752"/>
      <c r="C1069" s="812" t="s">
        <v>1751</v>
      </c>
      <c r="D1069" s="812" t="s">
        <v>119</v>
      </c>
      <c r="E1069" s="736">
        <v>0.96</v>
      </c>
      <c r="F1069" s="732">
        <f>F1050</f>
        <v>500</v>
      </c>
      <c r="G1069" s="732">
        <f>ROUND(E1069*F1069,2)</f>
        <v>480</v>
      </c>
      <c r="H1069" s="736">
        <f>G1069</f>
        <v>480</v>
      </c>
      <c r="I1069" s="726"/>
      <c r="J1069" s="726"/>
      <c r="K1069" s="726"/>
      <c r="L1069" s="726"/>
    </row>
    <row r="1070" spans="1:12" ht="15" hidden="1">
      <c r="A1070" s="972"/>
      <c r="B1070" s="752"/>
      <c r="C1070" s="812" t="s">
        <v>1752</v>
      </c>
      <c r="D1070" s="812" t="s">
        <v>119</v>
      </c>
      <c r="E1070" s="736">
        <v>2.2400000000000002</v>
      </c>
      <c r="F1070" s="732">
        <f>F1051</f>
        <v>460</v>
      </c>
      <c r="G1070" s="732">
        <f>ROUND(E1070*F1070,2)</f>
        <v>1030.4000000000001</v>
      </c>
      <c r="H1070" s="736">
        <f>G1070</f>
        <v>1030.4000000000001</v>
      </c>
      <c r="I1070" s="726"/>
      <c r="J1070" s="726"/>
      <c r="K1070" s="726"/>
      <c r="L1070" s="726"/>
    </row>
    <row r="1071" spans="1:12" hidden="1">
      <c r="A1071" s="972"/>
      <c r="B1071" s="752"/>
      <c r="C1071" s="812" t="s">
        <v>268</v>
      </c>
      <c r="D1071" s="812" t="s">
        <v>119</v>
      </c>
      <c r="E1071" s="736">
        <v>3.3</v>
      </c>
      <c r="F1071" s="732">
        <f>F1052</f>
        <v>420</v>
      </c>
      <c r="G1071" s="732">
        <f>ROUND(E1071*F1071,2)</f>
        <v>1386</v>
      </c>
      <c r="H1071" s="736">
        <f>G1071</f>
        <v>1386</v>
      </c>
      <c r="I1071" s="726"/>
      <c r="J1071" s="726"/>
      <c r="K1071" s="726"/>
      <c r="L1071" s="726"/>
    </row>
    <row r="1072" spans="1:12" ht="13.5" hidden="1" customHeight="1">
      <c r="A1072" s="970"/>
      <c r="B1072" s="733"/>
      <c r="C1072" s="735" t="s">
        <v>615</v>
      </c>
      <c r="D1072" s="737"/>
      <c r="E1072" s="731"/>
      <c r="F1072" s="732"/>
      <c r="G1072" s="755"/>
      <c r="H1072" s="755">
        <f>SUM(H1069:H1071)*10/100</f>
        <v>289.64</v>
      </c>
      <c r="I1072" s="726"/>
      <c r="J1072" s="726"/>
      <c r="K1072" s="726"/>
      <c r="L1072" s="726"/>
    </row>
    <row r="1073" spans="1:12" ht="13.5" hidden="1" customHeight="1">
      <c r="A1073" s="970"/>
      <c r="B1073" s="733"/>
      <c r="C1073" s="756" t="s">
        <v>592</v>
      </c>
      <c r="D1073" s="737">
        <f>D1054</f>
        <v>0</v>
      </c>
      <c r="E1073" s="731"/>
      <c r="F1073" s="732"/>
      <c r="G1073" s="755">
        <f>D1073*SUM(G1069:G1071)</f>
        <v>0</v>
      </c>
      <c r="H1073" s="755">
        <f>D1073*SUM(H1069:H1072)</f>
        <v>0</v>
      </c>
      <c r="I1073" s="726"/>
      <c r="J1073" s="726"/>
      <c r="K1073" s="726"/>
      <c r="L1073" s="726"/>
    </row>
    <row r="1074" spans="1:12" hidden="1">
      <c r="A1074" s="972"/>
      <c r="B1074" s="752"/>
      <c r="C1074" s="812" t="s">
        <v>488</v>
      </c>
      <c r="D1074" s="736"/>
      <c r="E1074" s="736"/>
      <c r="F1074" s="736"/>
      <c r="G1074" s="734">
        <f>SUM(G1063:G1073)</f>
        <v>4181.67</v>
      </c>
      <c r="H1074" s="734">
        <f>SUM(H1063:H1073)</f>
        <v>4471.3100000000004</v>
      </c>
      <c r="I1074" s="726"/>
      <c r="J1074" s="726"/>
      <c r="K1074" s="726"/>
      <c r="L1074" s="726"/>
    </row>
    <row r="1075" spans="1:12" s="882" customFormat="1" hidden="1">
      <c r="A1075" s="983"/>
      <c r="B1075" s="808"/>
      <c r="C1075" s="729" t="s">
        <v>479</v>
      </c>
      <c r="D1075" s="734"/>
      <c r="E1075" s="734"/>
      <c r="F1075" s="734"/>
      <c r="G1075" s="794">
        <f>ROUND(G1074/10,2)</f>
        <v>418.17</v>
      </c>
      <c r="H1075" s="794">
        <f>ROUND(H1074/10,2)</f>
        <v>447.13</v>
      </c>
      <c r="I1075" s="808"/>
      <c r="J1075" s="808"/>
      <c r="K1075" s="808"/>
      <c r="L1075" s="808"/>
    </row>
    <row r="1076" spans="1:12" s="882" customFormat="1" ht="26" hidden="1">
      <c r="A1076" s="983"/>
      <c r="B1076" s="808"/>
      <c r="C1076" s="746" t="s">
        <v>578</v>
      </c>
      <c r="D1076" s="734"/>
      <c r="E1076" s="734"/>
      <c r="F1076" s="734"/>
      <c r="G1076" s="734">
        <f>G1075*0</f>
        <v>0</v>
      </c>
      <c r="H1076" s="734">
        <f>H1075*0</f>
        <v>0</v>
      </c>
      <c r="I1076" s="808"/>
      <c r="J1076" s="808"/>
      <c r="K1076" s="808"/>
      <c r="L1076" s="808"/>
    </row>
    <row r="1077" spans="1:12" s="882" customFormat="1" hidden="1">
      <c r="A1077" s="983"/>
      <c r="B1077" s="808"/>
      <c r="C1077" s="729"/>
      <c r="D1077" s="734"/>
      <c r="E1077" s="734"/>
      <c r="F1077" s="734"/>
      <c r="G1077" s="734">
        <f>SUM(G1075:G1076)</f>
        <v>418.17</v>
      </c>
      <c r="H1077" s="734">
        <f>SUM(H1075:H1076)</f>
        <v>447.13</v>
      </c>
      <c r="I1077" s="808"/>
      <c r="J1077" s="808"/>
      <c r="K1077" s="808"/>
      <c r="L1077" s="808"/>
    </row>
    <row r="1078" spans="1:12" ht="104.25" hidden="1" customHeight="1">
      <c r="A1078" s="967" t="s">
        <v>365</v>
      </c>
      <c r="B1078" s="746">
        <v>30</v>
      </c>
      <c r="C1078" s="2021" t="s">
        <v>394</v>
      </c>
      <c r="D1078" s="2041"/>
      <c r="E1078" s="2041"/>
      <c r="F1078" s="2041"/>
      <c r="G1078" s="738" t="s">
        <v>613</v>
      </c>
      <c r="H1078" s="738" t="s">
        <v>611</v>
      </c>
      <c r="I1078" s="726"/>
      <c r="J1078" s="726"/>
      <c r="K1078" s="726"/>
      <c r="L1078" s="726"/>
    </row>
    <row r="1079" spans="1:12" hidden="1">
      <c r="A1079" s="972"/>
      <c r="B1079" s="726"/>
      <c r="C1079" s="813" t="s">
        <v>366</v>
      </c>
      <c r="D1079" s="730" t="s">
        <v>184</v>
      </c>
      <c r="E1079" s="778">
        <v>10.5</v>
      </c>
      <c r="F1079" s="883">
        <f>[125]Bldg.rates!F40</f>
        <v>422</v>
      </c>
      <c r="G1079" s="732">
        <f>ROUND(E1079*F1079,2)</f>
        <v>4431</v>
      </c>
      <c r="H1079" s="755">
        <f>G1079</f>
        <v>4431</v>
      </c>
      <c r="I1079" s="726"/>
      <c r="J1079" s="726"/>
      <c r="K1079" s="726"/>
      <c r="L1079" s="726"/>
    </row>
    <row r="1080" spans="1:12" hidden="1">
      <c r="A1080" s="972"/>
      <c r="B1080" s="726"/>
      <c r="C1080" s="813" t="s">
        <v>367</v>
      </c>
      <c r="D1080" s="730" t="s">
        <v>207</v>
      </c>
      <c r="E1080" s="778">
        <v>2</v>
      </c>
      <c r="F1080" s="883">
        <f>F999</f>
        <v>27</v>
      </c>
      <c r="G1080" s="732">
        <f>ROUND(E1080*F1080,2)</f>
        <v>54</v>
      </c>
      <c r="H1080" s="755">
        <f>G1080</f>
        <v>54</v>
      </c>
      <c r="I1080" s="726"/>
      <c r="J1080" s="726"/>
      <c r="K1080" s="726"/>
      <c r="L1080" s="726"/>
    </row>
    <row r="1081" spans="1:12" hidden="1">
      <c r="A1081" s="972"/>
      <c r="B1081" s="726"/>
      <c r="C1081" s="813" t="s">
        <v>369</v>
      </c>
      <c r="D1081" s="730" t="s">
        <v>182</v>
      </c>
      <c r="E1081" s="778">
        <v>33</v>
      </c>
      <c r="F1081" s="883">
        <f>F1047</f>
        <v>4.6975999999999996</v>
      </c>
      <c r="G1081" s="732">
        <f>ROUND(E1081*F1081,2)</f>
        <v>155.02000000000001</v>
      </c>
      <c r="H1081" s="755">
        <f>G1081</f>
        <v>155.02000000000001</v>
      </c>
      <c r="I1081" s="726"/>
      <c r="J1081" s="726"/>
      <c r="K1081" s="726"/>
      <c r="L1081" s="726"/>
    </row>
    <row r="1082" spans="1:12" hidden="1">
      <c r="A1082" s="972"/>
      <c r="B1082" s="726"/>
      <c r="C1082" s="813" t="s">
        <v>370</v>
      </c>
      <c r="D1082" s="730" t="s">
        <v>182</v>
      </c>
      <c r="E1082" s="778">
        <v>34.56</v>
      </c>
      <c r="F1082" s="883">
        <f>F1047</f>
        <v>4.6975999999999996</v>
      </c>
      <c r="G1082" s="732">
        <f>ROUND(E1082*F1082,2)</f>
        <v>162.35</v>
      </c>
      <c r="H1082" s="755">
        <f>G1082</f>
        <v>162.35</v>
      </c>
      <c r="I1082" s="726"/>
      <c r="J1082" s="726"/>
      <c r="K1082" s="726"/>
      <c r="L1082" s="726"/>
    </row>
    <row r="1083" spans="1:12" hidden="1">
      <c r="A1083" s="972"/>
      <c r="B1083" s="726"/>
      <c r="C1083" s="813" t="s">
        <v>347</v>
      </c>
      <c r="D1083" s="730" t="s">
        <v>181</v>
      </c>
      <c r="E1083" s="778">
        <v>0.12</v>
      </c>
      <c r="F1083" s="883">
        <f>F1048</f>
        <v>933.6</v>
      </c>
      <c r="G1083" s="732">
        <f>ROUND(E1083*F1083,2)</f>
        <v>112.03</v>
      </c>
      <c r="H1083" s="755">
        <f>G1083</f>
        <v>112.03</v>
      </c>
      <c r="I1083" s="726"/>
      <c r="J1083" s="726"/>
      <c r="K1083" s="726"/>
      <c r="L1083" s="726"/>
    </row>
    <row r="1084" spans="1:12" hidden="1">
      <c r="A1084" s="972"/>
      <c r="B1084" s="726"/>
      <c r="C1084" s="746" t="s">
        <v>210</v>
      </c>
      <c r="D1084" s="730"/>
      <c r="E1084" s="778"/>
      <c r="F1084" s="883"/>
      <c r="G1084" s="732"/>
      <c r="H1084" s="755"/>
      <c r="I1084" s="726"/>
      <c r="J1084" s="726"/>
      <c r="K1084" s="726"/>
      <c r="L1084" s="726"/>
    </row>
    <row r="1085" spans="1:12" hidden="1">
      <c r="A1085" s="972"/>
      <c r="B1085" s="726"/>
      <c r="C1085" s="813" t="s">
        <v>371</v>
      </c>
      <c r="D1085" s="730" t="s">
        <v>217</v>
      </c>
      <c r="E1085" s="778">
        <v>0.96</v>
      </c>
      <c r="F1085" s="883">
        <f>F1050</f>
        <v>500</v>
      </c>
      <c r="G1085" s="732">
        <f>ROUND(E1085*F1085,2)</f>
        <v>480</v>
      </c>
      <c r="H1085" s="755">
        <f>G1085</f>
        <v>480</v>
      </c>
      <c r="I1085" s="726"/>
      <c r="J1085" s="726"/>
      <c r="K1085" s="726"/>
      <c r="L1085" s="726"/>
    </row>
    <row r="1086" spans="1:12" hidden="1">
      <c r="A1086" s="972"/>
      <c r="B1086" s="726"/>
      <c r="C1086" s="813" t="s">
        <v>372</v>
      </c>
      <c r="D1086" s="730" t="s">
        <v>217</v>
      </c>
      <c r="E1086" s="778">
        <v>2.2400000000000002</v>
      </c>
      <c r="F1086" s="883">
        <f>F1051</f>
        <v>460</v>
      </c>
      <c r="G1086" s="732">
        <f>ROUND(E1086*F1086,2)</f>
        <v>1030.4000000000001</v>
      </c>
      <c r="H1086" s="755">
        <f>G1086</f>
        <v>1030.4000000000001</v>
      </c>
      <c r="I1086" s="726"/>
      <c r="J1086" s="726"/>
      <c r="K1086" s="726"/>
      <c r="L1086" s="726"/>
    </row>
    <row r="1087" spans="1:12" hidden="1">
      <c r="A1087" s="972"/>
      <c r="B1087" s="726"/>
      <c r="C1087" s="813" t="s">
        <v>373</v>
      </c>
      <c r="D1087" s="730" t="s">
        <v>217</v>
      </c>
      <c r="E1087" s="778">
        <v>3.3</v>
      </c>
      <c r="F1087" s="883">
        <f>F1052</f>
        <v>420</v>
      </c>
      <c r="G1087" s="732">
        <f>ROUND(E1087*F1087,2)</f>
        <v>1386</v>
      </c>
      <c r="H1087" s="755">
        <f>G1087</f>
        <v>1386</v>
      </c>
      <c r="I1087" s="726"/>
      <c r="J1087" s="726"/>
      <c r="K1087" s="726"/>
      <c r="L1087" s="726"/>
    </row>
    <row r="1088" spans="1:12" ht="13.5" hidden="1" customHeight="1">
      <c r="A1088" s="970"/>
      <c r="B1088" s="733"/>
      <c r="C1088" s="735" t="s">
        <v>615</v>
      </c>
      <c r="D1088" s="737"/>
      <c r="E1088" s="731"/>
      <c r="F1088" s="732"/>
      <c r="G1088" s="755"/>
      <c r="H1088" s="755">
        <f>SUM(H1085:H1087)*10/100</f>
        <v>289.64</v>
      </c>
      <c r="I1088" s="726"/>
      <c r="J1088" s="726"/>
      <c r="K1088" s="726"/>
      <c r="L1088" s="726"/>
    </row>
    <row r="1089" spans="1:12" ht="13.5" hidden="1" customHeight="1">
      <c r="A1089" s="970"/>
      <c r="B1089" s="733"/>
      <c r="C1089" s="756" t="s">
        <v>592</v>
      </c>
      <c r="D1089" s="737">
        <f>D1073</f>
        <v>0</v>
      </c>
      <c r="E1089" s="731"/>
      <c r="F1089" s="732"/>
      <c r="G1089" s="755">
        <f>D1089*SUM(G1085:G1087)</f>
        <v>0</v>
      </c>
      <c r="H1089" s="755">
        <f>D1089*SUM(H1085:H1088)</f>
        <v>0</v>
      </c>
      <c r="I1089" s="726"/>
      <c r="J1089" s="726"/>
      <c r="K1089" s="726"/>
      <c r="L1089" s="726"/>
    </row>
    <row r="1090" spans="1:12" hidden="1">
      <c r="A1090" s="972"/>
      <c r="B1090" s="726"/>
      <c r="C1090" s="813" t="s">
        <v>374</v>
      </c>
      <c r="D1090" s="730"/>
      <c r="E1090" s="778"/>
      <c r="F1090" s="883"/>
      <c r="G1090" s="732"/>
      <c r="H1090" s="755"/>
      <c r="I1090" s="726"/>
      <c r="J1090" s="726"/>
      <c r="K1090" s="726"/>
      <c r="L1090" s="726"/>
    </row>
    <row r="1091" spans="1:12" hidden="1">
      <c r="A1091" s="972"/>
      <c r="B1091" s="726"/>
      <c r="C1091" s="729" t="s">
        <v>120</v>
      </c>
      <c r="D1091" s="752"/>
      <c r="E1091" s="752" t="s">
        <v>522</v>
      </c>
      <c r="F1091" s="752"/>
      <c r="G1091" s="794">
        <f>SUM(G1079:G1090)</f>
        <v>7810.8000000000011</v>
      </c>
      <c r="H1091" s="794">
        <f>SUM(H1079:H1090)</f>
        <v>8100.4400000000014</v>
      </c>
      <c r="I1091" s="726"/>
      <c r="J1091" s="726"/>
      <c r="K1091" s="726"/>
      <c r="L1091" s="726"/>
    </row>
    <row r="1092" spans="1:12" hidden="1">
      <c r="A1092" s="972"/>
      <c r="B1092" s="726"/>
      <c r="C1092" s="729" t="s">
        <v>479</v>
      </c>
      <c r="D1092" s="732"/>
      <c r="E1092" s="732"/>
      <c r="F1092" s="732"/>
      <c r="G1092" s="794">
        <f>ROUND(G1091/10,2)</f>
        <v>781.08</v>
      </c>
      <c r="H1092" s="794">
        <f>ROUND(H1091/10,2)</f>
        <v>810.04</v>
      </c>
      <c r="I1092" s="726"/>
      <c r="J1092" s="726"/>
      <c r="K1092" s="726"/>
      <c r="L1092" s="726"/>
    </row>
    <row r="1093" spans="1:12" ht="26" hidden="1">
      <c r="A1093" s="972"/>
      <c r="B1093" s="726"/>
      <c r="C1093" s="746" t="s">
        <v>578</v>
      </c>
      <c r="D1093" s="732"/>
      <c r="E1093" s="732"/>
      <c r="F1093" s="732"/>
      <c r="G1093" s="734">
        <f>G1092*0</f>
        <v>0</v>
      </c>
      <c r="H1093" s="734">
        <f>H1092*0</f>
        <v>0</v>
      </c>
      <c r="I1093" s="726"/>
      <c r="J1093" s="726"/>
      <c r="K1093" s="726"/>
      <c r="L1093" s="726"/>
    </row>
    <row r="1094" spans="1:12" hidden="1">
      <c r="A1094" s="972"/>
      <c r="B1094" s="726"/>
      <c r="C1094" s="729"/>
      <c r="D1094" s="732"/>
      <c r="E1094" s="732"/>
      <c r="F1094" s="732"/>
      <c r="G1094" s="734">
        <f>SUM(G1092:G1093)</f>
        <v>781.08</v>
      </c>
      <c r="H1094" s="734">
        <f>SUM(H1092:H1093)</f>
        <v>810.04</v>
      </c>
      <c r="I1094" s="726"/>
      <c r="J1094" s="726"/>
      <c r="K1094" s="726"/>
      <c r="L1094" s="726"/>
    </row>
    <row r="1095" spans="1:12" ht="91.5" hidden="1" customHeight="1">
      <c r="A1095" s="967" t="s">
        <v>375</v>
      </c>
      <c r="B1095" s="748">
        <v>31</v>
      </c>
      <c r="C1095" s="2021" t="s">
        <v>395</v>
      </c>
      <c r="D1095" s="2041"/>
      <c r="E1095" s="2041"/>
      <c r="F1095" s="2041"/>
      <c r="G1095" s="730"/>
      <c r="H1095" s="726"/>
      <c r="I1095" s="726"/>
      <c r="J1095" s="726"/>
      <c r="K1095" s="726"/>
      <c r="L1095" s="726"/>
    </row>
    <row r="1096" spans="1:12" hidden="1">
      <c r="A1096" s="981"/>
      <c r="B1096" s="726"/>
      <c r="C1096" s="753" t="s">
        <v>23</v>
      </c>
      <c r="D1096" s="847"/>
      <c r="E1096" s="847"/>
      <c r="F1096" s="848"/>
      <c r="G1096" s="846"/>
      <c r="H1096" s="726"/>
      <c r="I1096" s="726"/>
      <c r="J1096" s="726"/>
      <c r="K1096" s="726"/>
      <c r="L1096" s="726"/>
    </row>
    <row r="1097" spans="1:12" ht="12.75" hidden="1" customHeight="1">
      <c r="A1097" s="981"/>
      <c r="B1097" s="726"/>
      <c r="C1097" s="753" t="s">
        <v>24</v>
      </c>
      <c r="D1097" s="847"/>
      <c r="E1097" s="847"/>
      <c r="F1097" s="848"/>
      <c r="G1097" s="738" t="s">
        <v>613</v>
      </c>
      <c r="H1097" s="738" t="s">
        <v>611</v>
      </c>
      <c r="I1097" s="726"/>
      <c r="J1097" s="726"/>
      <c r="K1097" s="726"/>
      <c r="L1097" s="726"/>
    </row>
    <row r="1098" spans="1:12" ht="12.75" hidden="1" customHeight="1">
      <c r="A1098" s="981"/>
      <c r="B1098" s="726"/>
      <c r="C1098" s="796" t="s">
        <v>376</v>
      </c>
      <c r="D1098" s="730" t="s">
        <v>113</v>
      </c>
      <c r="E1098" s="736">
        <v>11</v>
      </c>
      <c r="F1098" s="736">
        <f>F1044</f>
        <v>161</v>
      </c>
      <c r="G1098" s="778">
        <f>E1098*F1098</f>
        <v>1771</v>
      </c>
      <c r="H1098" s="757">
        <f>G1098</f>
        <v>1771</v>
      </c>
      <c r="I1098" s="726"/>
      <c r="J1098" s="726"/>
      <c r="K1098" s="726"/>
      <c r="L1098" s="726"/>
    </row>
    <row r="1099" spans="1:12" hidden="1">
      <c r="A1099" s="981"/>
      <c r="B1099" s="726"/>
      <c r="C1099" s="796" t="s">
        <v>377</v>
      </c>
      <c r="D1099" s="730" t="s">
        <v>117</v>
      </c>
      <c r="E1099" s="736">
        <v>0.12</v>
      </c>
      <c r="F1099" s="736">
        <f>F1048</f>
        <v>933.6</v>
      </c>
      <c r="G1099" s="778">
        <f>E1099*F1099</f>
        <v>112.032</v>
      </c>
      <c r="H1099" s="757">
        <f>G1099</f>
        <v>112.032</v>
      </c>
      <c r="I1099" s="726"/>
      <c r="J1099" s="726"/>
      <c r="K1099" s="726"/>
      <c r="L1099" s="726"/>
    </row>
    <row r="1100" spans="1:12" hidden="1">
      <c r="A1100" s="981"/>
      <c r="B1100" s="726"/>
      <c r="C1100" s="796" t="s">
        <v>378</v>
      </c>
      <c r="D1100" s="730" t="s">
        <v>379</v>
      </c>
      <c r="E1100" s="736">
        <v>34.56</v>
      </c>
      <c r="F1100" s="736">
        <f>F1082</f>
        <v>4.6975999999999996</v>
      </c>
      <c r="G1100" s="778">
        <f>E1100*F1100</f>
        <v>162.34905599999999</v>
      </c>
      <c r="H1100" s="757">
        <f>G1100</f>
        <v>162.34905599999999</v>
      </c>
      <c r="I1100" s="726"/>
      <c r="J1100" s="726"/>
      <c r="K1100" s="726"/>
      <c r="L1100" s="726"/>
    </row>
    <row r="1101" spans="1:12" hidden="1">
      <c r="A1101" s="981"/>
      <c r="B1101" s="726"/>
      <c r="C1101" s="796" t="s">
        <v>380</v>
      </c>
      <c r="D1101" s="730" t="s">
        <v>379</v>
      </c>
      <c r="E1101" s="736">
        <v>33</v>
      </c>
      <c r="F1101" s="736">
        <f>F1082</f>
        <v>4.6975999999999996</v>
      </c>
      <c r="G1101" s="778">
        <f>E1101*F1101</f>
        <v>155.02079999999998</v>
      </c>
      <c r="H1101" s="757">
        <f>G1101</f>
        <v>155.02079999999998</v>
      </c>
      <c r="I1101" s="726"/>
      <c r="J1101" s="726"/>
      <c r="K1101" s="726"/>
      <c r="L1101" s="726"/>
    </row>
    <row r="1102" spans="1:12" hidden="1">
      <c r="A1102" s="981"/>
      <c r="B1102" s="726"/>
      <c r="C1102" s="753" t="s">
        <v>128</v>
      </c>
      <c r="D1102" s="736"/>
      <c r="E1102" s="736"/>
      <c r="F1102" s="736"/>
      <c r="G1102" s="730"/>
      <c r="H1102" s="757"/>
      <c r="I1102" s="2021"/>
      <c r="J1102" s="2041"/>
      <c r="K1102" s="2041"/>
      <c r="L1102" s="2041"/>
    </row>
    <row r="1103" spans="1:12" hidden="1">
      <c r="A1103" s="981"/>
      <c r="B1103" s="726"/>
      <c r="C1103" s="796" t="s">
        <v>381</v>
      </c>
      <c r="D1103" s="730" t="s">
        <v>119</v>
      </c>
      <c r="E1103" s="736">
        <v>0.96</v>
      </c>
      <c r="F1103" s="736">
        <f>F1085</f>
        <v>500</v>
      </c>
      <c r="G1103" s="778">
        <f>E1103*F1103</f>
        <v>480</v>
      </c>
      <c r="H1103" s="757">
        <f>G1103</f>
        <v>480</v>
      </c>
      <c r="I1103" s="726"/>
      <c r="J1103" s="726"/>
      <c r="K1103" s="726"/>
      <c r="L1103" s="726"/>
    </row>
    <row r="1104" spans="1:12" hidden="1">
      <c r="A1104" s="981"/>
      <c r="B1104" s="726"/>
      <c r="C1104" s="796" t="s">
        <v>402</v>
      </c>
      <c r="D1104" s="730" t="s">
        <v>119</v>
      </c>
      <c r="E1104" s="736">
        <v>2.2400000000000002</v>
      </c>
      <c r="F1104" s="736">
        <f>F1086</f>
        <v>460</v>
      </c>
      <c r="G1104" s="778">
        <f>E1104*F1104</f>
        <v>1030.4000000000001</v>
      </c>
      <c r="H1104" s="757">
        <f>G1104</f>
        <v>1030.4000000000001</v>
      </c>
      <c r="I1104" s="726"/>
      <c r="J1104" s="726"/>
      <c r="K1104" s="726"/>
      <c r="L1104" s="726"/>
    </row>
    <row r="1105" spans="1:12" hidden="1">
      <c r="A1105" s="981"/>
      <c r="B1105" s="726"/>
      <c r="C1105" s="1482" t="s">
        <v>440</v>
      </c>
      <c r="D1105" s="736" t="s">
        <v>119</v>
      </c>
      <c r="E1105" s="736">
        <v>3.1</v>
      </c>
      <c r="F1105" s="736">
        <f>F1087</f>
        <v>420</v>
      </c>
      <c r="G1105" s="778">
        <f>E1105*F1105</f>
        <v>1302</v>
      </c>
      <c r="H1105" s="757">
        <f>G1105</f>
        <v>1302</v>
      </c>
      <c r="I1105" s="726"/>
      <c r="J1105" s="726"/>
      <c r="K1105" s="726"/>
      <c r="L1105" s="726"/>
    </row>
    <row r="1106" spans="1:12" ht="13.5" hidden="1" customHeight="1">
      <c r="A1106" s="970"/>
      <c r="B1106" s="733"/>
      <c r="C1106" s="735" t="s">
        <v>615</v>
      </c>
      <c r="D1106" s="737"/>
      <c r="E1106" s="731"/>
      <c r="F1106" s="732"/>
      <c r="G1106" s="755"/>
      <c r="H1106" s="755">
        <f>SUM(H1103:H1105)*10/100</f>
        <v>281.24</v>
      </c>
      <c r="I1106" s="726"/>
      <c r="J1106" s="726"/>
      <c r="K1106" s="726"/>
      <c r="L1106" s="726"/>
    </row>
    <row r="1107" spans="1:12" ht="13.5" hidden="1" customHeight="1">
      <c r="A1107" s="970"/>
      <c r="B1107" s="733"/>
      <c r="C1107" s="756" t="s">
        <v>592</v>
      </c>
      <c r="D1107" s="737">
        <f>D1089</f>
        <v>0</v>
      </c>
      <c r="E1107" s="731"/>
      <c r="F1107" s="732"/>
      <c r="G1107" s="755">
        <f>D1107*SUM(G1103:G1105)</f>
        <v>0</v>
      </c>
      <c r="H1107" s="755">
        <f>D1107*SUM(H1103:H1106)</f>
        <v>0</v>
      </c>
      <c r="I1107" s="726"/>
      <c r="J1107" s="726"/>
      <c r="K1107" s="726"/>
      <c r="L1107" s="726"/>
    </row>
    <row r="1108" spans="1:12" hidden="1">
      <c r="A1108" s="970"/>
      <c r="B1108" s="726"/>
      <c r="C1108" s="1482" t="s">
        <v>478</v>
      </c>
      <c r="D1108" s="736"/>
      <c r="E1108" s="884">
        <v>0.01</v>
      </c>
      <c r="F1108" s="736"/>
      <c r="G1108" s="736"/>
      <c r="H1108" s="757"/>
      <c r="I1108" s="726"/>
      <c r="J1108" s="726"/>
      <c r="K1108" s="726"/>
      <c r="L1108" s="726"/>
    </row>
    <row r="1109" spans="1:12" hidden="1">
      <c r="A1109" s="981"/>
      <c r="B1109" s="726"/>
      <c r="C1109" s="838" t="s">
        <v>120</v>
      </c>
      <c r="D1109" s="736"/>
      <c r="E1109" s="885"/>
      <c r="F1109" s="848"/>
      <c r="G1109" s="778">
        <f>SUM(G1098:G1108)</f>
        <v>5012.801856</v>
      </c>
      <c r="H1109" s="778">
        <f>SUM(H1098:H1108)</f>
        <v>5294.0418559999998</v>
      </c>
      <c r="I1109" s="726"/>
      <c r="J1109" s="726"/>
      <c r="K1109" s="726"/>
      <c r="L1109" s="726"/>
    </row>
    <row r="1110" spans="1:12" hidden="1">
      <c r="A1110" s="972"/>
      <c r="B1110" s="726"/>
      <c r="C1110" s="1482" t="s">
        <v>382</v>
      </c>
      <c r="D1110" s="752"/>
      <c r="E1110" s="752"/>
      <c r="F1110" s="752"/>
      <c r="G1110" s="881">
        <f>G1109/10</f>
        <v>501.28018559999998</v>
      </c>
      <c r="H1110" s="881">
        <f>H1109/10</f>
        <v>529.40418560000001</v>
      </c>
      <c r="I1110" s="726"/>
      <c r="J1110" s="726"/>
      <c r="K1110" s="726"/>
      <c r="L1110" s="726"/>
    </row>
    <row r="1111" spans="1:12" ht="26" hidden="1">
      <c r="A1111" s="972"/>
      <c r="B1111" s="726"/>
      <c r="C1111" s="746" t="s">
        <v>578</v>
      </c>
      <c r="D1111" s="752"/>
      <c r="E1111" s="752"/>
      <c r="F1111" s="752"/>
      <c r="G1111" s="734">
        <f>G1110*0</f>
        <v>0</v>
      </c>
      <c r="H1111" s="734">
        <f>H1110*0</f>
        <v>0</v>
      </c>
      <c r="I1111" s="726"/>
      <c r="J1111" s="726"/>
      <c r="K1111" s="726"/>
      <c r="L1111" s="726"/>
    </row>
    <row r="1112" spans="1:12" hidden="1">
      <c r="A1112" s="972"/>
      <c r="B1112" s="726"/>
      <c r="C1112" s="726"/>
      <c r="D1112" s="752"/>
      <c r="E1112" s="752"/>
      <c r="F1112" s="752"/>
      <c r="G1112" s="734">
        <f>SUM(G1110:G1111)</f>
        <v>501.28018559999998</v>
      </c>
      <c r="H1112" s="734">
        <f>SUM(H1110:H1111)</f>
        <v>529.40418560000001</v>
      </c>
      <c r="I1112" s="726"/>
      <c r="J1112" s="726"/>
      <c r="K1112" s="726"/>
      <c r="L1112" s="726"/>
    </row>
    <row r="1113" spans="1:12" s="751" customFormat="1" ht="42" customHeight="1">
      <c r="A1113" s="967" t="s">
        <v>110</v>
      </c>
      <c r="B1113" s="748">
        <v>32</v>
      </c>
      <c r="C1113" s="2030" t="s">
        <v>220</v>
      </c>
      <c r="D1113" s="2031"/>
      <c r="E1113" s="2031"/>
      <c r="F1113" s="2031"/>
      <c r="G1113" s="2080"/>
      <c r="H1113" s="2081"/>
      <c r="I1113" s="748"/>
      <c r="J1113" s="748"/>
      <c r="K1113" s="748"/>
      <c r="L1113" s="748"/>
    </row>
    <row r="1114" spans="1:12" s="751" customFormat="1" ht="17.25" customHeight="1">
      <c r="A1114" s="967"/>
      <c r="B1114" s="748"/>
      <c r="C1114" s="1481" t="s">
        <v>469</v>
      </c>
      <c r="D1114" s="1487"/>
      <c r="E1114" s="1487"/>
      <c r="F1114" s="1487"/>
      <c r="G1114" s="738" t="s">
        <v>613</v>
      </c>
      <c r="H1114" s="748"/>
      <c r="I1114" s="748" t="s">
        <v>611</v>
      </c>
      <c r="J1114" s="748" t="s">
        <v>614</v>
      </c>
      <c r="K1114" s="748"/>
      <c r="L1114" s="748"/>
    </row>
    <row r="1115" spans="1:12" s="777" customFormat="1" ht="26.25" customHeight="1">
      <c r="A1115" s="975"/>
      <c r="B1115" s="748"/>
      <c r="C1115" s="759" t="s">
        <v>467</v>
      </c>
      <c r="D1115" s="724" t="s">
        <v>208</v>
      </c>
      <c r="E1115" s="758">
        <v>1.05</v>
      </c>
      <c r="F1115" s="758">
        <f>'Lead statement (2)'!J25</f>
        <v>46020</v>
      </c>
      <c r="G1115" s="758">
        <f>ROUND(E1115*F1115,2)</f>
        <v>48321</v>
      </c>
      <c r="H1115" s="758">
        <f>G1115</f>
        <v>48321</v>
      </c>
      <c r="I1115" s="758">
        <f>G1115</f>
        <v>48321</v>
      </c>
      <c r="J1115" s="758">
        <f>I1115</f>
        <v>48321</v>
      </c>
      <c r="K1115" s="724"/>
      <c r="L1115" s="724"/>
    </row>
    <row r="1116" spans="1:12" s="777" customFormat="1" ht="15" customHeight="1">
      <c r="A1116" s="975"/>
      <c r="B1116" s="748"/>
      <c r="C1116" s="759" t="s">
        <v>191</v>
      </c>
      <c r="D1116" s="724" t="s">
        <v>182</v>
      </c>
      <c r="E1116" s="758">
        <v>6</v>
      </c>
      <c r="F1116" s="758">
        <f>[125]Bldg.rates!F9</f>
        <v>55</v>
      </c>
      <c r="G1116" s="758">
        <f>ROUND(E1116*F1116,2)</f>
        <v>330</v>
      </c>
      <c r="H1116" s="758">
        <f>G1116</f>
        <v>330</v>
      </c>
      <c r="I1116" s="758">
        <f>G1116</f>
        <v>330</v>
      </c>
      <c r="J1116" s="758">
        <f>I1116</f>
        <v>330</v>
      </c>
      <c r="K1116" s="724"/>
      <c r="L1116" s="724"/>
    </row>
    <row r="1117" spans="1:12" s="777" customFormat="1" ht="24.75" customHeight="1">
      <c r="A1117" s="975"/>
      <c r="B1117" s="748"/>
      <c r="C1117" s="759" t="s">
        <v>470</v>
      </c>
      <c r="D1117" s="724"/>
      <c r="E1117" s="758"/>
      <c r="F1117" s="758"/>
      <c r="G1117" s="758"/>
      <c r="H1117" s="758"/>
      <c r="I1117" s="758"/>
      <c r="J1117" s="758"/>
      <c r="K1117" s="724"/>
      <c r="L1117" s="724"/>
    </row>
    <row r="1118" spans="1:12" s="777" customFormat="1" ht="18" customHeight="1">
      <c r="A1118" s="975"/>
      <c r="B1118" s="748"/>
      <c r="C1118" s="759" t="s">
        <v>468</v>
      </c>
      <c r="D1118" s="724" t="s">
        <v>119</v>
      </c>
      <c r="E1118" s="758">
        <v>10</v>
      </c>
      <c r="F1118" s="758">
        <v>495</v>
      </c>
      <c r="G1118" s="758">
        <f>ROUND(E1118*F1118,2)</f>
        <v>4950</v>
      </c>
      <c r="H1118" s="758">
        <f>G1118</f>
        <v>4950</v>
      </c>
      <c r="I1118" s="758">
        <f>G1118</f>
        <v>4950</v>
      </c>
      <c r="J1118" s="758">
        <f>I1118</f>
        <v>4950</v>
      </c>
      <c r="K1118" s="724"/>
      <c r="L1118" s="724"/>
    </row>
    <row r="1119" spans="1:12" s="777" customFormat="1" ht="18" customHeight="1">
      <c r="A1119" s="975"/>
      <c r="B1119" s="748"/>
      <c r="C1119" s="812" t="s">
        <v>268</v>
      </c>
      <c r="D1119" s="724" t="s">
        <v>119</v>
      </c>
      <c r="E1119" s="758">
        <v>10</v>
      </c>
      <c r="F1119" s="758">
        <v>420</v>
      </c>
      <c r="G1119" s="758">
        <f>ROUND(E1119*F1119,2)</f>
        <v>4200</v>
      </c>
      <c r="H1119" s="758">
        <f>G1119</f>
        <v>4200</v>
      </c>
      <c r="I1119" s="758">
        <f>G1119</f>
        <v>4200</v>
      </c>
      <c r="J1119" s="758">
        <f>I1119</f>
        <v>4200</v>
      </c>
      <c r="K1119" s="724"/>
      <c r="L1119" s="724"/>
    </row>
    <row r="1120" spans="1:12" hidden="1">
      <c r="A1120" s="972"/>
      <c r="B1120" s="752"/>
      <c r="C1120" s="813" t="s">
        <v>1724</v>
      </c>
      <c r="D1120" s="737">
        <f>D1</f>
        <v>0</v>
      </c>
      <c r="E1120" s="778"/>
      <c r="F1120" s="778"/>
      <c r="G1120" s="736">
        <f>(SUM(G1117:G1119))*D1120</f>
        <v>0</v>
      </c>
      <c r="H1120" s="736">
        <f>G1120</f>
        <v>0</v>
      </c>
      <c r="I1120" s="736">
        <f>H1120</f>
        <v>0</v>
      </c>
      <c r="J1120" s="758">
        <f>I1120</f>
        <v>0</v>
      </c>
      <c r="K1120" s="726"/>
      <c r="L1120" s="726"/>
    </row>
    <row r="1121" spans="1:12" ht="13.5" customHeight="1">
      <c r="A1121" s="970"/>
      <c r="B1121" s="733"/>
      <c r="C1121" s="735" t="s">
        <v>615</v>
      </c>
      <c r="D1121" s="737"/>
      <c r="E1121" s="731"/>
      <c r="F1121" s="732"/>
      <c r="G1121" s="755"/>
      <c r="H1121" s="726"/>
      <c r="I1121" s="757">
        <f>(I1118+I1119)*10%</f>
        <v>915</v>
      </c>
      <c r="J1121" s="757">
        <f>(J1118+J1119)*20%</f>
        <v>1830</v>
      </c>
      <c r="K1121" s="726"/>
      <c r="L1121" s="726"/>
    </row>
    <row r="1122" spans="1:12" s="751" customFormat="1">
      <c r="A1122" s="967"/>
      <c r="B1122" s="748"/>
      <c r="C1122" s="749"/>
      <c r="D1122" s="750" t="s">
        <v>142</v>
      </c>
      <c r="E1122" s="758"/>
      <c r="F1122" s="758"/>
      <c r="G1122" s="758">
        <f>SUM(G1115:G1121)</f>
        <v>57801</v>
      </c>
      <c r="H1122" s="758">
        <f>SUM(H1115:H1121)</f>
        <v>57801</v>
      </c>
      <c r="I1122" s="758">
        <f>SUM(I1115:I1121)</f>
        <v>58716</v>
      </c>
      <c r="J1122" s="748">
        <f>SUM(J1115:J1121)</f>
        <v>59631</v>
      </c>
      <c r="K1122" s="748"/>
      <c r="L1122" s="748"/>
    </row>
    <row r="1123" spans="1:12" s="751" customFormat="1">
      <c r="A1123" s="967"/>
      <c r="B1123" s="748"/>
      <c r="C1123" s="749"/>
      <c r="D1123" s="750"/>
      <c r="E1123" s="758"/>
      <c r="F1123" s="758"/>
      <c r="G1123" s="734">
        <f>ROUND(G1122/1000,2)</f>
        <v>57.8</v>
      </c>
      <c r="H1123" s="734">
        <f>ROUND(H1122/1000,2)</f>
        <v>57.8</v>
      </c>
      <c r="I1123" s="734">
        <f>ROUND(I1122/1000,2)</f>
        <v>58.72</v>
      </c>
      <c r="J1123" s="734">
        <f>ROUND(J1122/1000,2)</f>
        <v>59.63</v>
      </c>
      <c r="K1123" s="748"/>
      <c r="L1123" s="748"/>
    </row>
    <row r="1124" spans="1:12" s="751" customFormat="1" ht="27.75" customHeight="1">
      <c r="A1124" s="967"/>
      <c r="B1124" s="748">
        <v>33</v>
      </c>
      <c r="C1124" s="2030" t="s">
        <v>531</v>
      </c>
      <c r="D1124" s="2031"/>
      <c r="E1124" s="2031"/>
      <c r="F1124" s="2031"/>
      <c r="G1124" s="2080"/>
      <c r="H1124" s="2081"/>
      <c r="I1124" s="748"/>
      <c r="J1124" s="748"/>
      <c r="K1124" s="748"/>
      <c r="L1124" s="748"/>
    </row>
    <row r="1125" spans="1:12" s="777" customFormat="1" ht="15" customHeight="1">
      <c r="A1125" s="975"/>
      <c r="B1125" s="748"/>
      <c r="C1125" s="759" t="s">
        <v>573</v>
      </c>
      <c r="D1125" s="724" t="s">
        <v>182</v>
      </c>
      <c r="E1125" s="758">
        <v>1</v>
      </c>
      <c r="F1125" s="758">
        <f>'Lead statement (2)'!J27</f>
        <v>48.73</v>
      </c>
      <c r="G1125" s="732">
        <f>F1125</f>
        <v>48.73</v>
      </c>
      <c r="H1125" s="836"/>
      <c r="I1125" s="724"/>
      <c r="J1125" s="724"/>
      <c r="K1125" s="724"/>
      <c r="L1125" s="724"/>
    </row>
    <row r="1126" spans="1:12" s="777" customFormat="1" ht="25.5" customHeight="1">
      <c r="A1126" s="975"/>
      <c r="B1126" s="748"/>
      <c r="C1126" s="759" t="s">
        <v>1111</v>
      </c>
      <c r="D1126" s="724" t="s">
        <v>182</v>
      </c>
      <c r="E1126" s="758">
        <v>1</v>
      </c>
      <c r="F1126" s="758">
        <v>32</v>
      </c>
      <c r="G1126" s="732">
        <f>ROUND(E1126*F1126,2)</f>
        <v>32</v>
      </c>
      <c r="H1126" s="836"/>
      <c r="I1126" s="724"/>
      <c r="J1126" s="724"/>
      <c r="K1126" s="724"/>
      <c r="L1126" s="724"/>
    </row>
    <row r="1127" spans="1:12" s="777" customFormat="1" ht="15" customHeight="1">
      <c r="A1127" s="967"/>
      <c r="B1127" s="748"/>
      <c r="C1127" s="749"/>
      <c r="D1127" s="750" t="s">
        <v>142</v>
      </c>
      <c r="E1127" s="750"/>
      <c r="F1127" s="748"/>
      <c r="G1127" s="750">
        <f>SUM(G1125:G1126)</f>
        <v>80.72999999999999</v>
      </c>
      <c r="H1127" s="724"/>
      <c r="I1127" s="724"/>
      <c r="J1127" s="724"/>
      <c r="K1127" s="724"/>
      <c r="L1127" s="724"/>
    </row>
    <row r="1128" spans="1:12">
      <c r="A1128" s="972"/>
      <c r="B1128" s="752"/>
      <c r="C1128" s="726"/>
      <c r="D1128" s="752"/>
      <c r="E1128" s="757"/>
      <c r="F1128" s="757"/>
      <c r="G1128" s="734">
        <f>SUM(G1127:G1127)</f>
        <v>80.72999999999999</v>
      </c>
      <c r="H1128" s="724"/>
      <c r="I1128" s="726"/>
      <c r="J1128" s="726"/>
      <c r="K1128" s="726"/>
      <c r="L1128" s="726"/>
    </row>
    <row r="1129" spans="1:12" ht="24.75" customHeight="1">
      <c r="A1129" s="969" t="s">
        <v>638</v>
      </c>
      <c r="B1129" s="730">
        <v>34</v>
      </c>
      <c r="C1129" s="2044" t="s">
        <v>639</v>
      </c>
      <c r="D1129" s="2045"/>
      <c r="E1129" s="2045"/>
      <c r="F1129" s="2045"/>
      <c r="G1129" s="2046"/>
      <c r="H1129" s="724"/>
      <c r="I1129" s="726"/>
      <c r="J1129" s="726"/>
      <c r="K1129" s="726"/>
      <c r="L1129" s="726"/>
    </row>
    <row r="1130" spans="1:12">
      <c r="A1130" s="892"/>
      <c r="B1130" s="731"/>
      <c r="C1130" s="1483" t="s">
        <v>640</v>
      </c>
      <c r="D1130" s="731"/>
      <c r="E1130" s="886"/>
      <c r="F1130" s="840"/>
      <c r="G1130" s="732"/>
      <c r="H1130" s="724"/>
      <c r="I1130" s="726"/>
      <c r="J1130" s="726"/>
      <c r="K1130" s="726"/>
      <c r="L1130" s="726"/>
    </row>
    <row r="1131" spans="1:12">
      <c r="A1131" s="892"/>
      <c r="B1131" s="731"/>
      <c r="C1131" s="1483" t="s">
        <v>641</v>
      </c>
      <c r="D1131" s="731"/>
      <c r="E1131" s="886"/>
      <c r="F1131" s="840"/>
      <c r="G1131" s="732"/>
      <c r="H1131" s="724"/>
      <c r="I1131" s="726"/>
      <c r="J1131" s="726"/>
      <c r="K1131" s="726"/>
      <c r="L1131" s="726"/>
    </row>
    <row r="1132" spans="1:12">
      <c r="A1132" s="892"/>
      <c r="B1132" s="731"/>
      <c r="C1132" s="1483" t="s">
        <v>642</v>
      </c>
      <c r="D1132" s="731" t="s">
        <v>117</v>
      </c>
      <c r="E1132" s="732">
        <v>1</v>
      </c>
      <c r="F1132" s="840"/>
      <c r="G1132" s="732"/>
      <c r="H1132" s="724"/>
      <c r="I1132" s="726"/>
      <c r="J1132" s="726"/>
      <c r="K1132" s="726"/>
      <c r="L1132" s="726"/>
    </row>
    <row r="1133" spans="1:12">
      <c r="A1133" s="892"/>
      <c r="B1133" s="731"/>
      <c r="C1133" s="1483" t="s">
        <v>643</v>
      </c>
      <c r="D1133" s="731"/>
      <c r="E1133" s="732">
        <v>17.7</v>
      </c>
      <c r="F1133" s="840"/>
      <c r="G1133" s="732"/>
      <c r="H1133" s="724"/>
      <c r="I1133" s="726"/>
      <c r="J1133" s="726"/>
      <c r="K1133" s="726"/>
      <c r="L1133" s="726"/>
    </row>
    <row r="1134" spans="1:12">
      <c r="A1134" s="892"/>
      <c r="B1134" s="731"/>
      <c r="C1134" s="1483" t="s">
        <v>644</v>
      </c>
      <c r="D1134" s="731" t="s">
        <v>119</v>
      </c>
      <c r="E1134" s="795">
        <f>17.7*30/100</f>
        <v>5.31</v>
      </c>
      <c r="F1134" s="840">
        <v>580</v>
      </c>
      <c r="G1134" s="732">
        <f>ROUND(E1134*F1134,2)</f>
        <v>3079.8</v>
      </c>
      <c r="H1134" s="724"/>
      <c r="I1134" s="726"/>
      <c r="J1134" s="726"/>
      <c r="K1134" s="726"/>
      <c r="L1134" s="726"/>
    </row>
    <row r="1135" spans="1:12">
      <c r="A1135" s="892"/>
      <c r="B1135" s="731"/>
      <c r="C1135" s="1483" t="s">
        <v>645</v>
      </c>
      <c r="D1135" s="731" t="s">
        <v>119</v>
      </c>
      <c r="E1135" s="795">
        <f>17.7*70/100</f>
        <v>12.39</v>
      </c>
      <c r="F1135" s="840">
        <v>460</v>
      </c>
      <c r="G1135" s="732">
        <f>ROUND(E1135*F1135,2)</f>
        <v>5699.4</v>
      </c>
      <c r="H1135" s="724"/>
      <c r="I1135" s="726"/>
      <c r="J1135" s="726"/>
      <c r="K1135" s="726"/>
      <c r="L1135" s="726"/>
    </row>
    <row r="1136" spans="1:12">
      <c r="A1136" s="892"/>
      <c r="B1136" s="731"/>
      <c r="C1136" s="1483" t="s">
        <v>646</v>
      </c>
      <c r="D1136" s="731" t="s">
        <v>119</v>
      </c>
      <c r="E1136" s="732">
        <v>8.8000000000000007</v>
      </c>
      <c r="F1136" s="840">
        <v>420</v>
      </c>
      <c r="G1136" s="732">
        <f>ROUND(E1136*F1136,2)</f>
        <v>3696</v>
      </c>
      <c r="H1136" s="724"/>
      <c r="I1136" s="726"/>
      <c r="J1136" s="726"/>
      <c r="K1136" s="726"/>
      <c r="L1136" s="726"/>
    </row>
    <row r="1137" spans="1:12" hidden="1">
      <c r="A1137" s="892"/>
      <c r="B1137" s="731"/>
      <c r="C1137" s="813" t="s">
        <v>1724</v>
      </c>
      <c r="D1137" s="737">
        <f>D1</f>
        <v>0</v>
      </c>
      <c r="E1137" s="778"/>
      <c r="F1137" s="778"/>
      <c r="G1137" s="736">
        <f>(SUM(G1134:G1136))*D1137</f>
        <v>0</v>
      </c>
      <c r="H1137" s="724"/>
      <c r="I1137" s="726"/>
      <c r="J1137" s="726"/>
      <c r="K1137" s="726"/>
      <c r="L1137" s="726"/>
    </row>
    <row r="1138" spans="1:12">
      <c r="A1138" s="892"/>
      <c r="B1138" s="731"/>
      <c r="C1138" s="1483"/>
      <c r="D1138" s="731"/>
      <c r="E1138" s="795"/>
      <c r="F1138" s="731"/>
      <c r="G1138" s="881">
        <f>SUM(G1134:G1137)</f>
        <v>12475.2</v>
      </c>
      <c r="H1138" s="724"/>
      <c r="I1138" s="726"/>
      <c r="J1138" s="726"/>
      <c r="K1138" s="726"/>
      <c r="L1138" s="726"/>
    </row>
    <row r="1139" spans="1:12" s="751" customFormat="1" ht="81" customHeight="1">
      <c r="A1139" s="967"/>
      <c r="B1139" s="748">
        <v>35</v>
      </c>
      <c r="C1139" s="2030" t="s">
        <v>1917</v>
      </c>
      <c r="D1139" s="2031"/>
      <c r="E1139" s="2031"/>
      <c r="F1139" s="2031"/>
      <c r="G1139" s="2080"/>
      <c r="H1139" s="2081"/>
      <c r="I1139" s="748"/>
      <c r="J1139" s="748"/>
      <c r="K1139" s="748"/>
    </row>
    <row r="1140" spans="1:12" s="751" customFormat="1" ht="17.25" customHeight="1">
      <c r="A1140" s="967"/>
      <c r="B1140" s="748"/>
      <c r="C1140" s="1446" t="s">
        <v>1935</v>
      </c>
      <c r="D1140" s="1501"/>
      <c r="E1140" s="1501"/>
      <c r="F1140" s="1501"/>
      <c r="H1140" s="738"/>
      <c r="I1140" s="748"/>
      <c r="J1140" s="748"/>
      <c r="K1140" s="748"/>
    </row>
    <row r="1141" spans="1:12" s="777" customFormat="1">
      <c r="A1141" s="975" t="s">
        <v>1936</v>
      </c>
      <c r="B1141" s="748"/>
      <c r="C1141" s="759" t="s">
        <v>1938</v>
      </c>
      <c r="D1141" s="758">
        <v>5.4</v>
      </c>
      <c r="E1141" s="724" t="s">
        <v>1918</v>
      </c>
      <c r="F1141" s="758">
        <v>805</v>
      </c>
      <c r="G1141" s="724" t="s">
        <v>1918</v>
      </c>
      <c r="H1141" s="758">
        <f t="shared" ref="H1141:H1153" si="24">ROUND(D1141*F1141,2)</f>
        <v>4347</v>
      </c>
      <c r="I1141" s="758"/>
      <c r="J1141" s="724"/>
      <c r="K1141" s="724"/>
    </row>
    <row r="1142" spans="1:12" s="777" customFormat="1" ht="27.75" customHeight="1">
      <c r="A1142" s="975"/>
      <c r="B1142" s="748"/>
      <c r="C1142" s="759" t="s">
        <v>1934</v>
      </c>
      <c r="D1142" s="1445">
        <v>3.4000000000000002E-2</v>
      </c>
      <c r="E1142" s="724" t="s">
        <v>181</v>
      </c>
      <c r="F1142" s="758">
        <f>G1138</f>
        <v>12475.2</v>
      </c>
      <c r="G1142" s="724" t="s">
        <v>181</v>
      </c>
      <c r="H1142" s="758">
        <f t="shared" si="24"/>
        <v>424.16</v>
      </c>
      <c r="I1142" s="758"/>
      <c r="J1142" s="724"/>
      <c r="K1142" s="724"/>
    </row>
    <row r="1143" spans="1:12" s="777" customFormat="1" ht="24.75" customHeight="1">
      <c r="A1143" s="975" t="s">
        <v>1937</v>
      </c>
      <c r="B1143" s="748"/>
      <c r="C1143" s="759" t="s">
        <v>1919</v>
      </c>
      <c r="D1143" s="758">
        <v>2.52</v>
      </c>
      <c r="E1143" s="724" t="s">
        <v>184</v>
      </c>
      <c r="F1143" s="758">
        <v>3030</v>
      </c>
      <c r="G1143" s="724" t="s">
        <v>184</v>
      </c>
      <c r="H1143" s="758">
        <f t="shared" si="24"/>
        <v>7635.6</v>
      </c>
      <c r="I1143" s="758"/>
      <c r="J1143" s="724"/>
      <c r="K1143" s="724"/>
    </row>
    <row r="1144" spans="1:12" s="777" customFormat="1" ht="18" customHeight="1">
      <c r="A1144" s="975"/>
      <c r="B1144" s="748"/>
      <c r="C1144" s="759" t="s">
        <v>1933</v>
      </c>
      <c r="D1144" s="758">
        <v>2.52</v>
      </c>
      <c r="E1144" s="724" t="s">
        <v>184</v>
      </c>
      <c r="F1144" s="758">
        <v>383</v>
      </c>
      <c r="G1144" s="724" t="s">
        <v>184</v>
      </c>
      <c r="H1144" s="758">
        <f t="shared" si="24"/>
        <v>965.16</v>
      </c>
      <c r="I1144" s="758"/>
      <c r="J1144" s="724"/>
      <c r="K1144" s="724"/>
    </row>
    <row r="1145" spans="1:12" s="1443" customFormat="1">
      <c r="A1145" s="1439" t="s">
        <v>1921</v>
      </c>
      <c r="B1145" s="1437"/>
      <c r="C1145" s="1438" t="s">
        <v>1920</v>
      </c>
      <c r="D1145" s="1440">
        <v>4</v>
      </c>
      <c r="E1145" s="1437" t="s">
        <v>217</v>
      </c>
      <c r="F1145" s="1441">
        <v>117</v>
      </c>
      <c r="G1145" s="1437" t="s">
        <v>217</v>
      </c>
      <c r="H1145" s="1442">
        <f t="shared" si="24"/>
        <v>468</v>
      </c>
    </row>
    <row r="1146" spans="1:12" s="1443" customFormat="1">
      <c r="A1146" s="1439" t="s">
        <v>1923</v>
      </c>
      <c r="B1146" s="1437"/>
      <c r="C1146" s="1438" t="s">
        <v>1922</v>
      </c>
      <c r="D1146" s="1440">
        <v>1</v>
      </c>
      <c r="E1146" s="1437" t="s">
        <v>217</v>
      </c>
      <c r="F1146" s="1441">
        <v>103</v>
      </c>
      <c r="G1146" s="1437" t="s">
        <v>217</v>
      </c>
      <c r="H1146" s="1442">
        <f t="shared" si="24"/>
        <v>103</v>
      </c>
    </row>
    <row r="1147" spans="1:12" s="1443" customFormat="1">
      <c r="A1147" s="1439" t="s">
        <v>1925</v>
      </c>
      <c r="B1147" s="1437"/>
      <c r="C1147" s="1438" t="s">
        <v>1924</v>
      </c>
      <c r="D1147" s="1440">
        <v>1</v>
      </c>
      <c r="E1147" s="1437" t="s">
        <v>217</v>
      </c>
      <c r="F1147" s="1441">
        <v>84</v>
      </c>
      <c r="G1147" s="1437" t="s">
        <v>217</v>
      </c>
      <c r="H1147" s="1442">
        <f t="shared" si="24"/>
        <v>84</v>
      </c>
    </row>
    <row r="1148" spans="1:12" s="1443" customFormat="1">
      <c r="A1148" s="1439" t="s">
        <v>1927</v>
      </c>
      <c r="B1148" s="1437"/>
      <c r="C1148" s="1444" t="s">
        <v>1926</v>
      </c>
      <c r="D1148" s="1440">
        <v>1</v>
      </c>
      <c r="E1148" s="1437" t="s">
        <v>217</v>
      </c>
      <c r="F1148" s="1441">
        <v>103</v>
      </c>
      <c r="G1148" s="1437" t="s">
        <v>217</v>
      </c>
      <c r="H1148" s="1442">
        <f t="shared" si="24"/>
        <v>103</v>
      </c>
    </row>
    <row r="1149" spans="1:12" s="1443" customFormat="1">
      <c r="A1149" s="1439" t="s">
        <v>1929</v>
      </c>
      <c r="B1149" s="1437"/>
      <c r="C1149" s="1444" t="s">
        <v>1928</v>
      </c>
      <c r="D1149" s="1440">
        <v>1</v>
      </c>
      <c r="E1149" s="1437" t="s">
        <v>217</v>
      </c>
      <c r="F1149" s="1441">
        <v>62</v>
      </c>
      <c r="G1149" s="1437" t="s">
        <v>217</v>
      </c>
      <c r="H1149" s="1442">
        <f t="shared" si="24"/>
        <v>62</v>
      </c>
    </row>
    <row r="1150" spans="1:12" s="1443" customFormat="1">
      <c r="A1150" s="1439" t="s">
        <v>1931</v>
      </c>
      <c r="B1150" s="1437"/>
      <c r="C1150" s="1438" t="s">
        <v>1930</v>
      </c>
      <c r="D1150" s="1440">
        <v>1</v>
      </c>
      <c r="E1150" s="1437" t="s">
        <v>217</v>
      </c>
      <c r="F1150" s="1441">
        <v>284</v>
      </c>
      <c r="G1150" s="1437" t="s">
        <v>217</v>
      </c>
      <c r="H1150" s="1442">
        <f t="shared" si="24"/>
        <v>284</v>
      </c>
    </row>
    <row r="1151" spans="1:12" s="1443" customFormat="1">
      <c r="A1151" s="1444"/>
      <c r="B1151" s="1437"/>
      <c r="C1151" s="1438" t="s">
        <v>557</v>
      </c>
      <c r="D1151" s="1440">
        <v>2</v>
      </c>
      <c r="E1151" s="1437" t="s">
        <v>217</v>
      </c>
      <c r="F1151" s="1441">
        <v>15</v>
      </c>
      <c r="G1151" s="1437" t="s">
        <v>217</v>
      </c>
      <c r="H1151" s="1442">
        <f t="shared" si="24"/>
        <v>30</v>
      </c>
    </row>
    <row r="1152" spans="1:12" s="1443" customFormat="1">
      <c r="A1152" s="1439" t="s">
        <v>1932</v>
      </c>
      <c r="B1152" s="1437"/>
      <c r="C1152" s="1438" t="s">
        <v>832</v>
      </c>
      <c r="D1152" s="1440">
        <v>2</v>
      </c>
      <c r="E1152" s="1437" t="s">
        <v>217</v>
      </c>
      <c r="F1152" s="1441">
        <v>9</v>
      </c>
      <c r="G1152" s="1437" t="s">
        <v>217</v>
      </c>
      <c r="H1152" s="1442">
        <f t="shared" si="24"/>
        <v>18</v>
      </c>
    </row>
    <row r="1153" spans="1:11" s="1443" customFormat="1">
      <c r="A1153" s="1444" t="s">
        <v>16</v>
      </c>
      <c r="B1153" s="1437"/>
      <c r="C1153" s="1438" t="s">
        <v>17</v>
      </c>
      <c r="D1153" s="1440">
        <v>4</v>
      </c>
      <c r="E1153" s="1437" t="s">
        <v>217</v>
      </c>
      <c r="F1153" s="1441">
        <v>32</v>
      </c>
      <c r="G1153" s="1437" t="s">
        <v>217</v>
      </c>
      <c r="H1153" s="1442">
        <f t="shared" si="24"/>
        <v>128</v>
      </c>
    </row>
    <row r="1154" spans="1:11" s="751" customFormat="1">
      <c r="A1154" s="967"/>
      <c r="B1154" s="748"/>
      <c r="C1154" s="749"/>
      <c r="D1154" s="750" t="s">
        <v>142</v>
      </c>
      <c r="E1154" s="758"/>
      <c r="F1154" s="758"/>
      <c r="H1154" s="750">
        <f>SUM(H1141:H1153)</f>
        <v>14651.92</v>
      </c>
      <c r="I1154" s="748"/>
      <c r="J1154" s="748"/>
      <c r="K1154" s="748"/>
    </row>
    <row r="1155" spans="1:11" s="751" customFormat="1" ht="78.75" customHeight="1">
      <c r="A1155" s="967"/>
      <c r="B1155" s="748">
        <v>36</v>
      </c>
      <c r="C1155" s="2030" t="s">
        <v>1917</v>
      </c>
      <c r="D1155" s="2031"/>
      <c r="E1155" s="2031"/>
      <c r="F1155" s="2031"/>
      <c r="G1155" s="2080"/>
      <c r="H1155" s="2081"/>
      <c r="I1155" s="748"/>
      <c r="J1155" s="748"/>
      <c r="K1155" s="748"/>
    </row>
    <row r="1156" spans="1:11" s="751" customFormat="1" ht="17.25" customHeight="1">
      <c r="A1156" s="967"/>
      <c r="B1156" s="748"/>
      <c r="C1156" s="1446" t="s">
        <v>1939</v>
      </c>
      <c r="D1156" s="1501"/>
      <c r="E1156" s="1501"/>
      <c r="F1156" s="1501"/>
      <c r="H1156" s="738"/>
      <c r="I1156" s="748"/>
      <c r="J1156" s="748"/>
      <c r="K1156" s="748"/>
    </row>
    <row r="1157" spans="1:11" s="777" customFormat="1">
      <c r="A1157" s="975" t="s">
        <v>1936</v>
      </c>
      <c r="B1157" s="748"/>
      <c r="C1157" s="759" t="s">
        <v>1938</v>
      </c>
      <c r="D1157" s="758">
        <v>5.25</v>
      </c>
      <c r="E1157" s="724" t="s">
        <v>1918</v>
      </c>
      <c r="F1157" s="758">
        <v>805</v>
      </c>
      <c r="G1157" s="724" t="s">
        <v>1918</v>
      </c>
      <c r="H1157" s="758">
        <f t="shared" ref="H1157:H1169" si="25">ROUND(D1157*F1157,2)</f>
        <v>4226.25</v>
      </c>
      <c r="I1157" s="758"/>
      <c r="J1157" s="724"/>
      <c r="K1157" s="724"/>
    </row>
    <row r="1158" spans="1:11" s="777" customFormat="1" ht="27.75" customHeight="1">
      <c r="A1158" s="975"/>
      <c r="B1158" s="748"/>
      <c r="C1158" s="759" t="s">
        <v>1940</v>
      </c>
      <c r="D1158" s="1445">
        <v>3.3000000000000002E-2</v>
      </c>
      <c r="E1158" s="724" t="s">
        <v>181</v>
      </c>
      <c r="F1158" s="758">
        <f>F1190</f>
        <v>12475.2</v>
      </c>
      <c r="G1158" s="724" t="s">
        <v>181</v>
      </c>
      <c r="H1158" s="758">
        <f t="shared" si="25"/>
        <v>411.68</v>
      </c>
      <c r="I1158" s="758"/>
      <c r="J1158" s="724"/>
      <c r="K1158" s="724"/>
    </row>
    <row r="1159" spans="1:11" s="777" customFormat="1" ht="24.75" customHeight="1">
      <c r="A1159" s="975" t="s">
        <v>1937</v>
      </c>
      <c r="B1159" s="748"/>
      <c r="C1159" s="759" t="s">
        <v>1966</v>
      </c>
      <c r="D1159" s="758">
        <f>1.05*2.1</f>
        <v>2.2050000000000001</v>
      </c>
      <c r="E1159" s="724" t="s">
        <v>184</v>
      </c>
      <c r="F1159" s="758">
        <v>3030</v>
      </c>
      <c r="G1159" s="724" t="s">
        <v>184</v>
      </c>
      <c r="H1159" s="758">
        <f t="shared" si="25"/>
        <v>6681.15</v>
      </c>
      <c r="I1159" s="758"/>
      <c r="J1159" s="724"/>
      <c r="K1159" s="724"/>
    </row>
    <row r="1160" spans="1:11" s="777" customFormat="1" ht="18" customHeight="1">
      <c r="A1160" s="975"/>
      <c r="B1160" s="748"/>
      <c r="C1160" s="759" t="s">
        <v>1933</v>
      </c>
      <c r="D1160" s="758">
        <f>D1159</f>
        <v>2.2050000000000001</v>
      </c>
      <c r="E1160" s="724" t="s">
        <v>184</v>
      </c>
      <c r="F1160" s="758">
        <v>383</v>
      </c>
      <c r="G1160" s="724" t="s">
        <v>184</v>
      </c>
      <c r="H1160" s="758">
        <f t="shared" si="25"/>
        <v>844.52</v>
      </c>
      <c r="I1160" s="758"/>
      <c r="J1160" s="724"/>
      <c r="K1160" s="724"/>
    </row>
    <row r="1161" spans="1:11" s="1443" customFormat="1">
      <c r="A1161" s="1439" t="s">
        <v>1921</v>
      </c>
      <c r="B1161" s="1437"/>
      <c r="C1161" s="1438" t="s">
        <v>1920</v>
      </c>
      <c r="D1161" s="1440">
        <v>4</v>
      </c>
      <c r="E1161" s="1437" t="s">
        <v>217</v>
      </c>
      <c r="F1161" s="1441">
        <v>117</v>
      </c>
      <c r="G1161" s="1437" t="s">
        <v>217</v>
      </c>
      <c r="H1161" s="1442">
        <f t="shared" si="25"/>
        <v>468</v>
      </c>
    </row>
    <row r="1162" spans="1:11" s="1443" customFormat="1" ht="13.5" customHeight="1">
      <c r="A1162" s="1439" t="s">
        <v>1923</v>
      </c>
      <c r="B1162" s="1437"/>
      <c r="C1162" s="1438" t="s">
        <v>1922</v>
      </c>
      <c r="D1162" s="1440">
        <v>1</v>
      </c>
      <c r="E1162" s="1437" t="s">
        <v>217</v>
      </c>
      <c r="F1162" s="1441">
        <v>103</v>
      </c>
      <c r="G1162" s="1437" t="s">
        <v>217</v>
      </c>
      <c r="H1162" s="1442">
        <f t="shared" si="25"/>
        <v>103</v>
      </c>
    </row>
    <row r="1163" spans="1:11" s="1443" customFormat="1" ht="13.5" customHeight="1">
      <c r="A1163" s="1439" t="s">
        <v>1925</v>
      </c>
      <c r="B1163" s="1437"/>
      <c r="C1163" s="1438" t="s">
        <v>1924</v>
      </c>
      <c r="D1163" s="1440">
        <v>1</v>
      </c>
      <c r="E1163" s="1437" t="s">
        <v>217</v>
      </c>
      <c r="F1163" s="1441">
        <v>84</v>
      </c>
      <c r="G1163" s="1437" t="s">
        <v>217</v>
      </c>
      <c r="H1163" s="1442">
        <f t="shared" si="25"/>
        <v>84</v>
      </c>
    </row>
    <row r="1164" spans="1:11" s="1443" customFormat="1">
      <c r="A1164" s="1439" t="s">
        <v>1927</v>
      </c>
      <c r="B1164" s="1437"/>
      <c r="C1164" s="1444" t="s">
        <v>1926</v>
      </c>
      <c r="D1164" s="1440">
        <v>1</v>
      </c>
      <c r="E1164" s="1437" t="s">
        <v>217</v>
      </c>
      <c r="F1164" s="1441">
        <v>103</v>
      </c>
      <c r="G1164" s="1437" t="s">
        <v>217</v>
      </c>
      <c r="H1164" s="1442">
        <f t="shared" si="25"/>
        <v>103</v>
      </c>
    </row>
    <row r="1165" spans="1:11" s="1443" customFormat="1">
      <c r="A1165" s="1439" t="s">
        <v>1929</v>
      </c>
      <c r="B1165" s="1437"/>
      <c r="C1165" s="1444" t="s">
        <v>1928</v>
      </c>
      <c r="D1165" s="1440">
        <v>1</v>
      </c>
      <c r="E1165" s="1437" t="s">
        <v>217</v>
      </c>
      <c r="F1165" s="1441">
        <v>62</v>
      </c>
      <c r="G1165" s="1437" t="s">
        <v>217</v>
      </c>
      <c r="H1165" s="1442">
        <f t="shared" si="25"/>
        <v>62</v>
      </c>
    </row>
    <row r="1166" spans="1:11" s="1443" customFormat="1">
      <c r="A1166" s="1439" t="s">
        <v>1931</v>
      </c>
      <c r="B1166" s="1437"/>
      <c r="C1166" s="1438" t="s">
        <v>1930</v>
      </c>
      <c r="D1166" s="1440">
        <v>1</v>
      </c>
      <c r="E1166" s="1437" t="s">
        <v>217</v>
      </c>
      <c r="F1166" s="1441">
        <v>284</v>
      </c>
      <c r="G1166" s="1437" t="s">
        <v>217</v>
      </c>
      <c r="H1166" s="1442">
        <f t="shared" si="25"/>
        <v>284</v>
      </c>
    </row>
    <row r="1167" spans="1:11" s="1443" customFormat="1">
      <c r="A1167" s="1444"/>
      <c r="B1167" s="1437"/>
      <c r="C1167" s="1438" t="s">
        <v>557</v>
      </c>
      <c r="D1167" s="1440">
        <v>2</v>
      </c>
      <c r="E1167" s="1437" t="s">
        <v>217</v>
      </c>
      <c r="F1167" s="1441">
        <v>15</v>
      </c>
      <c r="G1167" s="1437" t="s">
        <v>217</v>
      </c>
      <c r="H1167" s="1442">
        <f t="shared" si="25"/>
        <v>30</v>
      </c>
    </row>
    <row r="1168" spans="1:11" s="1443" customFormat="1">
      <c r="A1168" s="1439" t="s">
        <v>1932</v>
      </c>
      <c r="B1168" s="1437"/>
      <c r="C1168" s="1438" t="s">
        <v>832</v>
      </c>
      <c r="D1168" s="1440">
        <v>2</v>
      </c>
      <c r="E1168" s="1437" t="s">
        <v>217</v>
      </c>
      <c r="F1168" s="1441">
        <v>9</v>
      </c>
      <c r="G1168" s="1437" t="s">
        <v>217</v>
      </c>
      <c r="H1168" s="1442">
        <f t="shared" si="25"/>
        <v>18</v>
      </c>
    </row>
    <row r="1169" spans="1:11" s="1443" customFormat="1">
      <c r="A1169" s="1444" t="s">
        <v>16</v>
      </c>
      <c r="B1169" s="1437"/>
      <c r="C1169" s="1438" t="s">
        <v>17</v>
      </c>
      <c r="D1169" s="1440">
        <v>4</v>
      </c>
      <c r="E1169" s="1437" t="s">
        <v>217</v>
      </c>
      <c r="F1169" s="1441">
        <v>32</v>
      </c>
      <c r="G1169" s="1437" t="s">
        <v>217</v>
      </c>
      <c r="H1169" s="1442">
        <f t="shared" si="25"/>
        <v>128</v>
      </c>
    </row>
    <row r="1170" spans="1:11" s="751" customFormat="1">
      <c r="A1170" s="967"/>
      <c r="B1170" s="748"/>
      <c r="C1170" s="749"/>
      <c r="D1170" s="750" t="s">
        <v>142</v>
      </c>
      <c r="E1170" s="758"/>
      <c r="F1170" s="758"/>
      <c r="H1170" s="750">
        <f>SUM(H1157:H1169)</f>
        <v>13443.6</v>
      </c>
      <c r="I1170" s="748"/>
      <c r="J1170" s="748"/>
      <c r="K1170" s="748"/>
    </row>
    <row r="1171" spans="1:11" s="751" customFormat="1" ht="81" customHeight="1">
      <c r="A1171" s="967"/>
      <c r="B1171" s="748">
        <v>37</v>
      </c>
      <c r="C1171" s="2033" t="s">
        <v>2185</v>
      </c>
      <c r="D1171" s="2034"/>
      <c r="E1171" s="2034"/>
      <c r="F1171" s="2034"/>
      <c r="G1171" s="2082"/>
      <c r="H1171" s="2083"/>
      <c r="I1171" s="748"/>
      <c r="J1171" s="748"/>
      <c r="K1171" s="748"/>
    </row>
    <row r="1172" spans="1:11" s="751" customFormat="1" ht="17.25" customHeight="1">
      <c r="A1172" s="967"/>
      <c r="B1172" s="748"/>
      <c r="C1172" s="1446" t="s">
        <v>1963</v>
      </c>
      <c r="D1172" s="1501"/>
      <c r="E1172" s="1501"/>
      <c r="F1172" s="1501"/>
      <c r="H1172" s="738"/>
      <c r="I1172" s="748"/>
      <c r="J1172" s="748"/>
      <c r="K1172" s="748"/>
    </row>
    <row r="1173" spans="1:11" s="777" customFormat="1">
      <c r="A1173" s="975" t="s">
        <v>1936</v>
      </c>
      <c r="B1173" s="748"/>
      <c r="C1173" s="759" t="s">
        <v>1938</v>
      </c>
      <c r="D1173" s="758">
        <v>5.0999999999999996</v>
      </c>
      <c r="E1173" s="724" t="s">
        <v>1918</v>
      </c>
      <c r="F1173" s="758">
        <v>805</v>
      </c>
      <c r="G1173" s="724" t="s">
        <v>1918</v>
      </c>
      <c r="H1173" s="758">
        <f t="shared" ref="H1173:H1185" si="26">ROUND(D1173*F1173,2)</f>
        <v>4105.5</v>
      </c>
      <c r="I1173" s="758"/>
      <c r="J1173" s="724"/>
      <c r="K1173" s="724"/>
    </row>
    <row r="1174" spans="1:11" s="777" customFormat="1" ht="27.75" customHeight="1">
      <c r="A1174" s="975"/>
      <c r="B1174" s="748"/>
      <c r="C1174" s="759" t="s">
        <v>1964</v>
      </c>
      <c r="D1174" s="1445">
        <v>3.2000000000000001E-2</v>
      </c>
      <c r="E1174" s="724" t="s">
        <v>181</v>
      </c>
      <c r="F1174" s="758">
        <f>F1386</f>
        <v>181.72</v>
      </c>
      <c r="G1174" s="724" t="s">
        <v>181</v>
      </c>
      <c r="H1174" s="758">
        <f t="shared" si="26"/>
        <v>5.82</v>
      </c>
      <c r="I1174" s="758"/>
      <c r="J1174" s="724"/>
      <c r="K1174" s="724"/>
    </row>
    <row r="1175" spans="1:11" s="777" customFormat="1" ht="24.75" customHeight="1">
      <c r="A1175" s="975" t="s">
        <v>1937</v>
      </c>
      <c r="B1175" s="748"/>
      <c r="C1175" s="759" t="s">
        <v>1965</v>
      </c>
      <c r="D1175" s="758">
        <v>1.89</v>
      </c>
      <c r="E1175" s="724" t="s">
        <v>184</v>
      </c>
      <c r="F1175" s="758">
        <v>3030</v>
      </c>
      <c r="G1175" s="724" t="s">
        <v>184</v>
      </c>
      <c r="H1175" s="758">
        <f t="shared" si="26"/>
        <v>5726.7</v>
      </c>
      <c r="I1175" s="758"/>
      <c r="J1175" s="724"/>
      <c r="K1175" s="724"/>
    </row>
    <row r="1176" spans="1:11" s="777" customFormat="1" ht="18" customHeight="1">
      <c r="A1176" s="975"/>
      <c r="B1176" s="748"/>
      <c r="C1176" s="759" t="s">
        <v>1933</v>
      </c>
      <c r="D1176" s="758">
        <f>D1175</f>
        <v>1.89</v>
      </c>
      <c r="E1176" s="724" t="s">
        <v>184</v>
      </c>
      <c r="F1176" s="758">
        <v>383</v>
      </c>
      <c r="G1176" s="724" t="s">
        <v>184</v>
      </c>
      <c r="H1176" s="758">
        <f t="shared" si="26"/>
        <v>723.87</v>
      </c>
      <c r="I1176" s="758"/>
      <c r="J1176" s="724"/>
      <c r="K1176" s="724"/>
    </row>
    <row r="1177" spans="1:11" s="1443" customFormat="1">
      <c r="A1177" s="1439" t="s">
        <v>1921</v>
      </c>
      <c r="B1177" s="1437"/>
      <c r="C1177" s="1438" t="s">
        <v>1920</v>
      </c>
      <c r="D1177" s="1440">
        <v>4</v>
      </c>
      <c r="E1177" s="1437" t="s">
        <v>217</v>
      </c>
      <c r="F1177" s="1441">
        <v>117</v>
      </c>
      <c r="G1177" s="1437" t="s">
        <v>217</v>
      </c>
      <c r="H1177" s="1442">
        <f t="shared" si="26"/>
        <v>468</v>
      </c>
    </row>
    <row r="1178" spans="1:11" s="1443" customFormat="1" ht="16.5" customHeight="1">
      <c r="A1178" s="1439" t="s">
        <v>1923</v>
      </c>
      <c r="B1178" s="1437"/>
      <c r="C1178" s="1438" t="s">
        <v>1922</v>
      </c>
      <c r="D1178" s="1440">
        <v>1</v>
      </c>
      <c r="E1178" s="1437" t="s">
        <v>217</v>
      </c>
      <c r="F1178" s="1441">
        <v>103</v>
      </c>
      <c r="G1178" s="1437" t="s">
        <v>217</v>
      </c>
      <c r="H1178" s="1442">
        <f t="shared" si="26"/>
        <v>103</v>
      </c>
    </row>
    <row r="1179" spans="1:11" s="1443" customFormat="1" ht="16.5" customHeight="1">
      <c r="A1179" s="1439" t="s">
        <v>1925</v>
      </c>
      <c r="B1179" s="1437"/>
      <c r="C1179" s="1438" t="s">
        <v>1924</v>
      </c>
      <c r="D1179" s="1440">
        <v>1</v>
      </c>
      <c r="E1179" s="1437" t="s">
        <v>217</v>
      </c>
      <c r="F1179" s="1441">
        <v>84</v>
      </c>
      <c r="G1179" s="1437" t="s">
        <v>217</v>
      </c>
      <c r="H1179" s="1442">
        <f t="shared" si="26"/>
        <v>84</v>
      </c>
    </row>
    <row r="1180" spans="1:11" s="1443" customFormat="1">
      <c r="A1180" s="1439" t="s">
        <v>1927</v>
      </c>
      <c r="B1180" s="1437"/>
      <c r="C1180" s="1444" t="s">
        <v>1926</v>
      </c>
      <c r="D1180" s="1440">
        <v>1</v>
      </c>
      <c r="E1180" s="1437" t="s">
        <v>217</v>
      </c>
      <c r="F1180" s="1441">
        <v>103</v>
      </c>
      <c r="G1180" s="1437" t="s">
        <v>217</v>
      </c>
      <c r="H1180" s="1442">
        <f t="shared" si="26"/>
        <v>103</v>
      </c>
    </row>
    <row r="1181" spans="1:11" s="1443" customFormat="1">
      <c r="A1181" s="1439" t="s">
        <v>1929</v>
      </c>
      <c r="B1181" s="1437"/>
      <c r="C1181" s="1444" t="s">
        <v>1928</v>
      </c>
      <c r="D1181" s="1440">
        <v>1</v>
      </c>
      <c r="E1181" s="1437" t="s">
        <v>217</v>
      </c>
      <c r="F1181" s="1441">
        <v>62</v>
      </c>
      <c r="G1181" s="1437" t="s">
        <v>217</v>
      </c>
      <c r="H1181" s="1442">
        <f t="shared" si="26"/>
        <v>62</v>
      </c>
    </row>
    <row r="1182" spans="1:11" s="1443" customFormat="1">
      <c r="A1182" s="1439" t="s">
        <v>1931</v>
      </c>
      <c r="B1182" s="1437"/>
      <c r="C1182" s="1438" t="s">
        <v>1930</v>
      </c>
      <c r="D1182" s="1440">
        <v>1</v>
      </c>
      <c r="E1182" s="1437" t="s">
        <v>217</v>
      </c>
      <c r="F1182" s="1441">
        <v>284</v>
      </c>
      <c r="G1182" s="1437" t="s">
        <v>217</v>
      </c>
      <c r="H1182" s="1442">
        <f t="shared" si="26"/>
        <v>284</v>
      </c>
    </row>
    <row r="1183" spans="1:11" s="1443" customFormat="1">
      <c r="A1183" s="1444"/>
      <c r="B1183" s="1437"/>
      <c r="C1183" s="1438" t="s">
        <v>557</v>
      </c>
      <c r="D1183" s="1440">
        <v>2</v>
      </c>
      <c r="E1183" s="1437" t="s">
        <v>217</v>
      </c>
      <c r="F1183" s="1441">
        <v>15</v>
      </c>
      <c r="G1183" s="1437" t="s">
        <v>217</v>
      </c>
      <c r="H1183" s="1442">
        <f t="shared" si="26"/>
        <v>30</v>
      </c>
    </row>
    <row r="1184" spans="1:11" s="1443" customFormat="1">
      <c r="A1184" s="1439" t="s">
        <v>1932</v>
      </c>
      <c r="B1184" s="1437"/>
      <c r="C1184" s="1438" t="s">
        <v>832</v>
      </c>
      <c r="D1184" s="1440">
        <v>2</v>
      </c>
      <c r="E1184" s="1437" t="s">
        <v>217</v>
      </c>
      <c r="F1184" s="1441">
        <v>9</v>
      </c>
      <c r="G1184" s="1437" t="s">
        <v>217</v>
      </c>
      <c r="H1184" s="1442">
        <f t="shared" si="26"/>
        <v>18</v>
      </c>
    </row>
    <row r="1185" spans="1:11" s="1443" customFormat="1">
      <c r="A1185" s="1444" t="s">
        <v>16</v>
      </c>
      <c r="B1185" s="1437"/>
      <c r="C1185" s="1438" t="s">
        <v>17</v>
      </c>
      <c r="D1185" s="1440">
        <v>4</v>
      </c>
      <c r="E1185" s="1437" t="s">
        <v>217</v>
      </c>
      <c r="F1185" s="1441">
        <v>32</v>
      </c>
      <c r="G1185" s="1437" t="s">
        <v>217</v>
      </c>
      <c r="H1185" s="1442">
        <f t="shared" si="26"/>
        <v>128</v>
      </c>
    </row>
    <row r="1186" spans="1:11" s="751" customFormat="1">
      <c r="A1186" s="967"/>
      <c r="B1186" s="748"/>
      <c r="C1186" s="749"/>
      <c r="D1186" s="750" t="s">
        <v>142</v>
      </c>
      <c r="E1186" s="758"/>
      <c r="F1186" s="758"/>
      <c r="H1186" s="1910">
        <f>SUM(H1173:H1185)</f>
        <v>11841.890000000001</v>
      </c>
      <c r="I1186" s="1913"/>
      <c r="J1186" s="1911"/>
      <c r="K1186" s="748"/>
    </row>
    <row r="1187" spans="1:11" s="751" customFormat="1" ht="79.5" customHeight="1">
      <c r="A1187" s="967"/>
      <c r="B1187" s="748">
        <v>38</v>
      </c>
      <c r="C1187" s="2033" t="s">
        <v>2185</v>
      </c>
      <c r="D1187" s="2034"/>
      <c r="E1187" s="2034"/>
      <c r="F1187" s="2034"/>
      <c r="G1187" s="2082"/>
      <c r="H1187" s="2082"/>
      <c r="I1187" s="1913"/>
      <c r="J1187" s="1911"/>
      <c r="K1187" s="748"/>
    </row>
    <row r="1188" spans="1:11" s="751" customFormat="1" ht="17.25" customHeight="1">
      <c r="A1188" s="967"/>
      <c r="B1188" s="748"/>
      <c r="C1188" s="1446" t="s">
        <v>1941</v>
      </c>
      <c r="D1188" s="1501"/>
      <c r="E1188" s="1501"/>
      <c r="F1188" s="1501"/>
      <c r="H1188" s="738"/>
      <c r="I1188" s="1913"/>
      <c r="J1188" s="1911"/>
      <c r="K1188" s="748"/>
    </row>
    <row r="1189" spans="1:11" s="777" customFormat="1">
      <c r="A1189" s="975" t="s">
        <v>1942</v>
      </c>
      <c r="B1189" s="748"/>
      <c r="C1189" s="759" t="s">
        <v>1943</v>
      </c>
      <c r="D1189" s="758">
        <v>4.95</v>
      </c>
      <c r="E1189" s="724" t="s">
        <v>1918</v>
      </c>
      <c r="F1189" s="758">
        <v>506</v>
      </c>
      <c r="G1189" s="724" t="s">
        <v>1918</v>
      </c>
      <c r="H1189" s="758">
        <f t="shared" ref="H1189:H1201" si="27">ROUND(D1189*F1189,2)</f>
        <v>2504.6999999999998</v>
      </c>
      <c r="I1189" s="1914"/>
      <c r="J1189" s="1912"/>
      <c r="K1189" s="724"/>
    </row>
    <row r="1190" spans="1:11" s="777" customFormat="1" ht="27.75" customHeight="1">
      <c r="A1190" s="975"/>
      <c r="B1190" s="748"/>
      <c r="C1190" s="759" t="s">
        <v>1944</v>
      </c>
      <c r="D1190" s="1445">
        <v>1.7000000000000001E-2</v>
      </c>
      <c r="E1190" s="724" t="s">
        <v>181</v>
      </c>
      <c r="F1190" s="758">
        <f>F1142</f>
        <v>12475.2</v>
      </c>
      <c r="G1190" s="724" t="s">
        <v>181</v>
      </c>
      <c r="H1190" s="758">
        <f t="shared" si="27"/>
        <v>212.08</v>
      </c>
      <c r="I1190" s="1914"/>
      <c r="J1190" s="1912"/>
      <c r="K1190" s="724"/>
    </row>
    <row r="1191" spans="1:11" s="777" customFormat="1" ht="24.75" customHeight="1">
      <c r="A1191" s="975" t="s">
        <v>1937</v>
      </c>
      <c r="B1191" s="748"/>
      <c r="C1191" s="759" t="s">
        <v>1945</v>
      </c>
      <c r="D1191" s="758">
        <f>0.75*2.1</f>
        <v>1.5750000000000002</v>
      </c>
      <c r="E1191" s="724" t="s">
        <v>184</v>
      </c>
      <c r="F1191" s="758">
        <v>3030</v>
      </c>
      <c r="G1191" s="724" t="s">
        <v>184</v>
      </c>
      <c r="H1191" s="758">
        <f t="shared" si="27"/>
        <v>4772.25</v>
      </c>
      <c r="I1191" s="1914"/>
      <c r="J1191" s="1912"/>
      <c r="K1191" s="724"/>
    </row>
    <row r="1192" spans="1:11" s="777" customFormat="1" ht="18" customHeight="1">
      <c r="A1192" s="975"/>
      <c r="B1192" s="748"/>
      <c r="C1192" s="759" t="s">
        <v>1933</v>
      </c>
      <c r="D1192" s="758">
        <f>D1191</f>
        <v>1.5750000000000002</v>
      </c>
      <c r="E1192" s="724" t="s">
        <v>184</v>
      </c>
      <c r="F1192" s="758">
        <v>383</v>
      </c>
      <c r="G1192" s="724" t="s">
        <v>184</v>
      </c>
      <c r="H1192" s="758">
        <f t="shared" si="27"/>
        <v>603.23</v>
      </c>
      <c r="I1192" s="1914"/>
      <c r="J1192" s="1912"/>
      <c r="K1192" s="724"/>
    </row>
    <row r="1193" spans="1:11" s="1443" customFormat="1">
      <c r="A1193" s="1439" t="s">
        <v>1921</v>
      </c>
      <c r="B1193" s="1437"/>
      <c r="C1193" s="1438" t="s">
        <v>1920</v>
      </c>
      <c r="D1193" s="1440">
        <v>3</v>
      </c>
      <c r="E1193" s="1437" t="s">
        <v>217</v>
      </c>
      <c r="F1193" s="1441">
        <v>117</v>
      </c>
      <c r="G1193" s="1437" t="s">
        <v>217</v>
      </c>
      <c r="H1193" s="1442">
        <f t="shared" si="27"/>
        <v>351</v>
      </c>
    </row>
    <row r="1194" spans="1:11" s="1443" customFormat="1">
      <c r="A1194" s="1439" t="s">
        <v>1923</v>
      </c>
      <c r="B1194" s="1437"/>
      <c r="C1194" s="1438" t="s">
        <v>1922</v>
      </c>
      <c r="D1194" s="1440">
        <v>1</v>
      </c>
      <c r="E1194" s="1437" t="s">
        <v>217</v>
      </c>
      <c r="F1194" s="1441">
        <v>103</v>
      </c>
      <c r="G1194" s="1437" t="s">
        <v>217</v>
      </c>
      <c r="H1194" s="1442">
        <f t="shared" si="27"/>
        <v>103</v>
      </c>
    </row>
    <row r="1195" spans="1:11" s="1443" customFormat="1">
      <c r="A1195" s="1439" t="s">
        <v>1925</v>
      </c>
      <c r="B1195" s="1437"/>
      <c r="C1195" s="1438" t="s">
        <v>1924</v>
      </c>
      <c r="D1195" s="1440">
        <v>1</v>
      </c>
      <c r="E1195" s="1437" t="s">
        <v>217</v>
      </c>
      <c r="F1195" s="1441">
        <v>84</v>
      </c>
      <c r="G1195" s="1437" t="s">
        <v>217</v>
      </c>
      <c r="H1195" s="1442">
        <f t="shared" si="27"/>
        <v>84</v>
      </c>
    </row>
    <row r="1196" spans="1:11" s="1443" customFormat="1">
      <c r="A1196" s="1439" t="s">
        <v>1927</v>
      </c>
      <c r="B1196" s="1437"/>
      <c r="C1196" s="1444" t="s">
        <v>1926</v>
      </c>
      <c r="D1196" s="1440">
        <v>0</v>
      </c>
      <c r="E1196" s="1437" t="s">
        <v>217</v>
      </c>
      <c r="F1196" s="1441">
        <v>103</v>
      </c>
      <c r="G1196" s="1437" t="s">
        <v>217</v>
      </c>
      <c r="H1196" s="1442">
        <f t="shared" si="27"/>
        <v>0</v>
      </c>
    </row>
    <row r="1197" spans="1:11" s="1443" customFormat="1">
      <c r="A1197" s="1439" t="s">
        <v>1929</v>
      </c>
      <c r="B1197" s="1437"/>
      <c r="C1197" s="1444" t="s">
        <v>1928</v>
      </c>
      <c r="D1197" s="1440">
        <v>1</v>
      </c>
      <c r="E1197" s="1437" t="s">
        <v>217</v>
      </c>
      <c r="F1197" s="1441">
        <v>62</v>
      </c>
      <c r="G1197" s="1437" t="s">
        <v>217</v>
      </c>
      <c r="H1197" s="1442">
        <f t="shared" si="27"/>
        <v>62</v>
      </c>
    </row>
    <row r="1198" spans="1:11" s="1443" customFormat="1">
      <c r="A1198" s="1439" t="s">
        <v>1931</v>
      </c>
      <c r="B1198" s="1437"/>
      <c r="C1198" s="1438" t="s">
        <v>1930</v>
      </c>
      <c r="D1198" s="1440">
        <v>1</v>
      </c>
      <c r="E1198" s="1437" t="s">
        <v>217</v>
      </c>
      <c r="F1198" s="1441">
        <v>284</v>
      </c>
      <c r="G1198" s="1437" t="s">
        <v>217</v>
      </c>
      <c r="H1198" s="1442">
        <f t="shared" si="27"/>
        <v>284</v>
      </c>
    </row>
    <row r="1199" spans="1:11" s="1443" customFormat="1">
      <c r="A1199" s="1444"/>
      <c r="B1199" s="1437"/>
      <c r="C1199" s="1438" t="s">
        <v>557</v>
      </c>
      <c r="D1199" s="1440">
        <v>2</v>
      </c>
      <c r="E1199" s="1437" t="s">
        <v>217</v>
      </c>
      <c r="F1199" s="1441">
        <v>15</v>
      </c>
      <c r="G1199" s="1437" t="s">
        <v>217</v>
      </c>
      <c r="H1199" s="1442">
        <f t="shared" si="27"/>
        <v>30</v>
      </c>
    </row>
    <row r="1200" spans="1:11" s="1443" customFormat="1">
      <c r="A1200" s="1439" t="s">
        <v>1932</v>
      </c>
      <c r="B1200" s="1437"/>
      <c r="C1200" s="1438" t="s">
        <v>832</v>
      </c>
      <c r="D1200" s="1440">
        <v>0</v>
      </c>
      <c r="E1200" s="1437" t="s">
        <v>217</v>
      </c>
      <c r="F1200" s="1441">
        <v>9</v>
      </c>
      <c r="G1200" s="1437" t="s">
        <v>217</v>
      </c>
      <c r="H1200" s="1442">
        <f t="shared" si="27"/>
        <v>0</v>
      </c>
    </row>
    <row r="1201" spans="1:11" s="1443" customFormat="1">
      <c r="A1201" s="1444" t="s">
        <v>16</v>
      </c>
      <c r="B1201" s="1437"/>
      <c r="C1201" s="1438" t="s">
        <v>17</v>
      </c>
      <c r="D1201" s="1440">
        <v>3</v>
      </c>
      <c r="E1201" s="1437" t="s">
        <v>217</v>
      </c>
      <c r="F1201" s="1441">
        <v>32</v>
      </c>
      <c r="G1201" s="1437" t="s">
        <v>217</v>
      </c>
      <c r="H1201" s="1442">
        <f t="shared" si="27"/>
        <v>96</v>
      </c>
    </row>
    <row r="1202" spans="1:11" s="751" customFormat="1">
      <c r="A1202" s="967"/>
      <c r="B1202" s="748"/>
      <c r="C1202" s="749"/>
      <c r="D1202" s="750" t="s">
        <v>142</v>
      </c>
      <c r="E1202" s="758"/>
      <c r="F1202" s="758"/>
      <c r="H1202" s="750">
        <f>SUM(H1189:H1201)</f>
        <v>9102.26</v>
      </c>
      <c r="I1202" s="748"/>
      <c r="J1202" s="748"/>
      <c r="K1202" s="748"/>
    </row>
    <row r="1203" spans="1:11" s="1654" customFormat="1" ht="40.5" customHeight="1">
      <c r="A1203" s="1651"/>
      <c r="B1203" s="1652">
        <v>39</v>
      </c>
      <c r="C1203" s="2048" t="s">
        <v>2081</v>
      </c>
      <c r="D1203" s="2049"/>
      <c r="E1203" s="2049"/>
      <c r="F1203" s="2049"/>
      <c r="G1203" s="2049"/>
      <c r="H1203" s="2050"/>
      <c r="I1203" s="1653"/>
    </row>
    <row r="1204" spans="1:11" s="1662" customFormat="1">
      <c r="A1204" s="1655"/>
      <c r="B1204" s="1656"/>
      <c r="C1204" s="1657" t="s">
        <v>623</v>
      </c>
      <c r="D1204" s="1658"/>
      <c r="E1204" s="1659"/>
      <c r="F1204" s="1659"/>
      <c r="G1204" s="1660"/>
      <c r="H1204" s="1661"/>
      <c r="I1204" s="1659"/>
    </row>
    <row r="1205" spans="1:11" s="1662" customFormat="1" ht="26">
      <c r="A1205" s="1655"/>
      <c r="B1205" s="1656"/>
      <c r="C1205" s="1657" t="s">
        <v>2082</v>
      </c>
      <c r="D1205" s="1658"/>
      <c r="E1205" s="1659"/>
      <c r="F1205" s="1659"/>
      <c r="G1205" s="1660"/>
      <c r="H1205" s="1661"/>
      <c r="I1205" s="1659"/>
    </row>
    <row r="1206" spans="1:11" s="1667" customFormat="1">
      <c r="A1206" s="1663"/>
      <c r="B1206" s="1354"/>
      <c r="C1206" s="1664" t="s">
        <v>2083</v>
      </c>
      <c r="D1206" s="1665" t="s">
        <v>2084</v>
      </c>
      <c r="E1206" s="1449" t="s">
        <v>2085</v>
      </c>
      <c r="F1206" s="1665"/>
      <c r="G1206" s="1666"/>
      <c r="H1206" s="1665">
        <v>2.52</v>
      </c>
      <c r="I1206" s="1665" t="s">
        <v>113</v>
      </c>
    </row>
    <row r="1207" spans="1:11" s="1667" customFormat="1" ht="12.5">
      <c r="A1207" s="1663"/>
      <c r="B1207" s="1354"/>
      <c r="C1207" s="1668" t="s">
        <v>2086</v>
      </c>
      <c r="D1207" s="1669" t="s">
        <v>2087</v>
      </c>
      <c r="E1207" s="1666"/>
      <c r="F1207" s="1669"/>
      <c r="G1207" s="1666"/>
      <c r="H1207" s="1666"/>
      <c r="I1207" s="1669"/>
    </row>
    <row r="1208" spans="1:11" s="1667" customFormat="1" ht="12.5">
      <c r="A1208" s="1663"/>
      <c r="B1208" s="1354"/>
      <c r="C1208" s="1668"/>
      <c r="D1208" s="1670" t="s">
        <v>2088</v>
      </c>
      <c r="E1208" s="1666"/>
      <c r="F1208" s="1669"/>
      <c r="G1208" s="1671">
        <f>ROUND(4.1*0.12*0.035,4)</f>
        <v>1.72E-2</v>
      </c>
      <c r="H1208" s="1666" t="s">
        <v>181</v>
      </c>
      <c r="I1208" s="1669"/>
    </row>
    <row r="1209" spans="1:11" s="1667" customFormat="1" ht="12.5">
      <c r="A1209" s="1663"/>
      <c r="B1209" s="1354"/>
      <c r="C1209" s="1668" t="s">
        <v>2089</v>
      </c>
      <c r="D1209" s="1669" t="s">
        <v>2090</v>
      </c>
      <c r="E1209" s="1666"/>
      <c r="F1209" s="1669"/>
      <c r="G1209" s="1666"/>
      <c r="H1209" s="1666"/>
      <c r="I1209" s="1669"/>
    </row>
    <row r="1210" spans="1:11" s="1667" customFormat="1" ht="12.5">
      <c r="A1210" s="1663"/>
      <c r="B1210" s="1354"/>
      <c r="C1210" s="1668"/>
      <c r="D1210" s="1670" t="s">
        <v>2091</v>
      </c>
      <c r="E1210" s="1666"/>
      <c r="F1210" s="1669"/>
      <c r="G1210" s="1671">
        <f>ROUND(3.6*0.12*0.035,4)</f>
        <v>1.5100000000000001E-2</v>
      </c>
      <c r="H1210" s="1666" t="s">
        <v>181</v>
      </c>
      <c r="I1210" s="1669"/>
    </row>
    <row r="1211" spans="1:11" s="1667" customFormat="1">
      <c r="A1211" s="1663"/>
      <c r="B1211" s="1354"/>
      <c r="C1211" s="1668"/>
      <c r="D1211" s="1670"/>
      <c r="E1211" s="1449" t="s">
        <v>2092</v>
      </c>
      <c r="F1211" s="1669"/>
      <c r="G1211" s="1672">
        <f>SUM(G1208:G1210)</f>
        <v>3.2300000000000002E-2</v>
      </c>
      <c r="H1211" s="1666"/>
      <c r="I1211" s="1669"/>
    </row>
    <row r="1212" spans="1:11" s="1667" customFormat="1" ht="12.5">
      <c r="A1212" s="1663"/>
      <c r="B1212" s="1354"/>
      <c r="C1212" s="1668" t="s">
        <v>2093</v>
      </c>
      <c r="D1212" s="1669" t="s">
        <v>2094</v>
      </c>
      <c r="E1212" s="1666"/>
      <c r="F1212" s="1669"/>
      <c r="G1212" s="1666"/>
      <c r="H1212" s="1666"/>
      <c r="I1212" s="1669"/>
    </row>
    <row r="1213" spans="1:11" s="1667" customFormat="1">
      <c r="A1213" s="1663"/>
      <c r="B1213" s="1354"/>
      <c r="C1213" s="1668"/>
      <c r="D1213" s="1670"/>
      <c r="E1213" s="1666" t="s">
        <v>2095</v>
      </c>
      <c r="F1213" s="1669"/>
      <c r="G1213" s="1672">
        <f>2*0.9*1*0.032</f>
        <v>5.7600000000000005E-2</v>
      </c>
      <c r="H1213" s="1666" t="s">
        <v>181</v>
      </c>
      <c r="I1213" s="1669"/>
    </row>
    <row r="1214" spans="1:11" s="1662" customFormat="1" ht="15" customHeight="1">
      <c r="A1214" s="1655"/>
      <c r="B1214" s="1656"/>
      <c r="C1214" s="1673" t="s">
        <v>2096</v>
      </c>
      <c r="D1214" s="1873" t="s">
        <v>2097</v>
      </c>
      <c r="E1214" s="1673"/>
      <c r="F1214" s="1674" t="s">
        <v>181</v>
      </c>
      <c r="G1214" s="1675">
        <f>G1211</f>
        <v>3.2300000000000002E-2</v>
      </c>
      <c r="H1214" s="1674">
        <v>122614</v>
      </c>
      <c r="I1214" s="1674">
        <f>G1214*H1214</f>
        <v>3960.4322000000002</v>
      </c>
    </row>
    <row r="1215" spans="1:11" s="1662" customFormat="1" ht="15" customHeight="1">
      <c r="A1215" s="1655"/>
      <c r="B1215" s="1656"/>
      <c r="C1215" s="1673" t="s">
        <v>2098</v>
      </c>
      <c r="D1215" s="1873" t="s">
        <v>2099</v>
      </c>
      <c r="E1215" s="1673"/>
      <c r="F1215" s="1674" t="s">
        <v>181</v>
      </c>
      <c r="G1215" s="1675">
        <f>G1213</f>
        <v>5.7600000000000005E-2</v>
      </c>
      <c r="H1215" s="1674">
        <v>154257</v>
      </c>
      <c r="I1215" s="1674">
        <f>G1215*H1215</f>
        <v>8885.2031999999999</v>
      </c>
    </row>
    <row r="1216" spans="1:11" s="1662" customFormat="1" ht="15" customHeight="1">
      <c r="A1216" s="1655"/>
      <c r="B1216" s="1656"/>
      <c r="C1216" s="1673" t="s">
        <v>2100</v>
      </c>
      <c r="D1216" s="1873" t="s">
        <v>2101</v>
      </c>
      <c r="E1216" s="1673"/>
      <c r="F1216" s="1674" t="s">
        <v>184</v>
      </c>
      <c r="G1216" s="1675">
        <f>1.2*2.1</f>
        <v>2.52</v>
      </c>
      <c r="H1216" s="1674">
        <v>1570</v>
      </c>
      <c r="I1216" s="1674">
        <f>G1216*H1216</f>
        <v>3956.4</v>
      </c>
    </row>
    <row r="1217" spans="1:9" s="1654" customFormat="1">
      <c r="A1217" s="1676"/>
      <c r="B1217" s="1677"/>
      <c r="C1217" s="1678" t="s">
        <v>2102</v>
      </c>
      <c r="D1217" s="1652"/>
      <c r="E1217" s="1679"/>
      <c r="F1217" s="1679"/>
      <c r="G1217" s="1674"/>
      <c r="H1217" s="1680"/>
      <c r="I1217" s="1679"/>
    </row>
    <row r="1218" spans="1:9" s="1654" customFormat="1">
      <c r="A1218" s="1676"/>
      <c r="B1218" s="1677"/>
      <c r="C1218" s="1681" t="s">
        <v>2103</v>
      </c>
      <c r="D1218" s="1652">
        <v>2</v>
      </c>
      <c r="E1218" s="1677">
        <v>2.1</v>
      </c>
      <c r="F1218" s="1677">
        <v>0.1</v>
      </c>
      <c r="G1218" s="1674">
        <f>2*2.1*0.1*0.075</f>
        <v>3.15E-2</v>
      </c>
      <c r="H1218" s="1677"/>
      <c r="I1218" s="1677"/>
    </row>
    <row r="1219" spans="1:9" s="1654" customFormat="1">
      <c r="A1219" s="1676"/>
      <c r="B1219" s="1677"/>
      <c r="C1219" s="1681" t="s">
        <v>2104</v>
      </c>
      <c r="D1219" s="1652">
        <v>2</v>
      </c>
      <c r="E1219" s="1677">
        <v>1.2</v>
      </c>
      <c r="F1219" s="1677">
        <v>0.1</v>
      </c>
      <c r="G1219" s="1674">
        <f>D1219*E1219*F1219*F1219</f>
        <v>2.4E-2</v>
      </c>
      <c r="H1219" s="1677"/>
      <c r="I1219" s="1677"/>
    </row>
    <row r="1220" spans="1:9" s="1654" customFormat="1">
      <c r="A1220" s="1676"/>
      <c r="B1220" s="1677"/>
      <c r="C1220" s="1681"/>
      <c r="D1220" s="1652"/>
      <c r="E1220" s="1677"/>
      <c r="F1220" s="1677"/>
      <c r="G1220" s="1674">
        <f>SUM(G1218:G1219)</f>
        <v>5.5500000000000001E-2</v>
      </c>
      <c r="H1220" s="1677">
        <v>122614</v>
      </c>
      <c r="I1220" s="1677">
        <f>ROUND(G1220*H1220,2)</f>
        <v>6805.08</v>
      </c>
    </row>
    <row r="1221" spans="1:9" s="1654" customFormat="1">
      <c r="A1221" s="1676"/>
      <c r="B1221" s="1677"/>
      <c r="C1221" s="1681" t="s">
        <v>210</v>
      </c>
      <c r="D1221" s="1652"/>
      <c r="E1221" s="1677"/>
      <c r="F1221" s="1677"/>
      <c r="G1221" s="1674">
        <f>SUM(G1220)</f>
        <v>5.5500000000000001E-2</v>
      </c>
      <c r="H1221" s="1677">
        <f>G1138</f>
        <v>12475.2</v>
      </c>
      <c r="I1221" s="1677">
        <f>ROUND(G1221*H1221,2)</f>
        <v>692.37</v>
      </c>
    </row>
    <row r="1222" spans="1:9" s="1654" customFormat="1">
      <c r="A1222" s="1676"/>
      <c r="B1222" s="1677"/>
      <c r="C1222" s="1681" t="s">
        <v>2105</v>
      </c>
      <c r="D1222" s="1652"/>
      <c r="E1222" s="1677"/>
      <c r="F1222" s="1677"/>
      <c r="G1222" s="1674"/>
      <c r="H1222" s="1677"/>
      <c r="I1222" s="1682">
        <f>ROUND(SUM(I1214:I1221),1)</f>
        <v>24299.5</v>
      </c>
    </row>
    <row r="1223" spans="1:9" s="1662" customFormat="1" hidden="1">
      <c r="A1223" s="1655"/>
      <c r="B1223" s="1656"/>
      <c r="C1223" s="1683"/>
      <c r="D1223" s="1684"/>
      <c r="E1223" s="1659"/>
      <c r="F1223" s="1660"/>
      <c r="G1223" s="1661"/>
      <c r="H1223" s="1659"/>
      <c r="I1223" s="1674"/>
    </row>
    <row r="1224" spans="1:9" s="1443" customFormat="1">
      <c r="A1224" s="1685"/>
      <c r="B1224" s="1437"/>
      <c r="C1224" s="1438" t="s">
        <v>1920</v>
      </c>
      <c r="D1224" s="1439" t="s">
        <v>1921</v>
      </c>
      <c r="E1224" s="1685"/>
      <c r="F1224" s="1437" t="s">
        <v>217</v>
      </c>
      <c r="G1224" s="1440">
        <v>6</v>
      </c>
      <c r="H1224" s="1441">
        <v>117</v>
      </c>
      <c r="I1224" s="1442">
        <f t="shared" ref="I1224:I1232" si="28">ROUND(G1224*H1224,2)</f>
        <v>702</v>
      </c>
    </row>
    <row r="1225" spans="1:9" s="1443" customFormat="1" ht="15.75" customHeight="1">
      <c r="A1225" s="1685"/>
      <c r="B1225" s="1437"/>
      <c r="C1225" s="1438" t="s">
        <v>1922</v>
      </c>
      <c r="D1225" s="1439" t="s">
        <v>1923</v>
      </c>
      <c r="E1225" s="1685"/>
      <c r="F1225" s="1437" t="s">
        <v>217</v>
      </c>
      <c r="G1225" s="1440">
        <v>1</v>
      </c>
      <c r="H1225" s="1441">
        <v>103</v>
      </c>
      <c r="I1225" s="1442">
        <f t="shared" si="28"/>
        <v>103</v>
      </c>
    </row>
    <row r="1226" spans="1:9" s="1443" customFormat="1" ht="15.75" customHeight="1">
      <c r="A1226" s="1685"/>
      <c r="B1226" s="1437"/>
      <c r="C1226" s="1438" t="s">
        <v>1924</v>
      </c>
      <c r="D1226" s="1439" t="s">
        <v>1925</v>
      </c>
      <c r="E1226" s="1685"/>
      <c r="F1226" s="1437" t="s">
        <v>217</v>
      </c>
      <c r="G1226" s="1440">
        <v>1</v>
      </c>
      <c r="H1226" s="1441">
        <v>84</v>
      </c>
      <c r="I1226" s="1442">
        <f t="shared" si="28"/>
        <v>84</v>
      </c>
    </row>
    <row r="1227" spans="1:9" s="1443" customFormat="1">
      <c r="A1227" s="1685"/>
      <c r="B1227" s="1437"/>
      <c r="C1227" s="1444" t="s">
        <v>1926</v>
      </c>
      <c r="D1227" s="1439" t="s">
        <v>1927</v>
      </c>
      <c r="E1227" s="1685"/>
      <c r="F1227" s="1437" t="s">
        <v>217</v>
      </c>
      <c r="G1227" s="1440">
        <v>2</v>
      </c>
      <c r="H1227" s="1441">
        <v>103</v>
      </c>
      <c r="I1227" s="1442">
        <f t="shared" si="28"/>
        <v>206</v>
      </c>
    </row>
    <row r="1228" spans="1:9" s="1443" customFormat="1">
      <c r="A1228" s="1685"/>
      <c r="B1228" s="1437"/>
      <c r="C1228" s="1444" t="s">
        <v>1928</v>
      </c>
      <c r="D1228" s="1439" t="s">
        <v>1929</v>
      </c>
      <c r="E1228" s="1685"/>
      <c r="F1228" s="1437" t="s">
        <v>217</v>
      </c>
      <c r="G1228" s="1440">
        <v>1</v>
      </c>
      <c r="H1228" s="1441">
        <v>62</v>
      </c>
      <c r="I1228" s="1442">
        <f t="shared" si="28"/>
        <v>62</v>
      </c>
    </row>
    <row r="1229" spans="1:9" s="1443" customFormat="1">
      <c r="A1229" s="1685"/>
      <c r="B1229" s="1437"/>
      <c r="C1229" s="1438" t="s">
        <v>1930</v>
      </c>
      <c r="D1229" s="1439" t="s">
        <v>1931</v>
      </c>
      <c r="E1229" s="1685"/>
      <c r="F1229" s="1437" t="s">
        <v>217</v>
      </c>
      <c r="G1229" s="1440">
        <v>1</v>
      </c>
      <c r="H1229" s="1441">
        <v>284</v>
      </c>
      <c r="I1229" s="1442">
        <f t="shared" si="28"/>
        <v>284</v>
      </c>
    </row>
    <row r="1230" spans="1:9" s="1443" customFormat="1">
      <c r="A1230" s="1685"/>
      <c r="B1230" s="1437"/>
      <c r="C1230" s="1438" t="s">
        <v>557</v>
      </c>
      <c r="D1230" s="1444"/>
      <c r="E1230" s="1685"/>
      <c r="F1230" s="1437" t="s">
        <v>217</v>
      </c>
      <c r="G1230" s="1440">
        <v>2</v>
      </c>
      <c r="H1230" s="1441">
        <v>15</v>
      </c>
      <c r="I1230" s="1442">
        <f t="shared" si="28"/>
        <v>30</v>
      </c>
    </row>
    <row r="1231" spans="1:9" s="1443" customFormat="1">
      <c r="A1231" s="1685"/>
      <c r="B1231" s="1437"/>
      <c r="C1231" s="1438" t="s">
        <v>832</v>
      </c>
      <c r="D1231" s="1439" t="s">
        <v>1932</v>
      </c>
      <c r="E1231" s="1685"/>
      <c r="F1231" s="1437" t="s">
        <v>217</v>
      </c>
      <c r="G1231" s="1440">
        <v>2</v>
      </c>
      <c r="H1231" s="1441">
        <v>9</v>
      </c>
      <c r="I1231" s="1442">
        <f t="shared" si="28"/>
        <v>18</v>
      </c>
    </row>
    <row r="1232" spans="1:9" s="1443" customFormat="1" ht="13.5" customHeight="1">
      <c r="A1232" s="1685"/>
      <c r="B1232" s="1437"/>
      <c r="C1232" s="1438" t="s">
        <v>17</v>
      </c>
      <c r="D1232" s="1444" t="s">
        <v>16</v>
      </c>
      <c r="E1232" s="1685"/>
      <c r="F1232" s="1437" t="s">
        <v>217</v>
      </c>
      <c r="G1232" s="1440">
        <v>4</v>
      </c>
      <c r="H1232" s="1441">
        <v>32</v>
      </c>
      <c r="I1232" s="1442">
        <f t="shared" si="28"/>
        <v>128</v>
      </c>
    </row>
    <row r="1233" spans="1:10" s="1688" customFormat="1" ht="15.5">
      <c r="A1233" s="1651"/>
      <c r="B1233" s="1682"/>
      <c r="C1233" s="1657" t="s">
        <v>2106</v>
      </c>
      <c r="D1233" s="1686"/>
      <c r="E1233" s="1659"/>
      <c r="F1233" s="1660"/>
      <c r="G1233" s="1661"/>
      <c r="H1233" s="1659"/>
      <c r="I1233" s="1682">
        <f>SUM(I1223:I1232)</f>
        <v>1617</v>
      </c>
      <c r="J1233" s="1687"/>
    </row>
    <row r="1234" spans="1:10" s="1654" customFormat="1">
      <c r="A1234" s="1676"/>
      <c r="B1234" s="1677"/>
      <c r="C1234" s="1681" t="s">
        <v>631</v>
      </c>
      <c r="D1234" s="1652"/>
      <c r="E1234" s="1677"/>
      <c r="F1234" s="1677"/>
      <c r="G1234" s="1674"/>
      <c r="H1234" s="1677"/>
      <c r="I1234" s="1682">
        <f>I1222+I1233</f>
        <v>25916.5</v>
      </c>
    </row>
    <row r="1235" spans="1:10" s="1662" customFormat="1">
      <c r="A1235" s="1655"/>
      <c r="B1235" s="1656"/>
      <c r="C1235" s="1657"/>
      <c r="D1235" s="1658"/>
      <c r="E1235" s="1659"/>
      <c r="F1235" s="1659"/>
      <c r="G1235" s="1661"/>
      <c r="H1235" s="1659"/>
      <c r="I1235" s="1682">
        <f>ROUND(SUM(I1234:I1234),0)</f>
        <v>25917</v>
      </c>
    </row>
    <row r="1236" spans="1:10" s="1654" customFormat="1" ht="51" customHeight="1">
      <c r="A1236" s="1651"/>
      <c r="B1236" s="1652">
        <v>40</v>
      </c>
      <c r="C1236" s="2048" t="s">
        <v>1127</v>
      </c>
      <c r="D1236" s="2049"/>
      <c r="E1236" s="2049"/>
      <c r="F1236" s="2049"/>
      <c r="G1236" s="2049"/>
      <c r="H1236" s="2050"/>
      <c r="I1236" s="1653"/>
    </row>
    <row r="1237" spans="1:10" s="1662" customFormat="1">
      <c r="A1237" s="1655"/>
      <c r="B1237" s="1656"/>
      <c r="C1237" s="1657" t="s">
        <v>623</v>
      </c>
      <c r="D1237" s="1658"/>
      <c r="E1237" s="1659"/>
      <c r="F1237" s="1659"/>
      <c r="G1237" s="1660"/>
      <c r="H1237" s="1661"/>
      <c r="I1237" s="1659"/>
    </row>
    <row r="1238" spans="1:10" s="1662" customFormat="1" ht="17.25" customHeight="1">
      <c r="A1238" s="1655"/>
      <c r="B1238" s="1656"/>
      <c r="C1238" s="1681" t="s">
        <v>2107</v>
      </c>
      <c r="D1238" s="1658"/>
      <c r="E1238" s="1659"/>
      <c r="F1238" s="1659"/>
      <c r="G1238" s="1660"/>
      <c r="H1238" s="1661"/>
      <c r="I1238" s="1659"/>
    </row>
    <row r="1239" spans="1:10" s="1662" customFormat="1" ht="54.75" customHeight="1">
      <c r="A1239" s="1655"/>
      <c r="B1239" s="1656"/>
      <c r="C1239" s="1673" t="s">
        <v>1126</v>
      </c>
      <c r="D1239" s="1673"/>
      <c r="E1239" s="1673"/>
      <c r="F1239" s="1674" t="s">
        <v>184</v>
      </c>
      <c r="G1239" s="1674">
        <v>1</v>
      </c>
      <c r="H1239" s="1674">
        <v>1232</v>
      </c>
      <c r="I1239" s="1674">
        <f>G1239*H1239</f>
        <v>1232</v>
      </c>
    </row>
    <row r="1240" spans="1:10" s="1662" customFormat="1" ht="28.5" customHeight="1">
      <c r="A1240" s="1655"/>
      <c r="B1240" s="1656"/>
      <c r="C1240" s="1673" t="s">
        <v>637</v>
      </c>
      <c r="D1240" s="1673"/>
      <c r="E1240" s="1673"/>
      <c r="F1240" s="1674" t="s">
        <v>184</v>
      </c>
      <c r="G1240" s="1674">
        <v>1</v>
      </c>
      <c r="H1240" s="1674">
        <v>383</v>
      </c>
      <c r="I1240" s="1674">
        <f>G1240*H1240</f>
        <v>383</v>
      </c>
    </row>
    <row r="1241" spans="1:10" s="1662" customFormat="1">
      <c r="A1241" s="1655"/>
      <c r="B1241" s="1656"/>
      <c r="C1241" s="1683" t="s">
        <v>625</v>
      </c>
      <c r="D1241" s="1684"/>
      <c r="E1241" s="1659"/>
      <c r="F1241" s="1660"/>
      <c r="G1241" s="1661"/>
      <c r="H1241" s="1659"/>
      <c r="I1241" s="1674">
        <f>SUM(I1239:I1240)</f>
        <v>1615</v>
      </c>
    </row>
    <row r="1242" spans="1:10" s="1662" customFormat="1">
      <c r="A1242" s="1689"/>
      <c r="B1242" s="1656"/>
      <c r="C1242" s="1683" t="s">
        <v>2108</v>
      </c>
      <c r="D1242" s="1684"/>
      <c r="E1242" s="1659"/>
      <c r="F1242" s="1660"/>
      <c r="G1242" s="1661"/>
      <c r="H1242" s="1682">
        <f>ROUND(1.2*2.1,2)</f>
        <v>2.52</v>
      </c>
      <c r="I1242" s="1674">
        <f>H1242*I1241</f>
        <v>4069.8</v>
      </c>
    </row>
    <row r="1243" spans="1:10" s="1443" customFormat="1">
      <c r="A1243" s="1685"/>
      <c r="B1243" s="1437"/>
      <c r="C1243" s="1438" t="s">
        <v>1920</v>
      </c>
      <c r="D1243" s="1439" t="s">
        <v>1921</v>
      </c>
      <c r="E1243" s="1685"/>
      <c r="F1243" s="1437" t="s">
        <v>217</v>
      </c>
      <c r="G1243" s="1440">
        <v>6</v>
      </c>
      <c r="H1243" s="1441">
        <v>117</v>
      </c>
      <c r="I1243" s="1442">
        <f t="shared" ref="I1243:I1251" si="29">ROUND(G1243*H1243,2)</f>
        <v>702</v>
      </c>
    </row>
    <row r="1244" spans="1:10" s="1443" customFormat="1" ht="15" customHeight="1">
      <c r="A1244" s="1685"/>
      <c r="B1244" s="1437"/>
      <c r="C1244" s="1438" t="s">
        <v>1922</v>
      </c>
      <c r="D1244" s="1439" t="s">
        <v>1923</v>
      </c>
      <c r="E1244" s="1685"/>
      <c r="F1244" s="1437" t="s">
        <v>217</v>
      </c>
      <c r="G1244" s="1440">
        <v>1</v>
      </c>
      <c r="H1244" s="1441">
        <v>103</v>
      </c>
      <c r="I1244" s="1442">
        <f t="shared" si="29"/>
        <v>103</v>
      </c>
    </row>
    <row r="1245" spans="1:10" s="1443" customFormat="1" ht="15" customHeight="1">
      <c r="A1245" s="1685"/>
      <c r="B1245" s="1437"/>
      <c r="C1245" s="1438" t="s">
        <v>1924</v>
      </c>
      <c r="D1245" s="1439" t="s">
        <v>1925</v>
      </c>
      <c r="E1245" s="1685"/>
      <c r="F1245" s="1437" t="s">
        <v>217</v>
      </c>
      <c r="G1245" s="1440">
        <v>1</v>
      </c>
      <c r="H1245" s="1441">
        <v>84</v>
      </c>
      <c r="I1245" s="1442">
        <f t="shared" si="29"/>
        <v>84</v>
      </c>
    </row>
    <row r="1246" spans="1:10" s="1443" customFormat="1" ht="17.25" customHeight="1">
      <c r="A1246" s="1685"/>
      <c r="B1246" s="1437"/>
      <c r="C1246" s="1884" t="s">
        <v>1926</v>
      </c>
      <c r="D1246" s="1439" t="s">
        <v>1927</v>
      </c>
      <c r="E1246" s="1685"/>
      <c r="F1246" s="1437" t="s">
        <v>217</v>
      </c>
      <c r="G1246" s="1440">
        <v>2</v>
      </c>
      <c r="H1246" s="1441">
        <v>103</v>
      </c>
      <c r="I1246" s="1442">
        <f t="shared" si="29"/>
        <v>206</v>
      </c>
    </row>
    <row r="1247" spans="1:10" s="1443" customFormat="1" ht="17.25" customHeight="1">
      <c r="A1247" s="1685"/>
      <c r="B1247" s="1437"/>
      <c r="C1247" s="1884" t="s">
        <v>1928</v>
      </c>
      <c r="D1247" s="1439" t="s">
        <v>1929</v>
      </c>
      <c r="E1247" s="1685"/>
      <c r="F1247" s="1437" t="s">
        <v>217</v>
      </c>
      <c r="G1247" s="1440">
        <v>1</v>
      </c>
      <c r="H1247" s="1441">
        <v>62</v>
      </c>
      <c r="I1247" s="1442">
        <f t="shared" si="29"/>
        <v>62</v>
      </c>
    </row>
    <row r="1248" spans="1:10" s="1443" customFormat="1">
      <c r="A1248" s="1685"/>
      <c r="B1248" s="1437"/>
      <c r="C1248" s="1438" t="s">
        <v>1930</v>
      </c>
      <c r="D1248" s="1439" t="s">
        <v>1931</v>
      </c>
      <c r="E1248" s="1685"/>
      <c r="F1248" s="1437" t="s">
        <v>217</v>
      </c>
      <c r="G1248" s="1440">
        <v>1</v>
      </c>
      <c r="H1248" s="1441">
        <v>284</v>
      </c>
      <c r="I1248" s="1442">
        <f t="shared" si="29"/>
        <v>284</v>
      </c>
    </row>
    <row r="1249" spans="1:10" s="1443" customFormat="1">
      <c r="A1249" s="1685"/>
      <c r="B1249" s="1437"/>
      <c r="C1249" s="1438" t="s">
        <v>557</v>
      </c>
      <c r="D1249" s="1444"/>
      <c r="E1249" s="1685"/>
      <c r="F1249" s="1437" t="s">
        <v>217</v>
      </c>
      <c r="G1249" s="1440">
        <v>2</v>
      </c>
      <c r="H1249" s="1441">
        <v>15</v>
      </c>
      <c r="I1249" s="1442">
        <f t="shared" si="29"/>
        <v>30</v>
      </c>
    </row>
    <row r="1250" spans="1:10" s="1443" customFormat="1">
      <c r="A1250" s="1685"/>
      <c r="B1250" s="1437"/>
      <c r="C1250" s="1438" t="s">
        <v>832</v>
      </c>
      <c r="D1250" s="1439" t="s">
        <v>1932</v>
      </c>
      <c r="E1250" s="1685"/>
      <c r="F1250" s="1437" t="s">
        <v>217</v>
      </c>
      <c r="G1250" s="1440">
        <v>2</v>
      </c>
      <c r="H1250" s="1441">
        <v>9</v>
      </c>
      <c r="I1250" s="1442">
        <f t="shared" si="29"/>
        <v>18</v>
      </c>
    </row>
    <row r="1251" spans="1:10" s="1443" customFormat="1" ht="14.25" customHeight="1">
      <c r="A1251" s="1685"/>
      <c r="B1251" s="1437"/>
      <c r="C1251" s="1438" t="s">
        <v>17</v>
      </c>
      <c r="D1251" s="1444" t="s">
        <v>16</v>
      </c>
      <c r="E1251" s="1685"/>
      <c r="F1251" s="1437" t="s">
        <v>217</v>
      </c>
      <c r="G1251" s="1440">
        <v>4</v>
      </c>
      <c r="H1251" s="1441">
        <v>32</v>
      </c>
      <c r="I1251" s="1442">
        <f t="shared" si="29"/>
        <v>128</v>
      </c>
    </row>
    <row r="1252" spans="1:10" s="1688" customFormat="1" ht="26">
      <c r="A1252" s="1651"/>
      <c r="B1252" s="1682"/>
      <c r="C1252" s="1657" t="s">
        <v>2109</v>
      </c>
      <c r="D1252" s="1686"/>
      <c r="E1252" s="1659"/>
      <c r="F1252" s="1660"/>
      <c r="G1252" s="1661"/>
      <c r="H1252" s="1659"/>
      <c r="I1252" s="1682">
        <f>SUM(I1242:I1251)</f>
        <v>5686.8</v>
      </c>
      <c r="J1252" s="1687"/>
    </row>
    <row r="1253" spans="1:10" s="1654" customFormat="1">
      <c r="A1253" s="1676"/>
      <c r="B1253" s="1677"/>
      <c r="C1253" s="1681" t="s">
        <v>2110</v>
      </c>
      <c r="D1253" s="1652"/>
      <c r="E1253" s="1679"/>
      <c r="F1253" s="1679"/>
      <c r="G1253" s="1674"/>
      <c r="H1253" s="1680"/>
      <c r="I1253" s="1679"/>
    </row>
    <row r="1254" spans="1:10" s="1654" customFormat="1">
      <c r="A1254" s="1676"/>
      <c r="B1254" s="1677"/>
      <c r="C1254" s="1681" t="s">
        <v>2103</v>
      </c>
      <c r="D1254" s="1652">
        <v>2</v>
      </c>
      <c r="E1254" s="1677">
        <v>2.1</v>
      </c>
      <c r="F1254" s="1677">
        <v>0.1</v>
      </c>
      <c r="G1254" s="1674">
        <f>2*2.1*0.1*0.075</f>
        <v>3.15E-2</v>
      </c>
      <c r="H1254" s="1677">
        <f>Bldg.rates!L47</f>
        <v>46217</v>
      </c>
      <c r="I1254" s="1677">
        <f>ROUND(G1254*H1254,2)</f>
        <v>1455.84</v>
      </c>
    </row>
    <row r="1255" spans="1:10" s="1654" customFormat="1">
      <c r="A1255" s="1676"/>
      <c r="B1255" s="1677"/>
      <c r="C1255" s="1681" t="s">
        <v>2104</v>
      </c>
      <c r="D1255" s="1652">
        <v>2</v>
      </c>
      <c r="E1255" s="1677">
        <v>1.2</v>
      </c>
      <c r="F1255" s="1677">
        <v>0.1</v>
      </c>
      <c r="G1255" s="1674">
        <f>D1255*E1255*F1255*F1255</f>
        <v>2.4E-2</v>
      </c>
      <c r="H1255" s="1677">
        <f>H1254</f>
        <v>46217</v>
      </c>
      <c r="I1255" s="1677">
        <f>ROUND(G1255*H1255,2)</f>
        <v>1109.21</v>
      </c>
    </row>
    <row r="1256" spans="1:10" s="1654" customFormat="1">
      <c r="A1256" s="1676"/>
      <c r="B1256" s="1677"/>
      <c r="C1256" s="1681" t="s">
        <v>630</v>
      </c>
      <c r="D1256" s="1652"/>
      <c r="E1256" s="1677"/>
      <c r="F1256" s="1677"/>
      <c r="G1256" s="1674">
        <f>SUM(G1254:G1255)</f>
        <v>5.5500000000000001E-2</v>
      </c>
      <c r="H1256" s="1677">
        <f>H1221</f>
        <v>12475.2</v>
      </c>
      <c r="I1256" s="1677">
        <f>ROUND(G1256*H1256,2)</f>
        <v>692.37</v>
      </c>
    </row>
    <row r="1257" spans="1:10" s="1654" customFormat="1" ht="24" customHeight="1">
      <c r="A1257" s="1676"/>
      <c r="B1257" s="1677"/>
      <c r="C1257" s="1872" t="s">
        <v>2180</v>
      </c>
      <c r="D1257" s="1652"/>
      <c r="E1257" s="1677"/>
      <c r="F1257" s="1677"/>
      <c r="G1257" s="1674"/>
      <c r="H1257" s="1677"/>
      <c r="I1257" s="1682">
        <f>ROUND(SUM(I1254:I1256),1)</f>
        <v>3257.4</v>
      </c>
    </row>
    <row r="1258" spans="1:10" s="1654" customFormat="1">
      <c r="A1258" s="1676"/>
      <c r="B1258" s="1677"/>
      <c r="C1258" s="1681" t="s">
        <v>631</v>
      </c>
      <c r="D1258" s="1652"/>
      <c r="E1258" s="1677"/>
      <c r="F1258" s="1677"/>
      <c r="G1258" s="1674"/>
      <c r="H1258" s="1677"/>
      <c r="I1258" s="1682">
        <f>I1257+I1252</f>
        <v>8944.2000000000007</v>
      </c>
    </row>
    <row r="1259" spans="1:10" s="1662" customFormat="1" ht="26">
      <c r="A1259" s="1655"/>
      <c r="B1259" s="1656"/>
      <c r="C1259" s="1657" t="s">
        <v>636</v>
      </c>
      <c r="D1259" s="1658"/>
      <c r="E1259" s="1659"/>
      <c r="F1259" s="1659"/>
      <c r="G1259" s="1661"/>
      <c r="H1259" s="1659"/>
      <c r="I1259" s="1682">
        <f>ROUND(SUM(I1258:I1258),0)</f>
        <v>8944</v>
      </c>
    </row>
    <row r="1260" spans="1:10" s="1692" customFormat="1" ht="54" hidden="1" customHeight="1">
      <c r="A1260" s="1444"/>
      <c r="B1260" s="1690"/>
      <c r="C1260" s="2051" t="s">
        <v>1116</v>
      </c>
      <c r="D1260" s="2051"/>
      <c r="E1260" s="2051"/>
      <c r="F1260" s="2051"/>
      <c r="G1260" s="1691"/>
      <c r="H1260" s="1690"/>
      <c r="I1260" s="1690"/>
    </row>
    <row r="1261" spans="1:10" s="1692" customFormat="1" hidden="1">
      <c r="A1261" s="1693"/>
      <c r="B1261" s="1690"/>
      <c r="C1261" s="1691" t="s">
        <v>826</v>
      </c>
      <c r="D1261" s="1691" t="s">
        <v>791</v>
      </c>
      <c r="E1261" s="1694">
        <v>1</v>
      </c>
      <c r="F1261" s="1695">
        <v>1250</v>
      </c>
      <c r="G1261" s="1696">
        <f t="shared" ref="G1261:G1270" si="30">ROUND(E1261*F1261,2)</f>
        <v>1250</v>
      </c>
      <c r="H1261" s="1690"/>
      <c r="I1261" s="1690"/>
    </row>
    <row r="1262" spans="1:10" s="1692" customFormat="1" hidden="1">
      <c r="A1262" s="1693"/>
      <c r="B1262" s="1690"/>
      <c r="C1262" s="1691" t="s">
        <v>827</v>
      </c>
      <c r="D1262" s="1691" t="s">
        <v>791</v>
      </c>
      <c r="E1262" s="1694">
        <v>6</v>
      </c>
      <c r="F1262" s="1694">
        <f>32*1.18</f>
        <v>37.76</v>
      </c>
      <c r="G1262" s="1696">
        <f t="shared" si="30"/>
        <v>226.56</v>
      </c>
      <c r="H1262" s="1690"/>
      <c r="I1262" s="1690"/>
    </row>
    <row r="1263" spans="1:10" s="1692" customFormat="1" hidden="1">
      <c r="A1263" s="1693"/>
      <c r="B1263" s="1690"/>
      <c r="C1263" s="1697" t="s">
        <v>1119</v>
      </c>
      <c r="D1263" s="1697" t="s">
        <v>184</v>
      </c>
      <c r="E1263" s="1698">
        <f>ROUND(1.05*2.03,2)</f>
        <v>2.13</v>
      </c>
      <c r="F1263" s="1699">
        <f>1232*1.18</f>
        <v>1453.76</v>
      </c>
      <c r="G1263" s="1696">
        <f t="shared" si="30"/>
        <v>3096.51</v>
      </c>
      <c r="H1263" s="1690"/>
      <c r="I1263" s="1690"/>
    </row>
    <row r="1264" spans="1:10" s="1692" customFormat="1" ht="26" hidden="1">
      <c r="A1264" s="1693"/>
      <c r="B1264" s="1690"/>
      <c r="C1264" s="1691" t="s">
        <v>828</v>
      </c>
      <c r="D1264" s="1697" t="s">
        <v>771</v>
      </c>
      <c r="E1264" s="1699">
        <v>2</v>
      </c>
      <c r="F1264" s="1699">
        <f>68*1.18</f>
        <v>80.239999999999995</v>
      </c>
      <c r="G1264" s="1696">
        <f t="shared" si="30"/>
        <v>160.47999999999999</v>
      </c>
      <c r="H1264" s="1690"/>
      <c r="I1264" s="1690"/>
    </row>
    <row r="1265" spans="1:9" s="1692" customFormat="1" hidden="1">
      <c r="A1265" s="1693"/>
      <c r="B1265" s="1690"/>
      <c r="C1265" s="1697" t="s">
        <v>829</v>
      </c>
      <c r="D1265" s="1697" t="s">
        <v>771</v>
      </c>
      <c r="E1265" s="1699">
        <v>1</v>
      </c>
      <c r="F1265" s="1699">
        <f>154*1.18</f>
        <v>181.72</v>
      </c>
      <c r="G1265" s="1696">
        <f t="shared" si="30"/>
        <v>181.72</v>
      </c>
      <c r="H1265" s="1690"/>
      <c r="I1265" s="1690"/>
    </row>
    <row r="1266" spans="1:9" s="1692" customFormat="1" hidden="1">
      <c r="A1266" s="1693"/>
      <c r="B1266" s="1690"/>
      <c r="C1266" s="1697" t="s">
        <v>846</v>
      </c>
      <c r="D1266" s="1697" t="s">
        <v>771</v>
      </c>
      <c r="E1266" s="1699">
        <v>1</v>
      </c>
      <c r="F1266" s="1699">
        <f>45*1.18</f>
        <v>53.099999999999994</v>
      </c>
      <c r="G1266" s="1696">
        <f t="shared" si="30"/>
        <v>53.1</v>
      </c>
      <c r="H1266" s="1690"/>
      <c r="I1266" s="1690"/>
    </row>
    <row r="1267" spans="1:9" s="1692" customFormat="1" hidden="1">
      <c r="A1267" s="1693"/>
      <c r="B1267" s="1690"/>
      <c r="C1267" s="1697" t="s">
        <v>847</v>
      </c>
      <c r="D1267" s="1697" t="s">
        <v>771</v>
      </c>
      <c r="E1267" s="1699">
        <v>3</v>
      </c>
      <c r="F1267" s="1699">
        <f>31*1.18</f>
        <v>36.58</v>
      </c>
      <c r="G1267" s="1696">
        <f t="shared" si="30"/>
        <v>109.74</v>
      </c>
      <c r="H1267" s="1690"/>
      <c r="I1267" s="1690"/>
    </row>
    <row r="1268" spans="1:9" s="1692" customFormat="1" hidden="1">
      <c r="A1268" s="1693"/>
      <c r="B1268" s="1690"/>
      <c r="C1268" s="1697" t="s">
        <v>1003</v>
      </c>
      <c r="D1268" s="1697" t="s">
        <v>831</v>
      </c>
      <c r="E1268" s="1699">
        <v>2</v>
      </c>
      <c r="F1268" s="1699">
        <f>45*1.18</f>
        <v>53.099999999999994</v>
      </c>
      <c r="G1268" s="1696">
        <f t="shared" si="30"/>
        <v>106.2</v>
      </c>
      <c r="H1268" s="1690"/>
      <c r="I1268" s="1690"/>
    </row>
    <row r="1269" spans="1:9" s="1692" customFormat="1" hidden="1">
      <c r="A1269" s="1693"/>
      <c r="B1269" s="1690"/>
      <c r="C1269" s="1697" t="s">
        <v>832</v>
      </c>
      <c r="D1269" s="1697" t="s">
        <v>799</v>
      </c>
      <c r="E1269" s="1699">
        <v>1</v>
      </c>
      <c r="F1269" s="1699">
        <f>9*1.18</f>
        <v>10.62</v>
      </c>
      <c r="G1269" s="1696">
        <f t="shared" si="30"/>
        <v>10.62</v>
      </c>
      <c r="H1269" s="1690"/>
      <c r="I1269" s="1690"/>
    </row>
    <row r="1270" spans="1:9" s="1692" customFormat="1" hidden="1">
      <c r="A1270" s="1693"/>
      <c r="B1270" s="1690"/>
      <c r="C1270" s="1697" t="s">
        <v>210</v>
      </c>
      <c r="D1270" s="1697" t="s">
        <v>757</v>
      </c>
      <c r="E1270" s="1699">
        <f>E1263</f>
        <v>2.13</v>
      </c>
      <c r="F1270" s="1699">
        <v>383</v>
      </c>
      <c r="G1270" s="1696">
        <f t="shared" si="30"/>
        <v>815.79</v>
      </c>
      <c r="H1270" s="1690"/>
      <c r="I1270" s="1690"/>
    </row>
    <row r="1271" spans="1:9" s="1692" customFormat="1" hidden="1">
      <c r="A1271" s="1693"/>
      <c r="B1271" s="1690"/>
      <c r="C1271" s="1697" t="s">
        <v>798</v>
      </c>
      <c r="D1271" s="1697"/>
      <c r="E1271" s="1699"/>
      <c r="F1271" s="1699"/>
      <c r="G1271" s="1696">
        <v>18.440000000000001</v>
      </c>
      <c r="H1271" s="1690"/>
      <c r="I1271" s="1690"/>
    </row>
    <row r="1272" spans="1:9" s="1692" customFormat="1" hidden="1">
      <c r="A1272" s="1693"/>
      <c r="B1272" s="1690"/>
      <c r="C1272" s="1691"/>
      <c r="D1272" s="1691"/>
      <c r="E1272" s="1700"/>
      <c r="F1272" s="1691"/>
      <c r="G1272" s="1701">
        <f>SUM(G1261:G1271)</f>
        <v>6029.1599999999989</v>
      </c>
      <c r="H1272" s="1690"/>
      <c r="I1272" s="1690"/>
    </row>
    <row r="1273" spans="1:9" s="1703" customFormat="1" hidden="1">
      <c r="A1273" s="1693"/>
      <c r="B1273" s="1697"/>
      <c r="C1273" s="1702"/>
      <c r="D1273" s="1697"/>
      <c r="E1273" s="1691"/>
      <c r="F1273" s="1691"/>
      <c r="G1273" s="1701">
        <f>ROUND(G1272,0)</f>
        <v>6029</v>
      </c>
      <c r="H1273" s="1697"/>
      <c r="I1273" s="1697"/>
    </row>
    <row r="1274" spans="1:9" s="1692" customFormat="1" ht="54" hidden="1" customHeight="1">
      <c r="A1274" s="1444"/>
      <c r="B1274" s="1690"/>
      <c r="C1274" s="2051" t="s">
        <v>1117</v>
      </c>
      <c r="D1274" s="2051"/>
      <c r="E1274" s="2051"/>
      <c r="F1274" s="2051"/>
      <c r="G1274" s="1691"/>
      <c r="H1274" s="1690"/>
      <c r="I1274" s="1690"/>
    </row>
    <row r="1275" spans="1:9" s="1692" customFormat="1" hidden="1">
      <c r="A1275" s="1693"/>
      <c r="B1275" s="1690"/>
      <c r="C1275" s="1691" t="s">
        <v>826</v>
      </c>
      <c r="D1275" s="1691" t="s">
        <v>791</v>
      </c>
      <c r="E1275" s="1694">
        <v>1</v>
      </c>
      <c r="F1275" s="1695">
        <v>1250</v>
      </c>
      <c r="G1275" s="1696">
        <f t="shared" ref="G1275:G1284" si="31">ROUND(E1275*F1275,2)</f>
        <v>1250</v>
      </c>
      <c r="H1275" s="1690"/>
      <c r="I1275" s="1690"/>
    </row>
    <row r="1276" spans="1:9" s="1692" customFormat="1" hidden="1">
      <c r="A1276" s="1693"/>
      <c r="B1276" s="1690"/>
      <c r="C1276" s="1691" t="s">
        <v>827</v>
      </c>
      <c r="D1276" s="1691" t="s">
        <v>791</v>
      </c>
      <c r="E1276" s="1694">
        <v>6</v>
      </c>
      <c r="F1276" s="1694">
        <f>32*1.18</f>
        <v>37.76</v>
      </c>
      <c r="G1276" s="1696">
        <f t="shared" si="31"/>
        <v>226.56</v>
      </c>
      <c r="H1276" s="1690"/>
      <c r="I1276" s="1690"/>
    </row>
    <row r="1277" spans="1:9" s="1692" customFormat="1" hidden="1">
      <c r="A1277" s="1693"/>
      <c r="B1277" s="1690"/>
      <c r="C1277" s="1697" t="s">
        <v>1118</v>
      </c>
      <c r="D1277" s="1697" t="s">
        <v>184</v>
      </c>
      <c r="E1277" s="1698">
        <f>ROUND(0.9*1.93,2)</f>
        <v>1.74</v>
      </c>
      <c r="F1277" s="1699">
        <f>1232*1.18</f>
        <v>1453.76</v>
      </c>
      <c r="G1277" s="1696">
        <f t="shared" si="31"/>
        <v>2529.54</v>
      </c>
      <c r="H1277" s="1690"/>
      <c r="I1277" s="1690"/>
    </row>
    <row r="1278" spans="1:9" s="1692" customFormat="1" ht="26" hidden="1">
      <c r="A1278" s="1693"/>
      <c r="B1278" s="1690"/>
      <c r="C1278" s="1691" t="s">
        <v>828</v>
      </c>
      <c r="D1278" s="1697" t="s">
        <v>771</v>
      </c>
      <c r="E1278" s="1699">
        <v>2</v>
      </c>
      <c r="F1278" s="1699">
        <f>68*1.18</f>
        <v>80.239999999999995</v>
      </c>
      <c r="G1278" s="1696">
        <f t="shared" si="31"/>
        <v>160.47999999999999</v>
      </c>
      <c r="H1278" s="1690"/>
      <c r="I1278" s="1690"/>
    </row>
    <row r="1279" spans="1:9" s="1692" customFormat="1" hidden="1">
      <c r="A1279" s="1693"/>
      <c r="B1279" s="1690"/>
      <c r="C1279" s="1697" t="s">
        <v>829</v>
      </c>
      <c r="D1279" s="1697" t="s">
        <v>771</v>
      </c>
      <c r="E1279" s="1699">
        <v>1</v>
      </c>
      <c r="F1279" s="1699">
        <f>154*1.18</f>
        <v>181.72</v>
      </c>
      <c r="G1279" s="1696">
        <f t="shared" si="31"/>
        <v>181.72</v>
      </c>
      <c r="H1279" s="1690"/>
      <c r="I1279" s="1690"/>
    </row>
    <row r="1280" spans="1:9" s="1692" customFormat="1" hidden="1">
      <c r="A1280" s="1693"/>
      <c r="B1280" s="1690"/>
      <c r="C1280" s="1697" t="s">
        <v>846</v>
      </c>
      <c r="D1280" s="1697" t="s">
        <v>771</v>
      </c>
      <c r="E1280" s="1699">
        <v>1</v>
      </c>
      <c r="F1280" s="1699">
        <f>45*1.18</f>
        <v>53.099999999999994</v>
      </c>
      <c r="G1280" s="1696">
        <f t="shared" si="31"/>
        <v>53.1</v>
      </c>
      <c r="H1280" s="1690"/>
      <c r="I1280" s="1690"/>
    </row>
    <row r="1281" spans="1:9" s="1692" customFormat="1" hidden="1">
      <c r="A1281" s="1693"/>
      <c r="B1281" s="1690"/>
      <c r="C1281" s="1697" t="s">
        <v>847</v>
      </c>
      <c r="D1281" s="1697" t="s">
        <v>771</v>
      </c>
      <c r="E1281" s="1699">
        <v>3</v>
      </c>
      <c r="F1281" s="1699">
        <f>31*1.18</f>
        <v>36.58</v>
      </c>
      <c r="G1281" s="1696">
        <f t="shared" si="31"/>
        <v>109.74</v>
      </c>
      <c r="H1281" s="1690"/>
      <c r="I1281" s="1690"/>
    </row>
    <row r="1282" spans="1:9" s="1692" customFormat="1" hidden="1">
      <c r="A1282" s="1693"/>
      <c r="B1282" s="1690"/>
      <c r="C1282" s="1697" t="s">
        <v>1003</v>
      </c>
      <c r="D1282" s="1697" t="s">
        <v>831</v>
      </c>
      <c r="E1282" s="1699">
        <v>2</v>
      </c>
      <c r="F1282" s="1699">
        <f>45*1.18</f>
        <v>53.099999999999994</v>
      </c>
      <c r="G1282" s="1696">
        <f t="shared" si="31"/>
        <v>106.2</v>
      </c>
      <c r="H1282" s="1690"/>
      <c r="I1282" s="1690"/>
    </row>
    <row r="1283" spans="1:9" s="1692" customFormat="1" hidden="1">
      <c r="A1283" s="1693"/>
      <c r="B1283" s="1690"/>
      <c r="C1283" s="1697" t="s">
        <v>832</v>
      </c>
      <c r="D1283" s="1697" t="s">
        <v>799</v>
      </c>
      <c r="E1283" s="1699">
        <v>1</v>
      </c>
      <c r="F1283" s="1699">
        <f>9*1.18</f>
        <v>10.62</v>
      </c>
      <c r="G1283" s="1696">
        <f t="shared" si="31"/>
        <v>10.62</v>
      </c>
      <c r="H1283" s="1690"/>
      <c r="I1283" s="1690"/>
    </row>
    <row r="1284" spans="1:9" s="1692" customFormat="1" hidden="1">
      <c r="A1284" s="1693"/>
      <c r="B1284" s="1690"/>
      <c r="C1284" s="1697" t="s">
        <v>210</v>
      </c>
      <c r="D1284" s="1697" t="s">
        <v>757</v>
      </c>
      <c r="E1284" s="1699">
        <f>E1277</f>
        <v>1.74</v>
      </c>
      <c r="F1284" s="1699">
        <v>383</v>
      </c>
      <c r="G1284" s="1696">
        <f t="shared" si="31"/>
        <v>666.42</v>
      </c>
      <c r="H1284" s="1690"/>
      <c r="I1284" s="1690"/>
    </row>
    <row r="1285" spans="1:9" s="1692" customFormat="1" hidden="1">
      <c r="A1285" s="1693"/>
      <c r="B1285" s="1690"/>
      <c r="C1285" s="1697" t="s">
        <v>798</v>
      </c>
      <c r="D1285" s="1697"/>
      <c r="E1285" s="1699"/>
      <c r="F1285" s="1699"/>
      <c r="G1285" s="1696">
        <v>18.440000000000001</v>
      </c>
      <c r="H1285" s="1690"/>
      <c r="I1285" s="1690"/>
    </row>
    <row r="1286" spans="1:9" s="1692" customFormat="1" hidden="1">
      <c r="A1286" s="1693"/>
      <c r="B1286" s="1690"/>
      <c r="C1286" s="1691"/>
      <c r="D1286" s="1691"/>
      <c r="E1286" s="1700"/>
      <c r="F1286" s="1691"/>
      <c r="G1286" s="1701">
        <f>SUM(G1275:G1285)</f>
        <v>5312.82</v>
      </c>
      <c r="H1286" s="1690"/>
      <c r="I1286" s="1690"/>
    </row>
    <row r="1287" spans="1:9" s="1703" customFormat="1" hidden="1">
      <c r="A1287" s="1693"/>
      <c r="B1287" s="1697"/>
      <c r="C1287" s="1702"/>
      <c r="D1287" s="1697"/>
      <c r="E1287" s="1691"/>
      <c r="F1287" s="1691"/>
      <c r="G1287" s="1701">
        <f>ROUND(G1286,0)</f>
        <v>5313</v>
      </c>
      <c r="H1287" s="1697"/>
      <c r="I1287" s="1697"/>
    </row>
    <row r="1288" spans="1:9" s="1692" customFormat="1" ht="50.25" hidden="1" customHeight="1">
      <c r="A1288" s="1704"/>
      <c r="B1288" s="1690"/>
      <c r="C1288" s="2052" t="s">
        <v>1120</v>
      </c>
      <c r="D1288" s="2052"/>
      <c r="E1288" s="2052"/>
      <c r="F1288" s="2052"/>
      <c r="G1288" s="1691"/>
      <c r="H1288" s="1690"/>
      <c r="I1288" s="1690"/>
    </row>
    <row r="1289" spans="1:9" s="1692" customFormat="1" hidden="1">
      <c r="A1289" s="1693"/>
      <c r="B1289" s="1690"/>
      <c r="C1289" s="1691" t="s">
        <v>826</v>
      </c>
      <c r="D1289" s="1691" t="s">
        <v>791</v>
      </c>
      <c r="E1289" s="1694">
        <v>1</v>
      </c>
      <c r="F1289" s="1695">
        <v>1100</v>
      </c>
      <c r="G1289" s="1696">
        <f t="shared" ref="G1289:G1298" si="32">ROUND(E1289*F1289,2)</f>
        <v>1100</v>
      </c>
      <c r="H1289" s="1690"/>
      <c r="I1289" s="1690"/>
    </row>
    <row r="1290" spans="1:9" s="1692" customFormat="1" hidden="1">
      <c r="A1290" s="1693"/>
      <c r="B1290" s="1690"/>
      <c r="C1290" s="1691" t="s">
        <v>827</v>
      </c>
      <c r="D1290" s="1691" t="s">
        <v>791</v>
      </c>
      <c r="E1290" s="1694">
        <v>6</v>
      </c>
      <c r="F1290" s="1694">
        <f t="shared" ref="F1290:F1298" si="33">F1262</f>
        <v>37.76</v>
      </c>
      <c r="G1290" s="1696">
        <f t="shared" si="32"/>
        <v>226.56</v>
      </c>
      <c r="H1290" s="1690"/>
      <c r="I1290" s="1690"/>
    </row>
    <row r="1291" spans="1:9" s="1692" customFormat="1" hidden="1">
      <c r="A1291" s="1693"/>
      <c r="B1291" s="1690"/>
      <c r="C1291" s="1697" t="s">
        <v>1121</v>
      </c>
      <c r="D1291" s="1697" t="s">
        <v>184</v>
      </c>
      <c r="E1291" s="1698">
        <f>ROUND(0.6*1.93,2)</f>
        <v>1.1599999999999999</v>
      </c>
      <c r="F1291" s="1699">
        <f t="shared" si="33"/>
        <v>1453.76</v>
      </c>
      <c r="G1291" s="1696">
        <f t="shared" si="32"/>
        <v>1686.36</v>
      </c>
      <c r="H1291" s="1690"/>
      <c r="I1291" s="1690"/>
    </row>
    <row r="1292" spans="1:9" s="1692" customFormat="1" ht="26" hidden="1">
      <c r="A1292" s="1693"/>
      <c r="B1292" s="1690"/>
      <c r="C1292" s="1691" t="s">
        <v>828</v>
      </c>
      <c r="D1292" s="1697" t="s">
        <v>771</v>
      </c>
      <c r="E1292" s="1699">
        <v>1</v>
      </c>
      <c r="F1292" s="1699">
        <f t="shared" si="33"/>
        <v>80.239999999999995</v>
      </c>
      <c r="G1292" s="1696">
        <f t="shared" si="32"/>
        <v>80.239999999999995</v>
      </c>
      <c r="H1292" s="1690"/>
      <c r="I1292" s="1690"/>
    </row>
    <row r="1293" spans="1:9" s="1692" customFormat="1" hidden="1">
      <c r="A1293" s="1693"/>
      <c r="B1293" s="1690"/>
      <c r="C1293" s="1697" t="s">
        <v>829</v>
      </c>
      <c r="D1293" s="1697" t="s">
        <v>771</v>
      </c>
      <c r="E1293" s="1699">
        <v>1</v>
      </c>
      <c r="F1293" s="1699">
        <f t="shared" si="33"/>
        <v>181.72</v>
      </c>
      <c r="G1293" s="1696">
        <f t="shared" si="32"/>
        <v>181.72</v>
      </c>
      <c r="H1293" s="1690"/>
      <c r="I1293" s="1690"/>
    </row>
    <row r="1294" spans="1:9" s="1692" customFormat="1" hidden="1">
      <c r="A1294" s="1693"/>
      <c r="B1294" s="1690"/>
      <c r="C1294" s="1697" t="s">
        <v>846</v>
      </c>
      <c r="D1294" s="1697" t="s">
        <v>771</v>
      </c>
      <c r="E1294" s="1699">
        <v>1</v>
      </c>
      <c r="F1294" s="1699">
        <f t="shared" si="33"/>
        <v>53.099999999999994</v>
      </c>
      <c r="G1294" s="1696">
        <f t="shared" si="32"/>
        <v>53.1</v>
      </c>
      <c r="H1294" s="1690"/>
      <c r="I1294" s="1690"/>
    </row>
    <row r="1295" spans="1:9" s="1692" customFormat="1" hidden="1">
      <c r="A1295" s="1693"/>
      <c r="B1295" s="1690"/>
      <c r="C1295" s="1697" t="s">
        <v>847</v>
      </c>
      <c r="D1295" s="1697" t="s">
        <v>771</v>
      </c>
      <c r="E1295" s="1699">
        <v>3</v>
      </c>
      <c r="F1295" s="1699">
        <f t="shared" si="33"/>
        <v>36.58</v>
      </c>
      <c r="G1295" s="1696">
        <f t="shared" si="32"/>
        <v>109.74</v>
      </c>
      <c r="H1295" s="1690"/>
      <c r="I1295" s="1690"/>
    </row>
    <row r="1296" spans="1:9" s="1692" customFormat="1" hidden="1">
      <c r="A1296" s="1693"/>
      <c r="B1296" s="1690"/>
      <c r="C1296" s="1697" t="s">
        <v>830</v>
      </c>
      <c r="D1296" s="1697" t="s">
        <v>831</v>
      </c>
      <c r="E1296" s="1699">
        <v>2</v>
      </c>
      <c r="F1296" s="1699">
        <f t="shared" si="33"/>
        <v>53.099999999999994</v>
      </c>
      <c r="G1296" s="1696">
        <f t="shared" si="32"/>
        <v>106.2</v>
      </c>
      <c r="H1296" s="1690"/>
      <c r="I1296" s="1690"/>
    </row>
    <row r="1297" spans="1:9" s="1692" customFormat="1" hidden="1">
      <c r="A1297" s="1693"/>
      <c r="B1297" s="1690"/>
      <c r="C1297" s="1697" t="s">
        <v>832</v>
      </c>
      <c r="D1297" s="1697" t="s">
        <v>799</v>
      </c>
      <c r="E1297" s="1699">
        <v>1</v>
      </c>
      <c r="F1297" s="1699">
        <f t="shared" si="33"/>
        <v>10.62</v>
      </c>
      <c r="G1297" s="1696">
        <f t="shared" si="32"/>
        <v>10.62</v>
      </c>
      <c r="H1297" s="1690"/>
      <c r="I1297" s="1690"/>
    </row>
    <row r="1298" spans="1:9" s="1692" customFormat="1" hidden="1">
      <c r="A1298" s="1693"/>
      <c r="B1298" s="1690"/>
      <c r="C1298" s="1697" t="s">
        <v>210</v>
      </c>
      <c r="D1298" s="1697" t="s">
        <v>757</v>
      </c>
      <c r="E1298" s="1698">
        <f>E1291</f>
        <v>1.1599999999999999</v>
      </c>
      <c r="F1298" s="1699">
        <f t="shared" si="33"/>
        <v>383</v>
      </c>
      <c r="G1298" s="1696">
        <f t="shared" si="32"/>
        <v>444.28</v>
      </c>
      <c r="H1298" s="1690"/>
      <c r="I1298" s="1690"/>
    </row>
    <row r="1299" spans="1:9" s="1692" customFormat="1" hidden="1">
      <c r="A1299" s="1693"/>
      <c r="B1299" s="1690"/>
      <c r="C1299" s="1697" t="s">
        <v>798</v>
      </c>
      <c r="D1299" s="1697"/>
      <c r="E1299" s="1699"/>
      <c r="F1299" s="1699"/>
      <c r="G1299" s="1696">
        <v>14</v>
      </c>
      <c r="H1299" s="1690"/>
      <c r="I1299" s="1690"/>
    </row>
    <row r="1300" spans="1:9" s="1692" customFormat="1" hidden="1">
      <c r="A1300" s="1693"/>
      <c r="B1300" s="1690"/>
      <c r="C1300" s="1691"/>
      <c r="D1300" s="1691"/>
      <c r="E1300" s="1700"/>
      <c r="F1300" s="1691"/>
      <c r="G1300" s="1701">
        <f>SUM(G1289:G1299)</f>
        <v>4012.8199999999988</v>
      </c>
      <c r="H1300" s="1690"/>
      <c r="I1300" s="1690"/>
    </row>
    <row r="1301" spans="1:9" s="1692" customFormat="1" hidden="1">
      <c r="A1301" s="1693"/>
      <c r="B1301" s="1690"/>
      <c r="C1301" s="1705" t="s">
        <v>844</v>
      </c>
      <c r="D1301" s="1690"/>
      <c r="E1301" s="1690"/>
      <c r="F1301" s="1690"/>
      <c r="G1301" s="1701">
        <f>ROUND(G1300,0)</f>
        <v>4013</v>
      </c>
      <c r="H1301" s="1690"/>
      <c r="I1301" s="1690"/>
    </row>
    <row r="1302" spans="1:9" s="1692" customFormat="1" ht="64.5" hidden="1" customHeight="1">
      <c r="A1302" s="1693"/>
      <c r="B1302" s="1690"/>
      <c r="C1302" s="2052" t="s">
        <v>1013</v>
      </c>
      <c r="D1302" s="2052"/>
      <c r="E1302" s="2052"/>
      <c r="F1302" s="2052"/>
      <c r="G1302" s="1701"/>
      <c r="H1302" s="1690"/>
      <c r="I1302" s="1690"/>
    </row>
    <row r="1303" spans="1:9" s="1692" customFormat="1" hidden="1">
      <c r="A1303" s="1693"/>
      <c r="B1303" s="1690"/>
      <c r="C1303" s="1705" t="s">
        <v>984</v>
      </c>
      <c r="D1303" s="1690"/>
      <c r="E1303" s="1706"/>
      <c r="F1303" s="1690"/>
      <c r="G1303" s="1690"/>
      <c r="H1303" s="1690"/>
      <c r="I1303" s="1690"/>
    </row>
    <row r="1304" spans="1:9" s="1692" customFormat="1" hidden="1">
      <c r="A1304" s="1693"/>
      <c r="B1304" s="1690"/>
      <c r="C1304" s="1705" t="s">
        <v>834</v>
      </c>
      <c r="D1304" s="1690"/>
      <c r="E1304" s="1706">
        <v>1</v>
      </c>
      <c r="F1304" s="1707">
        <v>3000</v>
      </c>
      <c r="G1304" s="1690">
        <f>E1304*F1304</f>
        <v>3000</v>
      </c>
      <c r="H1304" s="1690"/>
      <c r="I1304" s="1690"/>
    </row>
    <row r="1305" spans="1:9" s="1692" customFormat="1" hidden="1">
      <c r="A1305" s="1693"/>
      <c r="B1305" s="1690"/>
      <c r="C1305" s="1705"/>
      <c r="D1305" s="1690"/>
      <c r="E1305" s="1706"/>
      <c r="F1305" s="1690"/>
      <c r="G1305" s="1690"/>
      <c r="H1305" s="1690"/>
      <c r="I1305" s="1690"/>
    </row>
    <row r="1306" spans="1:9" s="1692" customFormat="1" ht="34.5" hidden="1" customHeight="1">
      <c r="A1306" s="1693"/>
      <c r="B1306" s="1690"/>
      <c r="C1306" s="1708" t="s">
        <v>1004</v>
      </c>
      <c r="D1306" s="1690" t="s">
        <v>184</v>
      </c>
      <c r="E1306" s="1706">
        <v>1.33</v>
      </c>
      <c r="F1306" s="1709">
        <f>867*1.28</f>
        <v>1109.76</v>
      </c>
      <c r="G1306" s="1710">
        <f t="shared" ref="G1306:G1312" si="34">ROUND(E1306*F1306,2)</f>
        <v>1475.98</v>
      </c>
      <c r="H1306" s="1690"/>
      <c r="I1306" s="1690"/>
    </row>
    <row r="1307" spans="1:9" s="1692" customFormat="1" ht="35.25" hidden="1" customHeight="1">
      <c r="A1307" s="1693"/>
      <c r="B1307" s="1690"/>
      <c r="C1307" s="1535" t="s">
        <v>836</v>
      </c>
      <c r="D1307" s="1536" t="s">
        <v>183</v>
      </c>
      <c r="E1307" s="1537">
        <v>4</v>
      </c>
      <c r="F1307" s="1538">
        <f>F1290</f>
        <v>37.76</v>
      </c>
      <c r="G1307" s="1696">
        <f t="shared" si="34"/>
        <v>151.04</v>
      </c>
      <c r="H1307" s="1690"/>
      <c r="I1307" s="1690"/>
    </row>
    <row r="1308" spans="1:9" s="1692" customFormat="1" ht="26" hidden="1">
      <c r="A1308" s="1693"/>
      <c r="B1308" s="1690"/>
      <c r="C1308" s="1535" t="s">
        <v>837</v>
      </c>
      <c r="D1308" s="1536" t="s">
        <v>183</v>
      </c>
      <c r="E1308" s="1537">
        <v>6</v>
      </c>
      <c r="F1308" s="1538">
        <f>24*1.18</f>
        <v>28.32</v>
      </c>
      <c r="G1308" s="1696">
        <f t="shared" si="34"/>
        <v>169.92</v>
      </c>
      <c r="H1308" s="1690"/>
      <c r="I1308" s="1690"/>
    </row>
    <row r="1309" spans="1:9" s="1692" customFormat="1" ht="26" hidden="1">
      <c r="A1309" s="1693"/>
      <c r="B1309" s="1690"/>
      <c r="C1309" s="1535" t="s">
        <v>838</v>
      </c>
      <c r="D1309" s="1536" t="s">
        <v>183</v>
      </c>
      <c r="E1309" s="1537">
        <v>3</v>
      </c>
      <c r="F1309" s="1538">
        <f>32*1.18</f>
        <v>37.76</v>
      </c>
      <c r="G1309" s="1696">
        <f t="shared" si="34"/>
        <v>113.28</v>
      </c>
      <c r="H1309" s="1690"/>
      <c r="I1309" s="1690"/>
    </row>
    <row r="1310" spans="1:9" s="1692" customFormat="1" ht="26" hidden="1">
      <c r="A1310" s="1693"/>
      <c r="B1310" s="1690"/>
      <c r="C1310" s="1535" t="s">
        <v>839</v>
      </c>
      <c r="D1310" s="1536" t="s">
        <v>183</v>
      </c>
      <c r="E1310" s="1537">
        <v>6</v>
      </c>
      <c r="F1310" s="1538">
        <f>9*1.18</f>
        <v>10.62</v>
      </c>
      <c r="G1310" s="1696">
        <f t="shared" si="34"/>
        <v>63.72</v>
      </c>
      <c r="H1310" s="1690"/>
      <c r="I1310" s="1690"/>
    </row>
    <row r="1311" spans="1:9" s="1692" customFormat="1" ht="26" hidden="1">
      <c r="A1311" s="1693"/>
      <c r="B1311" s="1690"/>
      <c r="C1311" s="1535" t="s">
        <v>991</v>
      </c>
      <c r="D1311" s="1536" t="s">
        <v>183</v>
      </c>
      <c r="E1311" s="1537">
        <v>3</v>
      </c>
      <c r="F1311" s="1538">
        <f>55*1.18</f>
        <v>64.899999999999991</v>
      </c>
      <c r="G1311" s="1696">
        <f t="shared" si="34"/>
        <v>194.7</v>
      </c>
      <c r="H1311" s="1690"/>
      <c r="I1311" s="1690"/>
    </row>
    <row r="1312" spans="1:9" s="1692" customFormat="1" ht="39" hidden="1">
      <c r="A1312" s="1693"/>
      <c r="B1312" s="1690"/>
      <c r="C1312" s="1708" t="s">
        <v>841</v>
      </c>
      <c r="D1312" s="1690"/>
      <c r="E1312" s="1710">
        <f>ROUND(1.22*1.39,2)</f>
        <v>1.7</v>
      </c>
      <c r="F1312" s="1709">
        <f>[127]Bldg.rates!F145</f>
        <v>0</v>
      </c>
      <c r="G1312" s="1710">
        <f t="shared" si="34"/>
        <v>0</v>
      </c>
      <c r="H1312" s="1690"/>
      <c r="I1312" s="1690"/>
    </row>
    <row r="1313" spans="1:9" s="1692" customFormat="1" hidden="1">
      <c r="A1313" s="1693"/>
      <c r="B1313" s="1690"/>
      <c r="C1313" s="1708"/>
      <c r="D1313" s="1690"/>
      <c r="E1313" s="1690"/>
      <c r="F1313" s="1690" t="s">
        <v>139</v>
      </c>
      <c r="G1313" s="1711">
        <f>SUM(G1304:G1312)</f>
        <v>5168.6399999999994</v>
      </c>
      <c r="H1313" s="1690"/>
      <c r="I1313" s="1690"/>
    </row>
    <row r="1314" spans="1:9" s="1692" customFormat="1" hidden="1">
      <c r="A1314" s="1693"/>
      <c r="B1314" s="1690"/>
      <c r="C1314" s="1690"/>
      <c r="D1314" s="1690"/>
      <c r="E1314" s="1690"/>
      <c r="F1314" s="1712" t="s">
        <v>842</v>
      </c>
      <c r="G1314" s="1701">
        <f>ROUND(G1313,0)</f>
        <v>5169</v>
      </c>
      <c r="H1314" s="1690"/>
      <c r="I1314" s="1690"/>
    </row>
    <row r="1315" spans="1:9" s="1692" customFormat="1" hidden="1">
      <c r="A1315" s="1693"/>
      <c r="B1315" s="1690"/>
      <c r="C1315" s="1705" t="s">
        <v>845</v>
      </c>
      <c r="D1315" s="1690"/>
      <c r="E1315" s="1690"/>
      <c r="F1315" s="1690"/>
      <c r="G1315" s="1713"/>
      <c r="H1315" s="1690"/>
      <c r="I1315" s="1690"/>
    </row>
    <row r="1316" spans="1:9" s="1692" customFormat="1" ht="64.5" hidden="1" customHeight="1">
      <c r="A1316" s="1693"/>
      <c r="B1316" s="1690"/>
      <c r="C1316" s="2052" t="s">
        <v>988</v>
      </c>
      <c r="D1316" s="2052"/>
      <c r="E1316" s="2052"/>
      <c r="F1316" s="2052"/>
      <c r="G1316" s="1701"/>
      <c r="H1316" s="1690"/>
      <c r="I1316" s="1690"/>
    </row>
    <row r="1317" spans="1:9" s="1692" customFormat="1" hidden="1">
      <c r="A1317" s="1693"/>
      <c r="B1317" s="1690"/>
      <c r="C1317" s="1705" t="s">
        <v>985</v>
      </c>
      <c r="D1317" s="1690"/>
      <c r="E1317" s="1706"/>
      <c r="F1317" s="1690"/>
      <c r="G1317" s="1690"/>
      <c r="H1317" s="1690"/>
      <c r="I1317" s="1690"/>
    </row>
    <row r="1318" spans="1:9" s="1692" customFormat="1" hidden="1">
      <c r="A1318" s="1693"/>
      <c r="B1318" s="1690"/>
      <c r="C1318" s="1705" t="s">
        <v>834</v>
      </c>
      <c r="D1318" s="1690"/>
      <c r="E1318" s="1706">
        <v>1</v>
      </c>
      <c r="F1318" s="1690">
        <v>2500</v>
      </c>
      <c r="G1318" s="1690">
        <f>F1318</f>
        <v>2500</v>
      </c>
      <c r="H1318" s="1690"/>
      <c r="I1318" s="1690"/>
    </row>
    <row r="1319" spans="1:9" s="1692" customFormat="1" hidden="1">
      <c r="A1319" s="1693"/>
      <c r="B1319" s="1690"/>
      <c r="C1319" s="1705"/>
      <c r="D1319" s="1690"/>
      <c r="E1319" s="1706"/>
      <c r="F1319" s="1690"/>
      <c r="G1319" s="1690"/>
      <c r="H1319" s="1690"/>
      <c r="I1319" s="1690"/>
    </row>
    <row r="1320" spans="1:9" s="1692" customFormat="1" ht="26" hidden="1">
      <c r="A1320" s="1693"/>
      <c r="B1320" s="1690"/>
      <c r="C1320" s="1708" t="s">
        <v>986</v>
      </c>
      <c r="D1320" s="1690" t="s">
        <v>184</v>
      </c>
      <c r="E1320" s="1706">
        <f>ROUND(0.8*1.07,2)</f>
        <v>0.86</v>
      </c>
      <c r="F1320" s="1709">
        <f t="shared" ref="F1320:F1326" si="35">F1306</f>
        <v>1109.76</v>
      </c>
      <c r="G1320" s="1710">
        <f>ROUND(E1320*F1320,2)</f>
        <v>954.39</v>
      </c>
      <c r="H1320" s="1690"/>
      <c r="I1320" s="1690"/>
    </row>
    <row r="1321" spans="1:9" s="1692" customFormat="1" hidden="1">
      <c r="A1321" s="1693"/>
      <c r="B1321" s="1690"/>
      <c r="C1321" s="1536" t="s">
        <v>836</v>
      </c>
      <c r="D1321" s="1536" t="s">
        <v>183</v>
      </c>
      <c r="E1321" s="1537">
        <v>4</v>
      </c>
      <c r="F1321" s="1539">
        <f t="shared" si="35"/>
        <v>37.76</v>
      </c>
      <c r="G1321" s="1696">
        <f t="shared" ref="G1321:G1326" si="36">ROUND(E1321*F1321,2)</f>
        <v>151.04</v>
      </c>
      <c r="H1321" s="1690"/>
      <c r="I1321" s="1690"/>
    </row>
    <row r="1322" spans="1:9" s="1692" customFormat="1" ht="26" hidden="1">
      <c r="A1322" s="1693"/>
      <c r="B1322" s="1690"/>
      <c r="C1322" s="1535" t="s">
        <v>837</v>
      </c>
      <c r="D1322" s="1536" t="s">
        <v>183</v>
      </c>
      <c r="E1322" s="1537">
        <v>6</v>
      </c>
      <c r="F1322" s="1539">
        <f t="shared" si="35"/>
        <v>28.32</v>
      </c>
      <c r="G1322" s="1696">
        <f t="shared" si="36"/>
        <v>169.92</v>
      </c>
      <c r="H1322" s="1690"/>
      <c r="I1322" s="1690"/>
    </row>
    <row r="1323" spans="1:9" s="1692" customFormat="1" ht="26" hidden="1">
      <c r="A1323" s="1693"/>
      <c r="B1323" s="1690"/>
      <c r="C1323" s="1535" t="s">
        <v>838</v>
      </c>
      <c r="D1323" s="1536" t="s">
        <v>183</v>
      </c>
      <c r="E1323" s="1537">
        <v>3</v>
      </c>
      <c r="F1323" s="1539">
        <f t="shared" si="35"/>
        <v>37.76</v>
      </c>
      <c r="G1323" s="1696">
        <f t="shared" si="36"/>
        <v>113.28</v>
      </c>
      <c r="H1323" s="1690"/>
      <c r="I1323" s="1690"/>
    </row>
    <row r="1324" spans="1:9" s="1692" customFormat="1" ht="26" hidden="1">
      <c r="A1324" s="1693"/>
      <c r="B1324" s="1690"/>
      <c r="C1324" s="1535" t="s">
        <v>839</v>
      </c>
      <c r="D1324" s="1536" t="s">
        <v>183</v>
      </c>
      <c r="E1324" s="1537">
        <v>6</v>
      </c>
      <c r="F1324" s="1539">
        <f t="shared" si="35"/>
        <v>10.62</v>
      </c>
      <c r="G1324" s="1696">
        <f t="shared" si="36"/>
        <v>63.72</v>
      </c>
      <c r="H1324" s="1690"/>
      <c r="I1324" s="1690"/>
    </row>
    <row r="1325" spans="1:9" s="1692" customFormat="1" ht="26" hidden="1">
      <c r="A1325" s="1693"/>
      <c r="B1325" s="1690"/>
      <c r="C1325" s="1535" t="s">
        <v>840</v>
      </c>
      <c r="D1325" s="1536" t="s">
        <v>183</v>
      </c>
      <c r="E1325" s="1537">
        <v>3</v>
      </c>
      <c r="F1325" s="1539">
        <f t="shared" si="35"/>
        <v>64.899999999999991</v>
      </c>
      <c r="G1325" s="1696">
        <f t="shared" si="36"/>
        <v>194.7</v>
      </c>
      <c r="H1325" s="1690"/>
      <c r="I1325" s="1690"/>
    </row>
    <row r="1326" spans="1:9" s="1692" customFormat="1" ht="39" hidden="1">
      <c r="A1326" s="1693"/>
      <c r="B1326" s="1690"/>
      <c r="C1326" s="1708" t="s">
        <v>841</v>
      </c>
      <c r="D1326" s="1690"/>
      <c r="E1326" s="1710">
        <f>ROUND(0.95*1.22,2)</f>
        <v>1.1599999999999999</v>
      </c>
      <c r="F1326" s="1709">
        <f t="shared" si="35"/>
        <v>0</v>
      </c>
      <c r="G1326" s="1710">
        <f t="shared" si="36"/>
        <v>0</v>
      </c>
      <c r="H1326" s="1690"/>
      <c r="I1326" s="1690"/>
    </row>
    <row r="1327" spans="1:9" s="1692" customFormat="1" hidden="1">
      <c r="A1327" s="1693"/>
      <c r="B1327" s="1690"/>
      <c r="C1327" s="1708"/>
      <c r="D1327" s="1690"/>
      <c r="E1327" s="1706"/>
      <c r="F1327" s="1709"/>
      <c r="G1327" s="1710">
        <f>SUM(G1318:G1326)</f>
        <v>4147.05</v>
      </c>
      <c r="H1327" s="1690"/>
      <c r="I1327" s="1690"/>
    </row>
    <row r="1328" spans="1:9" s="1692" customFormat="1" hidden="1">
      <c r="A1328" s="1693"/>
      <c r="B1328" s="1690"/>
      <c r="C1328" s="1708"/>
      <c r="D1328" s="1690"/>
      <c r="E1328" s="1690"/>
      <c r="F1328" s="1690" t="s">
        <v>139</v>
      </c>
      <c r="G1328" s="1711">
        <f>ROUND(G1327,0)</f>
        <v>4147</v>
      </c>
      <c r="H1328" s="1690"/>
      <c r="I1328" s="1690"/>
    </row>
    <row r="1329" spans="1:9" s="1692" customFormat="1" hidden="1">
      <c r="A1329" s="1693"/>
      <c r="B1329" s="1690"/>
      <c r="C1329" s="1714"/>
      <c r="D1329" s="1690"/>
      <c r="E1329" s="1690"/>
      <c r="F1329" s="1690"/>
      <c r="G1329" s="1690"/>
      <c r="H1329" s="1690"/>
      <c r="I1329" s="1690"/>
    </row>
    <row r="1330" spans="1:9" s="1692" customFormat="1" hidden="1">
      <c r="A1330" s="1693"/>
      <c r="B1330" s="1690"/>
      <c r="C1330" s="1705" t="s">
        <v>386</v>
      </c>
      <c r="D1330" s="1690"/>
      <c r="E1330" s="1690"/>
      <c r="F1330" s="1690"/>
      <c r="G1330" s="1713"/>
      <c r="H1330" s="1690"/>
      <c r="I1330" s="1690"/>
    </row>
    <row r="1331" spans="1:9" s="1692" customFormat="1" hidden="1">
      <c r="A1331" s="1693"/>
      <c r="B1331" s="1690"/>
      <c r="C1331" s="1705" t="s">
        <v>833</v>
      </c>
      <c r="D1331" s="1690"/>
      <c r="E1331" s="1706"/>
      <c r="F1331" s="1690"/>
      <c r="G1331" s="1690"/>
      <c r="H1331" s="1690"/>
      <c r="I1331" s="1690"/>
    </row>
    <row r="1332" spans="1:9" s="1692" customFormat="1" hidden="1">
      <c r="A1332" s="1693"/>
      <c r="B1332" s="1690"/>
      <c r="C1332" s="1705" t="s">
        <v>834</v>
      </c>
      <c r="D1332" s="1690"/>
      <c r="E1332" s="1706">
        <v>1</v>
      </c>
      <c r="F1332" s="1690">
        <v>2250</v>
      </c>
      <c r="G1332" s="1690">
        <f>E1332*F1332</f>
        <v>2250</v>
      </c>
      <c r="H1332" s="1690"/>
      <c r="I1332" s="1690"/>
    </row>
    <row r="1333" spans="1:9" s="1692" customFormat="1" hidden="1">
      <c r="A1333" s="1693"/>
      <c r="B1333" s="1690"/>
      <c r="C1333" s="1705"/>
      <c r="D1333" s="1690"/>
      <c r="E1333" s="1706"/>
      <c r="F1333" s="1690"/>
      <c r="G1333" s="1690"/>
      <c r="H1333" s="1690"/>
      <c r="I1333" s="1690"/>
    </row>
    <row r="1334" spans="1:9" s="1692" customFormat="1" ht="34.5" hidden="1" customHeight="1">
      <c r="A1334" s="1693"/>
      <c r="B1334" s="1690"/>
      <c r="C1334" s="1708" t="s">
        <v>835</v>
      </c>
      <c r="D1334" s="1690" t="s">
        <v>117</v>
      </c>
      <c r="E1334" s="1706">
        <v>4.7E-2</v>
      </c>
      <c r="F1334" s="1709">
        <f>[127]Bldg.rates!H112</f>
        <v>0</v>
      </c>
      <c r="G1334" s="1710">
        <f t="shared" ref="G1334:G1340" si="37">ROUND(E1334*F1334,2)</f>
        <v>0</v>
      </c>
      <c r="H1334" s="1690"/>
      <c r="I1334" s="1690"/>
    </row>
    <row r="1335" spans="1:9" s="1692" customFormat="1" hidden="1">
      <c r="A1335" s="1693"/>
      <c r="B1335" s="1690"/>
      <c r="C1335" s="1536" t="s">
        <v>836</v>
      </c>
      <c r="D1335" s="1536" t="s">
        <v>183</v>
      </c>
      <c r="E1335" s="1537">
        <v>4</v>
      </c>
      <c r="F1335" s="1539">
        <f>F1321</f>
        <v>37.76</v>
      </c>
      <c r="G1335" s="1696">
        <f t="shared" si="37"/>
        <v>151.04</v>
      </c>
      <c r="H1335" s="1690"/>
      <c r="I1335" s="1690"/>
    </row>
    <row r="1336" spans="1:9" s="1692" customFormat="1" ht="26" hidden="1">
      <c r="A1336" s="1693"/>
      <c r="B1336" s="1690"/>
      <c r="C1336" s="1535" t="s">
        <v>837</v>
      </c>
      <c r="D1336" s="1536" t="s">
        <v>183</v>
      </c>
      <c r="E1336" s="1537">
        <v>6</v>
      </c>
      <c r="F1336" s="1539">
        <f>F1322</f>
        <v>28.32</v>
      </c>
      <c r="G1336" s="1696">
        <f t="shared" si="37"/>
        <v>169.92</v>
      </c>
      <c r="H1336" s="1690"/>
      <c r="I1336" s="1690"/>
    </row>
    <row r="1337" spans="1:9" s="1692" customFormat="1" ht="26" hidden="1">
      <c r="A1337" s="1693"/>
      <c r="B1337" s="1690"/>
      <c r="C1337" s="1535" t="s">
        <v>838</v>
      </c>
      <c r="D1337" s="1536" t="s">
        <v>183</v>
      </c>
      <c r="E1337" s="1537">
        <v>3</v>
      </c>
      <c r="F1337" s="1539">
        <f>F1323</f>
        <v>37.76</v>
      </c>
      <c r="G1337" s="1696">
        <f t="shared" si="37"/>
        <v>113.28</v>
      </c>
      <c r="H1337" s="1690"/>
      <c r="I1337" s="1690"/>
    </row>
    <row r="1338" spans="1:9" s="1692" customFormat="1" ht="26" hidden="1">
      <c r="A1338" s="1693"/>
      <c r="B1338" s="1690"/>
      <c r="C1338" s="1535" t="s">
        <v>839</v>
      </c>
      <c r="D1338" s="1536" t="s">
        <v>183</v>
      </c>
      <c r="E1338" s="1537">
        <v>6</v>
      </c>
      <c r="F1338" s="1539">
        <f>F1324</f>
        <v>10.62</v>
      </c>
      <c r="G1338" s="1696">
        <f t="shared" si="37"/>
        <v>63.72</v>
      </c>
      <c r="H1338" s="1690"/>
      <c r="I1338" s="1690"/>
    </row>
    <row r="1339" spans="1:9" s="1692" customFormat="1" ht="26" hidden="1">
      <c r="A1339" s="1693"/>
      <c r="B1339" s="1690"/>
      <c r="C1339" s="1535" t="s">
        <v>840</v>
      </c>
      <c r="D1339" s="1536" t="s">
        <v>183</v>
      </c>
      <c r="E1339" s="1537">
        <v>3</v>
      </c>
      <c r="F1339" s="1539">
        <f>F1325</f>
        <v>64.899999999999991</v>
      </c>
      <c r="G1339" s="1696">
        <f t="shared" si="37"/>
        <v>194.7</v>
      </c>
      <c r="H1339" s="1690"/>
      <c r="I1339" s="1690"/>
    </row>
    <row r="1340" spans="1:9" s="1692" customFormat="1" ht="39" hidden="1">
      <c r="A1340" s="1693"/>
      <c r="B1340" s="1690"/>
      <c r="C1340" s="1708" t="s">
        <v>841</v>
      </c>
      <c r="D1340" s="1690"/>
      <c r="E1340" s="1706">
        <v>1.64</v>
      </c>
      <c r="F1340" s="1709">
        <f>[127]Bldg.rates!F145</f>
        <v>0</v>
      </c>
      <c r="G1340" s="1710">
        <f t="shared" si="37"/>
        <v>0</v>
      </c>
      <c r="H1340" s="1690"/>
      <c r="I1340" s="1690"/>
    </row>
    <row r="1341" spans="1:9" s="1692" customFormat="1" hidden="1">
      <c r="A1341" s="1693"/>
      <c r="B1341" s="1690"/>
      <c r="C1341" s="1708"/>
      <c r="D1341" s="1690"/>
      <c r="E1341" s="1690"/>
      <c r="F1341" s="1690" t="s">
        <v>139</v>
      </c>
      <c r="G1341" s="1711">
        <f>SUM(G1334:G1340)</f>
        <v>692.66000000000008</v>
      </c>
      <c r="H1341" s="1690"/>
      <c r="I1341" s="1690"/>
    </row>
    <row r="1342" spans="1:9" s="1692" customFormat="1" hidden="1">
      <c r="A1342" s="1693"/>
      <c r="B1342" s="1690"/>
      <c r="C1342" s="1690"/>
      <c r="D1342" s="1690"/>
      <c r="E1342" s="1690"/>
      <c r="F1342" s="1712" t="s">
        <v>842</v>
      </c>
      <c r="G1342" s="1711">
        <f>ROUND(G1341,0)</f>
        <v>693</v>
      </c>
      <c r="H1342" s="1690"/>
      <c r="I1342" s="1690"/>
    </row>
    <row r="1343" spans="1:9" s="1692" customFormat="1" hidden="1">
      <c r="A1343" s="1693"/>
      <c r="B1343" s="1690"/>
      <c r="C1343" s="1690"/>
      <c r="D1343" s="1690"/>
      <c r="E1343" s="1690"/>
      <c r="F1343" s="1690"/>
      <c r="G1343" s="1690"/>
      <c r="H1343" s="1690"/>
      <c r="I1343" s="1690"/>
    </row>
    <row r="1344" spans="1:9" s="1692" customFormat="1" hidden="1">
      <c r="A1344" s="1693"/>
      <c r="B1344" s="1690"/>
      <c r="C1344" s="1690"/>
      <c r="D1344" s="1690"/>
      <c r="E1344" s="1690"/>
      <c r="F1344" s="1690"/>
      <c r="G1344" s="1690"/>
      <c r="H1344" s="1690"/>
      <c r="I1344" s="1690"/>
    </row>
    <row r="1345" spans="1:9" s="1692" customFormat="1" hidden="1">
      <c r="A1345" s="1693"/>
      <c r="B1345" s="1690"/>
      <c r="C1345" s="1705" t="s">
        <v>386</v>
      </c>
      <c r="D1345" s="1690"/>
      <c r="E1345" s="1690"/>
      <c r="F1345" s="1690"/>
      <c r="G1345" s="1713">
        <f>ROUND(G1344,0)</f>
        <v>0</v>
      </c>
      <c r="H1345" s="1690"/>
      <c r="I1345" s="1690"/>
    </row>
    <row r="1346" spans="1:9" s="1692" customFormat="1" hidden="1">
      <c r="A1346" s="1693"/>
      <c r="B1346" s="1690"/>
      <c r="C1346" s="1705" t="s">
        <v>843</v>
      </c>
      <c r="D1346" s="1690"/>
      <c r="E1346" s="1706"/>
      <c r="F1346" s="1690"/>
      <c r="G1346" s="1690"/>
      <c r="H1346" s="1690"/>
      <c r="I1346" s="1690"/>
    </row>
    <row r="1347" spans="1:9" s="1692" customFormat="1" hidden="1">
      <c r="A1347" s="1693"/>
      <c r="B1347" s="1690"/>
      <c r="C1347" s="1705" t="s">
        <v>834</v>
      </c>
      <c r="D1347" s="1690"/>
      <c r="E1347" s="1706">
        <v>1</v>
      </c>
      <c r="F1347" s="1690">
        <v>900</v>
      </c>
      <c r="G1347" s="1690">
        <v>900</v>
      </c>
      <c r="H1347" s="1690"/>
      <c r="I1347" s="1690"/>
    </row>
    <row r="1348" spans="1:9" s="1692" customFormat="1" hidden="1">
      <c r="A1348" s="1693"/>
      <c r="B1348" s="1690"/>
      <c r="C1348" s="1705"/>
      <c r="D1348" s="1690"/>
      <c r="E1348" s="1706"/>
      <c r="F1348" s="1690"/>
      <c r="G1348" s="1690"/>
      <c r="H1348" s="1690"/>
      <c r="I1348" s="1690"/>
    </row>
    <row r="1349" spans="1:9" s="1692" customFormat="1" ht="26" hidden="1">
      <c r="A1349" s="1693"/>
      <c r="B1349" s="1690"/>
      <c r="C1349" s="1438" t="s">
        <v>1112</v>
      </c>
      <c r="D1349" s="1690" t="s">
        <v>117</v>
      </c>
      <c r="E1349" s="1706">
        <v>2.7E-2</v>
      </c>
      <c r="F1349" s="1709">
        <f t="shared" ref="F1349:F1355" si="38">F1334</f>
        <v>0</v>
      </c>
      <c r="G1349" s="1710">
        <f>ROUND(E1349*F1349,2)</f>
        <v>0</v>
      </c>
      <c r="H1349" s="1690"/>
      <c r="I1349" s="1690"/>
    </row>
    <row r="1350" spans="1:9" s="1692" customFormat="1" hidden="1">
      <c r="A1350" s="1693"/>
      <c r="B1350" s="1690"/>
      <c r="C1350" s="1536" t="s">
        <v>836</v>
      </c>
      <c r="D1350" s="1536" t="s">
        <v>183</v>
      </c>
      <c r="E1350" s="1537">
        <v>4</v>
      </c>
      <c r="F1350" s="1537">
        <f t="shared" si="38"/>
        <v>37.76</v>
      </c>
      <c r="G1350" s="1696">
        <f t="shared" ref="G1350:G1355" si="39">ROUND(E1350*F1350,2)</f>
        <v>151.04</v>
      </c>
      <c r="H1350" s="1690"/>
      <c r="I1350" s="1690"/>
    </row>
    <row r="1351" spans="1:9" s="1692" customFormat="1" ht="26" hidden="1">
      <c r="A1351" s="1693"/>
      <c r="B1351" s="1690"/>
      <c r="C1351" s="1535" t="s">
        <v>837</v>
      </c>
      <c r="D1351" s="1536" t="s">
        <v>183</v>
      </c>
      <c r="E1351" s="1537">
        <v>6</v>
      </c>
      <c r="F1351" s="1537">
        <f t="shared" si="38"/>
        <v>28.32</v>
      </c>
      <c r="G1351" s="1696">
        <f t="shared" si="39"/>
        <v>169.92</v>
      </c>
      <c r="H1351" s="1690"/>
      <c r="I1351" s="1690"/>
    </row>
    <row r="1352" spans="1:9" s="1692" customFormat="1" ht="26" hidden="1">
      <c r="A1352" s="1693"/>
      <c r="B1352" s="1690"/>
      <c r="C1352" s="1535" t="s">
        <v>838</v>
      </c>
      <c r="D1352" s="1536" t="s">
        <v>183</v>
      </c>
      <c r="E1352" s="1537">
        <v>3</v>
      </c>
      <c r="F1352" s="1537">
        <f t="shared" si="38"/>
        <v>37.76</v>
      </c>
      <c r="G1352" s="1696">
        <f t="shared" si="39"/>
        <v>113.28</v>
      </c>
      <c r="H1352" s="1690"/>
      <c r="I1352" s="1690"/>
    </row>
    <row r="1353" spans="1:9" s="1692" customFormat="1" ht="26" hidden="1">
      <c r="A1353" s="1693"/>
      <c r="B1353" s="1690"/>
      <c r="C1353" s="1535" t="s">
        <v>839</v>
      </c>
      <c r="D1353" s="1536" t="s">
        <v>183</v>
      </c>
      <c r="E1353" s="1537">
        <v>6</v>
      </c>
      <c r="F1353" s="1537">
        <f t="shared" si="38"/>
        <v>10.62</v>
      </c>
      <c r="G1353" s="1696">
        <f t="shared" si="39"/>
        <v>63.72</v>
      </c>
      <c r="H1353" s="1690"/>
      <c r="I1353" s="1690"/>
    </row>
    <row r="1354" spans="1:9" s="1692" customFormat="1" ht="26" hidden="1">
      <c r="A1354" s="1693"/>
      <c r="B1354" s="1690"/>
      <c r="C1354" s="1535" t="s">
        <v>840</v>
      </c>
      <c r="D1354" s="1536" t="s">
        <v>183</v>
      </c>
      <c r="E1354" s="1537">
        <v>3</v>
      </c>
      <c r="F1354" s="1537">
        <f t="shared" si="38"/>
        <v>64.899999999999991</v>
      </c>
      <c r="G1354" s="1696">
        <f t="shared" si="39"/>
        <v>194.7</v>
      </c>
      <c r="H1354" s="1690"/>
      <c r="I1354" s="1690"/>
    </row>
    <row r="1355" spans="1:9" s="1692" customFormat="1" ht="39" hidden="1">
      <c r="A1355" s="1693"/>
      <c r="B1355" s="1690"/>
      <c r="C1355" s="1708" t="s">
        <v>841</v>
      </c>
      <c r="D1355" s="1690"/>
      <c r="E1355" s="1706">
        <v>1.08</v>
      </c>
      <c r="F1355" s="1709">
        <f t="shared" si="38"/>
        <v>0</v>
      </c>
      <c r="G1355" s="1710">
        <f t="shared" si="39"/>
        <v>0</v>
      </c>
      <c r="H1355" s="1690"/>
      <c r="I1355" s="1690"/>
    </row>
    <row r="1356" spans="1:9" s="1692" customFormat="1" hidden="1">
      <c r="A1356" s="1693"/>
      <c r="B1356" s="1690"/>
      <c r="C1356" s="1708"/>
      <c r="D1356" s="1690"/>
      <c r="E1356" s="1706"/>
      <c r="F1356" s="1709"/>
      <c r="G1356" s="1710">
        <f>SUM(G1349:G1355)</f>
        <v>692.66000000000008</v>
      </c>
      <c r="H1356" s="1690"/>
      <c r="I1356" s="1690"/>
    </row>
    <row r="1357" spans="1:9" s="1692" customFormat="1" hidden="1">
      <c r="A1357" s="1693"/>
      <c r="B1357" s="1690"/>
      <c r="C1357" s="1708"/>
      <c r="D1357" s="1690"/>
      <c r="E1357" s="1690"/>
      <c r="F1357" s="1690" t="s">
        <v>139</v>
      </c>
      <c r="G1357" s="1711">
        <f>ROUND(G1356,0)</f>
        <v>693</v>
      </c>
      <c r="H1357" s="1690"/>
      <c r="I1357" s="1690"/>
    </row>
    <row r="1358" spans="1:9" s="1654" customFormat="1" ht="53.25" customHeight="1">
      <c r="A1358" s="1651"/>
      <c r="B1358" s="1652">
        <v>41</v>
      </c>
      <c r="C1358" s="2053" t="s">
        <v>1128</v>
      </c>
      <c r="D1358" s="2054"/>
      <c r="E1358" s="2054"/>
      <c r="F1358" s="2054"/>
      <c r="G1358" s="2054"/>
      <c r="H1358" s="2055"/>
      <c r="I1358" s="1653"/>
    </row>
    <row r="1359" spans="1:9" s="1662" customFormat="1">
      <c r="A1359" s="1655"/>
      <c r="B1359" s="1656"/>
      <c r="C1359" s="1657" t="s">
        <v>623</v>
      </c>
      <c r="D1359" s="1658"/>
      <c r="E1359" s="1659"/>
      <c r="F1359" s="1659"/>
      <c r="G1359" s="1660"/>
      <c r="H1359" s="1661"/>
      <c r="I1359" s="1659"/>
    </row>
    <row r="1360" spans="1:9" s="1662" customFormat="1" ht="16.5" customHeight="1">
      <c r="A1360" s="1655"/>
      <c r="B1360" s="1656"/>
      <c r="C1360" s="1681" t="s">
        <v>2111</v>
      </c>
      <c r="D1360" s="1658"/>
      <c r="E1360" s="1659"/>
      <c r="F1360" s="1659"/>
      <c r="G1360" s="1660"/>
      <c r="H1360" s="1661"/>
      <c r="I1360" s="1659"/>
    </row>
    <row r="1361" spans="1:10" s="1662" customFormat="1" ht="54.75" customHeight="1">
      <c r="A1361" s="1655"/>
      <c r="B1361" s="1656"/>
      <c r="C1361" s="1673" t="s">
        <v>1126</v>
      </c>
      <c r="D1361" s="1673"/>
      <c r="E1361" s="1673"/>
      <c r="F1361" s="1674" t="s">
        <v>184</v>
      </c>
      <c r="G1361" s="1674">
        <v>1</v>
      </c>
      <c r="H1361" s="1674">
        <v>1232</v>
      </c>
      <c r="I1361" s="1674">
        <f>G1361*H1361</f>
        <v>1232</v>
      </c>
    </row>
    <row r="1362" spans="1:10" s="1662" customFormat="1" ht="28.5" customHeight="1">
      <c r="A1362" s="1655"/>
      <c r="B1362" s="1656"/>
      <c r="C1362" s="1673" t="s">
        <v>637</v>
      </c>
      <c r="D1362" s="1673"/>
      <c r="E1362" s="1673"/>
      <c r="F1362" s="1674" t="s">
        <v>184</v>
      </c>
      <c r="G1362" s="1674">
        <v>1</v>
      </c>
      <c r="H1362" s="1674">
        <v>383</v>
      </c>
      <c r="I1362" s="1674">
        <f>G1362*H1362</f>
        <v>383</v>
      </c>
    </row>
    <row r="1363" spans="1:10" s="1662" customFormat="1">
      <c r="A1363" s="1655"/>
      <c r="B1363" s="1656"/>
      <c r="C1363" s="1683" t="s">
        <v>625</v>
      </c>
      <c r="D1363" s="1684"/>
      <c r="E1363" s="1659"/>
      <c r="F1363" s="1660"/>
      <c r="G1363" s="1661"/>
      <c r="H1363" s="1659"/>
      <c r="I1363" s="1674">
        <f>SUM(I1361:I1362)</f>
        <v>1615</v>
      </c>
    </row>
    <row r="1364" spans="1:10" s="1662" customFormat="1">
      <c r="A1364" s="1689"/>
      <c r="B1364" s="1656"/>
      <c r="C1364" s="1683" t="s">
        <v>2108</v>
      </c>
      <c r="D1364" s="1684"/>
      <c r="E1364" s="1659"/>
      <c r="F1364" s="1660"/>
      <c r="G1364" s="1715"/>
      <c r="H1364" s="1682">
        <f>ROUND(1.2*2.1,2)</f>
        <v>2.52</v>
      </c>
      <c r="I1364" s="1674">
        <f>H1364*I1363</f>
        <v>4069.8</v>
      </c>
    </row>
    <row r="1365" spans="1:10" s="1443" customFormat="1">
      <c r="A1365" s="1685"/>
      <c r="B1365" s="1437"/>
      <c r="C1365" s="1438" t="s">
        <v>1920</v>
      </c>
      <c r="D1365" s="1439" t="s">
        <v>1921</v>
      </c>
      <c r="E1365" s="1685"/>
      <c r="F1365" s="1437" t="s">
        <v>217</v>
      </c>
      <c r="G1365" s="1440">
        <v>4</v>
      </c>
      <c r="H1365" s="1441">
        <v>117</v>
      </c>
      <c r="I1365" s="1442">
        <f t="shared" ref="I1365:I1373" si="40">ROUND(G1365*H1365,2)</f>
        <v>468</v>
      </c>
    </row>
    <row r="1366" spans="1:10" s="1443" customFormat="1" ht="18" customHeight="1">
      <c r="A1366" s="1685"/>
      <c r="B1366" s="1437"/>
      <c r="C1366" s="1438" t="s">
        <v>1922</v>
      </c>
      <c r="D1366" s="1439" t="s">
        <v>1923</v>
      </c>
      <c r="E1366" s="1685"/>
      <c r="F1366" s="1437" t="s">
        <v>217</v>
      </c>
      <c r="G1366" s="1440">
        <v>1</v>
      </c>
      <c r="H1366" s="1441">
        <v>103</v>
      </c>
      <c r="I1366" s="1442">
        <f t="shared" si="40"/>
        <v>103</v>
      </c>
    </row>
    <row r="1367" spans="1:10" s="1443" customFormat="1" ht="18" customHeight="1">
      <c r="A1367" s="1685"/>
      <c r="B1367" s="1437"/>
      <c r="C1367" s="1438" t="s">
        <v>1924</v>
      </c>
      <c r="D1367" s="1439" t="s">
        <v>1925</v>
      </c>
      <c r="E1367" s="1685"/>
      <c r="F1367" s="1437" t="s">
        <v>217</v>
      </c>
      <c r="G1367" s="1440">
        <v>1</v>
      </c>
      <c r="H1367" s="1441">
        <v>84</v>
      </c>
      <c r="I1367" s="1442">
        <f t="shared" si="40"/>
        <v>84</v>
      </c>
    </row>
    <row r="1368" spans="1:10" s="1883" customFormat="1" ht="17.25" customHeight="1">
      <c r="A1368" s="1876"/>
      <c r="B1368" s="1877"/>
      <c r="C1368" s="1878" t="s">
        <v>1926</v>
      </c>
      <c r="D1368" s="1879" t="s">
        <v>1927</v>
      </c>
      <c r="E1368" s="1876"/>
      <c r="F1368" s="1877" t="s">
        <v>217</v>
      </c>
      <c r="G1368" s="1880">
        <v>2</v>
      </c>
      <c r="H1368" s="1881">
        <v>103</v>
      </c>
      <c r="I1368" s="1882">
        <f t="shared" si="40"/>
        <v>206</v>
      </c>
    </row>
    <row r="1369" spans="1:10" s="1883" customFormat="1" ht="17.25" customHeight="1">
      <c r="A1369" s="1876"/>
      <c r="B1369" s="1877"/>
      <c r="C1369" s="1878" t="s">
        <v>1928</v>
      </c>
      <c r="D1369" s="1879" t="s">
        <v>1929</v>
      </c>
      <c r="E1369" s="1876"/>
      <c r="F1369" s="1877" t="s">
        <v>217</v>
      </c>
      <c r="G1369" s="1880">
        <v>1</v>
      </c>
      <c r="H1369" s="1881">
        <v>62</v>
      </c>
      <c r="I1369" s="1882">
        <f t="shared" si="40"/>
        <v>62</v>
      </c>
    </row>
    <row r="1370" spans="1:10" s="1443" customFormat="1">
      <c r="A1370" s="1685"/>
      <c r="B1370" s="1437"/>
      <c r="C1370" s="1438" t="s">
        <v>1930</v>
      </c>
      <c r="D1370" s="1439" t="s">
        <v>1931</v>
      </c>
      <c r="E1370" s="1685"/>
      <c r="F1370" s="1437" t="s">
        <v>217</v>
      </c>
      <c r="G1370" s="1440">
        <v>1</v>
      </c>
      <c r="H1370" s="1441">
        <v>284</v>
      </c>
      <c r="I1370" s="1442">
        <f t="shared" si="40"/>
        <v>284</v>
      </c>
    </row>
    <row r="1371" spans="1:10" s="1443" customFormat="1">
      <c r="A1371" s="1685"/>
      <c r="B1371" s="1437"/>
      <c r="C1371" s="1438" t="s">
        <v>557</v>
      </c>
      <c r="D1371" s="1444"/>
      <c r="E1371" s="1685"/>
      <c r="F1371" s="1437" t="s">
        <v>217</v>
      </c>
      <c r="G1371" s="1440">
        <v>2</v>
      </c>
      <c r="H1371" s="1441">
        <v>15</v>
      </c>
      <c r="I1371" s="1442">
        <f t="shared" si="40"/>
        <v>30</v>
      </c>
    </row>
    <row r="1372" spans="1:10" s="1443" customFormat="1">
      <c r="A1372" s="1685"/>
      <c r="B1372" s="1437"/>
      <c r="C1372" s="1438" t="s">
        <v>832</v>
      </c>
      <c r="D1372" s="1439" t="s">
        <v>1932</v>
      </c>
      <c r="E1372" s="1685"/>
      <c r="F1372" s="1437" t="s">
        <v>217</v>
      </c>
      <c r="G1372" s="1440">
        <v>2</v>
      </c>
      <c r="H1372" s="1441">
        <v>9</v>
      </c>
      <c r="I1372" s="1442">
        <f t="shared" si="40"/>
        <v>18</v>
      </c>
    </row>
    <row r="1373" spans="1:10" s="1443" customFormat="1" ht="17.25" customHeight="1">
      <c r="A1373" s="1685"/>
      <c r="B1373" s="1437"/>
      <c r="C1373" s="1438" t="s">
        <v>17</v>
      </c>
      <c r="D1373" s="1444" t="s">
        <v>16</v>
      </c>
      <c r="E1373" s="1685"/>
      <c r="F1373" s="1437" t="s">
        <v>217</v>
      </c>
      <c r="G1373" s="1440">
        <v>4</v>
      </c>
      <c r="H1373" s="1441">
        <v>32</v>
      </c>
      <c r="I1373" s="1442">
        <f t="shared" si="40"/>
        <v>128</v>
      </c>
    </row>
    <row r="1374" spans="1:10" s="1688" customFormat="1" ht="26">
      <c r="A1374" s="1651"/>
      <c r="B1374" s="1682"/>
      <c r="C1374" s="1657" t="s">
        <v>2112</v>
      </c>
      <c r="D1374" s="1686"/>
      <c r="E1374" s="1659"/>
      <c r="F1374" s="1660"/>
      <c r="G1374" s="1661"/>
      <c r="H1374" s="1659"/>
      <c r="I1374" s="1682">
        <f>SUM(I1364:I1373)</f>
        <v>5452.8</v>
      </c>
      <c r="J1374" s="1687"/>
    </row>
    <row r="1375" spans="1:10" s="1654" customFormat="1">
      <c r="A1375" s="1676"/>
      <c r="B1375" s="1677"/>
      <c r="C1375" s="1681" t="s">
        <v>2110</v>
      </c>
      <c r="D1375" s="1652"/>
      <c r="E1375" s="1679"/>
      <c r="F1375" s="1679"/>
      <c r="G1375" s="1674"/>
      <c r="H1375" s="1680"/>
      <c r="I1375" s="1679"/>
    </row>
    <row r="1376" spans="1:10" s="1654" customFormat="1">
      <c r="A1376" s="1676"/>
      <c r="B1376" s="1677"/>
      <c r="C1376" s="1681" t="s">
        <v>2103</v>
      </c>
      <c r="D1376" s="1652">
        <v>2</v>
      </c>
      <c r="E1376" s="1677">
        <v>2.1</v>
      </c>
      <c r="F1376" s="1677">
        <v>0.1</v>
      </c>
      <c r="G1376" s="1674">
        <f>2*2.1*0.1*0.075</f>
        <v>3.15E-2</v>
      </c>
      <c r="H1376" s="1677">
        <f>H1254</f>
        <v>46217</v>
      </c>
      <c r="I1376" s="1677">
        <f>ROUND(G1376*H1376,2)</f>
        <v>1455.84</v>
      </c>
    </row>
    <row r="1377" spans="1:12" s="1654" customFormat="1">
      <c r="A1377" s="1676"/>
      <c r="B1377" s="1677"/>
      <c r="C1377" s="1681" t="s">
        <v>2104</v>
      </c>
      <c r="D1377" s="1652">
        <v>2</v>
      </c>
      <c r="E1377" s="1677">
        <v>1.2</v>
      </c>
      <c r="F1377" s="1677">
        <v>0.1</v>
      </c>
      <c r="G1377" s="1674">
        <f>D1377*E1377*F1377*F1377</f>
        <v>2.4E-2</v>
      </c>
      <c r="H1377" s="1677">
        <f>H1376</f>
        <v>46217</v>
      </c>
      <c r="I1377" s="1677">
        <f>ROUND(G1377*H1377,2)</f>
        <v>1109.21</v>
      </c>
    </row>
    <row r="1378" spans="1:12" s="1654" customFormat="1">
      <c r="A1378" s="1676"/>
      <c r="B1378" s="1677"/>
      <c r="C1378" s="1681" t="s">
        <v>630</v>
      </c>
      <c r="D1378" s="1652"/>
      <c r="E1378" s="1677"/>
      <c r="F1378" s="1677"/>
      <c r="G1378" s="1674">
        <f>SUM(G1376:G1377)</f>
        <v>5.5500000000000001E-2</v>
      </c>
      <c r="H1378" s="1677">
        <f>G1318</f>
        <v>2500</v>
      </c>
      <c r="I1378" s="1677">
        <f>ROUND(G1378*H1378,2)</f>
        <v>138.75</v>
      </c>
    </row>
    <row r="1379" spans="1:12" s="1654" customFormat="1" ht="24" customHeight="1">
      <c r="A1379" s="1676"/>
      <c r="B1379" s="1677"/>
      <c r="C1379" s="1872" t="s">
        <v>2113</v>
      </c>
      <c r="D1379" s="1652"/>
      <c r="E1379" s="1677"/>
      <c r="F1379" s="1677"/>
      <c r="G1379" s="1674"/>
      <c r="H1379" s="1677"/>
      <c r="I1379" s="1682">
        <f>ROUND(SUM(I1376:I1378),1)</f>
        <v>2703.8</v>
      </c>
    </row>
    <row r="1380" spans="1:12" s="1654" customFormat="1">
      <c r="A1380" s="1676"/>
      <c r="B1380" s="1677"/>
      <c r="C1380" s="1681" t="s">
        <v>631</v>
      </c>
      <c r="D1380" s="1652"/>
      <c r="E1380" s="1677"/>
      <c r="F1380" s="1677"/>
      <c r="G1380" s="1674"/>
      <c r="H1380" s="1677"/>
      <c r="I1380" s="1682">
        <f>I1379+I1374</f>
        <v>8156.6</v>
      </c>
    </row>
    <row r="1381" spans="1:12" s="1662" customFormat="1" ht="26">
      <c r="A1381" s="1655"/>
      <c r="B1381" s="1656"/>
      <c r="C1381" s="1657" t="s">
        <v>1131</v>
      </c>
      <c r="D1381" s="1658"/>
      <c r="E1381" s="1659"/>
      <c r="F1381" s="1659"/>
      <c r="G1381" s="1661"/>
      <c r="H1381" s="1659"/>
      <c r="I1381" s="1682">
        <f>ROUND(SUM(I1380:I1380),0)</f>
        <v>8157</v>
      </c>
    </row>
    <row r="1382" spans="1:12" ht="39" hidden="1">
      <c r="A1382" s="969"/>
      <c r="B1382" s="1487"/>
      <c r="C1382" s="887" t="s">
        <v>554</v>
      </c>
      <c r="D1382" s="731"/>
      <c r="E1382" s="731"/>
      <c r="F1382" s="731"/>
      <c r="G1382" s="731"/>
      <c r="H1382" s="726"/>
      <c r="I1382" s="726"/>
      <c r="J1382" s="726"/>
      <c r="K1382" s="726"/>
      <c r="L1382" s="726"/>
    </row>
    <row r="1383" spans="1:12" ht="26" hidden="1">
      <c r="A1383" s="972" t="s">
        <v>12</v>
      </c>
      <c r="B1383" s="731"/>
      <c r="C1383" s="1483" t="s">
        <v>555</v>
      </c>
      <c r="D1383" s="731" t="s">
        <v>217</v>
      </c>
      <c r="E1383" s="886">
        <v>2</v>
      </c>
      <c r="F1383" s="836">
        <f>ROUND(68*1.18,2)</f>
        <v>80.239999999999995</v>
      </c>
      <c r="G1383" s="732">
        <f t="shared" ref="G1383:G1389" si="41">ROUND(E1383*F1383,2)</f>
        <v>160.47999999999999</v>
      </c>
      <c r="H1383" s="726"/>
      <c r="I1383" s="1268"/>
      <c r="J1383" s="829"/>
      <c r="K1383" s="888"/>
      <c r="L1383" s="889"/>
    </row>
    <row r="1384" spans="1:12" ht="26" hidden="1">
      <c r="A1384" s="972" t="s">
        <v>12</v>
      </c>
      <c r="B1384" s="731"/>
      <c r="C1384" s="1483" t="s">
        <v>556</v>
      </c>
      <c r="D1384" s="731" t="s">
        <v>217</v>
      </c>
      <c r="E1384" s="886">
        <v>1</v>
      </c>
      <c r="F1384" s="836">
        <f>F1383</f>
        <v>80.239999999999995</v>
      </c>
      <c r="G1384" s="732">
        <f t="shared" si="41"/>
        <v>80.239999999999995</v>
      </c>
      <c r="H1384" s="726"/>
      <c r="I1384" s="1268"/>
      <c r="J1384" s="829"/>
      <c r="K1384" s="888"/>
      <c r="L1384" s="889"/>
    </row>
    <row r="1385" spans="1:12" ht="26" hidden="1">
      <c r="A1385" s="972" t="s">
        <v>13</v>
      </c>
      <c r="B1385" s="731"/>
      <c r="C1385" s="1483" t="s">
        <v>406</v>
      </c>
      <c r="D1385" s="731" t="s">
        <v>217</v>
      </c>
      <c r="E1385" s="886">
        <v>2</v>
      </c>
      <c r="F1385" s="836">
        <f>ROUND(45*1.18,2)</f>
        <v>53.1</v>
      </c>
      <c r="G1385" s="732">
        <f t="shared" si="41"/>
        <v>106.2</v>
      </c>
      <c r="H1385" s="726"/>
      <c r="I1385" s="1268"/>
      <c r="J1385" s="829"/>
      <c r="K1385" s="888"/>
      <c r="L1385" s="889"/>
    </row>
    <row r="1386" spans="1:12" ht="26" hidden="1">
      <c r="A1386" s="972" t="s">
        <v>14</v>
      </c>
      <c r="B1386" s="731"/>
      <c r="C1386" s="1483" t="s">
        <v>407</v>
      </c>
      <c r="D1386" s="731" t="s">
        <v>217</v>
      </c>
      <c r="E1386" s="886">
        <v>1</v>
      </c>
      <c r="F1386" s="836">
        <f>ROUND(154*1.18,2)</f>
        <v>181.72</v>
      </c>
      <c r="G1386" s="732">
        <f t="shared" si="41"/>
        <v>181.72</v>
      </c>
      <c r="H1386" s="726"/>
      <c r="I1386" s="1268"/>
      <c r="J1386" s="829"/>
      <c r="K1386" s="888"/>
      <c r="L1386" s="889"/>
    </row>
    <row r="1387" spans="1:12" ht="26" hidden="1">
      <c r="A1387" s="972" t="s">
        <v>15</v>
      </c>
      <c r="B1387" s="731"/>
      <c r="C1387" s="1483" t="s">
        <v>3</v>
      </c>
      <c r="D1387" s="731" t="s">
        <v>217</v>
      </c>
      <c r="E1387" s="886">
        <v>6</v>
      </c>
      <c r="F1387" s="836">
        <f>ROUND(31*1.18,2)</f>
        <v>36.58</v>
      </c>
      <c r="G1387" s="732">
        <f t="shared" si="41"/>
        <v>219.48</v>
      </c>
      <c r="H1387" s="726"/>
      <c r="I1387" s="1268"/>
      <c r="J1387" s="829"/>
      <c r="K1387" s="888"/>
      <c r="L1387" s="889"/>
    </row>
    <row r="1388" spans="1:12" hidden="1">
      <c r="A1388" s="892"/>
      <c r="B1388" s="731"/>
      <c r="C1388" s="1483" t="s">
        <v>557</v>
      </c>
      <c r="D1388" s="731" t="s">
        <v>217</v>
      </c>
      <c r="E1388" s="886">
        <v>2</v>
      </c>
      <c r="F1388" s="836">
        <f>ROUND(15*1.18,2)</f>
        <v>17.7</v>
      </c>
      <c r="G1388" s="732">
        <f t="shared" si="41"/>
        <v>35.4</v>
      </c>
      <c r="H1388" s="726"/>
      <c r="I1388" s="1268"/>
      <c r="J1388" s="829"/>
      <c r="K1388" s="888"/>
      <c r="L1388" s="890"/>
    </row>
    <row r="1389" spans="1:12" hidden="1">
      <c r="A1389" s="892" t="s">
        <v>16</v>
      </c>
      <c r="B1389" s="731"/>
      <c r="C1389" s="1483" t="s">
        <v>17</v>
      </c>
      <c r="D1389" s="731" t="s">
        <v>217</v>
      </c>
      <c r="E1389" s="886">
        <v>4</v>
      </c>
      <c r="F1389" s="836">
        <f>ROUND(32*1.18,2)</f>
        <v>37.76</v>
      </c>
      <c r="G1389" s="732">
        <f t="shared" si="41"/>
        <v>151.04</v>
      </c>
      <c r="H1389" s="726"/>
      <c r="I1389" s="1268"/>
      <c r="J1389" s="829"/>
      <c r="K1389" s="888"/>
      <c r="L1389" s="889"/>
    </row>
    <row r="1390" spans="1:12" hidden="1">
      <c r="A1390" s="892"/>
      <c r="B1390" s="731"/>
      <c r="C1390" s="1483" t="s">
        <v>409</v>
      </c>
      <c r="D1390" s="731"/>
      <c r="E1390" s="795"/>
      <c r="F1390" s="891"/>
      <c r="G1390" s="881">
        <f>SUM(G1383:G1389)</f>
        <v>934.56</v>
      </c>
      <c r="H1390" s="726"/>
      <c r="I1390" s="726"/>
      <c r="J1390" s="726"/>
      <c r="K1390" s="726"/>
      <c r="L1390" s="726"/>
    </row>
    <row r="1391" spans="1:12" hidden="1">
      <c r="A1391" s="972"/>
      <c r="B1391" s="752"/>
      <c r="C1391" s="1483"/>
      <c r="D1391" s="731"/>
      <c r="E1391" s="731"/>
      <c r="F1391" s="731"/>
      <c r="G1391" s="731"/>
      <c r="H1391" s="726"/>
      <c r="I1391" s="726"/>
      <c r="J1391" s="726"/>
      <c r="K1391" s="726"/>
      <c r="L1391" s="726"/>
    </row>
    <row r="1392" spans="1:12" ht="39" hidden="1">
      <c r="A1392" s="969"/>
      <c r="B1392" s="1487"/>
      <c r="C1392" s="887" t="s">
        <v>558</v>
      </c>
      <c r="D1392" s="731"/>
      <c r="E1392" s="731"/>
      <c r="F1392" s="731"/>
      <c r="G1392" s="731"/>
      <c r="H1392" s="726"/>
      <c r="I1392" s="726"/>
      <c r="J1392" s="726"/>
      <c r="K1392" s="726"/>
      <c r="L1392" s="726"/>
    </row>
    <row r="1393" spans="1:12" hidden="1">
      <c r="A1393" s="972" t="s">
        <v>12</v>
      </c>
      <c r="B1393" s="731"/>
      <c r="C1393" s="892" t="s">
        <v>555</v>
      </c>
      <c r="D1393" s="731" t="s">
        <v>217</v>
      </c>
      <c r="E1393" s="886">
        <v>1</v>
      </c>
      <c r="F1393" s="893">
        <f t="shared" ref="F1393:F1399" si="42">F1383</f>
        <v>80.239999999999995</v>
      </c>
      <c r="G1393" s="732">
        <f t="shared" ref="G1393:G1399" si="43">ROUND(E1393*F1393,2)</f>
        <v>80.239999999999995</v>
      </c>
      <c r="H1393" s="726"/>
      <c r="I1393" s="726"/>
      <c r="J1393" s="726"/>
      <c r="K1393" s="726"/>
      <c r="L1393" s="726"/>
    </row>
    <row r="1394" spans="1:12" ht="13.5" hidden="1" customHeight="1">
      <c r="A1394" s="972" t="s">
        <v>12</v>
      </c>
      <c r="B1394" s="731"/>
      <c r="C1394" s="892" t="s">
        <v>556</v>
      </c>
      <c r="D1394" s="731" t="s">
        <v>217</v>
      </c>
      <c r="E1394" s="886">
        <v>1</v>
      </c>
      <c r="F1394" s="852">
        <f t="shared" si="42"/>
        <v>80.239999999999995</v>
      </c>
      <c r="G1394" s="732">
        <f t="shared" si="43"/>
        <v>80.239999999999995</v>
      </c>
      <c r="H1394" s="726"/>
      <c r="I1394" s="726"/>
      <c r="J1394" s="726"/>
      <c r="K1394" s="726"/>
      <c r="L1394" s="726"/>
    </row>
    <row r="1395" spans="1:12" ht="26" hidden="1">
      <c r="A1395" s="972" t="s">
        <v>13</v>
      </c>
      <c r="B1395" s="731"/>
      <c r="C1395" s="1483" t="s">
        <v>406</v>
      </c>
      <c r="D1395" s="731" t="s">
        <v>217</v>
      </c>
      <c r="E1395" s="886">
        <v>1</v>
      </c>
      <c r="F1395" s="852">
        <f t="shared" si="42"/>
        <v>53.1</v>
      </c>
      <c r="G1395" s="732">
        <f t="shared" si="43"/>
        <v>53.1</v>
      </c>
      <c r="H1395" s="726"/>
      <c r="I1395" s="726"/>
      <c r="J1395" s="726"/>
      <c r="K1395" s="726"/>
      <c r="L1395" s="726"/>
    </row>
    <row r="1396" spans="1:12" ht="26" hidden="1">
      <c r="A1396" s="972" t="s">
        <v>14</v>
      </c>
      <c r="B1396" s="731"/>
      <c r="C1396" s="1483" t="s">
        <v>407</v>
      </c>
      <c r="D1396" s="731" t="s">
        <v>217</v>
      </c>
      <c r="E1396" s="886">
        <v>1</v>
      </c>
      <c r="F1396" s="852">
        <f t="shared" si="42"/>
        <v>181.72</v>
      </c>
      <c r="G1396" s="732">
        <f t="shared" si="43"/>
        <v>181.72</v>
      </c>
      <c r="H1396" s="726"/>
      <c r="I1396" s="726"/>
      <c r="J1396" s="726"/>
      <c r="K1396" s="726"/>
      <c r="L1396" s="726"/>
    </row>
    <row r="1397" spans="1:12" ht="26" hidden="1">
      <c r="A1397" s="972" t="s">
        <v>15</v>
      </c>
      <c r="B1397" s="731"/>
      <c r="C1397" s="1483" t="s">
        <v>408</v>
      </c>
      <c r="D1397" s="731" t="s">
        <v>217</v>
      </c>
      <c r="E1397" s="886">
        <v>3</v>
      </c>
      <c r="F1397" s="852">
        <f t="shared" si="42"/>
        <v>36.58</v>
      </c>
      <c r="G1397" s="732">
        <f t="shared" si="43"/>
        <v>109.74</v>
      </c>
      <c r="H1397" s="726"/>
      <c r="I1397" s="726"/>
      <c r="J1397" s="726"/>
      <c r="K1397" s="726"/>
      <c r="L1397" s="726"/>
    </row>
    <row r="1398" spans="1:12" hidden="1">
      <c r="A1398" s="892"/>
      <c r="B1398" s="731"/>
      <c r="C1398" s="1483" t="s">
        <v>557</v>
      </c>
      <c r="D1398" s="731" t="s">
        <v>217</v>
      </c>
      <c r="E1398" s="886">
        <v>1</v>
      </c>
      <c r="F1398" s="852">
        <f t="shared" si="42"/>
        <v>17.7</v>
      </c>
      <c r="G1398" s="732">
        <f t="shared" si="43"/>
        <v>17.7</v>
      </c>
      <c r="H1398" s="726"/>
      <c r="I1398" s="726"/>
      <c r="J1398" s="726"/>
      <c r="K1398" s="726"/>
      <c r="L1398" s="726"/>
    </row>
    <row r="1399" spans="1:12" hidden="1">
      <c r="A1399" s="892" t="s">
        <v>16</v>
      </c>
      <c r="B1399" s="731"/>
      <c r="C1399" s="1483" t="s">
        <v>17</v>
      </c>
      <c r="D1399" s="731" t="s">
        <v>217</v>
      </c>
      <c r="E1399" s="886">
        <v>4</v>
      </c>
      <c r="F1399" s="852">
        <f t="shared" si="42"/>
        <v>37.76</v>
      </c>
      <c r="G1399" s="732">
        <f t="shared" si="43"/>
        <v>151.04</v>
      </c>
      <c r="H1399" s="726"/>
      <c r="I1399" s="726"/>
      <c r="J1399" s="726"/>
      <c r="K1399" s="726"/>
      <c r="L1399" s="726"/>
    </row>
    <row r="1400" spans="1:12" hidden="1">
      <c r="A1400" s="892"/>
      <c r="B1400" s="731"/>
      <c r="C1400" s="1483" t="s">
        <v>409</v>
      </c>
      <c r="D1400" s="731"/>
      <c r="E1400" s="795"/>
      <c r="F1400" s="731"/>
      <c r="G1400" s="881">
        <f>SUM(G1393:G1399)</f>
        <v>673.78</v>
      </c>
      <c r="H1400" s="726"/>
      <c r="I1400" s="726"/>
      <c r="J1400" s="726"/>
      <c r="K1400" s="726"/>
      <c r="L1400" s="726"/>
    </row>
    <row r="1401" spans="1:12" hidden="1">
      <c r="A1401" s="972"/>
      <c r="B1401" s="752"/>
      <c r="C1401" s="1483"/>
      <c r="D1401" s="731"/>
      <c r="E1401" s="731"/>
      <c r="F1401" s="731"/>
      <c r="G1401" s="731"/>
      <c r="H1401" s="726"/>
      <c r="I1401" s="726"/>
      <c r="J1401" s="726"/>
      <c r="K1401" s="726"/>
      <c r="L1401" s="726"/>
    </row>
    <row r="1402" spans="1:12" ht="30.75" hidden="1" customHeight="1">
      <c r="A1402" s="969"/>
      <c r="B1402" s="1487"/>
      <c r="C1402" s="746" t="s">
        <v>221</v>
      </c>
      <c r="D1402" s="731"/>
      <c r="E1402" s="731"/>
      <c r="F1402" s="731"/>
      <c r="G1402" s="731"/>
      <c r="H1402" s="726"/>
      <c r="I1402" s="726"/>
      <c r="J1402" s="726"/>
      <c r="K1402" s="726"/>
      <c r="L1402" s="726"/>
    </row>
    <row r="1403" spans="1:12" hidden="1">
      <c r="A1403" s="969"/>
      <c r="B1403" s="1487"/>
      <c r="C1403" s="813" t="s">
        <v>559</v>
      </c>
      <c r="D1403" s="731" t="s">
        <v>217</v>
      </c>
      <c r="E1403" s="886">
        <v>2</v>
      </c>
      <c r="F1403" s="836">
        <f>ROUND(5*1.18,2)</f>
        <v>5.9</v>
      </c>
      <c r="G1403" s="732">
        <f>ROUND(E1403*F1403,2)</f>
        <v>11.8</v>
      </c>
      <c r="H1403" s="726"/>
      <c r="I1403" s="819"/>
      <c r="J1403" s="829"/>
      <c r="K1403" s="888"/>
      <c r="L1403" s="889"/>
    </row>
    <row r="1404" spans="1:12" ht="24" hidden="1" customHeight="1">
      <c r="A1404" s="972" t="s">
        <v>18</v>
      </c>
      <c r="B1404" s="731"/>
      <c r="C1404" s="813" t="s">
        <v>560</v>
      </c>
      <c r="D1404" s="731" t="s">
        <v>217</v>
      </c>
      <c r="E1404" s="886">
        <v>2</v>
      </c>
      <c r="F1404" s="836">
        <f>ROUND(24*1.18,2)</f>
        <v>28.32</v>
      </c>
      <c r="G1404" s="732">
        <f>ROUND(E1404*F1404,2)</f>
        <v>56.64</v>
      </c>
      <c r="H1404" s="726"/>
      <c r="I1404" s="1268"/>
      <c r="J1404" s="829"/>
      <c r="K1404" s="888"/>
      <c r="L1404" s="889"/>
    </row>
    <row r="1405" spans="1:12" ht="24" hidden="1" customHeight="1">
      <c r="A1405" s="972" t="s">
        <v>18</v>
      </c>
      <c r="B1405" s="731"/>
      <c r="C1405" s="813" t="s">
        <v>561</v>
      </c>
      <c r="D1405" s="731" t="s">
        <v>217</v>
      </c>
      <c r="E1405" s="886">
        <v>2</v>
      </c>
      <c r="F1405" s="836">
        <f>F1404</f>
        <v>28.32</v>
      </c>
      <c r="G1405" s="732">
        <f>ROUND(E1405*F1405,2)</f>
        <v>56.64</v>
      </c>
      <c r="H1405" s="726"/>
      <c r="I1405" s="1268"/>
      <c r="J1405" s="829"/>
      <c r="K1405" s="888"/>
      <c r="L1405" s="889"/>
    </row>
    <row r="1406" spans="1:12" ht="24" hidden="1" customHeight="1">
      <c r="A1406" s="892" t="s">
        <v>16</v>
      </c>
      <c r="B1406" s="731"/>
      <c r="C1406" s="1483" t="s">
        <v>17</v>
      </c>
      <c r="D1406" s="731" t="s">
        <v>217</v>
      </c>
      <c r="E1406" s="886">
        <v>4</v>
      </c>
      <c r="F1406" s="836">
        <f>F1399</f>
        <v>37.76</v>
      </c>
      <c r="G1406" s="732">
        <f>ROUND(E1406*F1406,2)</f>
        <v>151.04</v>
      </c>
      <c r="H1406" s="726"/>
      <c r="I1406" s="1268"/>
      <c r="J1406" s="829"/>
      <c r="K1406" s="888"/>
      <c r="L1406" s="889"/>
    </row>
    <row r="1407" spans="1:12" ht="24" hidden="1" customHeight="1">
      <c r="A1407" s="972" t="s">
        <v>19</v>
      </c>
      <c r="B1407" s="731"/>
      <c r="C1407" s="813" t="s">
        <v>562</v>
      </c>
      <c r="D1407" s="731" t="s">
        <v>217</v>
      </c>
      <c r="E1407" s="886">
        <v>6</v>
      </c>
      <c r="F1407" s="836">
        <f>ROUND(20*1.18,2)</f>
        <v>23.6</v>
      </c>
      <c r="G1407" s="732">
        <f>ROUND(E1407*F1407,2)</f>
        <v>141.6</v>
      </c>
      <c r="H1407" s="726"/>
      <c r="I1407" s="1268"/>
      <c r="J1407" s="829"/>
      <c r="K1407" s="888"/>
      <c r="L1407" s="889"/>
    </row>
    <row r="1408" spans="1:12" hidden="1">
      <c r="A1408" s="892"/>
      <c r="B1408" s="731"/>
      <c r="C1408" s="1483"/>
      <c r="D1408" s="731"/>
      <c r="E1408" s="795"/>
      <c r="F1408" s="731"/>
      <c r="G1408" s="881">
        <f>SUM(G1403:G1407)</f>
        <v>417.72</v>
      </c>
      <c r="H1408" s="726"/>
      <c r="I1408" s="726"/>
      <c r="J1408" s="726"/>
      <c r="K1408" s="726"/>
      <c r="L1408" s="726"/>
    </row>
    <row r="1409" spans="1:12" ht="30" hidden="1" customHeight="1">
      <c r="A1409" s="969"/>
      <c r="B1409" s="1487"/>
      <c r="C1409" s="746" t="s">
        <v>222</v>
      </c>
      <c r="D1409" s="731"/>
      <c r="E1409" s="731"/>
      <c r="F1409" s="731"/>
      <c r="G1409" s="1483"/>
      <c r="H1409" s="726"/>
      <c r="I1409" s="726"/>
      <c r="J1409" s="726"/>
      <c r="K1409" s="726"/>
      <c r="L1409" s="726"/>
    </row>
    <row r="1410" spans="1:12" hidden="1">
      <c r="A1410" s="969"/>
      <c r="B1410" s="1487"/>
      <c r="C1410" s="813" t="s">
        <v>559</v>
      </c>
      <c r="D1410" s="731" t="s">
        <v>217</v>
      </c>
      <c r="E1410" s="886">
        <v>3</v>
      </c>
      <c r="F1410" s="836">
        <f>F1403</f>
        <v>5.9</v>
      </c>
      <c r="G1410" s="732">
        <f>ROUND(E1410*F1410,2)</f>
        <v>17.7</v>
      </c>
      <c r="H1410" s="726"/>
      <c r="I1410" s="726"/>
      <c r="J1410" s="726"/>
      <c r="K1410" s="726"/>
      <c r="L1410" s="726"/>
    </row>
    <row r="1411" spans="1:12" ht="24.75" hidden="1" customHeight="1">
      <c r="A1411" s="972" t="s">
        <v>18</v>
      </c>
      <c r="B1411" s="731"/>
      <c r="C1411" s="1483" t="s">
        <v>560</v>
      </c>
      <c r="D1411" s="731" t="s">
        <v>217</v>
      </c>
      <c r="E1411" s="886">
        <v>3</v>
      </c>
      <c r="F1411" s="836">
        <f>F1404</f>
        <v>28.32</v>
      </c>
      <c r="G1411" s="732">
        <f>ROUND(E1411*F1411,2)</f>
        <v>84.96</v>
      </c>
      <c r="H1411" s="726"/>
      <c r="I1411" s="726"/>
      <c r="J1411" s="726"/>
      <c r="K1411" s="726"/>
      <c r="L1411" s="726"/>
    </row>
    <row r="1412" spans="1:12" ht="26" hidden="1">
      <c r="A1412" s="972" t="s">
        <v>18</v>
      </c>
      <c r="B1412" s="731"/>
      <c r="C1412" s="1483" t="s">
        <v>561</v>
      </c>
      <c r="D1412" s="731" t="s">
        <v>217</v>
      </c>
      <c r="E1412" s="886">
        <v>3</v>
      </c>
      <c r="F1412" s="836">
        <f>F1405</f>
        <v>28.32</v>
      </c>
      <c r="G1412" s="732">
        <f>ROUND(E1412*F1412,2)</f>
        <v>84.96</v>
      </c>
      <c r="H1412" s="726"/>
      <c r="I1412" s="726"/>
      <c r="J1412" s="726"/>
      <c r="K1412" s="726"/>
      <c r="L1412" s="726"/>
    </row>
    <row r="1413" spans="1:12" ht="12.75" hidden="1" customHeight="1">
      <c r="A1413" s="972" t="s">
        <v>16</v>
      </c>
      <c r="B1413" s="731"/>
      <c r="C1413" s="1483" t="s">
        <v>17</v>
      </c>
      <c r="D1413" s="731" t="s">
        <v>217</v>
      </c>
      <c r="E1413" s="886">
        <v>4</v>
      </c>
      <c r="F1413" s="836">
        <f>F1406</f>
        <v>37.76</v>
      </c>
      <c r="G1413" s="732">
        <f>ROUND(E1413*F1413,2)</f>
        <v>151.04</v>
      </c>
      <c r="H1413" s="726"/>
      <c r="I1413" s="726"/>
      <c r="J1413" s="726"/>
      <c r="K1413" s="726"/>
      <c r="L1413" s="726"/>
    </row>
    <row r="1414" spans="1:12" ht="26" hidden="1">
      <c r="A1414" s="972" t="s">
        <v>19</v>
      </c>
      <c r="B1414" s="731"/>
      <c r="C1414" s="1483" t="s">
        <v>410</v>
      </c>
      <c r="D1414" s="731" t="s">
        <v>217</v>
      </c>
      <c r="E1414" s="886">
        <v>9</v>
      </c>
      <c r="F1414" s="836">
        <f>ROUND(11*1.18,2)</f>
        <v>12.98</v>
      </c>
      <c r="G1414" s="732">
        <f>ROUND(E1414*F1414,2)</f>
        <v>116.82</v>
      </c>
      <c r="H1414" s="726"/>
      <c r="I1414" s="726"/>
      <c r="J1414" s="726"/>
      <c r="K1414" s="726"/>
      <c r="L1414" s="726"/>
    </row>
    <row r="1415" spans="1:12" hidden="1">
      <c r="A1415" s="892"/>
      <c r="B1415" s="731"/>
      <c r="C1415" s="1483"/>
      <c r="D1415" s="731"/>
      <c r="E1415" s="886"/>
      <c r="F1415" s="852"/>
      <c r="G1415" s="734">
        <f>SUM(G1410:G1414)</f>
        <v>455.47999999999996</v>
      </c>
      <c r="H1415" s="726"/>
      <c r="I1415" s="726"/>
      <c r="J1415" s="726"/>
      <c r="K1415" s="726"/>
      <c r="L1415" s="726"/>
    </row>
    <row r="1416" spans="1:12" ht="36.75" hidden="1" customHeight="1">
      <c r="A1416" s="972" t="s">
        <v>574</v>
      </c>
      <c r="B1416" s="726"/>
      <c r="C1416" s="1485" t="s">
        <v>586</v>
      </c>
      <c r="D1416" s="1483"/>
      <c r="E1416" s="894"/>
      <c r="F1416" s="852"/>
      <c r="G1416" s="881">
        <f>[125]Bldg.rates!F78</f>
        <v>1570</v>
      </c>
      <c r="H1416" s="726"/>
      <c r="I1416" s="726"/>
      <c r="J1416" s="726"/>
      <c r="K1416" s="726"/>
      <c r="L1416" s="726"/>
    </row>
    <row r="1417" spans="1:12" ht="39" hidden="1" customHeight="1">
      <c r="A1417" s="972" t="s">
        <v>587</v>
      </c>
      <c r="B1417" s="726"/>
      <c r="C1417" s="1485" t="s">
        <v>588</v>
      </c>
      <c r="D1417" s="1483"/>
      <c r="E1417" s="894"/>
      <c r="F1417" s="852"/>
      <c r="G1417" s="881">
        <f>[125]Bldg.rates!F79</f>
        <v>1515</v>
      </c>
      <c r="H1417" s="726"/>
      <c r="I1417" s="726"/>
      <c r="J1417" s="726"/>
      <c r="K1417" s="726"/>
      <c r="L1417" s="726"/>
    </row>
    <row r="1418" spans="1:12" ht="36" hidden="1" customHeight="1">
      <c r="A1418" s="972" t="s">
        <v>575</v>
      </c>
      <c r="B1418" s="726"/>
      <c r="C1418" s="1485" t="s">
        <v>589</v>
      </c>
      <c r="D1418" s="1483"/>
      <c r="E1418" s="894"/>
      <c r="F1418" s="852"/>
      <c r="G1418" s="881">
        <f>[125]Bldg.rates!F80</f>
        <v>1452</v>
      </c>
      <c r="H1418" s="726"/>
      <c r="I1418" s="726"/>
      <c r="J1418" s="726"/>
      <c r="K1418" s="726"/>
      <c r="L1418" s="726"/>
    </row>
    <row r="1419" spans="1:12" ht="35.25" hidden="1" customHeight="1">
      <c r="A1419" s="972" t="s">
        <v>590</v>
      </c>
      <c r="B1419" s="731"/>
      <c r="C1419" s="1485" t="s">
        <v>591</v>
      </c>
      <c r="D1419" s="1483"/>
      <c r="E1419" s="894"/>
      <c r="F1419" s="852"/>
      <c r="G1419" s="881">
        <f>[125]Bldg.rates!F81</f>
        <v>1401</v>
      </c>
      <c r="H1419" s="726"/>
      <c r="I1419" s="726"/>
      <c r="J1419" s="726"/>
      <c r="K1419" s="726"/>
      <c r="L1419" s="726"/>
    </row>
    <row r="1420" spans="1:12" hidden="1">
      <c r="A1420" s="892"/>
      <c r="B1420" s="731"/>
      <c r="C1420" s="1483"/>
      <c r="D1420" s="1483"/>
      <c r="E1420" s="850"/>
      <c r="F1420" s="1483"/>
      <c r="G1420" s="726"/>
      <c r="H1420" s="726"/>
      <c r="I1420" s="726"/>
      <c r="J1420" s="726"/>
      <c r="K1420" s="726"/>
      <c r="L1420" s="726"/>
    </row>
    <row r="1421" spans="1:12" s="898" customFormat="1" ht="54" hidden="1" customHeight="1">
      <c r="A1421" s="984"/>
      <c r="B1421" s="896">
        <v>34</v>
      </c>
      <c r="C1421" s="2030" t="s">
        <v>1127</v>
      </c>
      <c r="D1421" s="2031"/>
      <c r="E1421" s="2031"/>
      <c r="F1421" s="2031"/>
      <c r="G1421" s="2032"/>
      <c r="H1421" s="1270"/>
      <c r="I1421" s="819"/>
      <c r="J1421" s="819"/>
      <c r="K1421" s="819"/>
      <c r="L1421" s="897"/>
    </row>
    <row r="1422" spans="1:12" s="907" customFormat="1" hidden="1">
      <c r="A1422" s="985"/>
      <c r="B1422" s="899"/>
      <c r="C1422" s="900" t="s">
        <v>623</v>
      </c>
      <c r="D1422" s="901"/>
      <c r="E1422" s="902"/>
      <c r="F1422" s="902"/>
      <c r="G1422" s="903"/>
      <c r="H1422" s="904"/>
      <c r="I1422" s="902"/>
      <c r="J1422" s="902"/>
      <c r="K1422" s="905"/>
      <c r="L1422" s="906"/>
    </row>
    <row r="1423" spans="1:12" s="907" customFormat="1" hidden="1">
      <c r="A1423" s="985"/>
      <c r="B1423" s="899"/>
      <c r="C1423" s="900" t="s">
        <v>624</v>
      </c>
      <c r="D1423" s="901"/>
      <c r="E1423" s="902"/>
      <c r="F1423" s="902"/>
      <c r="G1423" s="903"/>
      <c r="H1423" s="904"/>
      <c r="I1423" s="902"/>
      <c r="J1423" s="902"/>
      <c r="K1423" s="905"/>
      <c r="L1423" s="906"/>
    </row>
    <row r="1424" spans="1:12" s="907" customFormat="1" ht="29.25" hidden="1" customHeight="1">
      <c r="A1424" s="985"/>
      <c r="B1424" s="899"/>
      <c r="C1424" s="2039" t="s">
        <v>1808</v>
      </c>
      <c r="D1424" s="2040"/>
      <c r="E1424" s="2040"/>
      <c r="F1424" s="908" t="s">
        <v>184</v>
      </c>
      <c r="G1424" s="908">
        <v>1</v>
      </c>
      <c r="H1424" s="912">
        <v>1232</v>
      </c>
      <c r="I1424" s="912">
        <f>G1424*H1424</f>
        <v>1232</v>
      </c>
      <c r="K1424" s="906"/>
      <c r="L1424" s="906"/>
    </row>
    <row r="1425" spans="1:12" s="907" customFormat="1" ht="29.25" hidden="1" customHeight="1">
      <c r="A1425" s="985"/>
      <c r="B1425" s="899"/>
      <c r="C1425" s="2039" t="s">
        <v>637</v>
      </c>
      <c r="D1425" s="2040"/>
      <c r="E1425" s="2040"/>
      <c r="F1425" s="908" t="s">
        <v>184</v>
      </c>
      <c r="G1425" s="908">
        <v>1</v>
      </c>
      <c r="H1425" s="912">
        <v>383</v>
      </c>
      <c r="I1425" s="912">
        <f>G1425*H1425</f>
        <v>383</v>
      </c>
      <c r="K1425" s="906"/>
      <c r="L1425" s="906"/>
    </row>
    <row r="1426" spans="1:12" s="907" customFormat="1" hidden="1">
      <c r="A1426" s="985"/>
      <c r="B1426" s="899"/>
      <c r="C1426" s="897" t="s">
        <v>625</v>
      </c>
      <c r="D1426" s="909"/>
      <c r="E1426" s="902"/>
      <c r="F1426" s="903"/>
      <c r="G1426" s="904"/>
      <c r="H1426" s="902"/>
      <c r="I1426" s="912">
        <f>SUM(I1424:I1425)</f>
        <v>1615</v>
      </c>
      <c r="K1426" s="906"/>
      <c r="L1426" s="906"/>
    </row>
    <row r="1427" spans="1:12" s="907" customFormat="1" hidden="1">
      <c r="A1427" s="986"/>
      <c r="B1427" s="899"/>
      <c r="C1427" s="897" t="s">
        <v>1129</v>
      </c>
      <c r="D1427" s="909"/>
      <c r="E1427" s="902"/>
      <c r="F1427" s="903"/>
      <c r="G1427" s="904"/>
      <c r="H1427" s="905">
        <f>ROUND(1.05*2.03,2)</f>
        <v>2.13</v>
      </c>
      <c r="I1427" s="912">
        <f>H1427*I1426</f>
        <v>3439.95</v>
      </c>
      <c r="K1427" s="906"/>
      <c r="L1427" s="906"/>
    </row>
    <row r="1428" spans="1:12" s="907" customFormat="1" hidden="1">
      <c r="A1428" s="985"/>
      <c r="B1428" s="899"/>
      <c r="C1428" s="897" t="s">
        <v>626</v>
      </c>
      <c r="D1428" s="906"/>
      <c r="E1428" s="902"/>
      <c r="F1428" s="903"/>
      <c r="G1428" s="904"/>
      <c r="H1428" s="902"/>
      <c r="I1428" s="912">
        <f>G1400</f>
        <v>673.78</v>
      </c>
      <c r="K1428" s="906"/>
      <c r="L1428" s="906"/>
    </row>
    <row r="1429" spans="1:12" s="911" customFormat="1" hidden="1">
      <c r="A1429" s="984"/>
      <c r="B1429" s="905"/>
      <c r="C1429" s="900" t="s">
        <v>634</v>
      </c>
      <c r="D1429" s="895"/>
      <c r="E1429" s="902"/>
      <c r="F1429" s="903"/>
      <c r="G1429" s="904"/>
      <c r="H1429" s="902"/>
      <c r="I1429" s="905">
        <f>SUM(I1427:I1428)</f>
        <v>4113.7299999999996</v>
      </c>
      <c r="K1429" s="910"/>
      <c r="L1429" s="910"/>
    </row>
    <row r="1430" spans="1:12" s="898" customFormat="1" hidden="1">
      <c r="A1430" s="987"/>
      <c r="B1430" s="912"/>
      <c r="C1430" s="913" t="s">
        <v>627</v>
      </c>
      <c r="D1430" s="896"/>
      <c r="E1430" s="914"/>
      <c r="F1430" s="908"/>
      <c r="G1430" s="915"/>
      <c r="H1430" s="914"/>
      <c r="I1430" s="912"/>
      <c r="K1430" s="897"/>
      <c r="L1430" s="897"/>
    </row>
    <row r="1431" spans="1:12" s="898" customFormat="1" hidden="1">
      <c r="A1431" s="987"/>
      <c r="B1431" s="912"/>
      <c r="C1431" s="913" t="s">
        <v>1866</v>
      </c>
      <c r="D1431" s="896"/>
      <c r="E1431" s="912"/>
      <c r="F1431" s="908"/>
      <c r="G1431" s="908">
        <v>3.2000000000000001E-2</v>
      </c>
      <c r="H1431" s="912">
        <f>[125]Bldg.rates!F47</f>
        <v>46217</v>
      </c>
      <c r="I1431" s="912">
        <f>ROUND(G1431*H1431,2)</f>
        <v>1478.94</v>
      </c>
      <c r="K1431" s="897"/>
      <c r="L1431" s="897"/>
    </row>
    <row r="1432" spans="1:12" s="898" customFormat="1" hidden="1">
      <c r="A1432" s="987"/>
      <c r="B1432" s="912"/>
      <c r="C1432" s="913" t="s">
        <v>1865</v>
      </c>
      <c r="D1432" s="896"/>
      <c r="E1432" s="912"/>
      <c r="F1432" s="908"/>
      <c r="G1432" s="908">
        <v>8.9999999999999993E-3</v>
      </c>
      <c r="H1432" s="912">
        <f>H1431</f>
        <v>46217</v>
      </c>
      <c r="I1432" s="912">
        <f>ROUND(G1432*H1432,2)</f>
        <v>415.95</v>
      </c>
      <c r="K1432" s="897"/>
      <c r="L1432" s="897"/>
    </row>
    <row r="1433" spans="1:12" s="898" customFormat="1" hidden="1">
      <c r="A1433" s="987"/>
      <c r="B1433" s="912"/>
      <c r="C1433" s="913" t="s">
        <v>630</v>
      </c>
      <c r="D1433" s="896"/>
      <c r="E1433" s="912"/>
      <c r="F1433" s="908"/>
      <c r="G1433" s="908">
        <v>4.1000000000000002E-2</v>
      </c>
      <c r="H1433" s="912">
        <f>G1138</f>
        <v>12475.2</v>
      </c>
      <c r="I1433" s="912">
        <f>ROUND(G1433*H1433,2)</f>
        <v>511.48</v>
      </c>
      <c r="K1433" s="897"/>
      <c r="L1433" s="897"/>
    </row>
    <row r="1434" spans="1:12" s="898" customFormat="1" ht="24" hidden="1" customHeight="1">
      <c r="A1434" s="987"/>
      <c r="B1434" s="912"/>
      <c r="C1434" s="900" t="s">
        <v>635</v>
      </c>
      <c r="D1434" s="896"/>
      <c r="E1434" s="912"/>
      <c r="F1434" s="908"/>
      <c r="G1434" s="908"/>
      <c r="H1434" s="912"/>
      <c r="I1434" s="905">
        <f>ROUND(SUM(I1431:I1433),1)</f>
        <v>2406.4</v>
      </c>
      <c r="K1434" s="897"/>
      <c r="L1434" s="897"/>
    </row>
    <row r="1435" spans="1:12" s="898" customFormat="1" hidden="1">
      <c r="A1435" s="987"/>
      <c r="B1435" s="912"/>
      <c r="C1435" s="913" t="s">
        <v>631</v>
      </c>
      <c r="D1435" s="896"/>
      <c r="E1435" s="912"/>
      <c r="F1435" s="908"/>
      <c r="G1435" s="908"/>
      <c r="H1435" s="912"/>
      <c r="I1435" s="905">
        <f>I1434+I1429</f>
        <v>6520.1299999999992</v>
      </c>
      <c r="K1435" s="897"/>
      <c r="L1435" s="897"/>
    </row>
    <row r="1436" spans="1:12" s="907" customFormat="1" ht="30.75" hidden="1" customHeight="1">
      <c r="A1436" s="985"/>
      <c r="B1436" s="899"/>
      <c r="C1436" s="900" t="s">
        <v>636</v>
      </c>
      <c r="D1436" s="901"/>
      <c r="E1436" s="902"/>
      <c r="F1436" s="903"/>
      <c r="G1436" s="904"/>
      <c r="H1436" s="902"/>
      <c r="I1436" s="905">
        <f>ROUND(SUM(I1435:I1435),0)</f>
        <v>6520</v>
      </c>
      <c r="K1436" s="906"/>
      <c r="L1436" s="906"/>
    </row>
    <row r="1437" spans="1:12" s="802" customFormat="1" ht="54" hidden="1" customHeight="1">
      <c r="A1437" s="892"/>
      <c r="B1437" s="797"/>
      <c r="C1437" s="2047" t="s">
        <v>1116</v>
      </c>
      <c r="D1437" s="2047"/>
      <c r="E1437" s="2047"/>
      <c r="F1437" s="2047"/>
      <c r="G1437" s="916"/>
      <c r="H1437" s="797"/>
      <c r="I1437" s="797"/>
      <c r="J1437" s="797"/>
      <c r="K1437" s="797"/>
      <c r="L1437" s="797"/>
    </row>
    <row r="1438" spans="1:12" s="802" customFormat="1" hidden="1">
      <c r="A1438" s="976"/>
      <c r="B1438" s="797"/>
      <c r="C1438" s="916" t="s">
        <v>826</v>
      </c>
      <c r="D1438" s="916" t="s">
        <v>791</v>
      </c>
      <c r="E1438" s="917">
        <v>1</v>
      </c>
      <c r="F1438" s="918">
        <v>1250</v>
      </c>
      <c r="G1438" s="919">
        <f t="shared" ref="G1438:G1447" si="44">ROUND(E1438*F1438,2)</f>
        <v>1250</v>
      </c>
      <c r="H1438" s="797"/>
      <c r="I1438" s="797"/>
      <c r="J1438" s="797"/>
      <c r="K1438" s="797"/>
      <c r="L1438" s="797"/>
    </row>
    <row r="1439" spans="1:12" s="802" customFormat="1" hidden="1">
      <c r="A1439" s="976"/>
      <c r="B1439" s="797"/>
      <c r="C1439" s="916" t="s">
        <v>827</v>
      </c>
      <c r="D1439" s="916" t="s">
        <v>791</v>
      </c>
      <c r="E1439" s="917">
        <v>6</v>
      </c>
      <c r="F1439" s="917">
        <f>32*1.18</f>
        <v>37.76</v>
      </c>
      <c r="G1439" s="919">
        <f t="shared" si="44"/>
        <v>226.56</v>
      </c>
      <c r="H1439" s="797"/>
      <c r="I1439" s="797"/>
      <c r="J1439" s="797"/>
      <c r="K1439" s="797"/>
      <c r="L1439" s="797"/>
    </row>
    <row r="1440" spans="1:12" s="802" customFormat="1" hidden="1">
      <c r="A1440" s="976"/>
      <c r="B1440" s="797"/>
      <c r="C1440" s="920" t="s">
        <v>1119</v>
      </c>
      <c r="D1440" s="920" t="s">
        <v>184</v>
      </c>
      <c r="E1440" s="921">
        <f>ROUND(1.05*2.03,2)</f>
        <v>2.13</v>
      </c>
      <c r="F1440" s="922">
        <f>1232*1.18</f>
        <v>1453.76</v>
      </c>
      <c r="G1440" s="919">
        <f t="shared" si="44"/>
        <v>3096.51</v>
      </c>
      <c r="H1440" s="797"/>
      <c r="I1440" s="797"/>
      <c r="J1440" s="797"/>
      <c r="K1440" s="797"/>
      <c r="L1440" s="797"/>
    </row>
    <row r="1441" spans="1:12" s="802" customFormat="1" ht="26" hidden="1">
      <c r="A1441" s="976"/>
      <c r="B1441" s="797"/>
      <c r="C1441" s="916" t="s">
        <v>828</v>
      </c>
      <c r="D1441" s="920" t="s">
        <v>771</v>
      </c>
      <c r="E1441" s="922">
        <v>2</v>
      </c>
      <c r="F1441" s="922">
        <f>68*1.18</f>
        <v>80.239999999999995</v>
      </c>
      <c r="G1441" s="919">
        <f t="shared" si="44"/>
        <v>160.47999999999999</v>
      </c>
      <c r="H1441" s="797"/>
      <c r="I1441" s="797"/>
      <c r="J1441" s="797"/>
      <c r="K1441" s="797"/>
      <c r="L1441" s="797"/>
    </row>
    <row r="1442" spans="1:12" s="802" customFormat="1" hidden="1">
      <c r="A1442" s="976"/>
      <c r="B1442" s="797"/>
      <c r="C1442" s="920" t="s">
        <v>829</v>
      </c>
      <c r="D1442" s="920" t="s">
        <v>771</v>
      </c>
      <c r="E1442" s="922">
        <v>1</v>
      </c>
      <c r="F1442" s="922">
        <f>154*1.18</f>
        <v>181.72</v>
      </c>
      <c r="G1442" s="919">
        <f t="shared" si="44"/>
        <v>181.72</v>
      </c>
      <c r="H1442" s="797"/>
      <c r="I1442" s="797"/>
      <c r="J1442" s="797"/>
      <c r="K1442" s="797"/>
      <c r="L1442" s="797"/>
    </row>
    <row r="1443" spans="1:12" s="802" customFormat="1" hidden="1">
      <c r="A1443" s="976"/>
      <c r="B1443" s="797"/>
      <c r="C1443" s="920" t="s">
        <v>846</v>
      </c>
      <c r="D1443" s="920" t="s">
        <v>771</v>
      </c>
      <c r="E1443" s="922">
        <v>1</v>
      </c>
      <c r="F1443" s="922">
        <f>45*1.18</f>
        <v>53.099999999999994</v>
      </c>
      <c r="G1443" s="919">
        <f t="shared" si="44"/>
        <v>53.1</v>
      </c>
      <c r="H1443" s="797"/>
      <c r="I1443" s="797"/>
      <c r="J1443" s="797"/>
      <c r="K1443" s="797"/>
      <c r="L1443" s="797"/>
    </row>
    <row r="1444" spans="1:12" s="802" customFormat="1" hidden="1">
      <c r="A1444" s="976"/>
      <c r="B1444" s="797"/>
      <c r="C1444" s="920" t="s">
        <v>847</v>
      </c>
      <c r="D1444" s="920" t="s">
        <v>771</v>
      </c>
      <c r="E1444" s="922">
        <v>3</v>
      </c>
      <c r="F1444" s="922">
        <f>31*1.18</f>
        <v>36.58</v>
      </c>
      <c r="G1444" s="919">
        <f t="shared" si="44"/>
        <v>109.74</v>
      </c>
      <c r="H1444" s="797"/>
      <c r="I1444" s="797"/>
      <c r="J1444" s="797"/>
      <c r="K1444" s="797"/>
      <c r="L1444" s="797"/>
    </row>
    <row r="1445" spans="1:12" s="802" customFormat="1" hidden="1">
      <c r="A1445" s="976"/>
      <c r="B1445" s="797"/>
      <c r="C1445" s="920" t="s">
        <v>1003</v>
      </c>
      <c r="D1445" s="920" t="s">
        <v>831</v>
      </c>
      <c r="E1445" s="922">
        <v>2</v>
      </c>
      <c r="F1445" s="922">
        <f>45*1.18</f>
        <v>53.099999999999994</v>
      </c>
      <c r="G1445" s="919">
        <f t="shared" si="44"/>
        <v>106.2</v>
      </c>
      <c r="H1445" s="797"/>
      <c r="I1445" s="797"/>
      <c r="J1445" s="797"/>
      <c r="K1445" s="797"/>
      <c r="L1445" s="797"/>
    </row>
    <row r="1446" spans="1:12" s="802" customFormat="1" hidden="1">
      <c r="A1446" s="976"/>
      <c r="B1446" s="797"/>
      <c r="C1446" s="920" t="s">
        <v>832</v>
      </c>
      <c r="D1446" s="920" t="s">
        <v>799</v>
      </c>
      <c r="E1446" s="922">
        <v>1</v>
      </c>
      <c r="F1446" s="922">
        <f>9*1.18</f>
        <v>10.62</v>
      </c>
      <c r="G1446" s="919">
        <f t="shared" si="44"/>
        <v>10.62</v>
      </c>
      <c r="H1446" s="797"/>
      <c r="I1446" s="797"/>
      <c r="J1446" s="797"/>
      <c r="K1446" s="797"/>
      <c r="L1446" s="797"/>
    </row>
    <row r="1447" spans="1:12" s="802" customFormat="1" hidden="1">
      <c r="A1447" s="976"/>
      <c r="B1447" s="797"/>
      <c r="C1447" s="920" t="s">
        <v>210</v>
      </c>
      <c r="D1447" s="920" t="s">
        <v>757</v>
      </c>
      <c r="E1447" s="922">
        <f>E1440</f>
        <v>2.13</v>
      </c>
      <c r="F1447" s="922">
        <v>383</v>
      </c>
      <c r="G1447" s="919">
        <f t="shared" si="44"/>
        <v>815.79</v>
      </c>
      <c r="H1447" s="797"/>
      <c r="I1447" s="797"/>
      <c r="J1447" s="797"/>
      <c r="K1447" s="797"/>
      <c r="L1447" s="797"/>
    </row>
    <row r="1448" spans="1:12" s="802" customFormat="1" hidden="1">
      <c r="A1448" s="976"/>
      <c r="B1448" s="797"/>
      <c r="C1448" s="920" t="s">
        <v>798</v>
      </c>
      <c r="D1448" s="920"/>
      <c r="E1448" s="922"/>
      <c r="F1448" s="922"/>
      <c r="G1448" s="919">
        <v>18.440000000000001</v>
      </c>
      <c r="H1448" s="797"/>
      <c r="I1448" s="797"/>
      <c r="J1448" s="797"/>
      <c r="K1448" s="797"/>
      <c r="L1448" s="797"/>
    </row>
    <row r="1449" spans="1:12" s="802" customFormat="1" hidden="1">
      <c r="A1449" s="976"/>
      <c r="B1449" s="797"/>
      <c r="C1449" s="916"/>
      <c r="D1449" s="916"/>
      <c r="E1449" s="923"/>
      <c r="F1449" s="916"/>
      <c r="G1449" s="924">
        <f>SUM(G1438:G1448)</f>
        <v>6029.1599999999989</v>
      </c>
      <c r="H1449" s="797"/>
      <c r="I1449" s="797"/>
      <c r="J1449" s="797"/>
      <c r="K1449" s="797"/>
      <c r="L1449" s="797"/>
    </row>
    <row r="1450" spans="1:12" s="926" customFormat="1" hidden="1">
      <c r="A1450" s="976"/>
      <c r="B1450" s="920"/>
      <c r="C1450" s="925"/>
      <c r="D1450" s="920"/>
      <c r="E1450" s="916"/>
      <c r="F1450" s="916"/>
      <c r="G1450" s="924">
        <f>ROUND(G1449,0)</f>
        <v>6029</v>
      </c>
      <c r="H1450" s="920"/>
      <c r="I1450" s="920"/>
      <c r="J1450" s="920"/>
      <c r="K1450" s="920"/>
      <c r="L1450" s="920"/>
    </row>
    <row r="1451" spans="1:12" s="802" customFormat="1" ht="54" hidden="1" customHeight="1">
      <c r="A1451" s="892"/>
      <c r="B1451" s="797"/>
      <c r="C1451" s="2047" t="s">
        <v>1117</v>
      </c>
      <c r="D1451" s="2047"/>
      <c r="E1451" s="2047"/>
      <c r="F1451" s="2047"/>
      <c r="G1451" s="916"/>
      <c r="H1451" s="797"/>
      <c r="I1451" s="797"/>
      <c r="J1451" s="797"/>
      <c r="K1451" s="797"/>
      <c r="L1451" s="797"/>
    </row>
    <row r="1452" spans="1:12" s="802" customFormat="1" hidden="1">
      <c r="A1452" s="976"/>
      <c r="B1452" s="797"/>
      <c r="C1452" s="916" t="s">
        <v>826</v>
      </c>
      <c r="D1452" s="916" t="s">
        <v>791</v>
      </c>
      <c r="E1452" s="917">
        <v>1</v>
      </c>
      <c r="F1452" s="918">
        <v>1250</v>
      </c>
      <c r="G1452" s="919">
        <f t="shared" ref="G1452:G1461" si="45">ROUND(E1452*F1452,2)</f>
        <v>1250</v>
      </c>
      <c r="H1452" s="797"/>
      <c r="I1452" s="797"/>
      <c r="J1452" s="797"/>
      <c r="K1452" s="797"/>
      <c r="L1452" s="797"/>
    </row>
    <row r="1453" spans="1:12" s="802" customFormat="1" hidden="1">
      <c r="A1453" s="976"/>
      <c r="B1453" s="797"/>
      <c r="C1453" s="916" t="s">
        <v>827</v>
      </c>
      <c r="D1453" s="916" t="s">
        <v>791</v>
      </c>
      <c r="E1453" s="917">
        <v>6</v>
      </c>
      <c r="F1453" s="917">
        <f>32*1.18</f>
        <v>37.76</v>
      </c>
      <c r="G1453" s="919">
        <f t="shared" si="45"/>
        <v>226.56</v>
      </c>
      <c r="H1453" s="797"/>
      <c r="I1453" s="797"/>
      <c r="J1453" s="797"/>
      <c r="K1453" s="797"/>
      <c r="L1453" s="797"/>
    </row>
    <row r="1454" spans="1:12" s="802" customFormat="1" hidden="1">
      <c r="A1454" s="976"/>
      <c r="B1454" s="797"/>
      <c r="C1454" s="920" t="s">
        <v>1118</v>
      </c>
      <c r="D1454" s="920" t="s">
        <v>184</v>
      </c>
      <c r="E1454" s="921">
        <f>ROUND(0.9*1.93,2)</f>
        <v>1.74</v>
      </c>
      <c r="F1454" s="922">
        <f>1232*1.18</f>
        <v>1453.76</v>
      </c>
      <c r="G1454" s="919">
        <f t="shared" si="45"/>
        <v>2529.54</v>
      </c>
      <c r="H1454" s="797"/>
      <c r="I1454" s="797"/>
      <c r="J1454" s="797"/>
      <c r="K1454" s="797"/>
      <c r="L1454" s="797"/>
    </row>
    <row r="1455" spans="1:12" s="802" customFormat="1" ht="26" hidden="1">
      <c r="A1455" s="976"/>
      <c r="B1455" s="797"/>
      <c r="C1455" s="916" t="s">
        <v>828</v>
      </c>
      <c r="D1455" s="920" t="s">
        <v>771</v>
      </c>
      <c r="E1455" s="922">
        <v>2</v>
      </c>
      <c r="F1455" s="922">
        <f>68*1.18</f>
        <v>80.239999999999995</v>
      </c>
      <c r="G1455" s="919">
        <f t="shared" si="45"/>
        <v>160.47999999999999</v>
      </c>
      <c r="H1455" s="797"/>
      <c r="I1455" s="797"/>
      <c r="J1455" s="797"/>
      <c r="K1455" s="797"/>
      <c r="L1455" s="797"/>
    </row>
    <row r="1456" spans="1:12" s="802" customFormat="1" hidden="1">
      <c r="A1456" s="976"/>
      <c r="B1456" s="797"/>
      <c r="C1456" s="920" t="s">
        <v>829</v>
      </c>
      <c r="D1456" s="920" t="s">
        <v>771</v>
      </c>
      <c r="E1456" s="922">
        <v>1</v>
      </c>
      <c r="F1456" s="922">
        <f>154*1.18</f>
        <v>181.72</v>
      </c>
      <c r="G1456" s="919">
        <f t="shared" si="45"/>
        <v>181.72</v>
      </c>
      <c r="H1456" s="797"/>
      <c r="I1456" s="797"/>
      <c r="J1456" s="797"/>
      <c r="K1456" s="797"/>
      <c r="L1456" s="797"/>
    </row>
    <row r="1457" spans="1:12" s="802" customFormat="1" hidden="1">
      <c r="A1457" s="976"/>
      <c r="B1457" s="797"/>
      <c r="C1457" s="920" t="s">
        <v>846</v>
      </c>
      <c r="D1457" s="920" t="s">
        <v>771</v>
      </c>
      <c r="E1457" s="922">
        <v>1</v>
      </c>
      <c r="F1457" s="922">
        <f>45*1.18</f>
        <v>53.099999999999994</v>
      </c>
      <c r="G1457" s="919">
        <f t="shared" si="45"/>
        <v>53.1</v>
      </c>
      <c r="H1457" s="797"/>
      <c r="I1457" s="797"/>
      <c r="J1457" s="797"/>
      <c r="K1457" s="797"/>
      <c r="L1457" s="797"/>
    </row>
    <row r="1458" spans="1:12" s="802" customFormat="1" hidden="1">
      <c r="A1458" s="976"/>
      <c r="B1458" s="797"/>
      <c r="C1458" s="920" t="s">
        <v>847</v>
      </c>
      <c r="D1458" s="920" t="s">
        <v>771</v>
      </c>
      <c r="E1458" s="922">
        <v>3</v>
      </c>
      <c r="F1458" s="922">
        <f>31*1.18</f>
        <v>36.58</v>
      </c>
      <c r="G1458" s="919">
        <f t="shared" si="45"/>
        <v>109.74</v>
      </c>
      <c r="H1458" s="797"/>
      <c r="I1458" s="797"/>
      <c r="J1458" s="797"/>
      <c r="K1458" s="797"/>
      <c r="L1458" s="797"/>
    </row>
    <row r="1459" spans="1:12" s="802" customFormat="1" hidden="1">
      <c r="A1459" s="976"/>
      <c r="B1459" s="797"/>
      <c r="C1459" s="920" t="s">
        <v>1003</v>
      </c>
      <c r="D1459" s="920" t="s">
        <v>831</v>
      </c>
      <c r="E1459" s="922">
        <v>2</v>
      </c>
      <c r="F1459" s="922">
        <f>45*1.18</f>
        <v>53.099999999999994</v>
      </c>
      <c r="G1459" s="919">
        <f t="shared" si="45"/>
        <v>106.2</v>
      </c>
      <c r="H1459" s="797"/>
      <c r="I1459" s="797"/>
      <c r="J1459" s="797"/>
      <c r="K1459" s="797"/>
      <c r="L1459" s="797"/>
    </row>
    <row r="1460" spans="1:12" s="802" customFormat="1" hidden="1">
      <c r="A1460" s="976"/>
      <c r="B1460" s="797"/>
      <c r="C1460" s="920" t="s">
        <v>832</v>
      </c>
      <c r="D1460" s="920" t="s">
        <v>799</v>
      </c>
      <c r="E1460" s="922">
        <v>1</v>
      </c>
      <c r="F1460" s="922">
        <f>9*1.18</f>
        <v>10.62</v>
      </c>
      <c r="G1460" s="919">
        <f t="shared" si="45"/>
        <v>10.62</v>
      </c>
      <c r="H1460" s="797"/>
      <c r="I1460" s="797"/>
      <c r="J1460" s="797"/>
      <c r="K1460" s="797"/>
      <c r="L1460" s="797"/>
    </row>
    <row r="1461" spans="1:12" s="802" customFormat="1" hidden="1">
      <c r="A1461" s="976"/>
      <c r="B1461" s="797"/>
      <c r="C1461" s="920" t="s">
        <v>210</v>
      </c>
      <c r="D1461" s="920" t="s">
        <v>757</v>
      </c>
      <c r="E1461" s="922">
        <f>E1454</f>
        <v>1.74</v>
      </c>
      <c r="F1461" s="922">
        <v>383</v>
      </c>
      <c r="G1461" s="919">
        <f t="shared" si="45"/>
        <v>666.42</v>
      </c>
      <c r="H1461" s="797"/>
      <c r="I1461" s="797"/>
      <c r="J1461" s="797"/>
      <c r="K1461" s="797"/>
      <c r="L1461" s="797"/>
    </row>
    <row r="1462" spans="1:12" s="802" customFormat="1" hidden="1">
      <c r="A1462" s="976"/>
      <c r="B1462" s="797"/>
      <c r="C1462" s="920" t="s">
        <v>798</v>
      </c>
      <c r="D1462" s="920"/>
      <c r="E1462" s="922"/>
      <c r="F1462" s="922"/>
      <c r="G1462" s="919">
        <v>18.440000000000001</v>
      </c>
      <c r="H1462" s="797"/>
      <c r="I1462" s="797"/>
      <c r="J1462" s="797"/>
      <c r="K1462" s="797"/>
      <c r="L1462" s="797"/>
    </row>
    <row r="1463" spans="1:12" s="802" customFormat="1" hidden="1">
      <c r="A1463" s="976"/>
      <c r="B1463" s="797"/>
      <c r="C1463" s="916"/>
      <c r="D1463" s="916"/>
      <c r="E1463" s="923"/>
      <c r="F1463" s="916"/>
      <c r="G1463" s="924">
        <f>SUM(G1452:G1462)</f>
        <v>5312.82</v>
      </c>
      <c r="H1463" s="797"/>
      <c r="I1463" s="797"/>
      <c r="J1463" s="797"/>
      <c r="K1463" s="797"/>
      <c r="L1463" s="797"/>
    </row>
    <row r="1464" spans="1:12" s="926" customFormat="1" hidden="1">
      <c r="A1464" s="976"/>
      <c r="B1464" s="920"/>
      <c r="C1464" s="925"/>
      <c r="D1464" s="920"/>
      <c r="E1464" s="916"/>
      <c r="F1464" s="916"/>
      <c r="G1464" s="924">
        <f>ROUND(G1463,0)</f>
        <v>5313</v>
      </c>
      <c r="H1464" s="920"/>
      <c r="I1464" s="920"/>
      <c r="J1464" s="920"/>
      <c r="K1464" s="920"/>
      <c r="L1464" s="920"/>
    </row>
    <row r="1465" spans="1:12" s="802" customFormat="1" ht="50.25" hidden="1" customHeight="1">
      <c r="A1465" s="988"/>
      <c r="B1465" s="797"/>
      <c r="C1465" s="2013" t="s">
        <v>1120</v>
      </c>
      <c r="D1465" s="2013"/>
      <c r="E1465" s="2013"/>
      <c r="F1465" s="2013"/>
      <c r="G1465" s="916"/>
      <c r="H1465" s="797"/>
      <c r="I1465" s="797"/>
      <c r="J1465" s="797"/>
      <c r="K1465" s="797"/>
      <c r="L1465" s="797"/>
    </row>
    <row r="1466" spans="1:12" s="802" customFormat="1" hidden="1">
      <c r="A1466" s="976"/>
      <c r="B1466" s="797"/>
      <c r="C1466" s="916" t="s">
        <v>826</v>
      </c>
      <c r="D1466" s="916" t="s">
        <v>791</v>
      </c>
      <c r="E1466" s="917">
        <v>1</v>
      </c>
      <c r="F1466" s="918">
        <v>1100</v>
      </c>
      <c r="G1466" s="919">
        <f t="shared" ref="G1466:G1475" si="46">ROUND(E1466*F1466,2)</f>
        <v>1100</v>
      </c>
      <c r="H1466" s="797"/>
      <c r="I1466" s="797"/>
      <c r="J1466" s="797"/>
      <c r="K1466" s="797"/>
      <c r="L1466" s="797"/>
    </row>
    <row r="1467" spans="1:12" s="802" customFormat="1" hidden="1">
      <c r="A1467" s="976"/>
      <c r="B1467" s="797"/>
      <c r="C1467" s="916" t="s">
        <v>827</v>
      </c>
      <c r="D1467" s="916" t="s">
        <v>791</v>
      </c>
      <c r="E1467" s="917">
        <v>6</v>
      </c>
      <c r="F1467" s="917">
        <f t="shared" ref="F1467:F1475" si="47">F1439</f>
        <v>37.76</v>
      </c>
      <c r="G1467" s="919">
        <f t="shared" si="46"/>
        <v>226.56</v>
      </c>
      <c r="H1467" s="797"/>
      <c r="I1467" s="797"/>
      <c r="J1467" s="797"/>
      <c r="K1467" s="797"/>
      <c r="L1467" s="797"/>
    </row>
    <row r="1468" spans="1:12" s="802" customFormat="1" hidden="1">
      <c r="A1468" s="976"/>
      <c r="B1468" s="797"/>
      <c r="C1468" s="920" t="s">
        <v>1121</v>
      </c>
      <c r="D1468" s="920" t="s">
        <v>184</v>
      </c>
      <c r="E1468" s="921">
        <f>ROUND(0.6*1.93,2)</f>
        <v>1.1599999999999999</v>
      </c>
      <c r="F1468" s="922">
        <f t="shared" si="47"/>
        <v>1453.76</v>
      </c>
      <c r="G1468" s="919">
        <f t="shared" si="46"/>
        <v>1686.36</v>
      </c>
      <c r="H1468" s="797"/>
      <c r="I1468" s="797"/>
      <c r="J1468" s="797"/>
      <c r="K1468" s="797"/>
      <c r="L1468" s="797"/>
    </row>
    <row r="1469" spans="1:12" s="802" customFormat="1" ht="26" hidden="1">
      <c r="A1469" s="976"/>
      <c r="B1469" s="797"/>
      <c r="C1469" s="916" t="s">
        <v>828</v>
      </c>
      <c r="D1469" s="920" t="s">
        <v>771</v>
      </c>
      <c r="E1469" s="922">
        <v>1</v>
      </c>
      <c r="F1469" s="922">
        <f t="shared" si="47"/>
        <v>80.239999999999995</v>
      </c>
      <c r="G1469" s="919">
        <f t="shared" si="46"/>
        <v>80.239999999999995</v>
      </c>
      <c r="H1469" s="797"/>
      <c r="I1469" s="797"/>
      <c r="J1469" s="797"/>
      <c r="K1469" s="797"/>
      <c r="L1469" s="797"/>
    </row>
    <row r="1470" spans="1:12" s="802" customFormat="1" hidden="1">
      <c r="A1470" s="976"/>
      <c r="B1470" s="797"/>
      <c r="C1470" s="920" t="s">
        <v>829</v>
      </c>
      <c r="D1470" s="920" t="s">
        <v>771</v>
      </c>
      <c r="E1470" s="922">
        <v>1</v>
      </c>
      <c r="F1470" s="922">
        <f t="shared" si="47"/>
        <v>181.72</v>
      </c>
      <c r="G1470" s="919">
        <f t="shared" si="46"/>
        <v>181.72</v>
      </c>
      <c r="H1470" s="797"/>
      <c r="I1470" s="797"/>
      <c r="J1470" s="797"/>
      <c r="K1470" s="797"/>
      <c r="L1470" s="797"/>
    </row>
    <row r="1471" spans="1:12" s="802" customFormat="1" hidden="1">
      <c r="A1471" s="976"/>
      <c r="B1471" s="797"/>
      <c r="C1471" s="920" t="s">
        <v>846</v>
      </c>
      <c r="D1471" s="920" t="s">
        <v>771</v>
      </c>
      <c r="E1471" s="922">
        <v>1</v>
      </c>
      <c r="F1471" s="922">
        <f t="shared" si="47"/>
        <v>53.099999999999994</v>
      </c>
      <c r="G1471" s="919">
        <f t="shared" si="46"/>
        <v>53.1</v>
      </c>
      <c r="H1471" s="797"/>
      <c r="I1471" s="797"/>
      <c r="J1471" s="797"/>
      <c r="K1471" s="797"/>
      <c r="L1471" s="797"/>
    </row>
    <row r="1472" spans="1:12" s="802" customFormat="1" hidden="1">
      <c r="A1472" s="976"/>
      <c r="B1472" s="797"/>
      <c r="C1472" s="920" t="s">
        <v>847</v>
      </c>
      <c r="D1472" s="920" t="s">
        <v>771</v>
      </c>
      <c r="E1472" s="922">
        <v>3</v>
      </c>
      <c r="F1472" s="922">
        <f t="shared" si="47"/>
        <v>36.58</v>
      </c>
      <c r="G1472" s="919">
        <f t="shared" si="46"/>
        <v>109.74</v>
      </c>
      <c r="H1472" s="797"/>
      <c r="I1472" s="797"/>
      <c r="J1472" s="797"/>
      <c r="K1472" s="797"/>
      <c r="L1472" s="797"/>
    </row>
    <row r="1473" spans="1:12" s="802" customFormat="1" hidden="1">
      <c r="A1473" s="976"/>
      <c r="B1473" s="797"/>
      <c r="C1473" s="920" t="s">
        <v>830</v>
      </c>
      <c r="D1473" s="920" t="s">
        <v>831</v>
      </c>
      <c r="E1473" s="922">
        <v>2</v>
      </c>
      <c r="F1473" s="922">
        <f t="shared" si="47"/>
        <v>53.099999999999994</v>
      </c>
      <c r="G1473" s="919">
        <f t="shared" si="46"/>
        <v>106.2</v>
      </c>
      <c r="H1473" s="797"/>
      <c r="I1473" s="797"/>
      <c r="J1473" s="797"/>
      <c r="K1473" s="797"/>
      <c r="L1473" s="797"/>
    </row>
    <row r="1474" spans="1:12" s="802" customFormat="1" hidden="1">
      <c r="A1474" s="976"/>
      <c r="B1474" s="797"/>
      <c r="C1474" s="920" t="s">
        <v>832</v>
      </c>
      <c r="D1474" s="920" t="s">
        <v>799</v>
      </c>
      <c r="E1474" s="922">
        <v>1</v>
      </c>
      <c r="F1474" s="922">
        <f t="shared" si="47"/>
        <v>10.62</v>
      </c>
      <c r="G1474" s="919">
        <f t="shared" si="46"/>
        <v>10.62</v>
      </c>
      <c r="H1474" s="797"/>
      <c r="I1474" s="797"/>
      <c r="J1474" s="797"/>
      <c r="K1474" s="797"/>
      <c r="L1474" s="797"/>
    </row>
    <row r="1475" spans="1:12" s="802" customFormat="1" hidden="1">
      <c r="A1475" s="976"/>
      <c r="B1475" s="797"/>
      <c r="C1475" s="920" t="s">
        <v>210</v>
      </c>
      <c r="D1475" s="920" t="s">
        <v>757</v>
      </c>
      <c r="E1475" s="921">
        <f>E1468</f>
        <v>1.1599999999999999</v>
      </c>
      <c r="F1475" s="922">
        <f t="shared" si="47"/>
        <v>383</v>
      </c>
      <c r="G1475" s="919">
        <f t="shared" si="46"/>
        <v>444.28</v>
      </c>
      <c r="H1475" s="797"/>
      <c r="I1475" s="797"/>
      <c r="J1475" s="797"/>
      <c r="K1475" s="797"/>
      <c r="L1475" s="797"/>
    </row>
    <row r="1476" spans="1:12" s="802" customFormat="1" hidden="1">
      <c r="A1476" s="976"/>
      <c r="B1476" s="797"/>
      <c r="C1476" s="920" t="s">
        <v>798</v>
      </c>
      <c r="D1476" s="920"/>
      <c r="E1476" s="922"/>
      <c r="F1476" s="922"/>
      <c r="G1476" s="919">
        <v>14</v>
      </c>
      <c r="H1476" s="797"/>
      <c r="I1476" s="797"/>
      <c r="J1476" s="797"/>
      <c r="K1476" s="797"/>
      <c r="L1476" s="797"/>
    </row>
    <row r="1477" spans="1:12" s="802" customFormat="1" hidden="1">
      <c r="A1477" s="976"/>
      <c r="B1477" s="797"/>
      <c r="C1477" s="916"/>
      <c r="D1477" s="916"/>
      <c r="E1477" s="923"/>
      <c r="F1477" s="916"/>
      <c r="G1477" s="924">
        <f>SUM(G1466:G1476)</f>
        <v>4012.8199999999988</v>
      </c>
      <c r="H1477" s="797"/>
      <c r="I1477" s="797"/>
      <c r="J1477" s="797"/>
      <c r="K1477" s="797"/>
      <c r="L1477" s="797"/>
    </row>
    <row r="1478" spans="1:12" s="802" customFormat="1" hidden="1">
      <c r="A1478" s="976"/>
      <c r="B1478" s="797"/>
      <c r="C1478" s="799" t="s">
        <v>844</v>
      </c>
      <c r="D1478" s="797"/>
      <c r="E1478" s="797"/>
      <c r="F1478" s="797"/>
      <c r="G1478" s="924">
        <f>ROUND(G1477,0)</f>
        <v>4013</v>
      </c>
      <c r="H1478" s="797"/>
      <c r="I1478" s="797"/>
      <c r="J1478" s="797"/>
      <c r="K1478" s="797"/>
      <c r="L1478" s="797"/>
    </row>
    <row r="1479" spans="1:12" s="802" customFormat="1" ht="64.5" hidden="1" customHeight="1">
      <c r="A1479" s="976"/>
      <c r="B1479" s="797"/>
      <c r="C1479" s="2013" t="s">
        <v>1013</v>
      </c>
      <c r="D1479" s="2013"/>
      <c r="E1479" s="2013"/>
      <c r="F1479" s="2013"/>
      <c r="G1479" s="924"/>
      <c r="H1479" s="797"/>
      <c r="I1479" s="797"/>
      <c r="J1479" s="797"/>
      <c r="K1479" s="797"/>
      <c r="L1479" s="797"/>
    </row>
    <row r="1480" spans="1:12" s="802" customFormat="1" hidden="1">
      <c r="A1480" s="976"/>
      <c r="B1480" s="797"/>
      <c r="C1480" s="799" t="s">
        <v>984</v>
      </c>
      <c r="D1480" s="797"/>
      <c r="E1480" s="804"/>
      <c r="F1480" s="797"/>
      <c r="G1480" s="797"/>
      <c r="H1480" s="797"/>
      <c r="I1480" s="797"/>
      <c r="J1480" s="797"/>
      <c r="K1480" s="797"/>
      <c r="L1480" s="797"/>
    </row>
    <row r="1481" spans="1:12" s="802" customFormat="1" hidden="1">
      <c r="A1481" s="976"/>
      <c r="B1481" s="797"/>
      <c r="C1481" s="799" t="s">
        <v>834</v>
      </c>
      <c r="D1481" s="797"/>
      <c r="E1481" s="804">
        <v>1</v>
      </c>
      <c r="F1481" s="927">
        <v>3000</v>
      </c>
      <c r="G1481" s="797">
        <f>E1481*F1481</f>
        <v>3000</v>
      </c>
      <c r="H1481" s="797"/>
      <c r="I1481" s="797"/>
      <c r="J1481" s="797"/>
      <c r="K1481" s="797"/>
      <c r="L1481" s="797"/>
    </row>
    <row r="1482" spans="1:12" s="802" customFormat="1" hidden="1">
      <c r="A1482" s="976"/>
      <c r="B1482" s="797"/>
      <c r="C1482" s="799"/>
      <c r="D1482" s="797"/>
      <c r="E1482" s="804"/>
      <c r="F1482" s="797"/>
      <c r="G1482" s="797"/>
      <c r="H1482" s="797"/>
      <c r="I1482" s="797"/>
      <c r="J1482" s="797"/>
      <c r="K1482" s="797"/>
      <c r="L1482" s="797"/>
    </row>
    <row r="1483" spans="1:12" s="802" customFormat="1" ht="34.5" hidden="1" customHeight="1">
      <c r="A1483" s="976"/>
      <c r="B1483" s="797"/>
      <c r="C1483" s="805" t="s">
        <v>1004</v>
      </c>
      <c r="D1483" s="797" t="s">
        <v>184</v>
      </c>
      <c r="E1483" s="804">
        <v>1.33</v>
      </c>
      <c r="F1483" s="860">
        <f>867*1.28</f>
        <v>1109.76</v>
      </c>
      <c r="G1483" s="800">
        <f t="shared" ref="G1483:G1489" si="48">ROUND(E1483*F1483,2)</f>
        <v>1475.98</v>
      </c>
      <c r="H1483" s="797"/>
      <c r="I1483" s="797"/>
      <c r="J1483" s="797"/>
      <c r="K1483" s="797"/>
      <c r="L1483" s="797"/>
    </row>
    <row r="1484" spans="1:12" s="802" customFormat="1" ht="35.25" hidden="1" customHeight="1">
      <c r="A1484" s="976"/>
      <c r="B1484" s="797"/>
      <c r="C1484" s="1535" t="s">
        <v>836</v>
      </c>
      <c r="D1484" s="1536" t="s">
        <v>183</v>
      </c>
      <c r="E1484" s="1537">
        <v>4</v>
      </c>
      <c r="F1484" s="1538">
        <f>F1467</f>
        <v>37.76</v>
      </c>
      <c r="G1484" s="919">
        <f t="shared" si="48"/>
        <v>151.04</v>
      </c>
      <c r="H1484" s="797"/>
      <c r="I1484" s="797"/>
      <c r="J1484" s="797"/>
      <c r="K1484" s="797"/>
      <c r="L1484" s="797"/>
    </row>
    <row r="1485" spans="1:12" s="802" customFormat="1" ht="26" hidden="1">
      <c r="A1485" s="976"/>
      <c r="B1485" s="797"/>
      <c r="C1485" s="1535" t="s">
        <v>837</v>
      </c>
      <c r="D1485" s="1536" t="s">
        <v>183</v>
      </c>
      <c r="E1485" s="1537">
        <v>6</v>
      </c>
      <c r="F1485" s="1538">
        <f>24*1.18</f>
        <v>28.32</v>
      </c>
      <c r="G1485" s="919">
        <f t="shared" si="48"/>
        <v>169.92</v>
      </c>
      <c r="H1485" s="797"/>
      <c r="I1485" s="797"/>
      <c r="J1485" s="797"/>
      <c r="K1485" s="797"/>
      <c r="L1485" s="797"/>
    </row>
    <row r="1486" spans="1:12" s="802" customFormat="1" ht="26" hidden="1">
      <c r="A1486" s="976"/>
      <c r="B1486" s="797"/>
      <c r="C1486" s="1535" t="s">
        <v>838</v>
      </c>
      <c r="D1486" s="1536" t="s">
        <v>183</v>
      </c>
      <c r="E1486" s="1537">
        <v>3</v>
      </c>
      <c r="F1486" s="1538">
        <f>32*1.18</f>
        <v>37.76</v>
      </c>
      <c r="G1486" s="919">
        <f t="shared" si="48"/>
        <v>113.28</v>
      </c>
      <c r="H1486" s="797"/>
      <c r="I1486" s="797"/>
      <c r="J1486" s="797"/>
      <c r="K1486" s="797"/>
      <c r="L1486" s="797"/>
    </row>
    <row r="1487" spans="1:12" s="802" customFormat="1" ht="26" hidden="1">
      <c r="A1487" s="976"/>
      <c r="B1487" s="797"/>
      <c r="C1487" s="1535" t="s">
        <v>839</v>
      </c>
      <c r="D1487" s="1536" t="s">
        <v>183</v>
      </c>
      <c r="E1487" s="1537">
        <v>6</v>
      </c>
      <c r="F1487" s="1538">
        <f>9*1.18</f>
        <v>10.62</v>
      </c>
      <c r="G1487" s="919">
        <f t="shared" si="48"/>
        <v>63.72</v>
      </c>
      <c r="H1487" s="797"/>
      <c r="I1487" s="797"/>
      <c r="J1487" s="797"/>
      <c r="K1487" s="797"/>
      <c r="L1487" s="797"/>
    </row>
    <row r="1488" spans="1:12" s="802" customFormat="1" ht="26" hidden="1">
      <c r="A1488" s="976"/>
      <c r="B1488" s="797"/>
      <c r="C1488" s="1535" t="s">
        <v>991</v>
      </c>
      <c r="D1488" s="1536" t="s">
        <v>183</v>
      </c>
      <c r="E1488" s="1537">
        <v>3</v>
      </c>
      <c r="F1488" s="1538">
        <f>55*1.18</f>
        <v>64.899999999999991</v>
      </c>
      <c r="G1488" s="919">
        <f t="shared" si="48"/>
        <v>194.7</v>
      </c>
      <c r="H1488" s="797"/>
      <c r="I1488" s="797"/>
      <c r="J1488" s="797"/>
      <c r="K1488" s="797"/>
      <c r="L1488" s="797"/>
    </row>
    <row r="1489" spans="1:12" s="802" customFormat="1" ht="39" hidden="1">
      <c r="A1489" s="976"/>
      <c r="B1489" s="797"/>
      <c r="C1489" s="805" t="s">
        <v>841</v>
      </c>
      <c r="D1489" s="797"/>
      <c r="E1489" s="800">
        <f>ROUND(1.22*1.39,2)</f>
        <v>1.7</v>
      </c>
      <c r="F1489" s="860">
        <f>[125]Bldg.rates!F80</f>
        <v>1452</v>
      </c>
      <c r="G1489" s="800">
        <f t="shared" si="48"/>
        <v>2468.4</v>
      </c>
      <c r="H1489" s="797"/>
      <c r="I1489" s="797"/>
      <c r="J1489" s="797"/>
      <c r="K1489" s="797"/>
      <c r="L1489" s="797"/>
    </row>
    <row r="1490" spans="1:12" s="802" customFormat="1" hidden="1">
      <c r="A1490" s="976"/>
      <c r="B1490" s="797"/>
      <c r="C1490" s="805"/>
      <c r="D1490" s="797"/>
      <c r="E1490" s="797"/>
      <c r="F1490" s="797" t="s">
        <v>139</v>
      </c>
      <c r="G1490" s="928">
        <f>SUM(G1481:G1489)</f>
        <v>7637.0399999999991</v>
      </c>
      <c r="H1490" s="797"/>
      <c r="I1490" s="797"/>
      <c r="J1490" s="797"/>
      <c r="K1490" s="797"/>
      <c r="L1490" s="797"/>
    </row>
    <row r="1491" spans="1:12" s="802" customFormat="1" hidden="1">
      <c r="A1491" s="976"/>
      <c r="B1491" s="797"/>
      <c r="C1491" s="797"/>
      <c r="D1491" s="797"/>
      <c r="E1491" s="797"/>
      <c r="F1491" s="724" t="s">
        <v>842</v>
      </c>
      <c r="G1491" s="924">
        <f>ROUND(G1490,0)</f>
        <v>7637</v>
      </c>
      <c r="H1491" s="797"/>
      <c r="I1491" s="797"/>
      <c r="J1491" s="797"/>
      <c r="K1491" s="797"/>
      <c r="L1491" s="797"/>
    </row>
    <row r="1492" spans="1:12" s="802" customFormat="1" hidden="1">
      <c r="A1492" s="976"/>
      <c r="B1492" s="797"/>
      <c r="C1492" s="799" t="s">
        <v>845</v>
      </c>
      <c r="D1492" s="797"/>
      <c r="E1492" s="797"/>
      <c r="F1492" s="797"/>
      <c r="G1492" s="801"/>
      <c r="H1492" s="797"/>
      <c r="I1492" s="797"/>
      <c r="J1492" s="797"/>
      <c r="K1492" s="797"/>
      <c r="L1492" s="797"/>
    </row>
    <row r="1493" spans="1:12" s="802" customFormat="1" ht="64.5" hidden="1" customHeight="1">
      <c r="A1493" s="976"/>
      <c r="B1493" s="797"/>
      <c r="C1493" s="2013" t="s">
        <v>988</v>
      </c>
      <c r="D1493" s="2013"/>
      <c r="E1493" s="2013"/>
      <c r="F1493" s="2013"/>
      <c r="G1493" s="924"/>
      <c r="H1493" s="797"/>
      <c r="I1493" s="797"/>
      <c r="J1493" s="797"/>
      <c r="K1493" s="797"/>
      <c r="L1493" s="797"/>
    </row>
    <row r="1494" spans="1:12" s="802" customFormat="1" hidden="1">
      <c r="A1494" s="976"/>
      <c r="B1494" s="797"/>
      <c r="C1494" s="799" t="s">
        <v>985</v>
      </c>
      <c r="D1494" s="797"/>
      <c r="E1494" s="804"/>
      <c r="F1494" s="797"/>
      <c r="G1494" s="797"/>
      <c r="H1494" s="797"/>
      <c r="I1494" s="797"/>
      <c r="J1494" s="797"/>
      <c r="K1494" s="797"/>
      <c r="L1494" s="797"/>
    </row>
    <row r="1495" spans="1:12" s="802" customFormat="1" hidden="1">
      <c r="A1495" s="976"/>
      <c r="B1495" s="797"/>
      <c r="C1495" s="799" t="s">
        <v>834</v>
      </c>
      <c r="D1495" s="797"/>
      <c r="E1495" s="804">
        <v>1</v>
      </c>
      <c r="F1495" s="797">
        <v>2500</v>
      </c>
      <c r="G1495" s="797">
        <f>F1495</f>
        <v>2500</v>
      </c>
      <c r="H1495" s="797"/>
      <c r="I1495" s="797"/>
      <c r="J1495" s="797"/>
      <c r="K1495" s="797"/>
      <c r="L1495" s="797"/>
    </row>
    <row r="1496" spans="1:12" s="802" customFormat="1" hidden="1">
      <c r="A1496" s="976"/>
      <c r="B1496" s="797"/>
      <c r="C1496" s="799"/>
      <c r="D1496" s="797"/>
      <c r="E1496" s="804"/>
      <c r="F1496" s="797"/>
      <c r="G1496" s="797"/>
      <c r="H1496" s="797"/>
      <c r="I1496" s="797"/>
      <c r="J1496" s="797"/>
      <c r="K1496" s="797"/>
      <c r="L1496" s="797"/>
    </row>
    <row r="1497" spans="1:12" s="802" customFormat="1" ht="26" hidden="1">
      <c r="A1497" s="976"/>
      <c r="B1497" s="797"/>
      <c r="C1497" s="805" t="s">
        <v>986</v>
      </c>
      <c r="D1497" s="797" t="s">
        <v>184</v>
      </c>
      <c r="E1497" s="804">
        <f>ROUND(0.8*1.07,2)</f>
        <v>0.86</v>
      </c>
      <c r="F1497" s="860">
        <f t="shared" ref="F1497:F1503" si="49">F1483</f>
        <v>1109.76</v>
      </c>
      <c r="G1497" s="800">
        <f>ROUND(E1497*F1497,2)</f>
        <v>954.39</v>
      </c>
      <c r="H1497" s="797"/>
      <c r="I1497" s="797"/>
      <c r="J1497" s="797"/>
      <c r="K1497" s="797"/>
      <c r="L1497" s="797"/>
    </row>
    <row r="1498" spans="1:12" s="802" customFormat="1" hidden="1">
      <c r="A1498" s="976"/>
      <c r="B1498" s="797"/>
      <c r="C1498" s="1536" t="s">
        <v>836</v>
      </c>
      <c r="D1498" s="1536" t="s">
        <v>183</v>
      </c>
      <c r="E1498" s="1537">
        <v>4</v>
      </c>
      <c r="F1498" s="1539">
        <f t="shared" si="49"/>
        <v>37.76</v>
      </c>
      <c r="G1498" s="919">
        <f t="shared" ref="G1498:G1503" si="50">ROUND(E1498*F1498,2)</f>
        <v>151.04</v>
      </c>
      <c r="H1498" s="797"/>
      <c r="I1498" s="797"/>
      <c r="J1498" s="797"/>
      <c r="K1498" s="797"/>
      <c r="L1498" s="797"/>
    </row>
    <row r="1499" spans="1:12" s="802" customFormat="1" ht="26" hidden="1">
      <c r="A1499" s="976"/>
      <c r="B1499" s="797"/>
      <c r="C1499" s="1535" t="s">
        <v>837</v>
      </c>
      <c r="D1499" s="1536" t="s">
        <v>183</v>
      </c>
      <c r="E1499" s="1537">
        <v>6</v>
      </c>
      <c r="F1499" s="1539">
        <f t="shared" si="49"/>
        <v>28.32</v>
      </c>
      <c r="G1499" s="919">
        <f t="shared" si="50"/>
        <v>169.92</v>
      </c>
      <c r="H1499" s="797"/>
      <c r="I1499" s="797"/>
      <c r="J1499" s="797"/>
      <c r="K1499" s="797"/>
      <c r="L1499" s="797"/>
    </row>
    <row r="1500" spans="1:12" s="802" customFormat="1" ht="26" hidden="1">
      <c r="A1500" s="976"/>
      <c r="B1500" s="797"/>
      <c r="C1500" s="1535" t="s">
        <v>838</v>
      </c>
      <c r="D1500" s="1536" t="s">
        <v>183</v>
      </c>
      <c r="E1500" s="1537">
        <v>3</v>
      </c>
      <c r="F1500" s="1539">
        <f t="shared" si="49"/>
        <v>37.76</v>
      </c>
      <c r="G1500" s="919">
        <f t="shared" si="50"/>
        <v>113.28</v>
      </c>
      <c r="H1500" s="797"/>
      <c r="I1500" s="797"/>
      <c r="J1500" s="797"/>
      <c r="K1500" s="797"/>
      <c r="L1500" s="797"/>
    </row>
    <row r="1501" spans="1:12" s="802" customFormat="1" ht="26" hidden="1">
      <c r="A1501" s="976"/>
      <c r="B1501" s="797"/>
      <c r="C1501" s="1535" t="s">
        <v>839</v>
      </c>
      <c r="D1501" s="1536" t="s">
        <v>183</v>
      </c>
      <c r="E1501" s="1537">
        <v>6</v>
      </c>
      <c r="F1501" s="1539">
        <f t="shared" si="49"/>
        <v>10.62</v>
      </c>
      <c r="G1501" s="919">
        <f t="shared" si="50"/>
        <v>63.72</v>
      </c>
      <c r="H1501" s="797"/>
      <c r="I1501" s="797"/>
      <c r="J1501" s="797"/>
      <c r="K1501" s="797"/>
      <c r="L1501" s="797"/>
    </row>
    <row r="1502" spans="1:12" s="802" customFormat="1" ht="26" hidden="1">
      <c r="A1502" s="976"/>
      <c r="B1502" s="797"/>
      <c r="C1502" s="1535" t="s">
        <v>840</v>
      </c>
      <c r="D1502" s="1536" t="s">
        <v>183</v>
      </c>
      <c r="E1502" s="1537">
        <v>3</v>
      </c>
      <c r="F1502" s="1539">
        <f t="shared" si="49"/>
        <v>64.899999999999991</v>
      </c>
      <c r="G1502" s="919">
        <f t="shared" si="50"/>
        <v>194.7</v>
      </c>
      <c r="H1502" s="797"/>
      <c r="I1502" s="797"/>
      <c r="J1502" s="797"/>
      <c r="K1502" s="797"/>
      <c r="L1502" s="797"/>
    </row>
    <row r="1503" spans="1:12" s="802" customFormat="1" ht="39" hidden="1">
      <c r="A1503" s="976"/>
      <c r="B1503" s="797"/>
      <c r="C1503" s="805" t="s">
        <v>841</v>
      </c>
      <c r="D1503" s="797"/>
      <c r="E1503" s="800">
        <f>ROUND(0.95*1.22,2)</f>
        <v>1.1599999999999999</v>
      </c>
      <c r="F1503" s="860">
        <f t="shared" si="49"/>
        <v>1452</v>
      </c>
      <c r="G1503" s="800">
        <f t="shared" si="50"/>
        <v>1684.32</v>
      </c>
      <c r="H1503" s="797"/>
      <c r="I1503" s="797"/>
      <c r="J1503" s="797"/>
      <c r="K1503" s="797"/>
      <c r="L1503" s="797"/>
    </row>
    <row r="1504" spans="1:12" s="802" customFormat="1" hidden="1">
      <c r="A1504" s="976"/>
      <c r="B1504" s="797"/>
      <c r="C1504" s="805"/>
      <c r="D1504" s="797"/>
      <c r="E1504" s="804"/>
      <c r="F1504" s="860"/>
      <c r="G1504" s="800">
        <f>SUM(G1495:G1503)</f>
        <v>5831.37</v>
      </c>
      <c r="H1504" s="797"/>
      <c r="I1504" s="797"/>
      <c r="J1504" s="797"/>
      <c r="K1504" s="797"/>
      <c r="L1504" s="797"/>
    </row>
    <row r="1505" spans="1:12" s="802" customFormat="1" hidden="1">
      <c r="A1505" s="976"/>
      <c r="B1505" s="797"/>
      <c r="C1505" s="805"/>
      <c r="D1505" s="797"/>
      <c r="E1505" s="797"/>
      <c r="F1505" s="797" t="s">
        <v>139</v>
      </c>
      <c r="G1505" s="928">
        <f>ROUND(G1504,0)</f>
        <v>5831</v>
      </c>
      <c r="H1505" s="797"/>
      <c r="I1505" s="797"/>
      <c r="J1505" s="797"/>
      <c r="K1505" s="797"/>
      <c r="L1505" s="797"/>
    </row>
    <row r="1506" spans="1:12" s="802" customFormat="1" hidden="1">
      <c r="A1506" s="976"/>
      <c r="B1506" s="797"/>
      <c r="C1506" s="798"/>
      <c r="D1506" s="797"/>
      <c r="E1506" s="797"/>
      <c r="F1506" s="797"/>
      <c r="G1506" s="797"/>
      <c r="H1506" s="797"/>
      <c r="I1506" s="797"/>
      <c r="J1506" s="797"/>
      <c r="K1506" s="797"/>
      <c r="L1506" s="797"/>
    </row>
    <row r="1507" spans="1:12" s="802" customFormat="1" hidden="1">
      <c r="A1507" s="976"/>
      <c r="B1507" s="797"/>
      <c r="C1507" s="799" t="s">
        <v>386</v>
      </c>
      <c r="D1507" s="797"/>
      <c r="E1507" s="797"/>
      <c r="F1507" s="797"/>
      <c r="G1507" s="801"/>
      <c r="H1507" s="797"/>
      <c r="I1507" s="797"/>
      <c r="J1507" s="797"/>
      <c r="K1507" s="797"/>
      <c r="L1507" s="797"/>
    </row>
    <row r="1508" spans="1:12" s="802" customFormat="1" hidden="1">
      <c r="A1508" s="976"/>
      <c r="B1508" s="797"/>
      <c r="C1508" s="799" t="s">
        <v>833</v>
      </c>
      <c r="D1508" s="797"/>
      <c r="E1508" s="804"/>
      <c r="F1508" s="797"/>
      <c r="G1508" s="797"/>
      <c r="H1508" s="797"/>
      <c r="I1508" s="797"/>
      <c r="J1508" s="797"/>
      <c r="K1508" s="797"/>
      <c r="L1508" s="797"/>
    </row>
    <row r="1509" spans="1:12" s="802" customFormat="1" hidden="1">
      <c r="A1509" s="976"/>
      <c r="B1509" s="797"/>
      <c r="C1509" s="799" t="s">
        <v>834</v>
      </c>
      <c r="D1509" s="797"/>
      <c r="E1509" s="804">
        <v>1</v>
      </c>
      <c r="F1509" s="797">
        <v>2250</v>
      </c>
      <c r="G1509" s="797">
        <f>E1509*F1509</f>
        <v>2250</v>
      </c>
      <c r="H1509" s="797"/>
      <c r="I1509" s="797"/>
      <c r="J1509" s="797"/>
      <c r="K1509" s="797"/>
      <c r="L1509" s="797"/>
    </row>
    <row r="1510" spans="1:12" s="802" customFormat="1" hidden="1">
      <c r="A1510" s="976"/>
      <c r="B1510" s="797"/>
      <c r="C1510" s="799"/>
      <c r="D1510" s="797"/>
      <c r="E1510" s="804"/>
      <c r="F1510" s="797"/>
      <c r="G1510" s="797"/>
      <c r="H1510" s="797"/>
      <c r="I1510" s="797"/>
      <c r="J1510" s="797"/>
      <c r="K1510" s="797"/>
      <c r="L1510" s="797"/>
    </row>
    <row r="1511" spans="1:12" s="802" customFormat="1" ht="34.5" hidden="1" customHeight="1">
      <c r="A1511" s="976"/>
      <c r="B1511" s="797"/>
      <c r="C1511" s="805" t="s">
        <v>835</v>
      </c>
      <c r="D1511" s="797" t="s">
        <v>117</v>
      </c>
      <c r="E1511" s="804">
        <v>4.7E-2</v>
      </c>
      <c r="F1511" s="860">
        <f>[125]Bldg.rates!H47</f>
        <v>52453.5</v>
      </c>
      <c r="G1511" s="800">
        <f t="shared" ref="G1511:G1517" si="51">ROUND(E1511*F1511,2)</f>
        <v>2465.31</v>
      </c>
      <c r="H1511" s="797"/>
      <c r="I1511" s="797"/>
      <c r="J1511" s="797"/>
      <c r="K1511" s="797"/>
      <c r="L1511" s="797"/>
    </row>
    <row r="1512" spans="1:12" s="802" customFormat="1" hidden="1">
      <c r="A1512" s="976"/>
      <c r="B1512" s="797"/>
      <c r="C1512" s="1536" t="s">
        <v>836</v>
      </c>
      <c r="D1512" s="1536" t="s">
        <v>183</v>
      </c>
      <c r="E1512" s="1537">
        <v>4</v>
      </c>
      <c r="F1512" s="1539">
        <f>F1498</f>
        <v>37.76</v>
      </c>
      <c r="G1512" s="919">
        <f t="shared" si="51"/>
        <v>151.04</v>
      </c>
      <c r="H1512" s="797"/>
      <c r="I1512" s="797"/>
      <c r="J1512" s="797"/>
      <c r="K1512" s="797"/>
      <c r="L1512" s="797"/>
    </row>
    <row r="1513" spans="1:12" s="802" customFormat="1" ht="26" hidden="1">
      <c r="A1513" s="976"/>
      <c r="B1513" s="797"/>
      <c r="C1513" s="1535" t="s">
        <v>837</v>
      </c>
      <c r="D1513" s="1536" t="s">
        <v>183</v>
      </c>
      <c r="E1513" s="1537">
        <v>6</v>
      </c>
      <c r="F1513" s="1539">
        <f>F1499</f>
        <v>28.32</v>
      </c>
      <c r="G1513" s="919">
        <f t="shared" si="51"/>
        <v>169.92</v>
      </c>
      <c r="H1513" s="797"/>
      <c r="I1513" s="797"/>
      <c r="J1513" s="797"/>
      <c r="K1513" s="797"/>
      <c r="L1513" s="797"/>
    </row>
    <row r="1514" spans="1:12" s="802" customFormat="1" ht="26" hidden="1">
      <c r="A1514" s="976"/>
      <c r="B1514" s="797"/>
      <c r="C1514" s="1535" t="s">
        <v>838</v>
      </c>
      <c r="D1514" s="1536" t="s">
        <v>183</v>
      </c>
      <c r="E1514" s="1537">
        <v>3</v>
      </c>
      <c r="F1514" s="1539">
        <f>F1500</f>
        <v>37.76</v>
      </c>
      <c r="G1514" s="919">
        <f t="shared" si="51"/>
        <v>113.28</v>
      </c>
      <c r="H1514" s="797"/>
      <c r="I1514" s="797"/>
      <c r="J1514" s="797"/>
      <c r="K1514" s="797"/>
      <c r="L1514" s="797"/>
    </row>
    <row r="1515" spans="1:12" s="802" customFormat="1" ht="26" hidden="1">
      <c r="A1515" s="976"/>
      <c r="B1515" s="797"/>
      <c r="C1515" s="1535" t="s">
        <v>839</v>
      </c>
      <c r="D1515" s="1536" t="s">
        <v>183</v>
      </c>
      <c r="E1515" s="1537">
        <v>6</v>
      </c>
      <c r="F1515" s="1539">
        <f>F1501</f>
        <v>10.62</v>
      </c>
      <c r="G1515" s="919">
        <f t="shared" si="51"/>
        <v>63.72</v>
      </c>
      <c r="H1515" s="797"/>
      <c r="I1515" s="797"/>
      <c r="J1515" s="797"/>
      <c r="K1515" s="797"/>
      <c r="L1515" s="797"/>
    </row>
    <row r="1516" spans="1:12" s="802" customFormat="1" ht="26" hidden="1">
      <c r="A1516" s="976"/>
      <c r="B1516" s="797"/>
      <c r="C1516" s="1535" t="s">
        <v>840</v>
      </c>
      <c r="D1516" s="1536" t="s">
        <v>183</v>
      </c>
      <c r="E1516" s="1537">
        <v>3</v>
      </c>
      <c r="F1516" s="1539">
        <f>F1502</f>
        <v>64.899999999999991</v>
      </c>
      <c r="G1516" s="919">
        <f t="shared" si="51"/>
        <v>194.7</v>
      </c>
      <c r="H1516" s="797"/>
      <c r="I1516" s="797"/>
      <c r="J1516" s="797"/>
      <c r="K1516" s="797"/>
      <c r="L1516" s="797"/>
    </row>
    <row r="1517" spans="1:12" s="802" customFormat="1" ht="39" hidden="1">
      <c r="A1517" s="976"/>
      <c r="B1517" s="797"/>
      <c r="C1517" s="805" t="s">
        <v>841</v>
      </c>
      <c r="D1517" s="797"/>
      <c r="E1517" s="804">
        <v>1.64</v>
      </c>
      <c r="F1517" s="860">
        <f>[125]Bldg.rates!F80</f>
        <v>1452</v>
      </c>
      <c r="G1517" s="800">
        <f t="shared" si="51"/>
        <v>2381.2800000000002</v>
      </c>
      <c r="H1517" s="797"/>
      <c r="I1517" s="797"/>
      <c r="J1517" s="797"/>
      <c r="K1517" s="797"/>
      <c r="L1517" s="797"/>
    </row>
    <row r="1518" spans="1:12" s="802" customFormat="1" hidden="1">
      <c r="A1518" s="976"/>
      <c r="B1518" s="797"/>
      <c r="C1518" s="805"/>
      <c r="D1518" s="797"/>
      <c r="E1518" s="797"/>
      <c r="F1518" s="797" t="s">
        <v>139</v>
      </c>
      <c r="G1518" s="928">
        <f>SUM(G1511:G1517)</f>
        <v>5539.25</v>
      </c>
      <c r="H1518" s="797"/>
      <c r="I1518" s="797"/>
      <c r="J1518" s="797"/>
      <c r="K1518" s="797"/>
      <c r="L1518" s="797"/>
    </row>
    <row r="1519" spans="1:12" s="802" customFormat="1" hidden="1">
      <c r="A1519" s="976"/>
      <c r="B1519" s="797"/>
      <c r="C1519" s="797"/>
      <c r="D1519" s="797"/>
      <c r="E1519" s="797"/>
      <c r="F1519" s="724" t="s">
        <v>842</v>
      </c>
      <c r="G1519" s="928">
        <f>ROUND(G1518,0)</f>
        <v>5539</v>
      </c>
      <c r="H1519" s="797"/>
      <c r="I1519" s="797"/>
      <c r="J1519" s="797"/>
      <c r="K1519" s="797"/>
      <c r="L1519" s="797"/>
    </row>
    <row r="1520" spans="1:12" s="802" customFormat="1" hidden="1">
      <c r="A1520" s="976"/>
      <c r="B1520" s="797"/>
      <c r="C1520" s="797"/>
      <c r="D1520" s="797"/>
      <c r="E1520" s="797"/>
      <c r="F1520" s="797"/>
      <c r="G1520" s="797"/>
      <c r="H1520" s="797"/>
      <c r="I1520" s="797"/>
      <c r="J1520" s="797"/>
      <c r="K1520" s="797"/>
      <c r="L1520" s="797"/>
    </row>
    <row r="1521" spans="1:12" s="802" customFormat="1" hidden="1">
      <c r="A1521" s="976"/>
      <c r="B1521" s="797"/>
      <c r="C1521" s="797"/>
      <c r="D1521" s="797"/>
      <c r="E1521" s="797"/>
      <c r="F1521" s="797"/>
      <c r="G1521" s="797"/>
      <c r="H1521" s="797"/>
      <c r="I1521" s="797"/>
      <c r="J1521" s="797"/>
      <c r="K1521" s="797"/>
      <c r="L1521" s="797"/>
    </row>
    <row r="1522" spans="1:12" s="802" customFormat="1" hidden="1">
      <c r="A1522" s="976"/>
      <c r="B1522" s="797"/>
      <c r="C1522" s="799" t="s">
        <v>386</v>
      </c>
      <c r="D1522" s="797"/>
      <c r="E1522" s="797"/>
      <c r="F1522" s="797"/>
      <c r="G1522" s="801">
        <f>ROUND(G1521,0)</f>
        <v>0</v>
      </c>
      <c r="H1522" s="797"/>
      <c r="I1522" s="797"/>
      <c r="J1522" s="797"/>
      <c r="K1522" s="797"/>
      <c r="L1522" s="797"/>
    </row>
    <row r="1523" spans="1:12" s="802" customFormat="1" hidden="1">
      <c r="A1523" s="976"/>
      <c r="B1523" s="797"/>
      <c r="C1523" s="799" t="s">
        <v>843</v>
      </c>
      <c r="D1523" s="797"/>
      <c r="E1523" s="804"/>
      <c r="F1523" s="797"/>
      <c r="G1523" s="797"/>
      <c r="H1523" s="797"/>
      <c r="I1523" s="797"/>
      <c r="J1523" s="797"/>
      <c r="K1523" s="797"/>
      <c r="L1523" s="797"/>
    </row>
    <row r="1524" spans="1:12" s="802" customFormat="1" hidden="1">
      <c r="A1524" s="976"/>
      <c r="B1524" s="797"/>
      <c r="C1524" s="799" t="s">
        <v>834</v>
      </c>
      <c r="D1524" s="797"/>
      <c r="E1524" s="804">
        <v>1</v>
      </c>
      <c r="F1524" s="797">
        <v>900</v>
      </c>
      <c r="G1524" s="797">
        <v>900</v>
      </c>
      <c r="H1524" s="797"/>
      <c r="I1524" s="797"/>
      <c r="J1524" s="797"/>
      <c r="K1524" s="797"/>
      <c r="L1524" s="797"/>
    </row>
    <row r="1525" spans="1:12" s="802" customFormat="1" hidden="1">
      <c r="A1525" s="976"/>
      <c r="B1525" s="797"/>
      <c r="C1525" s="799"/>
      <c r="D1525" s="797"/>
      <c r="E1525" s="804"/>
      <c r="F1525" s="797"/>
      <c r="G1525" s="797"/>
      <c r="H1525" s="797"/>
      <c r="I1525" s="797"/>
      <c r="J1525" s="797"/>
      <c r="K1525" s="797"/>
      <c r="L1525" s="797"/>
    </row>
    <row r="1526" spans="1:12" s="802" customFormat="1" ht="26" hidden="1">
      <c r="A1526" s="976"/>
      <c r="B1526" s="797"/>
      <c r="C1526" s="1483" t="s">
        <v>1112</v>
      </c>
      <c r="D1526" s="797" t="s">
        <v>117</v>
      </c>
      <c r="E1526" s="804">
        <v>2.7E-2</v>
      </c>
      <c r="F1526" s="860">
        <f t="shared" ref="F1526:F1532" si="52">F1511</f>
        <v>52453.5</v>
      </c>
      <c r="G1526" s="800">
        <f>ROUND(E1526*F1526,2)</f>
        <v>1416.24</v>
      </c>
      <c r="H1526" s="797"/>
      <c r="I1526" s="797"/>
      <c r="J1526" s="797"/>
      <c r="K1526" s="797"/>
      <c r="L1526" s="797"/>
    </row>
    <row r="1527" spans="1:12" s="802" customFormat="1" hidden="1">
      <c r="A1527" s="976"/>
      <c r="B1527" s="797"/>
      <c r="C1527" s="1536" t="s">
        <v>836</v>
      </c>
      <c r="D1527" s="1536" t="s">
        <v>183</v>
      </c>
      <c r="E1527" s="1537">
        <v>4</v>
      </c>
      <c r="F1527" s="1537">
        <f t="shared" si="52"/>
        <v>37.76</v>
      </c>
      <c r="G1527" s="919">
        <f t="shared" ref="G1527:G1532" si="53">ROUND(E1527*F1527,2)</f>
        <v>151.04</v>
      </c>
      <c r="H1527" s="797"/>
      <c r="I1527" s="797"/>
      <c r="J1527" s="797"/>
      <c r="K1527" s="797"/>
      <c r="L1527" s="797"/>
    </row>
    <row r="1528" spans="1:12" s="802" customFormat="1" ht="26" hidden="1">
      <c r="A1528" s="976"/>
      <c r="B1528" s="797"/>
      <c r="C1528" s="1535" t="s">
        <v>837</v>
      </c>
      <c r="D1528" s="1536" t="s">
        <v>183</v>
      </c>
      <c r="E1528" s="1537">
        <v>6</v>
      </c>
      <c r="F1528" s="1537">
        <f t="shared" si="52"/>
        <v>28.32</v>
      </c>
      <c r="G1528" s="919">
        <f t="shared" si="53"/>
        <v>169.92</v>
      </c>
      <c r="H1528" s="797"/>
      <c r="I1528" s="797"/>
      <c r="J1528" s="797"/>
      <c r="K1528" s="797"/>
      <c r="L1528" s="797"/>
    </row>
    <row r="1529" spans="1:12" s="802" customFormat="1" ht="26" hidden="1">
      <c r="A1529" s="976"/>
      <c r="B1529" s="797"/>
      <c r="C1529" s="1535" t="s">
        <v>838</v>
      </c>
      <c r="D1529" s="1536" t="s">
        <v>183</v>
      </c>
      <c r="E1529" s="1537">
        <v>3</v>
      </c>
      <c r="F1529" s="1537">
        <f t="shared" si="52"/>
        <v>37.76</v>
      </c>
      <c r="G1529" s="919">
        <f t="shared" si="53"/>
        <v>113.28</v>
      </c>
      <c r="H1529" s="797"/>
      <c r="I1529" s="797"/>
      <c r="J1529" s="797"/>
      <c r="K1529" s="797"/>
      <c r="L1529" s="797"/>
    </row>
    <row r="1530" spans="1:12" s="802" customFormat="1" ht="26" hidden="1">
      <c r="A1530" s="976"/>
      <c r="B1530" s="797"/>
      <c r="C1530" s="1535" t="s">
        <v>839</v>
      </c>
      <c r="D1530" s="1536" t="s">
        <v>183</v>
      </c>
      <c r="E1530" s="1537">
        <v>6</v>
      </c>
      <c r="F1530" s="1537">
        <f t="shared" si="52"/>
        <v>10.62</v>
      </c>
      <c r="G1530" s="919">
        <f t="shared" si="53"/>
        <v>63.72</v>
      </c>
      <c r="H1530" s="797"/>
      <c r="I1530" s="797"/>
      <c r="J1530" s="797"/>
      <c r="K1530" s="797"/>
      <c r="L1530" s="797"/>
    </row>
    <row r="1531" spans="1:12" s="802" customFormat="1" ht="26" hidden="1">
      <c r="A1531" s="976"/>
      <c r="B1531" s="797"/>
      <c r="C1531" s="1535" t="s">
        <v>840</v>
      </c>
      <c r="D1531" s="1536" t="s">
        <v>183</v>
      </c>
      <c r="E1531" s="1537">
        <v>3</v>
      </c>
      <c r="F1531" s="1537">
        <f t="shared" si="52"/>
        <v>64.899999999999991</v>
      </c>
      <c r="G1531" s="919">
        <f t="shared" si="53"/>
        <v>194.7</v>
      </c>
      <c r="H1531" s="797"/>
      <c r="I1531" s="797"/>
      <c r="J1531" s="797"/>
      <c r="K1531" s="797"/>
      <c r="L1531" s="797"/>
    </row>
    <row r="1532" spans="1:12" s="802" customFormat="1" ht="39" hidden="1">
      <c r="A1532" s="976"/>
      <c r="B1532" s="797"/>
      <c r="C1532" s="805" t="s">
        <v>841</v>
      </c>
      <c r="D1532" s="797"/>
      <c r="E1532" s="804">
        <v>1.08</v>
      </c>
      <c r="F1532" s="860">
        <f t="shared" si="52"/>
        <v>1452</v>
      </c>
      <c r="G1532" s="800">
        <f t="shared" si="53"/>
        <v>1568.16</v>
      </c>
      <c r="H1532" s="797"/>
      <c r="I1532" s="797"/>
      <c r="J1532" s="797"/>
      <c r="K1532" s="797"/>
      <c r="L1532" s="797"/>
    </row>
    <row r="1533" spans="1:12" s="802" customFormat="1" hidden="1">
      <c r="A1533" s="976"/>
      <c r="B1533" s="797"/>
      <c r="C1533" s="805"/>
      <c r="D1533" s="797"/>
      <c r="E1533" s="804"/>
      <c r="F1533" s="860"/>
      <c r="G1533" s="800">
        <f>SUM(G1526:G1532)</f>
        <v>3677.0600000000004</v>
      </c>
      <c r="H1533" s="797"/>
      <c r="I1533" s="797"/>
      <c r="J1533" s="797"/>
      <c r="K1533" s="797"/>
      <c r="L1533" s="797"/>
    </row>
    <row r="1534" spans="1:12" s="802" customFormat="1" hidden="1">
      <c r="A1534" s="976"/>
      <c r="B1534" s="797"/>
      <c r="C1534" s="805"/>
      <c r="D1534" s="797"/>
      <c r="E1534" s="797"/>
      <c r="F1534" s="797" t="s">
        <v>139</v>
      </c>
      <c r="G1534" s="928">
        <f>ROUND(G1533,0)</f>
        <v>3677</v>
      </c>
      <c r="H1534" s="797"/>
      <c r="I1534" s="797"/>
      <c r="J1534" s="797"/>
      <c r="K1534" s="797"/>
      <c r="L1534" s="797"/>
    </row>
    <row r="1535" spans="1:12" s="898" customFormat="1" ht="51.75" hidden="1" customHeight="1">
      <c r="A1535" s="984"/>
      <c r="B1535" s="896">
        <v>35</v>
      </c>
      <c r="C1535" s="2030" t="s">
        <v>1128</v>
      </c>
      <c r="D1535" s="2031"/>
      <c r="E1535" s="2031"/>
      <c r="F1535" s="2031"/>
      <c r="G1535" s="2032"/>
      <c r="H1535" s="1270"/>
      <c r="I1535" s="819"/>
      <c r="J1535" s="819"/>
      <c r="K1535" s="819"/>
      <c r="L1535" s="897"/>
    </row>
    <row r="1536" spans="1:12" s="907" customFormat="1" hidden="1">
      <c r="A1536" s="985"/>
      <c r="B1536" s="899"/>
      <c r="C1536" s="900" t="s">
        <v>623</v>
      </c>
      <c r="D1536" s="901"/>
      <c r="E1536" s="902"/>
      <c r="F1536" s="902"/>
      <c r="G1536" s="903"/>
      <c r="H1536" s="904"/>
      <c r="I1536" s="902"/>
      <c r="J1536" s="902"/>
      <c r="K1536" s="905"/>
      <c r="L1536" s="906"/>
    </row>
    <row r="1537" spans="1:12" s="907" customFormat="1" hidden="1">
      <c r="A1537" s="985"/>
      <c r="B1537" s="899"/>
      <c r="C1537" s="900" t="s">
        <v>624</v>
      </c>
      <c r="D1537" s="901"/>
      <c r="E1537" s="902"/>
      <c r="F1537" s="902"/>
      <c r="G1537" s="903"/>
      <c r="H1537" s="904"/>
      <c r="I1537" s="902"/>
      <c r="J1537" s="902"/>
      <c r="K1537" s="905"/>
      <c r="L1537" s="906"/>
    </row>
    <row r="1538" spans="1:12" s="907" customFormat="1" ht="28.5" hidden="1" customHeight="1">
      <c r="A1538" s="985"/>
      <c r="B1538" s="899"/>
      <c r="C1538" s="2039" t="s">
        <v>1126</v>
      </c>
      <c r="D1538" s="2040"/>
      <c r="E1538" s="2040"/>
      <c r="F1538" s="908" t="s">
        <v>184</v>
      </c>
      <c r="G1538" s="908">
        <v>1</v>
      </c>
      <c r="H1538" s="908">
        <v>1232</v>
      </c>
      <c r="I1538" s="908">
        <f>G1538*H1538</f>
        <v>1232</v>
      </c>
      <c r="K1538" s="906"/>
      <c r="L1538" s="906"/>
    </row>
    <row r="1539" spans="1:12" s="907" customFormat="1" ht="38.25" hidden="1" customHeight="1">
      <c r="A1539" s="985"/>
      <c r="B1539" s="899"/>
      <c r="C1539" s="2039" t="s">
        <v>637</v>
      </c>
      <c r="D1539" s="2040"/>
      <c r="E1539" s="2040"/>
      <c r="F1539" s="908" t="s">
        <v>184</v>
      </c>
      <c r="G1539" s="908">
        <v>1</v>
      </c>
      <c r="H1539" s="908">
        <v>383</v>
      </c>
      <c r="I1539" s="908">
        <f>G1539*H1539</f>
        <v>383</v>
      </c>
      <c r="K1539" s="906"/>
      <c r="L1539" s="906"/>
    </row>
    <row r="1540" spans="1:12" s="907" customFormat="1" hidden="1">
      <c r="A1540" s="985"/>
      <c r="B1540" s="899"/>
      <c r="C1540" s="897" t="s">
        <v>625</v>
      </c>
      <c r="D1540" s="909"/>
      <c r="E1540" s="902"/>
      <c r="F1540" s="903"/>
      <c r="G1540" s="904"/>
      <c r="H1540" s="902"/>
      <c r="I1540" s="908">
        <f>SUM(I1538:I1539)</f>
        <v>1615</v>
      </c>
      <c r="K1540" s="906"/>
      <c r="L1540" s="906"/>
    </row>
    <row r="1541" spans="1:12" s="907" customFormat="1" hidden="1">
      <c r="A1541" s="986"/>
      <c r="B1541" s="899"/>
      <c r="C1541" s="897" t="s">
        <v>1130</v>
      </c>
      <c r="D1541" s="909"/>
      <c r="E1541" s="902"/>
      <c r="F1541" s="903"/>
      <c r="G1541" s="904"/>
      <c r="H1541" s="905">
        <f>ROUND(0.9*2.03,2)</f>
        <v>1.83</v>
      </c>
      <c r="I1541" s="908">
        <f>H1541*I1540</f>
        <v>2955.4500000000003</v>
      </c>
      <c r="K1541" s="906"/>
      <c r="L1541" s="906"/>
    </row>
    <row r="1542" spans="1:12" s="907" customFormat="1" hidden="1">
      <c r="A1542" s="985"/>
      <c r="B1542" s="899"/>
      <c r="C1542" s="897" t="s">
        <v>626</v>
      </c>
      <c r="D1542" s="906"/>
      <c r="E1542" s="902"/>
      <c r="F1542" s="903"/>
      <c r="G1542" s="904"/>
      <c r="H1542" s="902"/>
      <c r="I1542" s="908">
        <f>G1400</f>
        <v>673.78</v>
      </c>
      <c r="K1542" s="906"/>
      <c r="L1542" s="906"/>
    </row>
    <row r="1543" spans="1:12" s="911" customFormat="1" hidden="1">
      <c r="A1543" s="984"/>
      <c r="B1543" s="905"/>
      <c r="C1543" s="900" t="s">
        <v>1133</v>
      </c>
      <c r="D1543" s="895"/>
      <c r="E1543" s="902"/>
      <c r="F1543" s="903"/>
      <c r="G1543" s="904"/>
      <c r="H1543" s="902"/>
      <c r="I1543" s="905">
        <f>SUM(I1541:I1542)</f>
        <v>3629.2300000000005</v>
      </c>
      <c r="K1543" s="910"/>
      <c r="L1543" s="910"/>
    </row>
    <row r="1544" spans="1:12" s="898" customFormat="1" hidden="1">
      <c r="A1544" s="987"/>
      <c r="B1544" s="912"/>
      <c r="C1544" s="913" t="s">
        <v>627</v>
      </c>
      <c r="D1544" s="896"/>
      <c r="E1544" s="914"/>
      <c r="F1544" s="908"/>
      <c r="G1544" s="915"/>
      <c r="H1544" s="914"/>
      <c r="I1544" s="912"/>
      <c r="K1544" s="897"/>
      <c r="L1544" s="897"/>
    </row>
    <row r="1545" spans="1:12" s="898" customFormat="1" hidden="1">
      <c r="A1545" s="987"/>
      <c r="B1545" s="912"/>
      <c r="C1545" s="913" t="s">
        <v>1867</v>
      </c>
      <c r="D1545" s="896"/>
      <c r="E1545" s="912"/>
      <c r="F1545" s="908"/>
      <c r="G1545" s="908">
        <v>3.2000000000000001E-2</v>
      </c>
      <c r="H1545" s="912">
        <f>H1431</f>
        <v>46217</v>
      </c>
      <c r="I1545" s="912">
        <f>ROUND(G1545*H1545,2)</f>
        <v>1478.94</v>
      </c>
      <c r="K1545" s="897"/>
      <c r="L1545" s="897"/>
    </row>
    <row r="1546" spans="1:12" s="898" customFormat="1" ht="14.25" hidden="1" customHeight="1">
      <c r="A1546" s="987"/>
      <c r="B1546" s="912"/>
      <c r="C1546" s="913" t="s">
        <v>1868</v>
      </c>
      <c r="D1546" s="896"/>
      <c r="E1546" s="912"/>
      <c r="F1546" s="908"/>
      <c r="G1546" s="908">
        <v>8.0000000000000002E-3</v>
      </c>
      <c r="H1546" s="912">
        <f>H1545</f>
        <v>46217</v>
      </c>
      <c r="I1546" s="912">
        <f>ROUND(G1546*H1546,2)</f>
        <v>369.74</v>
      </c>
      <c r="K1546" s="897"/>
      <c r="L1546" s="897"/>
    </row>
    <row r="1547" spans="1:12" s="898" customFormat="1" hidden="1">
      <c r="A1547" s="987"/>
      <c r="B1547" s="912"/>
      <c r="C1547" s="913" t="s">
        <v>630</v>
      </c>
      <c r="D1547" s="896"/>
      <c r="E1547" s="912"/>
      <c r="F1547" s="908"/>
      <c r="G1547" s="908">
        <v>0.04</v>
      </c>
      <c r="H1547" s="912">
        <f>H1433</f>
        <v>12475.2</v>
      </c>
      <c r="I1547" s="912">
        <f>ROUND(G1547*H1547,2)</f>
        <v>499.01</v>
      </c>
      <c r="K1547" s="897"/>
      <c r="L1547" s="897"/>
    </row>
    <row r="1548" spans="1:12" s="898" customFormat="1" ht="24" hidden="1" customHeight="1">
      <c r="A1548" s="987"/>
      <c r="B1548" s="912"/>
      <c r="C1548" s="900" t="s">
        <v>1132</v>
      </c>
      <c r="D1548" s="896"/>
      <c r="E1548" s="912"/>
      <c r="F1548" s="908"/>
      <c r="G1548" s="908"/>
      <c r="H1548" s="912"/>
      <c r="I1548" s="905">
        <f>ROUND(SUM(I1545:I1547),1)</f>
        <v>2347.6999999999998</v>
      </c>
      <c r="K1548" s="897"/>
      <c r="L1548" s="897"/>
    </row>
    <row r="1549" spans="1:12" s="898" customFormat="1" hidden="1">
      <c r="A1549" s="987"/>
      <c r="B1549" s="912"/>
      <c r="C1549" s="913" t="s">
        <v>631</v>
      </c>
      <c r="D1549" s="896"/>
      <c r="E1549" s="912"/>
      <c r="F1549" s="908"/>
      <c r="G1549" s="908"/>
      <c r="H1549" s="912"/>
      <c r="I1549" s="905">
        <f>I1548+I1543</f>
        <v>5976.93</v>
      </c>
      <c r="K1549" s="897"/>
      <c r="L1549" s="897"/>
    </row>
    <row r="1550" spans="1:12" s="907" customFormat="1" ht="28.5" hidden="1" customHeight="1">
      <c r="A1550" s="985"/>
      <c r="B1550" s="899"/>
      <c r="C1550" s="900" t="s">
        <v>1131</v>
      </c>
      <c r="D1550" s="901"/>
      <c r="E1550" s="902"/>
      <c r="F1550" s="903"/>
      <c r="G1550" s="904"/>
      <c r="H1550" s="902"/>
      <c r="I1550" s="905">
        <f>ROUND(SUM(I1549:I1549),0)</f>
        <v>5977</v>
      </c>
      <c r="K1550" s="906"/>
      <c r="L1550" s="906"/>
    </row>
    <row r="1551" spans="1:12" s="898" customFormat="1" ht="52.5" hidden="1" customHeight="1">
      <c r="A1551" s="984"/>
      <c r="B1551" s="896">
        <v>36</v>
      </c>
      <c r="C1551" s="2030" t="s">
        <v>1134</v>
      </c>
      <c r="D1551" s="2031"/>
      <c r="E1551" s="2031"/>
      <c r="F1551" s="2031"/>
      <c r="G1551" s="2032"/>
      <c r="H1551" s="1270"/>
      <c r="I1551" s="819"/>
      <c r="J1551" s="819"/>
      <c r="K1551" s="819"/>
      <c r="L1551" s="897"/>
    </row>
    <row r="1552" spans="1:12" s="907" customFormat="1" hidden="1">
      <c r="A1552" s="985"/>
      <c r="B1552" s="899"/>
      <c r="C1552" s="900" t="s">
        <v>623</v>
      </c>
      <c r="D1552" s="901"/>
      <c r="E1552" s="902"/>
      <c r="F1552" s="902"/>
      <c r="G1552" s="903"/>
      <c r="H1552" s="904"/>
      <c r="I1552" s="902"/>
      <c r="J1552" s="902"/>
      <c r="K1552" s="905"/>
      <c r="L1552" s="906"/>
    </row>
    <row r="1553" spans="1:12" s="907" customFormat="1" hidden="1">
      <c r="A1553" s="985"/>
      <c r="B1553" s="899"/>
      <c r="C1553" s="900" t="s">
        <v>624</v>
      </c>
      <c r="D1553" s="901"/>
      <c r="E1553" s="902"/>
      <c r="F1553" s="902"/>
      <c r="G1553" s="903"/>
      <c r="H1553" s="904"/>
      <c r="I1553" s="902"/>
      <c r="J1553" s="902"/>
      <c r="K1553" s="905"/>
      <c r="L1553" s="906"/>
    </row>
    <row r="1554" spans="1:12" s="907" customFormat="1" ht="27" hidden="1" customHeight="1">
      <c r="A1554" s="985"/>
      <c r="B1554" s="899"/>
      <c r="C1554" s="2039" t="s">
        <v>1126</v>
      </c>
      <c r="D1554" s="2040"/>
      <c r="E1554" s="2040"/>
      <c r="F1554" s="908" t="s">
        <v>184</v>
      </c>
      <c r="G1554" s="908">
        <v>1</v>
      </c>
      <c r="H1554" s="908">
        <v>1232</v>
      </c>
      <c r="I1554" s="908">
        <f>G1554*H1554</f>
        <v>1232</v>
      </c>
      <c r="K1554" s="906"/>
      <c r="L1554" s="906"/>
    </row>
    <row r="1555" spans="1:12" s="907" customFormat="1" ht="28.5" hidden="1" customHeight="1">
      <c r="A1555" s="985"/>
      <c r="B1555" s="899"/>
      <c r="C1555" s="2039" t="s">
        <v>637</v>
      </c>
      <c r="D1555" s="2040"/>
      <c r="E1555" s="2040"/>
      <c r="F1555" s="908" t="s">
        <v>184</v>
      </c>
      <c r="G1555" s="908">
        <v>1</v>
      </c>
      <c r="H1555" s="908">
        <v>383</v>
      </c>
      <c r="I1555" s="908">
        <f>G1555*H1555</f>
        <v>383</v>
      </c>
      <c r="K1555" s="906"/>
      <c r="L1555" s="906"/>
    </row>
    <row r="1556" spans="1:12" s="907" customFormat="1" hidden="1">
      <c r="A1556" s="985"/>
      <c r="B1556" s="899"/>
      <c r="C1556" s="897" t="s">
        <v>625</v>
      </c>
      <c r="D1556" s="909"/>
      <c r="E1556" s="902"/>
      <c r="F1556" s="903"/>
      <c r="G1556" s="904"/>
      <c r="H1556" s="902"/>
      <c r="I1556" s="908">
        <f>SUM(I1554:I1555)</f>
        <v>1615</v>
      </c>
      <c r="K1556" s="906"/>
      <c r="L1556" s="906"/>
    </row>
    <row r="1557" spans="1:12" s="907" customFormat="1" hidden="1">
      <c r="A1557" s="986"/>
      <c r="B1557" s="899"/>
      <c r="C1557" s="897" t="s">
        <v>1135</v>
      </c>
      <c r="D1557" s="909"/>
      <c r="E1557" s="902"/>
      <c r="F1557" s="903"/>
      <c r="G1557" s="904"/>
      <c r="H1557" s="905">
        <f>ROUND(0.6*2.03,2)</f>
        <v>1.22</v>
      </c>
      <c r="I1557" s="908">
        <f>H1557*I1556</f>
        <v>1970.3</v>
      </c>
      <c r="K1557" s="906"/>
      <c r="L1557" s="906"/>
    </row>
    <row r="1558" spans="1:12" s="907" customFormat="1" hidden="1">
      <c r="A1558" s="985"/>
      <c r="B1558" s="899"/>
      <c r="C1558" s="897" t="s">
        <v>626</v>
      </c>
      <c r="D1558" s="906"/>
      <c r="E1558" s="902"/>
      <c r="F1558" s="903"/>
      <c r="G1558" s="904"/>
      <c r="H1558" s="902"/>
      <c r="I1558" s="908">
        <f>I1542</f>
        <v>673.78</v>
      </c>
      <c r="K1558" s="906"/>
      <c r="L1558" s="906"/>
    </row>
    <row r="1559" spans="1:12" s="911" customFormat="1" hidden="1">
      <c r="A1559" s="984"/>
      <c r="B1559" s="905"/>
      <c r="C1559" s="900" t="s">
        <v>1133</v>
      </c>
      <c r="D1559" s="895"/>
      <c r="E1559" s="902"/>
      <c r="F1559" s="903"/>
      <c r="G1559" s="904"/>
      <c r="H1559" s="902"/>
      <c r="I1559" s="905">
        <f>SUM(I1557:I1558)</f>
        <v>2644.08</v>
      </c>
      <c r="K1559" s="910"/>
      <c r="L1559" s="910"/>
    </row>
    <row r="1560" spans="1:12" s="898" customFormat="1" hidden="1">
      <c r="A1560" s="987"/>
      <c r="B1560" s="912"/>
      <c r="C1560" s="913" t="s">
        <v>627</v>
      </c>
      <c r="D1560" s="896"/>
      <c r="E1560" s="914"/>
      <c r="F1560" s="908"/>
      <c r="G1560" s="915"/>
      <c r="H1560" s="914"/>
      <c r="I1560" s="912"/>
      <c r="K1560" s="897"/>
      <c r="L1560" s="897"/>
    </row>
    <row r="1561" spans="1:12" s="898" customFormat="1" hidden="1">
      <c r="A1561" s="987"/>
      <c r="B1561" s="912"/>
      <c r="C1561" s="913" t="s">
        <v>1869</v>
      </c>
      <c r="D1561" s="896"/>
      <c r="E1561" s="912"/>
      <c r="F1561" s="908"/>
      <c r="G1561" s="908">
        <v>3.2000000000000001E-2</v>
      </c>
      <c r="H1561" s="912">
        <f>H1545</f>
        <v>46217</v>
      </c>
      <c r="I1561" s="912">
        <f>ROUND(G1561*H1561,2)</f>
        <v>1478.94</v>
      </c>
      <c r="K1561" s="897"/>
      <c r="L1561" s="897"/>
    </row>
    <row r="1562" spans="1:12" s="898" customFormat="1" ht="16.5" hidden="1" customHeight="1">
      <c r="A1562" s="987"/>
      <c r="B1562" s="912"/>
      <c r="C1562" s="913" t="s">
        <v>1870</v>
      </c>
      <c r="D1562" s="896"/>
      <c r="E1562" s="912"/>
      <c r="F1562" s="908"/>
      <c r="G1562" s="908">
        <v>6.0000000000000001E-3</v>
      </c>
      <c r="H1562" s="912">
        <f>H1546</f>
        <v>46217</v>
      </c>
      <c r="I1562" s="912">
        <f>ROUND(G1562*H1562,2)</f>
        <v>277.3</v>
      </c>
      <c r="K1562" s="897"/>
      <c r="L1562" s="897"/>
    </row>
    <row r="1563" spans="1:12" s="898" customFormat="1" hidden="1">
      <c r="A1563" s="987"/>
      <c r="B1563" s="912"/>
      <c r="C1563" s="913" t="s">
        <v>630</v>
      </c>
      <c r="D1563" s="896"/>
      <c r="E1563" s="912"/>
      <c r="F1563" s="908"/>
      <c r="G1563" s="908">
        <v>3.7999999999999999E-2</v>
      </c>
      <c r="H1563" s="912">
        <f>H1547</f>
        <v>12475.2</v>
      </c>
      <c r="I1563" s="912">
        <f>ROUND(G1563*H1563,2)</f>
        <v>474.06</v>
      </c>
      <c r="K1563" s="897"/>
      <c r="L1563" s="897"/>
    </row>
    <row r="1564" spans="1:12" s="898" customFormat="1" ht="24" hidden="1" customHeight="1">
      <c r="A1564" s="987"/>
      <c r="B1564" s="912"/>
      <c r="C1564" s="900" t="s">
        <v>1136</v>
      </c>
      <c r="D1564" s="896"/>
      <c r="E1564" s="912"/>
      <c r="F1564" s="908"/>
      <c r="G1564" s="908"/>
      <c r="H1564" s="912"/>
      <c r="I1564" s="905">
        <f>ROUND(SUM(I1561:I1563),1)</f>
        <v>2230.3000000000002</v>
      </c>
      <c r="K1564" s="897"/>
      <c r="L1564" s="897"/>
    </row>
    <row r="1565" spans="1:12" s="898" customFormat="1" ht="17.25" hidden="1" customHeight="1">
      <c r="A1565" s="987"/>
      <c r="B1565" s="912"/>
      <c r="C1565" s="913" t="s">
        <v>631</v>
      </c>
      <c r="D1565" s="896"/>
      <c r="E1565" s="912"/>
      <c r="F1565" s="908"/>
      <c r="G1565" s="908"/>
      <c r="H1565" s="912"/>
      <c r="I1565" s="905">
        <f>I1564+I1559</f>
        <v>4874.38</v>
      </c>
      <c r="K1565" s="897"/>
      <c r="L1565" s="897"/>
    </row>
    <row r="1566" spans="1:12" s="907" customFormat="1" ht="26.25" hidden="1" customHeight="1">
      <c r="A1566" s="985"/>
      <c r="B1566" s="899"/>
      <c r="C1566" s="913" t="s">
        <v>1137</v>
      </c>
      <c r="D1566" s="901"/>
      <c r="E1566" s="902"/>
      <c r="F1566" s="903"/>
      <c r="G1566" s="904"/>
      <c r="H1566" s="902"/>
      <c r="I1566" s="905">
        <f>ROUND(SUM(I1565:I1565),0)</f>
        <v>4874</v>
      </c>
      <c r="K1566" s="906"/>
      <c r="L1566" s="906"/>
    </row>
    <row r="1567" spans="1:12" s="802" customFormat="1" hidden="1">
      <c r="A1567" s="976"/>
      <c r="B1567" s="797"/>
      <c r="C1567" s="797"/>
      <c r="D1567" s="797"/>
      <c r="E1567" s="797"/>
      <c r="F1567" s="797"/>
      <c r="G1567" s="797"/>
      <c r="H1567" s="797"/>
      <c r="I1567" s="797"/>
      <c r="J1567" s="797"/>
      <c r="K1567" s="797"/>
      <c r="L1567" s="797"/>
    </row>
    <row r="1568" spans="1:12" hidden="1">
      <c r="A1568" s="976"/>
      <c r="B1568" s="731"/>
      <c r="C1568" s="727" t="s">
        <v>563</v>
      </c>
      <c r="D1568" s="731"/>
      <c r="E1568" s="795"/>
      <c r="F1568" s="731"/>
      <c r="G1568" s="881"/>
      <c r="H1568" s="726"/>
      <c r="I1568" s="726"/>
      <c r="J1568" s="726"/>
      <c r="K1568" s="726"/>
      <c r="L1568" s="726"/>
    </row>
    <row r="1569" spans="1:12" ht="27.75" hidden="1" customHeight="1">
      <c r="A1569" s="892"/>
      <c r="B1569" s="1487">
        <v>14</v>
      </c>
      <c r="C1569" s="746" t="s">
        <v>411</v>
      </c>
      <c r="D1569" s="731"/>
      <c r="E1569" s="731"/>
      <c r="F1569" s="731"/>
      <c r="G1569" s="731"/>
      <c r="H1569" s="726"/>
      <c r="I1569" s="726"/>
      <c r="J1569" s="726"/>
      <c r="K1569" s="726"/>
      <c r="L1569" s="726"/>
    </row>
    <row r="1570" spans="1:12" hidden="1">
      <c r="A1570" s="969"/>
      <c r="B1570" s="727"/>
      <c r="C1570" s="727" t="s">
        <v>386</v>
      </c>
      <c r="D1570" s="1483"/>
      <c r="E1570" s="1483"/>
      <c r="F1570" s="1483"/>
      <c r="G1570" s="1483"/>
      <c r="H1570" s="726"/>
      <c r="I1570" s="726"/>
      <c r="J1570" s="726"/>
      <c r="K1570" s="726"/>
      <c r="L1570" s="726"/>
    </row>
    <row r="1571" spans="1:12" hidden="1">
      <c r="A1571" s="969"/>
      <c r="B1571" s="726"/>
      <c r="C1571" s="727" t="s">
        <v>413</v>
      </c>
      <c r="D1571" s="727"/>
      <c r="E1571" s="850"/>
      <c r="F1571" s="1483"/>
      <c r="G1571" s="1483"/>
      <c r="H1571" s="726"/>
      <c r="I1571" s="726"/>
      <c r="J1571" s="726"/>
      <c r="K1571" s="726"/>
      <c r="L1571" s="726"/>
    </row>
    <row r="1572" spans="1:12" ht="26" hidden="1">
      <c r="A1572" s="969"/>
      <c r="B1572" s="727"/>
      <c r="C1572" s="1483" t="s">
        <v>1112</v>
      </c>
      <c r="D1572" s="731" t="s">
        <v>117</v>
      </c>
      <c r="E1572" s="795">
        <v>0.13100000000000001</v>
      </c>
      <c r="F1572" s="840">
        <f>[125]Bldg.rates!H47</f>
        <v>52453.5</v>
      </c>
      <c r="G1572" s="732">
        <f>ROUND(E1572*F1572,2)</f>
        <v>6871.41</v>
      </c>
      <c r="H1572" s="726"/>
      <c r="I1572" s="726">
        <f>0.115*1.2*2.1</f>
        <v>0.28980000000000006</v>
      </c>
      <c r="J1572" s="726"/>
      <c r="K1572" s="726"/>
      <c r="L1572" s="726"/>
    </row>
    <row r="1573" spans="1:12" ht="26" hidden="1">
      <c r="A1573" s="969"/>
      <c r="B1573" s="727"/>
      <c r="C1573" s="1483" t="s">
        <v>576</v>
      </c>
      <c r="D1573" s="731"/>
      <c r="E1573" s="732">
        <f>1.05*2.1</f>
        <v>2.2050000000000001</v>
      </c>
      <c r="F1573" s="840">
        <f>G1418</f>
        <v>1452</v>
      </c>
      <c r="G1573" s="732">
        <f>ROUND(E1573*F1573,2)</f>
        <v>3201.66</v>
      </c>
      <c r="H1573" s="726"/>
      <c r="I1573" s="726">
        <f>1.05*2.1</f>
        <v>2.2050000000000001</v>
      </c>
      <c r="J1573" s="726"/>
      <c r="K1573" s="726"/>
      <c r="L1573" s="726"/>
    </row>
    <row r="1574" spans="1:12" ht="39" hidden="1">
      <c r="A1574" s="969"/>
      <c r="B1574" s="727"/>
      <c r="C1574" s="1483" t="s">
        <v>137</v>
      </c>
      <c r="D1574" s="731"/>
      <c r="E1574" s="795">
        <v>1</v>
      </c>
      <c r="F1574" s="840">
        <f>G1390</f>
        <v>934.56</v>
      </c>
      <c r="G1574" s="732">
        <f>F1574*E1574</f>
        <v>934.56</v>
      </c>
      <c r="H1574" s="726"/>
      <c r="I1574" s="726">
        <f>I1572/I1573</f>
        <v>0.13142857142857145</v>
      </c>
      <c r="J1574" s="726"/>
      <c r="K1574" s="726"/>
      <c r="L1574" s="726"/>
    </row>
    <row r="1575" spans="1:12" hidden="1">
      <c r="A1575" s="969"/>
      <c r="B1575" s="727"/>
      <c r="C1575" s="1483" t="s">
        <v>138</v>
      </c>
      <c r="D1575" s="731"/>
      <c r="E1575" s="795"/>
      <c r="F1575" s="731"/>
      <c r="G1575" s="757">
        <f>SUM(G1572:G1574)</f>
        <v>11007.63</v>
      </c>
      <c r="H1575" s="726"/>
      <c r="I1575" s="726"/>
      <c r="J1575" s="726"/>
      <c r="K1575" s="726"/>
      <c r="L1575" s="726"/>
    </row>
    <row r="1576" spans="1:12" hidden="1">
      <c r="A1576" s="969"/>
      <c r="B1576" s="727"/>
      <c r="C1576" s="727"/>
      <c r="D1576" s="731"/>
      <c r="E1576" s="731"/>
      <c r="F1576" s="730" t="s">
        <v>139</v>
      </c>
      <c r="G1576" s="814">
        <f>ROUND(G1575,0)</f>
        <v>11008</v>
      </c>
      <c r="H1576" s="726"/>
      <c r="I1576" s="726"/>
      <c r="J1576" s="726"/>
      <c r="K1576" s="726"/>
      <c r="L1576" s="726"/>
    </row>
    <row r="1577" spans="1:12" ht="26" hidden="1">
      <c r="A1577" s="969"/>
      <c r="B1577" s="727" t="s">
        <v>348</v>
      </c>
      <c r="C1577" s="727" t="s">
        <v>386</v>
      </c>
      <c r="D1577" s="731"/>
      <c r="E1577" s="731"/>
      <c r="F1577" s="731"/>
      <c r="G1577" s="731"/>
      <c r="H1577" s="726"/>
      <c r="I1577" s="726"/>
      <c r="J1577" s="726"/>
      <c r="K1577" s="726"/>
      <c r="L1577" s="726"/>
    </row>
    <row r="1578" spans="1:12" hidden="1">
      <c r="A1578" s="969"/>
      <c r="B1578" s="727"/>
      <c r="C1578" s="727" t="s">
        <v>388</v>
      </c>
      <c r="D1578" s="728"/>
      <c r="E1578" s="795"/>
      <c r="F1578" s="731"/>
      <c r="G1578" s="731"/>
      <c r="H1578" s="726"/>
      <c r="I1578" s="726"/>
      <c r="J1578" s="726"/>
      <c r="K1578" s="726"/>
      <c r="L1578" s="726"/>
    </row>
    <row r="1579" spans="1:12" ht="26" hidden="1">
      <c r="A1579" s="969"/>
      <c r="B1579" s="727"/>
      <c r="C1579" s="1483" t="s">
        <v>1112</v>
      </c>
      <c r="D1579" s="731" t="s">
        <v>117</v>
      </c>
      <c r="E1579" s="795">
        <v>0.10100000000000001</v>
      </c>
      <c r="F1579" s="840">
        <f>F1572</f>
        <v>52453.5</v>
      </c>
      <c r="G1579" s="732">
        <f>ROUND(E1579*F1579,2)</f>
        <v>5297.8</v>
      </c>
      <c r="H1579" s="726"/>
      <c r="I1579" s="726"/>
      <c r="J1579" s="726"/>
      <c r="K1579" s="726"/>
      <c r="L1579" s="726"/>
    </row>
    <row r="1580" spans="1:12" ht="26" hidden="1">
      <c r="A1580" s="969"/>
      <c r="B1580" s="727"/>
      <c r="C1580" s="1483" t="s">
        <v>576</v>
      </c>
      <c r="D1580" s="731"/>
      <c r="E1580" s="732">
        <f>0.9*2.1</f>
        <v>1.8900000000000001</v>
      </c>
      <c r="F1580" s="840">
        <f>F1573</f>
        <v>1452</v>
      </c>
      <c r="G1580" s="732">
        <f>ROUND(E1580*F1580,2)</f>
        <v>2744.28</v>
      </c>
      <c r="H1580" s="726"/>
      <c r="I1580" s="726"/>
      <c r="J1580" s="726"/>
      <c r="K1580" s="726"/>
      <c r="L1580" s="726"/>
    </row>
    <row r="1581" spans="1:12" ht="39" hidden="1">
      <c r="A1581" s="969"/>
      <c r="B1581" s="727"/>
      <c r="C1581" s="1483" t="s">
        <v>137</v>
      </c>
      <c r="D1581" s="731"/>
      <c r="E1581" s="795">
        <v>1</v>
      </c>
      <c r="F1581" s="840">
        <f>G1390</f>
        <v>934.56</v>
      </c>
      <c r="G1581" s="732">
        <f>F1581*E1581</f>
        <v>934.56</v>
      </c>
      <c r="H1581" s="726"/>
      <c r="I1581" s="726"/>
      <c r="J1581" s="726"/>
      <c r="K1581" s="726"/>
      <c r="L1581" s="726"/>
    </row>
    <row r="1582" spans="1:12" hidden="1">
      <c r="A1582" s="969"/>
      <c r="B1582" s="727"/>
      <c r="C1582" s="1483" t="s">
        <v>138</v>
      </c>
      <c r="D1582" s="731"/>
      <c r="E1582" s="795"/>
      <c r="F1582" s="731"/>
      <c r="G1582" s="757">
        <f>SUM(G1579:G1581)</f>
        <v>8976.64</v>
      </c>
      <c r="H1582" s="726"/>
      <c r="I1582" s="726"/>
      <c r="J1582" s="726"/>
      <c r="K1582" s="726"/>
      <c r="L1582" s="726"/>
    </row>
    <row r="1583" spans="1:12" hidden="1">
      <c r="A1583" s="969"/>
      <c r="B1583" s="726"/>
      <c r="C1583" s="726"/>
      <c r="D1583" s="731"/>
      <c r="E1583" s="731"/>
      <c r="F1583" s="730" t="s">
        <v>139</v>
      </c>
      <c r="G1583" s="814">
        <f>ROUND(G1582,0)</f>
        <v>8977</v>
      </c>
      <c r="H1583" s="726"/>
      <c r="I1583" s="726"/>
      <c r="J1583" s="726"/>
      <c r="K1583" s="726"/>
      <c r="L1583" s="726"/>
    </row>
    <row r="1584" spans="1:12" ht="26" hidden="1">
      <c r="A1584" s="969"/>
      <c r="B1584" s="727" t="s">
        <v>348</v>
      </c>
      <c r="C1584" s="727" t="s">
        <v>412</v>
      </c>
      <c r="D1584" s="731"/>
      <c r="E1584" s="731"/>
      <c r="F1584" s="730"/>
      <c r="G1584" s="814"/>
      <c r="H1584" s="726"/>
      <c r="I1584" s="726"/>
      <c r="J1584" s="726"/>
      <c r="K1584" s="726"/>
      <c r="L1584" s="726"/>
    </row>
    <row r="1585" spans="1:12" hidden="1">
      <c r="A1585" s="969"/>
      <c r="B1585" s="727"/>
      <c r="C1585" s="727" t="s">
        <v>391</v>
      </c>
      <c r="D1585" s="728"/>
      <c r="E1585" s="795"/>
      <c r="F1585" s="731"/>
      <c r="G1585" s="731"/>
      <c r="H1585" s="726"/>
      <c r="I1585" s="726"/>
      <c r="J1585" s="726"/>
      <c r="K1585" s="726"/>
      <c r="L1585" s="726"/>
    </row>
    <row r="1586" spans="1:12" ht="26" hidden="1">
      <c r="A1586" s="969"/>
      <c r="B1586" s="727"/>
      <c r="C1586" s="1483" t="s">
        <v>1112</v>
      </c>
      <c r="D1586" s="731" t="s">
        <v>117</v>
      </c>
      <c r="E1586" s="795">
        <v>8.2000000000000003E-2</v>
      </c>
      <c r="F1586" s="840">
        <f>F1579</f>
        <v>52453.5</v>
      </c>
      <c r="G1586" s="732">
        <f>ROUND(E1586*F1586,2)</f>
        <v>4301.1899999999996</v>
      </c>
      <c r="H1586" s="726"/>
      <c r="I1586" s="726"/>
      <c r="J1586" s="726"/>
      <c r="K1586" s="726"/>
      <c r="L1586" s="726"/>
    </row>
    <row r="1587" spans="1:12" ht="26" hidden="1">
      <c r="A1587" s="969"/>
      <c r="B1587" s="727"/>
      <c r="C1587" s="1483" t="s">
        <v>576</v>
      </c>
      <c r="D1587" s="731"/>
      <c r="E1587" s="732">
        <f>0.75*2.1</f>
        <v>1.5750000000000002</v>
      </c>
      <c r="F1587" s="840">
        <f>F1580</f>
        <v>1452</v>
      </c>
      <c r="G1587" s="732">
        <f>ROUND(E1587*F1587,2)</f>
        <v>2286.9</v>
      </c>
      <c r="H1587" s="726"/>
      <c r="I1587" s="726"/>
      <c r="J1587" s="726"/>
      <c r="K1587" s="726"/>
      <c r="L1587" s="726"/>
    </row>
    <row r="1588" spans="1:12" ht="39" hidden="1">
      <c r="A1588" s="969"/>
      <c r="B1588" s="727"/>
      <c r="C1588" s="1483" t="s">
        <v>137</v>
      </c>
      <c r="D1588" s="731"/>
      <c r="E1588" s="795">
        <v>1</v>
      </c>
      <c r="F1588" s="840">
        <f>G1400</f>
        <v>673.78</v>
      </c>
      <c r="G1588" s="732">
        <f>F1588*E1588</f>
        <v>673.78</v>
      </c>
      <c r="H1588" s="726"/>
      <c r="I1588" s="726"/>
      <c r="J1588" s="726"/>
      <c r="K1588" s="726"/>
      <c r="L1588" s="726"/>
    </row>
    <row r="1589" spans="1:12" hidden="1">
      <c r="A1589" s="969"/>
      <c r="B1589" s="727"/>
      <c r="C1589" s="1483" t="s">
        <v>138</v>
      </c>
      <c r="D1589" s="731"/>
      <c r="E1589" s="795"/>
      <c r="F1589" s="731"/>
      <c r="G1589" s="757">
        <f>SUM(G1586:G1588)</f>
        <v>7261.87</v>
      </c>
      <c r="H1589" s="726"/>
      <c r="I1589" s="726"/>
      <c r="J1589" s="726"/>
      <c r="K1589" s="726"/>
      <c r="L1589" s="726"/>
    </row>
    <row r="1590" spans="1:12" ht="26" hidden="1">
      <c r="A1590" s="969"/>
      <c r="B1590" s="746"/>
      <c r="C1590" s="813" t="s">
        <v>415</v>
      </c>
      <c r="D1590" s="731"/>
      <c r="E1590" s="731"/>
      <c r="F1590" s="730" t="s">
        <v>139</v>
      </c>
      <c r="G1590" s="814">
        <f>ROUND(G1589,0)</f>
        <v>7262</v>
      </c>
      <c r="H1590" s="726"/>
      <c r="I1590" s="726"/>
      <c r="J1590" s="726"/>
      <c r="K1590" s="726"/>
      <c r="L1590" s="726"/>
    </row>
    <row r="1591" spans="1:12" s="817" customFormat="1" ht="191.25" customHeight="1">
      <c r="A1591" s="978"/>
      <c r="B1591" s="815">
        <v>42</v>
      </c>
      <c r="C1591" s="2033" t="s">
        <v>2177</v>
      </c>
      <c r="D1591" s="2034"/>
      <c r="E1591" s="2034"/>
      <c r="F1591" s="2034"/>
      <c r="G1591" s="2034"/>
      <c r="H1591" s="2035"/>
      <c r="I1591" s="1268"/>
      <c r="J1591" s="929"/>
      <c r="K1591" s="929"/>
    </row>
    <row r="1592" spans="1:12" s="817" customFormat="1">
      <c r="A1592" s="978"/>
      <c r="B1592" s="818"/>
      <c r="C1592" s="816" t="s">
        <v>1962</v>
      </c>
      <c r="D1592" s="903" t="s">
        <v>184</v>
      </c>
      <c r="E1592" s="904">
        <v>1</v>
      </c>
      <c r="F1592" s="902">
        <v>6038</v>
      </c>
      <c r="H1592" s="1464">
        <f>E1592*F1592</f>
        <v>6038</v>
      </c>
      <c r="J1592" s="929"/>
      <c r="K1592" s="929"/>
    </row>
    <row r="1593" spans="1:12" s="817" customFormat="1" ht="246.75" customHeight="1">
      <c r="A1593" s="978"/>
      <c r="B1593" s="815">
        <v>43</v>
      </c>
      <c r="C1593" s="2033" t="s">
        <v>2178</v>
      </c>
      <c r="D1593" s="2034"/>
      <c r="E1593" s="2034"/>
      <c r="F1593" s="2034"/>
      <c r="G1593" s="2034"/>
      <c r="H1593" s="2035"/>
      <c r="I1593" s="1268"/>
      <c r="J1593" s="929"/>
      <c r="K1593" s="929"/>
    </row>
    <row r="1594" spans="1:12" s="817" customFormat="1">
      <c r="A1594" s="978"/>
      <c r="B1594" s="818"/>
      <c r="C1594" s="816" t="s">
        <v>2114</v>
      </c>
      <c r="D1594" s="903" t="s">
        <v>184</v>
      </c>
      <c r="E1594" s="904">
        <v>1</v>
      </c>
      <c r="F1594" s="902">
        <v>8058</v>
      </c>
      <c r="H1594" s="905">
        <f>E1594*F1594</f>
        <v>8058</v>
      </c>
      <c r="J1594" s="929"/>
      <c r="K1594" s="929"/>
    </row>
    <row r="1595" spans="1:12" s="817" customFormat="1" ht="186" customHeight="1">
      <c r="A1595" s="978"/>
      <c r="B1595" s="815">
        <v>44</v>
      </c>
      <c r="C1595" s="2030" t="s">
        <v>2118</v>
      </c>
      <c r="D1595" s="2031"/>
      <c r="E1595" s="2031"/>
      <c r="F1595" s="2031"/>
      <c r="G1595" s="2031"/>
      <c r="H1595" s="2032"/>
      <c r="I1595" s="1268"/>
      <c r="J1595" s="929"/>
      <c r="K1595" s="929"/>
    </row>
    <row r="1596" spans="1:12" s="817" customFormat="1">
      <c r="A1596" s="978"/>
      <c r="B1596" s="818"/>
      <c r="C1596" s="816" t="s">
        <v>2117</v>
      </c>
      <c r="D1596" s="903" t="s">
        <v>184</v>
      </c>
      <c r="E1596" s="904">
        <v>1</v>
      </c>
      <c r="F1596" s="902">
        <v>5830</v>
      </c>
      <c r="H1596" s="905">
        <f>E1596*F1596</f>
        <v>5830</v>
      </c>
      <c r="J1596" s="929"/>
      <c r="K1596" s="929"/>
    </row>
    <row r="1597" spans="1:12" s="1311" customFormat="1" ht="69" customHeight="1">
      <c r="A1597" s="989"/>
      <c r="B1597" s="772">
        <v>45</v>
      </c>
      <c r="C1597" s="2036" t="s">
        <v>1743</v>
      </c>
      <c r="D1597" s="2037"/>
      <c r="E1597" s="2037"/>
      <c r="F1597" s="2037"/>
      <c r="G1597" s="2037"/>
      <c r="H1597" s="2038"/>
      <c r="I1597" s="930"/>
      <c r="J1597" s="930"/>
      <c r="K1597" s="930"/>
      <c r="L1597" s="1309"/>
    </row>
    <row r="1598" spans="1:12" s="1311" customFormat="1">
      <c r="A1598" s="974"/>
      <c r="B1598" s="761"/>
      <c r="C1598" s="931" t="s">
        <v>1744</v>
      </c>
      <c r="D1598" s="763"/>
      <c r="E1598" s="763"/>
      <c r="F1598" s="763"/>
      <c r="G1598" s="932"/>
      <c r="H1598" s="771"/>
      <c r="I1598" s="930"/>
      <c r="J1598" s="930"/>
      <c r="K1598" s="930"/>
      <c r="L1598" s="1309"/>
    </row>
    <row r="1599" spans="1:12" s="1311" customFormat="1">
      <c r="A1599" s="974"/>
      <c r="B1599" s="761"/>
      <c r="C1599" s="933" t="s">
        <v>1756</v>
      </c>
      <c r="D1599" s="771"/>
      <c r="E1599" s="763"/>
      <c r="F1599" s="763"/>
      <c r="G1599" s="763"/>
      <c r="H1599" s="934"/>
      <c r="I1599" s="930"/>
      <c r="J1599" s="930"/>
      <c r="K1599" s="930"/>
      <c r="L1599" s="1309"/>
    </row>
    <row r="1600" spans="1:12" s="1312" customFormat="1" ht="18" customHeight="1">
      <c r="A1600" s="976"/>
      <c r="B1600" s="798"/>
      <c r="C1600" s="935" t="s">
        <v>1745</v>
      </c>
      <c r="D1600" s="797" t="s">
        <v>1556</v>
      </c>
      <c r="E1600" s="804">
        <v>1</v>
      </c>
      <c r="F1600" s="763">
        <v>303</v>
      </c>
      <c r="G1600" s="763">
        <f>ROUND(E1600*F1600,2)</f>
        <v>303</v>
      </c>
      <c r="H1600" s="936"/>
      <c r="I1600" s="937"/>
      <c r="J1600" s="937"/>
      <c r="K1600" s="937"/>
      <c r="L1600" s="1310"/>
    </row>
    <row r="1601" spans="1:12" s="1311" customFormat="1" hidden="1">
      <c r="A1601" s="974"/>
      <c r="B1601" s="761"/>
      <c r="C1601" s="762" t="s">
        <v>142</v>
      </c>
      <c r="D1601" s="763"/>
      <c r="E1601" s="763"/>
      <c r="F1601" s="763"/>
      <c r="G1601" s="932">
        <f>SUM(G1600:G1600)</f>
        <v>303</v>
      </c>
      <c r="H1601" s="930"/>
      <c r="I1601" s="930"/>
      <c r="J1601" s="930"/>
      <c r="K1601" s="930"/>
      <c r="L1601" s="1309"/>
    </row>
    <row r="1602" spans="1:12" s="1305" customFormat="1">
      <c r="A1602" s="973"/>
      <c r="B1602" s="761"/>
      <c r="C1602" s="1864" t="s">
        <v>1746</v>
      </c>
      <c r="D1602" s="1865"/>
      <c r="E1602" s="1866"/>
      <c r="F1602" s="1867"/>
      <c r="G1602" s="1868">
        <f>G1601</f>
        <v>303</v>
      </c>
      <c r="H1602" s="938"/>
      <c r="I1602" s="765"/>
      <c r="J1602" s="765"/>
      <c r="K1602" s="765"/>
      <c r="L1602" s="1303"/>
    </row>
    <row r="1603" spans="1:12" s="1311" customFormat="1" ht="138" customHeight="1">
      <c r="A1603" s="989"/>
      <c r="B1603" s="772">
        <v>46</v>
      </c>
      <c r="C1603" s="2033" t="s">
        <v>1799</v>
      </c>
      <c r="D1603" s="2034"/>
      <c r="E1603" s="2034"/>
      <c r="F1603" s="2034"/>
      <c r="G1603" s="2034"/>
      <c r="H1603" s="2035"/>
      <c r="I1603" s="930"/>
      <c r="J1603" s="930"/>
      <c r="K1603" s="930"/>
      <c r="L1603" s="1309"/>
    </row>
    <row r="1604" spans="1:12" s="1312" customFormat="1" ht="15" customHeight="1">
      <c r="A1604" s="974" t="s">
        <v>1747</v>
      </c>
      <c r="B1604" s="761"/>
      <c r="C1604" s="931" t="s">
        <v>1748</v>
      </c>
      <c r="D1604" s="797" t="s">
        <v>184</v>
      </c>
      <c r="E1604" s="804">
        <v>1</v>
      </c>
      <c r="F1604" s="763">
        <v>2270</v>
      </c>
      <c r="G1604" s="763">
        <f>ROUND(E1604*F1604,2)</f>
        <v>2270</v>
      </c>
      <c r="H1604" s="936"/>
      <c r="I1604" s="937"/>
      <c r="J1604" s="937"/>
      <c r="K1604" s="937"/>
      <c r="L1604" s="1310"/>
    </row>
    <row r="1605" spans="1:12" s="1311" customFormat="1" ht="15" hidden="1" customHeight="1">
      <c r="A1605" s="974"/>
      <c r="B1605" s="761"/>
      <c r="C1605" s="762" t="s">
        <v>142</v>
      </c>
      <c r="D1605" s="763"/>
      <c r="E1605" s="763"/>
      <c r="F1605" s="763"/>
      <c r="G1605" s="932">
        <f>SUM(G1604:G1604)</f>
        <v>2270</v>
      </c>
      <c r="H1605" s="930"/>
      <c r="I1605" s="930"/>
      <c r="J1605" s="930"/>
      <c r="K1605" s="930"/>
      <c r="L1605" s="1309"/>
    </row>
    <row r="1606" spans="1:12" s="1305" customFormat="1" ht="18" customHeight="1">
      <c r="A1606" s="973"/>
      <c r="B1606" s="761"/>
      <c r="C1606" s="1864" t="s">
        <v>1746</v>
      </c>
      <c r="D1606" s="1865"/>
      <c r="E1606" s="1866"/>
      <c r="F1606" s="1867"/>
      <c r="G1606" s="1868">
        <f>G1605</f>
        <v>2270</v>
      </c>
      <c r="H1606" s="938"/>
      <c r="I1606" s="765"/>
      <c r="J1606" s="765"/>
      <c r="K1606" s="765"/>
      <c r="L1606" s="1303"/>
    </row>
    <row r="1607" spans="1:12" s="866" customFormat="1" ht="88.5" hidden="1" customHeight="1">
      <c r="A1607" s="990">
        <v>43</v>
      </c>
      <c r="B1607" s="939" t="s">
        <v>1690</v>
      </c>
      <c r="C1607" s="2013" t="s">
        <v>1755</v>
      </c>
      <c r="D1607" s="2013"/>
      <c r="E1607" s="2013"/>
      <c r="F1607" s="2013"/>
      <c r="G1607" s="2013"/>
      <c r="H1607" s="2013"/>
      <c r="I1607" s="871"/>
      <c r="J1607" s="1491"/>
      <c r="K1607" s="1491"/>
      <c r="L1607" s="1491"/>
    </row>
    <row r="1608" spans="1:12" s="866" customFormat="1" ht="14" hidden="1">
      <c r="A1608" s="990"/>
      <c r="B1608" s="939"/>
      <c r="C1608" s="872" t="s">
        <v>1051</v>
      </c>
      <c r="D1608" s="1489"/>
      <c r="E1608" s="1489"/>
      <c r="F1608" s="1489"/>
      <c r="G1608" s="1489"/>
      <c r="H1608" s="1489"/>
      <c r="I1608" s="871"/>
      <c r="J1608" s="1491"/>
      <c r="K1608" s="1491"/>
      <c r="L1608" s="1491"/>
    </row>
    <row r="1609" spans="1:12" s="866" customFormat="1" ht="14" hidden="1">
      <c r="A1609" s="990"/>
      <c r="B1609" s="939"/>
      <c r="C1609" s="940" t="s">
        <v>24</v>
      </c>
      <c r="D1609" s="1494"/>
      <c r="E1609" s="1494"/>
      <c r="F1609" s="873"/>
      <c r="G1609" s="873"/>
      <c r="H1609" s="873"/>
      <c r="I1609" s="871"/>
      <c r="J1609" s="1491"/>
      <c r="K1609" s="1491"/>
      <c r="L1609" s="1491"/>
    </row>
    <row r="1610" spans="1:12" s="866" customFormat="1" ht="14" hidden="1">
      <c r="A1610" s="990"/>
      <c r="B1610" s="939"/>
      <c r="C1610" s="940" t="s">
        <v>1691</v>
      </c>
      <c r="D1610" s="1494"/>
      <c r="E1610" s="1494"/>
      <c r="F1610" s="1492"/>
      <c r="G1610" s="873"/>
      <c r="H1610" s="873"/>
      <c r="I1610" s="871"/>
      <c r="J1610" s="1491"/>
      <c r="K1610" s="1491"/>
      <c r="L1610" s="1491"/>
    </row>
    <row r="1611" spans="1:12" s="866" customFormat="1" ht="14" hidden="1">
      <c r="A1611" s="990"/>
      <c r="B1611" s="939"/>
      <c r="C1611" s="941" t="s">
        <v>218</v>
      </c>
      <c r="D1611" s="1494" t="s">
        <v>131</v>
      </c>
      <c r="E1611" s="1494">
        <v>43</v>
      </c>
      <c r="F1611" s="1492">
        <f>[125]Bldg.rates!L73</f>
        <v>3.75</v>
      </c>
      <c r="G1611" s="873">
        <f>E1611*F1611</f>
        <v>161.25</v>
      </c>
      <c r="H1611" s="873"/>
      <c r="I1611" s="871"/>
      <c r="J1611" s="1491"/>
      <c r="K1611" s="1491"/>
      <c r="L1611" s="1491"/>
    </row>
    <row r="1612" spans="1:12" s="866" customFormat="1" ht="14" hidden="1">
      <c r="A1612" s="990"/>
      <c r="B1612" s="939"/>
      <c r="C1612" s="941" t="s">
        <v>263</v>
      </c>
      <c r="D1612" s="1494" t="s">
        <v>117</v>
      </c>
      <c r="E1612" s="1494">
        <v>0.18</v>
      </c>
      <c r="F1612" s="1492">
        <f>'Lead statement (2)'!J8</f>
        <v>1013.6</v>
      </c>
      <c r="G1612" s="873">
        <f>E1612*F1612</f>
        <v>182.44800000000001</v>
      </c>
      <c r="H1612" s="873"/>
      <c r="I1612" s="871"/>
      <c r="J1612" s="1491"/>
      <c r="K1612" s="1491"/>
      <c r="L1612" s="1491"/>
    </row>
    <row r="1613" spans="1:12" s="866" customFormat="1" ht="14" hidden="1">
      <c r="A1613" s="990"/>
      <c r="B1613" s="939"/>
      <c r="C1613" s="940" t="s">
        <v>1692</v>
      </c>
      <c r="D1613" s="1494"/>
      <c r="E1613" s="1494"/>
      <c r="F1613" s="1492"/>
      <c r="G1613" s="873"/>
      <c r="H1613" s="873"/>
      <c r="I1613" s="871"/>
      <c r="J1613" s="1491"/>
      <c r="K1613" s="1491"/>
      <c r="L1613" s="1491"/>
    </row>
    <row r="1614" spans="1:12" s="866" customFormat="1" ht="14" hidden="1">
      <c r="A1614" s="990"/>
      <c r="B1614" s="939"/>
      <c r="C1614" s="941" t="s">
        <v>218</v>
      </c>
      <c r="D1614" s="1494" t="s">
        <v>131</v>
      </c>
      <c r="E1614" s="1494">
        <v>14.5</v>
      </c>
      <c r="F1614" s="1492">
        <f>[125]Bldg.rates!L73</f>
        <v>3.75</v>
      </c>
      <c r="G1614" s="871">
        <f>ROUND(E1614*F1614/1000,2)</f>
        <v>0.05</v>
      </c>
      <c r="H1614" s="873"/>
      <c r="I1614" s="1491"/>
      <c r="J1614" s="1491"/>
      <c r="K1614" s="1491"/>
      <c r="L1614" s="1491"/>
    </row>
    <row r="1615" spans="1:12" s="866" customFormat="1" ht="14" hidden="1">
      <c r="A1615" s="990"/>
      <c r="B1615" s="939"/>
      <c r="C1615" s="941" t="s">
        <v>263</v>
      </c>
      <c r="D1615" s="1494" t="s">
        <v>117</v>
      </c>
      <c r="E1615" s="1494">
        <v>0.04</v>
      </c>
      <c r="F1615" s="1492">
        <f>'Lead statement (2)'!J8</f>
        <v>1013.6</v>
      </c>
      <c r="G1615" s="871">
        <f>ROUND(E1615*F1615,2)</f>
        <v>40.54</v>
      </c>
      <c r="H1615" s="873"/>
      <c r="I1615" s="1491"/>
      <c r="J1615" s="1491"/>
      <c r="K1615" s="1491"/>
      <c r="L1615" s="1491"/>
    </row>
    <row r="1616" spans="1:12" s="866" customFormat="1" ht="14" hidden="1">
      <c r="A1616" s="990"/>
      <c r="B1616" s="939"/>
      <c r="C1616" s="940" t="s">
        <v>278</v>
      </c>
      <c r="D1616" s="1494"/>
      <c r="E1616" s="1494"/>
      <c r="F1616" s="1492"/>
      <c r="G1616" s="871"/>
      <c r="H1616" s="873"/>
      <c r="I1616" s="1491"/>
      <c r="J1616" s="1491"/>
      <c r="K1616" s="1491"/>
      <c r="L1616" s="1491"/>
    </row>
    <row r="1617" spans="1:12" s="866" customFormat="1" ht="15" hidden="1">
      <c r="A1617" s="990"/>
      <c r="B1617" s="939"/>
      <c r="C1617" s="941" t="s">
        <v>1753</v>
      </c>
      <c r="D1617" s="1494" t="s">
        <v>119</v>
      </c>
      <c r="E1617" s="1494">
        <v>0.63</v>
      </c>
      <c r="F1617" s="1492">
        <v>500</v>
      </c>
      <c r="G1617" s="871">
        <f>ROUND(E1617*F1617,2)</f>
        <v>315</v>
      </c>
      <c r="H1617" s="873"/>
      <c r="I1617" s="1491"/>
      <c r="J1617" s="1491"/>
      <c r="K1617" s="1491"/>
      <c r="L1617" s="1491"/>
    </row>
    <row r="1618" spans="1:12" s="866" customFormat="1" ht="15" hidden="1">
      <c r="A1618" s="990"/>
      <c r="B1618" s="939"/>
      <c r="C1618" s="941" t="s">
        <v>1754</v>
      </c>
      <c r="D1618" s="1494" t="s">
        <v>119</v>
      </c>
      <c r="E1618" s="1494">
        <v>1.47</v>
      </c>
      <c r="F1618" s="1492">
        <v>460</v>
      </c>
      <c r="G1618" s="871">
        <f>ROUND(E1618*F1618,2)</f>
        <v>676.2</v>
      </c>
      <c r="H1618" s="873"/>
      <c r="I1618" s="1491"/>
      <c r="J1618" s="1491"/>
      <c r="K1618" s="1491"/>
      <c r="L1618" s="1491"/>
    </row>
    <row r="1619" spans="1:12" s="866" customFormat="1" ht="14" hidden="1">
      <c r="A1619" s="990"/>
      <c r="B1619" s="939"/>
      <c r="C1619" s="941" t="s">
        <v>268</v>
      </c>
      <c r="D1619" s="1494" t="s">
        <v>119</v>
      </c>
      <c r="E1619" s="1494">
        <v>3.9</v>
      </c>
      <c r="F1619" s="1492">
        <v>400</v>
      </c>
      <c r="G1619" s="871">
        <f>ROUND(E1619*F1619,2)</f>
        <v>1560</v>
      </c>
      <c r="H1619" s="873"/>
      <c r="I1619" s="1491"/>
      <c r="J1619" s="1491"/>
      <c r="K1619" s="1491"/>
      <c r="L1619" s="1491"/>
    </row>
    <row r="1620" spans="1:12" s="866" customFormat="1" ht="14" hidden="1">
      <c r="A1620" s="990"/>
      <c r="B1620" s="939"/>
      <c r="C1620" s="1491" t="s">
        <v>1728</v>
      </c>
      <c r="D1620" s="942">
        <v>0.25</v>
      </c>
      <c r="E1620" s="1491"/>
      <c r="F1620" s="1491"/>
      <c r="G1620" s="943">
        <f>ROUND(SUM(G1617:G1619)*D1620,2)</f>
        <v>637.79999999999995</v>
      </c>
      <c r="H1620" s="873"/>
      <c r="I1620" s="1491"/>
      <c r="J1620" s="1491"/>
      <c r="K1620" s="1491"/>
      <c r="L1620" s="1491"/>
    </row>
    <row r="1621" spans="1:12" s="866" customFormat="1" ht="14" hidden="1">
      <c r="A1621" s="990"/>
      <c r="B1621" s="1489"/>
      <c r="C1621" s="944"/>
      <c r="D1621" s="873"/>
      <c r="E1621" s="1492"/>
      <c r="F1621" s="1492"/>
      <c r="G1621" s="945">
        <f>SUM(G1611:G1620)</f>
        <v>3573.2880000000005</v>
      </c>
      <c r="H1621" s="873"/>
      <c r="I1621" s="1491"/>
      <c r="J1621" s="1491"/>
      <c r="K1621" s="1491"/>
      <c r="L1621" s="1491"/>
    </row>
    <row r="1622" spans="1:12" s="866" customFormat="1" ht="14" hidden="1">
      <c r="A1622" s="990"/>
      <c r="B1622" s="1489"/>
      <c r="C1622" s="944"/>
      <c r="D1622" s="873"/>
      <c r="E1622" s="1492"/>
      <c r="F1622" s="1492"/>
      <c r="G1622" s="873"/>
      <c r="H1622" s="873"/>
      <c r="I1622" s="945"/>
      <c r="J1622" s="1491"/>
      <c r="K1622" s="1491"/>
      <c r="L1622" s="1491"/>
    </row>
    <row r="1623" spans="1:12" s="866" customFormat="1" ht="21" hidden="1">
      <c r="A1623" s="990"/>
      <c r="B1623" s="1489"/>
      <c r="C1623" s="872"/>
      <c r="D1623" s="2014" t="s">
        <v>397</v>
      </c>
      <c r="E1623" s="2014"/>
      <c r="F1623" s="946"/>
      <c r="G1623" s="2014" t="s">
        <v>1693</v>
      </c>
      <c r="H1623" s="2014"/>
      <c r="I1623" s="1540" t="s">
        <v>1998</v>
      </c>
      <c r="J1623" s="1491"/>
      <c r="K1623" s="1491"/>
      <c r="L1623" s="1491"/>
    </row>
    <row r="1624" spans="1:12" s="866" customFormat="1" ht="14" hidden="1">
      <c r="A1624" s="990"/>
      <c r="B1624" s="1489"/>
      <c r="C1624" s="872" t="s">
        <v>1694</v>
      </c>
      <c r="D1624" s="873"/>
      <c r="E1624" s="1493">
        <f>G1621</f>
        <v>3573.2880000000005</v>
      </c>
      <c r="F1624" s="873"/>
      <c r="G1624" s="2015">
        <f>E1624</f>
        <v>3573.2880000000005</v>
      </c>
      <c r="H1624" s="2015"/>
      <c r="I1624" s="1493">
        <f>G1624</f>
        <v>3573.2880000000005</v>
      </c>
      <c r="J1624" s="1491"/>
      <c r="K1624" s="1491"/>
      <c r="L1624" s="1491"/>
    </row>
    <row r="1625" spans="1:12" s="866" customFormat="1" ht="14" hidden="1">
      <c r="A1625" s="990"/>
      <c r="B1625" s="1489"/>
      <c r="C1625" s="1490" t="s">
        <v>1695</v>
      </c>
      <c r="D1625" s="873"/>
      <c r="E1625" s="873"/>
      <c r="F1625" s="873"/>
      <c r="G1625" s="2016"/>
      <c r="H1625" s="2016"/>
      <c r="I1625" s="873"/>
      <c r="J1625" s="1491"/>
      <c r="K1625" s="1491"/>
      <c r="L1625" s="1491"/>
    </row>
    <row r="1626" spans="1:12" s="866" customFormat="1" ht="14" hidden="1">
      <c r="A1626" s="990"/>
      <c r="B1626" s="1489"/>
      <c r="C1626" s="1490" t="s">
        <v>1696</v>
      </c>
      <c r="D1626" s="873"/>
      <c r="E1626" s="1492">
        <v>10.3</v>
      </c>
      <c r="F1626" s="873"/>
      <c r="G1626" s="2016">
        <f>E1626</f>
        <v>10.3</v>
      </c>
      <c r="H1626" s="2016"/>
      <c r="I1626" s="1492">
        <f>G1626</f>
        <v>10.3</v>
      </c>
      <c r="J1626" s="1491"/>
      <c r="K1626" s="1491"/>
      <c r="L1626" s="1491"/>
    </row>
    <row r="1627" spans="1:12" s="866" customFormat="1" ht="14" hidden="1">
      <c r="A1627" s="990"/>
      <c r="B1627" s="1489"/>
      <c r="C1627" s="1490" t="s">
        <v>210</v>
      </c>
      <c r="D1627" s="873"/>
      <c r="E1627" s="1492">
        <v>79.5</v>
      </c>
      <c r="F1627" s="873"/>
      <c r="G1627" s="2016">
        <v>113.8</v>
      </c>
      <c r="H1627" s="2016"/>
      <c r="I1627" s="1492">
        <v>148.1</v>
      </c>
      <c r="J1627" s="1491"/>
      <c r="K1627" s="1491"/>
      <c r="L1627" s="1491"/>
    </row>
    <row r="1628" spans="1:12" s="866" customFormat="1" ht="14" hidden="1">
      <c r="A1628" s="990"/>
      <c r="B1628" s="1489"/>
      <c r="C1628" s="1490">
        <f>$C$3</f>
        <v>0</v>
      </c>
      <c r="D1628" s="873"/>
      <c r="E1628" s="1494">
        <f>ROUND(E1627*$I$3,2)</f>
        <v>0</v>
      </c>
      <c r="F1628" s="873"/>
      <c r="G1628" s="2012">
        <f>ROUND(G1627*$I$3,2)</f>
        <v>0</v>
      </c>
      <c r="H1628" s="2012"/>
      <c r="I1628" s="1494">
        <f>ROUND(I1627*$I$3,2)</f>
        <v>0</v>
      </c>
      <c r="J1628" s="1491"/>
      <c r="K1628" s="1491"/>
      <c r="L1628" s="1491"/>
    </row>
    <row r="1629" spans="1:12" s="866" customFormat="1" ht="26" hidden="1">
      <c r="A1629" s="990"/>
      <c r="B1629" s="1489"/>
      <c r="C1629" s="1490" t="s">
        <v>1697</v>
      </c>
      <c r="D1629" s="873"/>
      <c r="E1629" s="1492">
        <v>0</v>
      </c>
      <c r="F1629" s="873"/>
      <c r="G1629" s="2016">
        <f>ROUND(SUM(G1617:G1619)*10%,2)</f>
        <v>255.12</v>
      </c>
      <c r="H1629" s="2016"/>
      <c r="I1629" s="1492">
        <f>G1629</f>
        <v>255.12</v>
      </c>
      <c r="J1629" s="1491"/>
      <c r="K1629" s="1491"/>
      <c r="L1629" s="1491"/>
    </row>
    <row r="1630" spans="1:12" s="866" customFormat="1" ht="14" hidden="1">
      <c r="A1630" s="990"/>
      <c r="B1630" s="1489"/>
      <c r="C1630" s="872"/>
      <c r="D1630" s="873"/>
      <c r="E1630" s="1493">
        <f>SUM(E1624:E1629)</f>
        <v>3663.0880000000006</v>
      </c>
      <c r="F1630" s="873"/>
      <c r="G1630" s="2015">
        <f>SUM(G1624:G1629)</f>
        <v>3952.5080000000007</v>
      </c>
      <c r="H1630" s="2015"/>
      <c r="I1630" s="1493">
        <f>SUM(I1624:I1629)</f>
        <v>3986.8080000000004</v>
      </c>
      <c r="J1630" s="1491"/>
      <c r="K1630" s="1491"/>
      <c r="L1630" s="1491"/>
    </row>
    <row r="1631" spans="1:12" s="866" customFormat="1" ht="14" hidden="1">
      <c r="A1631" s="990"/>
      <c r="B1631" s="1489"/>
      <c r="C1631" s="1490">
        <f>$C$4</f>
        <v>0</v>
      </c>
      <c r="D1631" s="873"/>
      <c r="E1631" s="1494">
        <f>ROUND(E1630*$I$4,2)</f>
        <v>0</v>
      </c>
      <c r="F1631" s="873"/>
      <c r="G1631" s="2012">
        <f>ROUND(G1630*$I$4,2)</f>
        <v>0</v>
      </c>
      <c r="H1631" s="2012"/>
      <c r="I1631" s="1494">
        <f>ROUND(I1630*$I$4,2)</f>
        <v>0</v>
      </c>
      <c r="J1631" s="1491"/>
      <c r="K1631" s="1491"/>
      <c r="L1631" s="1491"/>
    </row>
    <row r="1632" spans="1:12" s="866" customFormat="1" ht="14" hidden="1">
      <c r="A1632" s="990"/>
      <c r="B1632" s="1489"/>
      <c r="C1632" s="872" t="s">
        <v>1694</v>
      </c>
      <c r="D1632" s="873"/>
      <c r="E1632" s="1493">
        <f>E1624+E1626+E1627</f>
        <v>3663.0880000000006</v>
      </c>
      <c r="F1632" s="873"/>
      <c r="G1632" s="2015">
        <f>SUM(G1629:G1631)</f>
        <v>4207.6280000000006</v>
      </c>
      <c r="H1632" s="2015"/>
      <c r="I1632" s="1493">
        <f>SUM(I1629:I1631)</f>
        <v>4241.9280000000008</v>
      </c>
      <c r="J1632" s="1491"/>
      <c r="K1632" s="1491"/>
      <c r="L1632" s="1491"/>
    </row>
    <row r="1633" spans="1:12" s="866" customFormat="1" ht="14" hidden="1">
      <c r="A1633" s="990"/>
      <c r="B1633" s="1489"/>
      <c r="C1633" s="872" t="s">
        <v>1698</v>
      </c>
      <c r="D1633" s="873"/>
      <c r="E1633" s="1493">
        <f>E1632/10</f>
        <v>366.30880000000008</v>
      </c>
      <c r="F1633" s="873"/>
      <c r="G1633" s="2015">
        <f>ROUND(G1632/10,2)</f>
        <v>420.76</v>
      </c>
      <c r="H1633" s="2015"/>
      <c r="I1633" s="1493">
        <f>ROUND(I1632/10,2)</f>
        <v>424.19</v>
      </c>
      <c r="J1633" s="1491"/>
      <c r="K1633" s="1491"/>
      <c r="L1633" s="1491"/>
    </row>
    <row r="1634" spans="1:12" s="866" customFormat="1" ht="86.25" hidden="1" customHeight="1">
      <c r="A1634" s="947">
        <v>44</v>
      </c>
      <c r="B1634" s="948" t="s">
        <v>1699</v>
      </c>
      <c r="C1634" s="2024" t="s">
        <v>1641</v>
      </c>
      <c r="D1634" s="2025"/>
      <c r="E1634" s="2025"/>
      <c r="F1634" s="2025"/>
      <c r="G1634" s="2025"/>
      <c r="H1634" s="2025"/>
      <c r="I1634" s="2026"/>
    </row>
    <row r="1635" spans="1:12" s="866" customFormat="1" ht="21.75" hidden="1" customHeight="1">
      <c r="A1635" s="949"/>
      <c r="B1635" s="949"/>
      <c r="C1635" s="950" t="s">
        <v>1700</v>
      </c>
      <c r="D1635" s="951"/>
      <c r="E1635" s="951"/>
      <c r="F1635" s="951"/>
      <c r="G1635" s="951"/>
      <c r="H1635" s="951"/>
      <c r="I1635" s="1541"/>
    </row>
    <row r="1636" spans="1:12" s="866" customFormat="1" ht="21.75" hidden="1" customHeight="1">
      <c r="A1636" s="949"/>
      <c r="B1636" s="949"/>
      <c r="C1636" s="952" t="s">
        <v>24</v>
      </c>
      <c r="D1636" s="953"/>
      <c r="E1636" s="951"/>
      <c r="F1636" s="953"/>
      <c r="G1636" s="954"/>
      <c r="H1636" s="951"/>
      <c r="I1636" s="1542"/>
    </row>
    <row r="1637" spans="1:12" s="866" customFormat="1" ht="42" hidden="1">
      <c r="A1637" s="949"/>
      <c r="B1637" s="949"/>
      <c r="C1637" s="950" t="s">
        <v>1701</v>
      </c>
      <c r="D1637" s="951" t="s">
        <v>184</v>
      </c>
      <c r="E1637" s="953">
        <v>11</v>
      </c>
      <c r="F1637" s="953">
        <v>391.9</v>
      </c>
      <c r="G1637" s="955">
        <f>ROUND(E1637*F1637,2)</f>
        <v>4310.8999999999996</v>
      </c>
      <c r="H1637" s="951"/>
    </row>
    <row r="1638" spans="1:12" s="866" customFormat="1" ht="28" hidden="1">
      <c r="A1638" s="949"/>
      <c r="B1638" s="949"/>
      <c r="C1638" s="950" t="s">
        <v>1702</v>
      </c>
      <c r="D1638" s="951" t="s">
        <v>207</v>
      </c>
      <c r="E1638" s="953">
        <v>21.6</v>
      </c>
      <c r="F1638" s="953">
        <v>4.8</v>
      </c>
      <c r="G1638" s="955">
        <f>E1638*F1638</f>
        <v>103.68</v>
      </c>
      <c r="H1638" s="951"/>
    </row>
    <row r="1639" spans="1:12" s="866" customFormat="1" ht="21.75" hidden="1" customHeight="1">
      <c r="A1639" s="949"/>
      <c r="B1639" s="949"/>
      <c r="C1639" s="950" t="s">
        <v>380</v>
      </c>
      <c r="D1639" s="951" t="s">
        <v>207</v>
      </c>
      <c r="E1639" s="953">
        <v>33</v>
      </c>
      <c r="F1639" s="953">
        <v>4.8</v>
      </c>
      <c r="G1639" s="955">
        <f>E1639*F1639</f>
        <v>158.4</v>
      </c>
      <c r="H1639" s="951"/>
    </row>
    <row r="1640" spans="1:12" s="866" customFormat="1" ht="21.75" hidden="1" customHeight="1">
      <c r="A1640" s="949"/>
      <c r="B1640" s="949"/>
      <c r="C1640" s="950" t="s">
        <v>364</v>
      </c>
      <c r="D1640" s="951" t="s">
        <v>207</v>
      </c>
      <c r="E1640" s="953">
        <v>20</v>
      </c>
      <c r="F1640" s="953">
        <v>4.8</v>
      </c>
      <c r="G1640" s="955">
        <f>E1640*F1640</f>
        <v>96</v>
      </c>
      <c r="H1640" s="951"/>
      <c r="I1640" s="866" t="s">
        <v>1999</v>
      </c>
    </row>
    <row r="1641" spans="1:12" s="866" customFormat="1" ht="21.75" hidden="1" customHeight="1">
      <c r="A1641" s="949"/>
      <c r="B1641" s="949"/>
      <c r="C1641" s="950" t="s">
        <v>1703</v>
      </c>
      <c r="D1641" s="951" t="s">
        <v>181</v>
      </c>
      <c r="E1641" s="953">
        <v>0.12</v>
      </c>
      <c r="F1641" s="953">
        <f>'Lead statement (2)'!J7</f>
        <v>933.6</v>
      </c>
      <c r="G1641" s="955">
        <f>ROUND(E1641*F1641,2)</f>
        <v>112.03</v>
      </c>
      <c r="H1641" s="951"/>
    </row>
    <row r="1642" spans="1:12" s="866" customFormat="1" ht="21.75" hidden="1" customHeight="1">
      <c r="A1642" s="949"/>
      <c r="B1642" s="949"/>
      <c r="C1642" s="952" t="s">
        <v>1704</v>
      </c>
      <c r="D1642" s="951"/>
      <c r="E1642" s="953"/>
      <c r="F1642" s="953"/>
      <c r="G1642" s="955"/>
      <c r="H1642" s="951"/>
    </row>
    <row r="1643" spans="1:12" s="866" customFormat="1" ht="21.75" hidden="1" customHeight="1">
      <c r="A1643" s="949"/>
      <c r="B1643" s="949"/>
      <c r="C1643" s="950" t="s">
        <v>401</v>
      </c>
      <c r="D1643" s="951" t="s">
        <v>217</v>
      </c>
      <c r="E1643" s="953">
        <v>3.1</v>
      </c>
      <c r="F1643" s="953">
        <v>500</v>
      </c>
      <c r="G1643" s="955">
        <f>ROUND(E1643*F1643,2)</f>
        <v>1550</v>
      </c>
      <c r="H1643" s="951"/>
    </row>
    <row r="1644" spans="1:12" s="866" customFormat="1" ht="21.75" hidden="1" customHeight="1">
      <c r="A1644" s="949"/>
      <c r="B1644" s="949"/>
      <c r="C1644" s="950" t="s">
        <v>402</v>
      </c>
      <c r="D1644" s="951" t="s">
        <v>217</v>
      </c>
      <c r="E1644" s="953">
        <v>1.1000000000000001</v>
      </c>
      <c r="F1644" s="953">
        <v>460</v>
      </c>
      <c r="G1644" s="955">
        <f>ROUND(E1644*F1644,2)</f>
        <v>506</v>
      </c>
      <c r="H1644" s="951"/>
    </row>
    <row r="1645" spans="1:12" s="866" customFormat="1" ht="21.75" hidden="1" customHeight="1">
      <c r="A1645" s="949"/>
      <c r="B1645" s="949"/>
      <c r="C1645" s="950" t="s">
        <v>1705</v>
      </c>
      <c r="D1645" s="951" t="s">
        <v>217</v>
      </c>
      <c r="E1645" s="953">
        <v>0.86</v>
      </c>
      <c r="F1645" s="953">
        <v>420</v>
      </c>
      <c r="G1645" s="955">
        <f>ROUND(E1645*F1645,2)</f>
        <v>361.2</v>
      </c>
      <c r="H1645" s="951"/>
    </row>
    <row r="1646" spans="1:12" s="866" customFormat="1" ht="21.75" hidden="1" customHeight="1">
      <c r="A1646" s="949"/>
      <c r="B1646" s="949"/>
      <c r="C1646" s="2018">
        <f>$C$3</f>
        <v>0</v>
      </c>
      <c r="D1646" s="2019"/>
      <c r="E1646" s="2019"/>
      <c r="F1646" s="2020"/>
      <c r="G1646" s="956">
        <f>ROUND(SUM(G1643:G1645)*$I$3,2)</f>
        <v>0</v>
      </c>
      <c r="H1646" s="951"/>
    </row>
    <row r="1647" spans="1:12" s="866" customFormat="1" ht="21.75" hidden="1" customHeight="1">
      <c r="A1647" s="949"/>
      <c r="B1647" s="949"/>
      <c r="C1647" s="950" t="s">
        <v>1679</v>
      </c>
      <c r="D1647" s="951"/>
      <c r="E1647" s="953">
        <v>0.01</v>
      </c>
      <c r="F1647" s="953">
        <f>SUM(G1643:G1645)</f>
        <v>2417.1999999999998</v>
      </c>
      <c r="G1647" s="955">
        <f>ROUND(E1647*F1647,2)</f>
        <v>24.17</v>
      </c>
      <c r="H1647" s="951"/>
    </row>
    <row r="1648" spans="1:12" s="866" customFormat="1" ht="21.75" hidden="1" customHeight="1">
      <c r="A1648" s="949"/>
      <c r="B1648" s="949"/>
      <c r="C1648" s="952" t="s">
        <v>1706</v>
      </c>
      <c r="D1648" s="957"/>
      <c r="E1648" s="957"/>
      <c r="F1648" s="957"/>
      <c r="G1648" s="958">
        <f>SUM(G1637:G1647)</f>
        <v>7222.3799999999992</v>
      </c>
      <c r="H1648" s="957"/>
    </row>
    <row r="1649" spans="1:9" s="866" customFormat="1" ht="21.75" hidden="1" customHeight="1">
      <c r="A1649" s="949"/>
      <c r="B1649" s="949"/>
      <c r="C1649" s="952" t="s">
        <v>1681</v>
      </c>
      <c r="D1649" s="957"/>
      <c r="E1649" s="957"/>
      <c r="F1649" s="957"/>
      <c r="G1649" s="958">
        <f>G1648/10</f>
        <v>722.23799999999994</v>
      </c>
      <c r="H1649" s="957"/>
    </row>
    <row r="1650" spans="1:9" s="866" customFormat="1" ht="21.75" hidden="1" customHeight="1">
      <c r="A1650" s="949"/>
      <c r="B1650" s="949"/>
      <c r="C1650" s="2018">
        <f>$C$4</f>
        <v>0</v>
      </c>
      <c r="D1650" s="2019"/>
      <c r="E1650" s="2019"/>
      <c r="F1650" s="2020"/>
      <c r="G1650" s="951"/>
      <c r="H1650" s="951"/>
      <c r="I1650" s="956">
        <f>ROUND(G1649*$I$4,2)</f>
        <v>0</v>
      </c>
    </row>
    <row r="1651" spans="1:9" s="866" customFormat="1" ht="21.75" hidden="1" customHeight="1">
      <c r="A1651" s="949"/>
      <c r="B1651" s="949"/>
      <c r="C1651" s="952" t="s">
        <v>1698</v>
      </c>
      <c r="D1651" s="951"/>
      <c r="E1651" s="951"/>
      <c r="F1651" s="951"/>
      <c r="G1651" s="951"/>
      <c r="H1651" s="951"/>
      <c r="I1651" s="1543">
        <f>SUM(I1649:I1650)</f>
        <v>0</v>
      </c>
    </row>
    <row r="1652" spans="1:9" s="866" customFormat="1" ht="21.75" hidden="1" customHeight="1">
      <c r="A1652" s="949"/>
      <c r="B1652" s="949"/>
      <c r="C1652" s="950"/>
      <c r="D1652" s="959"/>
      <c r="E1652" s="951"/>
      <c r="F1652" s="953"/>
      <c r="G1652" s="954"/>
      <c r="H1652" s="951"/>
      <c r="I1652" s="1542"/>
    </row>
    <row r="1653" spans="1:9" s="866" customFormat="1" ht="102.75" hidden="1" customHeight="1">
      <c r="A1653" s="949">
        <v>45</v>
      </c>
      <c r="B1653" s="960" t="s">
        <v>1707</v>
      </c>
      <c r="C1653" s="2027" t="s">
        <v>1642</v>
      </c>
      <c r="D1653" s="2028"/>
      <c r="E1653" s="2028"/>
      <c r="F1653" s="2028"/>
      <c r="G1653" s="2028"/>
      <c r="H1653" s="2028"/>
      <c r="I1653" s="2029"/>
    </row>
    <row r="1654" spans="1:9" s="866" customFormat="1" ht="21.75" hidden="1" customHeight="1">
      <c r="A1654" s="949"/>
      <c r="B1654" s="949"/>
      <c r="C1654" s="950" t="s">
        <v>23</v>
      </c>
      <c r="D1654" s="961"/>
      <c r="E1654" s="961"/>
      <c r="F1654" s="961"/>
      <c r="G1654" s="962"/>
      <c r="H1654" s="963"/>
      <c r="I1654" s="958"/>
    </row>
    <row r="1655" spans="1:9" s="866" customFormat="1" ht="21.75" hidden="1" customHeight="1">
      <c r="A1655" s="949"/>
      <c r="B1655" s="949"/>
      <c r="C1655" s="950" t="s">
        <v>1708</v>
      </c>
      <c r="D1655" s="961" t="s">
        <v>113</v>
      </c>
      <c r="E1655" s="961">
        <v>11</v>
      </c>
      <c r="F1655" s="961">
        <f>F1637</f>
        <v>391.9</v>
      </c>
      <c r="G1655" s="962">
        <v>1</v>
      </c>
      <c r="H1655" s="949" t="s">
        <v>113</v>
      </c>
      <c r="I1655" s="955">
        <f>ROUND(E1655*F1655,2)</f>
        <v>4310.8999999999996</v>
      </c>
    </row>
    <row r="1656" spans="1:9" s="866" customFormat="1" ht="21.75" hidden="1" customHeight="1">
      <c r="A1656" s="949"/>
      <c r="B1656" s="949"/>
      <c r="C1656" s="950" t="s">
        <v>1675</v>
      </c>
      <c r="D1656" s="961" t="s">
        <v>117</v>
      </c>
      <c r="E1656" s="961">
        <v>0.12</v>
      </c>
      <c r="F1656" s="961">
        <f>F1641</f>
        <v>933.6</v>
      </c>
      <c r="G1656" s="962">
        <v>1</v>
      </c>
      <c r="H1656" s="949" t="s">
        <v>117</v>
      </c>
      <c r="I1656" s="955">
        <f>ROUND(E1656*F1656,2)</f>
        <v>112.03</v>
      </c>
    </row>
    <row r="1657" spans="1:9" s="866" customFormat="1" ht="21.75" hidden="1" customHeight="1">
      <c r="A1657" s="949"/>
      <c r="B1657" s="949"/>
      <c r="C1657" s="950" t="s">
        <v>1676</v>
      </c>
      <c r="D1657" s="961" t="s">
        <v>207</v>
      </c>
      <c r="E1657" s="961">
        <v>34.56</v>
      </c>
      <c r="F1657" s="961">
        <f>F1638</f>
        <v>4.8</v>
      </c>
      <c r="G1657" s="962">
        <v>1000</v>
      </c>
      <c r="H1657" s="949" t="s">
        <v>207</v>
      </c>
      <c r="I1657" s="955">
        <f>ROUND(E1657*F1657/G1657,2)</f>
        <v>0.17</v>
      </c>
    </row>
    <row r="1658" spans="1:9" s="866" customFormat="1" ht="21.75" hidden="1" customHeight="1">
      <c r="A1658" s="949"/>
      <c r="B1658" s="949"/>
      <c r="C1658" s="950" t="s">
        <v>380</v>
      </c>
      <c r="D1658" s="961" t="s">
        <v>207</v>
      </c>
      <c r="E1658" s="961">
        <v>33</v>
      </c>
      <c r="F1658" s="961">
        <f>F1657</f>
        <v>4.8</v>
      </c>
      <c r="G1658" s="962">
        <v>1000</v>
      </c>
      <c r="H1658" s="949" t="s">
        <v>207</v>
      </c>
      <c r="I1658" s="955">
        <f>ROUND(E1658*F1658/G1658,2)</f>
        <v>0.16</v>
      </c>
    </row>
    <row r="1659" spans="1:9" s="866" customFormat="1" ht="21.75" hidden="1" customHeight="1">
      <c r="A1659" s="949"/>
      <c r="B1659" s="949"/>
      <c r="C1659" s="950" t="s">
        <v>364</v>
      </c>
      <c r="D1659" s="961" t="s">
        <v>207</v>
      </c>
      <c r="E1659" s="961">
        <v>20</v>
      </c>
      <c r="F1659" s="961">
        <f>F1640</f>
        <v>4.8</v>
      </c>
      <c r="G1659" s="962">
        <v>1000</v>
      </c>
      <c r="H1659" s="949" t="s">
        <v>207</v>
      </c>
      <c r="I1659" s="955">
        <f>ROUND(E1659*F1659/G1659,2)</f>
        <v>0.1</v>
      </c>
    </row>
    <row r="1660" spans="1:9" s="866" customFormat="1" ht="21.75" hidden="1" customHeight="1">
      <c r="A1660" s="949"/>
      <c r="B1660" s="949"/>
      <c r="C1660" s="952" t="s">
        <v>1677</v>
      </c>
      <c r="D1660" s="961"/>
      <c r="E1660" s="961"/>
      <c r="F1660" s="961"/>
      <c r="G1660" s="962"/>
      <c r="H1660" s="963"/>
      <c r="I1660" s="958"/>
    </row>
    <row r="1661" spans="1:9" s="866" customFormat="1" ht="21.75" hidden="1" customHeight="1">
      <c r="A1661" s="949"/>
      <c r="B1661" s="949"/>
      <c r="C1661" s="950" t="s">
        <v>401</v>
      </c>
      <c r="D1661" s="961" t="s">
        <v>796</v>
      </c>
      <c r="E1661" s="953">
        <v>3.1</v>
      </c>
      <c r="F1661" s="961">
        <f>F1643</f>
        <v>500</v>
      </c>
      <c r="G1661" s="962">
        <v>1</v>
      </c>
      <c r="H1661" s="949" t="s">
        <v>183</v>
      </c>
      <c r="I1661" s="955">
        <f>ROUND(E1661*F1661/G1661,2)</f>
        <v>1550</v>
      </c>
    </row>
    <row r="1662" spans="1:9" s="866" customFormat="1" ht="21.75" hidden="1" customHeight="1">
      <c r="A1662" s="949"/>
      <c r="B1662" s="949"/>
      <c r="C1662" s="950" t="s">
        <v>402</v>
      </c>
      <c r="D1662" s="951" t="s">
        <v>217</v>
      </c>
      <c r="E1662" s="953">
        <v>1.1000000000000001</v>
      </c>
      <c r="F1662" s="961">
        <f>F1644</f>
        <v>460</v>
      </c>
      <c r="G1662" s="954">
        <v>1</v>
      </c>
      <c r="H1662" s="951" t="s">
        <v>183</v>
      </c>
      <c r="I1662" s="955">
        <f>ROUND(E1662*F1662/G1662,2)</f>
        <v>506</v>
      </c>
    </row>
    <row r="1663" spans="1:9" s="866" customFormat="1" ht="21.75" hidden="1" customHeight="1">
      <c r="A1663" s="949"/>
      <c r="B1663" s="949"/>
      <c r="C1663" s="950" t="s">
        <v>1678</v>
      </c>
      <c r="D1663" s="961" t="s">
        <v>796</v>
      </c>
      <c r="E1663" s="953">
        <v>0.86</v>
      </c>
      <c r="F1663" s="961">
        <f>F1645</f>
        <v>420</v>
      </c>
      <c r="G1663" s="962">
        <v>1</v>
      </c>
      <c r="H1663" s="949" t="s">
        <v>183</v>
      </c>
      <c r="I1663" s="955">
        <f>ROUND(E1663*F1663/G1663,2)</f>
        <v>361.2</v>
      </c>
    </row>
    <row r="1664" spans="1:9" s="866" customFormat="1" ht="21.75" hidden="1" customHeight="1">
      <c r="A1664" s="949"/>
      <c r="B1664" s="949"/>
      <c r="C1664" s="2018">
        <f>$C$3</f>
        <v>0</v>
      </c>
      <c r="D1664" s="2019"/>
      <c r="E1664" s="2019"/>
      <c r="F1664" s="2020"/>
      <c r="G1664" s="964"/>
      <c r="H1664" s="951"/>
      <c r="I1664" s="956">
        <f>ROUND(SUM(I1661:I1663)*$I$3,2)</f>
        <v>0</v>
      </c>
    </row>
    <row r="1665" spans="1:10" s="866" customFormat="1" ht="21.75" hidden="1" customHeight="1">
      <c r="A1665" s="949"/>
      <c r="B1665" s="949"/>
      <c r="C1665" s="950" t="s">
        <v>1679</v>
      </c>
      <c r="D1665" s="951"/>
      <c r="E1665" s="953">
        <v>0.01</v>
      </c>
      <c r="F1665" s="953">
        <f>SUM(I1661:I1663)</f>
        <v>2417.1999999999998</v>
      </c>
      <c r="G1665" s="954"/>
      <c r="H1665" s="951"/>
      <c r="I1665" s="955">
        <f>ROUND(E1665*F1665,2)</f>
        <v>24.17</v>
      </c>
    </row>
    <row r="1666" spans="1:10" s="866" customFormat="1" ht="21.75" hidden="1" customHeight="1">
      <c r="A1666" s="949"/>
      <c r="B1666" s="949"/>
      <c r="C1666" s="952" t="s">
        <v>1680</v>
      </c>
      <c r="D1666" s="961"/>
      <c r="E1666" s="961"/>
      <c r="F1666" s="961"/>
      <c r="G1666" s="962"/>
      <c r="H1666" s="949"/>
      <c r="I1666" s="1544">
        <f>SUM(I1655:I1665)</f>
        <v>6864.73</v>
      </c>
    </row>
    <row r="1667" spans="1:10" s="866" customFormat="1" ht="21.75" hidden="1" customHeight="1">
      <c r="A1667" s="949"/>
      <c r="B1667" s="949"/>
      <c r="C1667" s="952" t="s">
        <v>1681</v>
      </c>
      <c r="D1667" s="957"/>
      <c r="E1667" s="957"/>
      <c r="F1667" s="957"/>
      <c r="G1667" s="957"/>
      <c r="H1667" s="957"/>
      <c r="I1667" s="958">
        <f>I1666/10</f>
        <v>686.47299999999996</v>
      </c>
    </row>
    <row r="1668" spans="1:10" hidden="1"/>
    <row r="1669" spans="1:10" s="1144" customFormat="1" ht="38.25" hidden="1" customHeight="1">
      <c r="A1669" s="1313"/>
      <c r="B1669" s="1316">
        <v>39</v>
      </c>
      <c r="C1669" s="2021" t="s">
        <v>1772</v>
      </c>
      <c r="D1669" s="2021"/>
      <c r="E1669" s="2021"/>
      <c r="F1669" s="2021"/>
      <c r="G1669" s="2021"/>
      <c r="H1669" s="1317"/>
      <c r="I1669" s="1143"/>
      <c r="J1669" s="1143"/>
    </row>
    <row r="1670" spans="1:10" s="1144" customFormat="1" ht="18" hidden="1" customHeight="1">
      <c r="A1670" s="1313"/>
      <c r="B1670" s="1318"/>
      <c r="C1670" s="1319" t="s">
        <v>1773</v>
      </c>
      <c r="D1670" s="1320"/>
      <c r="E1670" s="1321"/>
      <c r="F1670" s="1320"/>
      <c r="G1670" s="1322"/>
      <c r="H1670" s="1323"/>
    </row>
    <row r="1671" spans="1:10" s="1145" customFormat="1" ht="18" hidden="1" customHeight="1">
      <c r="A1671" s="1314"/>
      <c r="B1671" s="1324"/>
      <c r="C1671" s="1319" t="s">
        <v>1774</v>
      </c>
      <c r="D1671" s="1320" t="s">
        <v>1556</v>
      </c>
      <c r="E1671" s="1325">
        <v>1</v>
      </c>
      <c r="F1671" s="1320">
        <v>420</v>
      </c>
      <c r="G1671" s="1322">
        <f>ROUND(E1671*F1671,2)</f>
        <v>420</v>
      </c>
      <c r="H1671" s="1326"/>
    </row>
    <row r="1672" spans="1:10" s="1146" customFormat="1" ht="18" hidden="1" customHeight="1">
      <c r="A1672" s="1315"/>
      <c r="B1672" s="1318"/>
      <c r="C1672" s="1327" t="s">
        <v>142</v>
      </c>
      <c r="D1672" s="1322"/>
      <c r="E1672" s="1322"/>
      <c r="F1672" s="1322"/>
      <c r="G1672" s="1328">
        <f>SUM(G1670:G1671)</f>
        <v>420</v>
      </c>
      <c r="H1672" s="1329"/>
    </row>
    <row r="1673" spans="1:10" s="1146" customFormat="1" ht="18" hidden="1" customHeight="1">
      <c r="A1673" s="1315"/>
      <c r="B1673" s="1318"/>
      <c r="C1673" s="1327" t="s">
        <v>1775</v>
      </c>
      <c r="D1673" s="1322"/>
      <c r="E1673" s="1322"/>
      <c r="F1673" s="1322"/>
      <c r="G1673" s="1328">
        <v>0</v>
      </c>
      <c r="H1673" s="1329"/>
    </row>
    <row r="1674" spans="1:10" s="1144" customFormat="1" ht="18" hidden="1" customHeight="1">
      <c r="A1674" s="1313"/>
      <c r="B1674" s="1318"/>
      <c r="C1674" s="1330" t="s">
        <v>1776</v>
      </c>
      <c r="D1674" s="1331"/>
      <c r="E1674" s="1332"/>
      <c r="F1674" s="1332"/>
      <c r="G1674" s="1333">
        <f>SUM(G1672:G1673)</f>
        <v>420</v>
      </c>
      <c r="H1674" s="1323"/>
    </row>
    <row r="1675" spans="1:10" s="1144" customFormat="1" ht="63.75" hidden="1" customHeight="1">
      <c r="A1675" s="1313"/>
      <c r="B1675" s="1316">
        <v>40</v>
      </c>
      <c r="C1675" s="2021" t="s">
        <v>1777</v>
      </c>
      <c r="D1675" s="2021"/>
      <c r="E1675" s="2021"/>
      <c r="F1675" s="2021"/>
      <c r="G1675" s="2021"/>
      <c r="H1675" s="1317"/>
      <c r="I1675" s="1143"/>
      <c r="J1675" s="1143"/>
    </row>
    <row r="1676" spans="1:10" s="1144" customFormat="1" ht="18" hidden="1" customHeight="1">
      <c r="A1676" s="1313"/>
      <c r="B1676" s="1318"/>
      <c r="C1676" s="1319" t="s">
        <v>1778</v>
      </c>
      <c r="D1676" s="1320"/>
      <c r="E1676" s="1321"/>
      <c r="F1676" s="1320"/>
      <c r="G1676" s="1322"/>
      <c r="H1676" s="1323"/>
    </row>
    <row r="1677" spans="1:10" s="1145" customFormat="1" ht="28.5" hidden="1" customHeight="1">
      <c r="A1677" s="1314"/>
      <c r="B1677" s="1324"/>
      <c r="C1677" s="1319" t="s">
        <v>1779</v>
      </c>
      <c r="D1677" s="1320" t="s">
        <v>113</v>
      </c>
      <c r="E1677" s="1325">
        <v>1</v>
      </c>
      <c r="F1677" s="1320">
        <v>760</v>
      </c>
      <c r="G1677" s="1322">
        <f>ROUND(E1677*F1677,2)</f>
        <v>760</v>
      </c>
      <c r="H1677" s="1326"/>
    </row>
    <row r="1678" spans="1:10" s="1146" customFormat="1" ht="18" hidden="1" customHeight="1">
      <c r="A1678" s="1315"/>
      <c r="B1678" s="1318"/>
      <c r="C1678" s="1327" t="s">
        <v>142</v>
      </c>
      <c r="D1678" s="1322"/>
      <c r="E1678" s="1322"/>
      <c r="F1678" s="1322"/>
      <c r="G1678" s="1328">
        <f>SUM(G1676:G1677)</f>
        <v>760</v>
      </c>
      <c r="H1678" s="1329"/>
    </row>
    <row r="1679" spans="1:10" s="1146" customFormat="1" ht="18" hidden="1" customHeight="1">
      <c r="A1679" s="1315"/>
      <c r="B1679" s="1318"/>
      <c r="C1679" s="1327" t="s">
        <v>1775</v>
      </c>
      <c r="D1679" s="1322"/>
      <c r="E1679" s="1322"/>
      <c r="F1679" s="1322"/>
      <c r="G1679" s="1328">
        <v>0</v>
      </c>
      <c r="H1679" s="1329"/>
    </row>
    <row r="1680" spans="1:10" s="1144" customFormat="1" ht="18" hidden="1" customHeight="1">
      <c r="A1680" s="1350"/>
      <c r="B1680" s="1349"/>
      <c r="C1680" s="1348" t="s">
        <v>1780</v>
      </c>
      <c r="D1680" s="1347"/>
      <c r="E1680" s="1346"/>
      <c r="F1680" s="1346"/>
      <c r="G1680" s="1351">
        <f>SUM(G1678:G1679)</f>
        <v>760</v>
      </c>
      <c r="H1680" s="1352"/>
    </row>
    <row r="1681" spans="1:9" s="1144" customFormat="1" ht="91.5" customHeight="1">
      <c r="A1681" s="1398"/>
      <c r="B1681" s="1316">
        <v>47</v>
      </c>
      <c r="C1681" s="2030" t="s">
        <v>1637</v>
      </c>
      <c r="D1681" s="2031"/>
      <c r="E1681" s="2031"/>
      <c r="F1681" s="2031"/>
      <c r="G1681" s="2031"/>
      <c r="H1681" s="2032"/>
      <c r="I1681" s="1317"/>
    </row>
    <row r="1682" spans="1:9" s="1144" customFormat="1" ht="11.5">
      <c r="A1682" s="1398"/>
      <c r="B1682" s="1318"/>
      <c r="C1682" s="1319" t="s">
        <v>1778</v>
      </c>
      <c r="D1682" s="1320"/>
      <c r="E1682" s="1321"/>
      <c r="F1682" s="1320"/>
      <c r="G1682" s="1322"/>
      <c r="H1682" s="1323"/>
      <c r="I1682" s="1323"/>
    </row>
    <row r="1683" spans="1:9" s="1145" customFormat="1" ht="11.5">
      <c r="A1683" s="1399"/>
      <c r="B1683" s="1324"/>
      <c r="C1683" s="1319" t="s">
        <v>1899</v>
      </c>
      <c r="D1683" s="1320" t="s">
        <v>113</v>
      </c>
      <c r="E1683" s="1325">
        <v>1</v>
      </c>
      <c r="F1683" s="1320">
        <v>3198</v>
      </c>
      <c r="G1683" s="1322">
        <f>ROUND(E1683*F1683,2)</f>
        <v>3198</v>
      </c>
      <c r="H1683" s="1326"/>
      <c r="I1683" s="1326"/>
    </row>
    <row r="1684" spans="1:9" s="1146" customFormat="1" ht="18" hidden="1" customHeight="1">
      <c r="A1684" s="1400"/>
      <c r="B1684" s="1318"/>
      <c r="C1684" s="1327" t="s">
        <v>142</v>
      </c>
      <c r="D1684" s="1322"/>
      <c r="E1684" s="1322"/>
      <c r="F1684" s="1322"/>
      <c r="G1684" s="1328">
        <f>SUM(G1682:G1683)</f>
        <v>3198</v>
      </c>
      <c r="H1684" s="1329"/>
      <c r="I1684" s="1329"/>
    </row>
    <row r="1685" spans="1:9" s="1146" customFormat="1" ht="18" hidden="1" customHeight="1">
      <c r="A1685" s="1400"/>
      <c r="B1685" s="1318"/>
      <c r="C1685" s="1327" t="s">
        <v>1775</v>
      </c>
      <c r="D1685" s="1322"/>
      <c r="E1685" s="1322"/>
      <c r="F1685" s="1322"/>
      <c r="G1685" s="1328">
        <v>0</v>
      </c>
      <c r="H1685" s="1329"/>
      <c r="I1685" s="1329"/>
    </row>
    <row r="1686" spans="1:9" s="1144" customFormat="1" ht="18" customHeight="1">
      <c r="A1686" s="1398"/>
      <c r="B1686" s="1318"/>
      <c r="C1686" s="1860" t="s">
        <v>1780</v>
      </c>
      <c r="D1686" s="1861"/>
      <c r="E1686" s="1862"/>
      <c r="F1686" s="1862"/>
      <c r="G1686" s="1863">
        <f>SUM(G1684:G1685)</f>
        <v>3198</v>
      </c>
      <c r="H1686" s="1323"/>
      <c r="I1686" s="1323"/>
    </row>
    <row r="1687" spans="1:9" s="1404" customFormat="1" ht="103.5" customHeight="1">
      <c r="A1687" s="1401"/>
      <c r="B1687" s="1402">
        <v>48</v>
      </c>
      <c r="C1687" s="2030" t="s">
        <v>1847</v>
      </c>
      <c r="D1687" s="2031"/>
      <c r="E1687" s="2031"/>
      <c r="F1687" s="2031"/>
      <c r="G1687" s="2031"/>
      <c r="H1687" s="2032"/>
      <c r="I1687" s="1403"/>
    </row>
    <row r="1688" spans="1:9" s="1404" customFormat="1">
      <c r="A1688" s="1401"/>
      <c r="B1688" s="1402"/>
      <c r="C1688" s="1405" t="s">
        <v>1848</v>
      </c>
      <c r="D1688" s="1406">
        <v>4.5999999999999996</v>
      </c>
      <c r="E1688" s="1405" t="s">
        <v>792</v>
      </c>
      <c r="F1688" s="1407"/>
      <c r="G1688" s="1407"/>
      <c r="H1688" s="1407"/>
      <c r="I1688" s="1407"/>
    </row>
    <row r="1689" spans="1:9" s="1404" customFormat="1" ht="12.5">
      <c r="A1689" s="1401"/>
      <c r="B1689" s="1402"/>
      <c r="C1689" s="1407" t="s">
        <v>1849</v>
      </c>
      <c r="D1689" s="1408">
        <f>1*4.6</f>
        <v>4.5999999999999996</v>
      </c>
      <c r="E1689" s="1409" t="s">
        <v>792</v>
      </c>
      <c r="F1689" s="1408"/>
      <c r="G1689" s="1410"/>
      <c r="H1689" s="1409"/>
      <c r="I1689" s="1411"/>
    </row>
    <row r="1690" spans="1:9" s="1404" customFormat="1" ht="15" customHeight="1">
      <c r="A1690" s="1401"/>
      <c r="B1690" s="1402"/>
      <c r="C1690" s="1407" t="s">
        <v>1850</v>
      </c>
      <c r="D1690" s="1408">
        <v>28.8</v>
      </c>
      <c r="E1690" s="1409" t="s">
        <v>792</v>
      </c>
      <c r="F1690" s="1408"/>
      <c r="G1690" s="1410"/>
      <c r="H1690" s="1409"/>
      <c r="I1690" s="1411"/>
    </row>
    <row r="1691" spans="1:9" s="1404" customFormat="1" ht="15" customHeight="1">
      <c r="A1691" s="1401"/>
      <c r="B1691" s="1402"/>
      <c r="C1691" s="1412" t="s">
        <v>1851</v>
      </c>
      <c r="D1691" s="1413">
        <f>ROUND(4.6*2.39,2)</f>
        <v>10.99</v>
      </c>
      <c r="E1691" s="1414" t="s">
        <v>207</v>
      </c>
      <c r="F1691" s="1413"/>
      <c r="G1691" s="1415"/>
      <c r="H1691" s="1414"/>
      <c r="I1691" s="1411"/>
    </row>
    <row r="1692" spans="1:9" s="1404" customFormat="1" ht="12.5">
      <c r="A1692" s="1401"/>
      <c r="B1692" s="1402"/>
      <c r="C1692" s="1412" t="s">
        <v>1852</v>
      </c>
      <c r="D1692" s="1413">
        <v>25.63</v>
      </c>
      <c r="E1692" s="1414" t="s">
        <v>207</v>
      </c>
      <c r="F1692" s="1408"/>
      <c r="G1692" s="1410"/>
      <c r="H1692" s="1409"/>
      <c r="I1692" s="1411"/>
    </row>
    <row r="1693" spans="1:9" s="1404" customFormat="1" ht="12.5">
      <c r="A1693" s="1401"/>
      <c r="B1693" s="1402"/>
      <c r="C1693" s="1416" t="s">
        <v>1900</v>
      </c>
      <c r="D1693" s="1417">
        <f>ROUND(SUM(D1691:D1692),2)</f>
        <v>36.619999999999997</v>
      </c>
      <c r="E1693" s="1418" t="s">
        <v>207</v>
      </c>
      <c r="F1693" s="1417">
        <v>331</v>
      </c>
      <c r="G1693" s="1545">
        <v>1</v>
      </c>
      <c r="H1693" s="1418" t="s">
        <v>182</v>
      </c>
      <c r="I1693" s="1411">
        <f t="shared" ref="I1693:I1698" si="54">IF(G1693="",D1693*F1693,(D1693*F1693/G1693))</f>
        <v>12121.22</v>
      </c>
    </row>
    <row r="1694" spans="1:9" s="1404" customFormat="1" ht="12.5">
      <c r="A1694" s="1401"/>
      <c r="B1694" s="1402"/>
      <c r="C1694" s="1416" t="s">
        <v>1901</v>
      </c>
      <c r="D1694" s="1417">
        <f>D1693</f>
        <v>36.619999999999997</v>
      </c>
      <c r="E1694" s="1418" t="s">
        <v>207</v>
      </c>
      <c r="F1694" s="1417">
        <v>131</v>
      </c>
      <c r="G1694" s="1545">
        <v>1</v>
      </c>
      <c r="H1694" s="1418" t="s">
        <v>182</v>
      </c>
      <c r="I1694" s="1411">
        <f t="shared" si="54"/>
        <v>4797.2199999999993</v>
      </c>
    </row>
    <row r="1695" spans="1:9" s="1404" customFormat="1" ht="12.5">
      <c r="A1695" s="1401"/>
      <c r="B1695" s="1402"/>
      <c r="C1695" s="1416" t="s">
        <v>1902</v>
      </c>
      <c r="D1695" s="1413">
        <v>3.2</v>
      </c>
      <c r="E1695" s="1419" t="s">
        <v>792</v>
      </c>
      <c r="F1695" s="1413">
        <v>136</v>
      </c>
      <c r="G1695" s="1415">
        <v>1</v>
      </c>
      <c r="H1695" s="1414" t="s">
        <v>792</v>
      </c>
      <c r="I1695" s="1411">
        <f t="shared" si="54"/>
        <v>435.20000000000005</v>
      </c>
    </row>
    <row r="1696" spans="1:9" s="1404" customFormat="1" ht="12.5">
      <c r="A1696" s="1401"/>
      <c r="B1696" s="1402"/>
      <c r="C1696" s="1407" t="s">
        <v>1853</v>
      </c>
      <c r="D1696" s="1410">
        <v>32</v>
      </c>
      <c r="E1696" s="1420" t="s">
        <v>796</v>
      </c>
      <c r="F1696" s="1408">
        <v>65</v>
      </c>
      <c r="G1696" s="1410">
        <v>1</v>
      </c>
      <c r="H1696" s="1409" t="s">
        <v>183</v>
      </c>
      <c r="I1696" s="1411">
        <f t="shared" si="54"/>
        <v>2080</v>
      </c>
    </row>
    <row r="1697" spans="1:9" s="1404" customFormat="1" ht="12.5">
      <c r="A1697" s="1401"/>
      <c r="B1697" s="1402"/>
      <c r="C1697" s="1416" t="s">
        <v>1854</v>
      </c>
      <c r="D1697" s="1415">
        <v>32</v>
      </c>
      <c r="E1697" s="1419" t="s">
        <v>796</v>
      </c>
      <c r="F1697" s="1408">
        <v>28</v>
      </c>
      <c r="G1697" s="1415">
        <v>1</v>
      </c>
      <c r="H1697" s="1414" t="s">
        <v>771</v>
      </c>
      <c r="I1697" s="1411">
        <f t="shared" si="54"/>
        <v>896</v>
      </c>
    </row>
    <row r="1698" spans="1:9" s="1404" customFormat="1" ht="12.5">
      <c r="A1698" s="1401"/>
      <c r="B1698" s="1402"/>
      <c r="C1698" s="1416" t="s">
        <v>1855</v>
      </c>
      <c r="D1698" s="1415">
        <v>32</v>
      </c>
      <c r="E1698" s="1419" t="s">
        <v>796</v>
      </c>
      <c r="F1698" s="1408">
        <v>12</v>
      </c>
      <c r="G1698" s="1415">
        <v>1</v>
      </c>
      <c r="H1698" s="1414" t="s">
        <v>771</v>
      </c>
      <c r="I1698" s="1411">
        <f t="shared" si="54"/>
        <v>384</v>
      </c>
    </row>
    <row r="1699" spans="1:9" s="1404" customFormat="1">
      <c r="A1699" s="1401"/>
      <c r="B1699" s="1402"/>
      <c r="C1699" s="1409"/>
      <c r="D1699" s="1408"/>
      <c r="E1699" s="1409"/>
      <c r="F1699" s="1408"/>
      <c r="G1699" s="1410"/>
      <c r="H1699" s="1409"/>
      <c r="I1699" s="1421">
        <f>SUM(I1693:I1698)</f>
        <v>20713.64</v>
      </c>
    </row>
    <row r="1700" spans="1:9" s="1404" customFormat="1">
      <c r="A1700" s="1401"/>
      <c r="B1700" s="1402"/>
      <c r="C1700" s="1407" t="s">
        <v>1856</v>
      </c>
      <c r="D1700" s="1408"/>
      <c r="E1700" s="1409"/>
      <c r="F1700" s="1408"/>
      <c r="G1700" s="1410"/>
      <c r="H1700" s="1409"/>
      <c r="I1700" s="1421">
        <f>I1699/D1688</f>
        <v>4502.9652173913046</v>
      </c>
    </row>
    <row r="1701" spans="1:9" s="1404" customFormat="1">
      <c r="A1701" s="1401"/>
      <c r="B1701" s="1402"/>
      <c r="C1701" s="1422" t="s">
        <v>1681</v>
      </c>
      <c r="D1701" s="1408"/>
      <c r="E1701" s="1409"/>
      <c r="F1701" s="1408"/>
      <c r="G1701" s="1410"/>
      <c r="H1701" s="1546"/>
      <c r="I1701" s="1421">
        <f>(I1700)/0.9</f>
        <v>5003.2946859903386</v>
      </c>
    </row>
    <row r="1702" spans="1:9" s="1404" customFormat="1" hidden="1">
      <c r="A1702" s="1401"/>
      <c r="B1702" s="1402"/>
      <c r="C1702" s="1422"/>
      <c r="D1702" s="1408"/>
      <c r="E1702" s="1409"/>
      <c r="F1702" s="1408"/>
      <c r="G1702" s="1410"/>
      <c r="H1702" s="1546"/>
      <c r="I1702" s="1421">
        <f>SUM(I1701:I1701)</f>
        <v>5003.2946859903386</v>
      </c>
    </row>
    <row r="1703" spans="1:9" s="1404" customFormat="1">
      <c r="A1703" s="1401"/>
      <c r="B1703" s="1402"/>
      <c r="C1703" s="1422"/>
      <c r="D1703" s="1408"/>
      <c r="E1703" s="1409"/>
      <c r="F1703" s="1408"/>
      <c r="G1703" s="1410"/>
      <c r="H1703" s="1546" t="s">
        <v>139</v>
      </c>
      <c r="I1703" s="1423">
        <f>ROUND(I1702,0)</f>
        <v>5003</v>
      </c>
    </row>
    <row r="1704" spans="1:9" ht="90.75" hidden="1" customHeight="1">
      <c r="A1704" s="1353"/>
      <c r="B1704" s="1354">
        <v>41</v>
      </c>
      <c r="C1704" s="2022" t="s">
        <v>1847</v>
      </c>
      <c r="D1704" s="2023"/>
      <c r="E1704" s="2023"/>
      <c r="F1704" s="2023"/>
      <c r="G1704" s="2023"/>
      <c r="H1704" s="2023"/>
      <c r="I1704" s="2023"/>
    </row>
    <row r="1705" spans="1:9" s="1361" customFormat="1" ht="14.25" hidden="1" customHeight="1">
      <c r="A1705" s="1356"/>
      <c r="B1705" s="1357"/>
      <c r="C1705" s="1358" t="s">
        <v>1848</v>
      </c>
      <c r="D1705" s="1359">
        <v>4.5999999999999996</v>
      </c>
      <c r="E1705" s="1358" t="s">
        <v>792</v>
      </c>
      <c r="F1705" s="1360"/>
      <c r="G1705" s="1360"/>
      <c r="H1705" s="1360"/>
      <c r="I1705" s="1360"/>
    </row>
    <row r="1706" spans="1:9" s="1361" customFormat="1" ht="14.25" hidden="1" customHeight="1">
      <c r="A1706" s="1356"/>
      <c r="B1706" s="1357"/>
      <c r="C1706" s="1360" t="s">
        <v>1849</v>
      </c>
      <c r="D1706" s="1362">
        <v>4.5999999999999996</v>
      </c>
      <c r="E1706" s="1357" t="s">
        <v>792</v>
      </c>
      <c r="F1706" s="1362"/>
      <c r="G1706" s="1363"/>
      <c r="H1706" s="1357"/>
      <c r="I1706" s="1547"/>
    </row>
    <row r="1707" spans="1:9" s="1361" customFormat="1" ht="14.25" hidden="1" customHeight="1">
      <c r="A1707" s="1356"/>
      <c r="B1707" s="1357"/>
      <c r="C1707" s="1360" t="s">
        <v>1850</v>
      </c>
      <c r="D1707" s="1362">
        <v>28.8</v>
      </c>
      <c r="E1707" s="1357" t="s">
        <v>792</v>
      </c>
      <c r="F1707" s="1362"/>
      <c r="G1707" s="1363"/>
      <c r="H1707" s="1357"/>
      <c r="I1707" s="1547"/>
    </row>
    <row r="1708" spans="1:9" s="1361" customFormat="1" ht="21.75" hidden="1" customHeight="1">
      <c r="A1708" s="1356"/>
      <c r="B1708" s="1357"/>
      <c r="C1708" s="1364" t="s">
        <v>1851</v>
      </c>
      <c r="D1708" s="1365">
        <v>10.99</v>
      </c>
      <c r="E1708" s="1355" t="s">
        <v>207</v>
      </c>
      <c r="F1708" s="1365"/>
      <c r="G1708" s="1366"/>
      <c r="H1708" s="1355"/>
      <c r="I1708" s="1547"/>
    </row>
    <row r="1709" spans="1:9" s="1361" customFormat="1" ht="14.25" hidden="1" customHeight="1">
      <c r="A1709" s="1356"/>
      <c r="B1709" s="1357"/>
      <c r="C1709" s="1364" t="s">
        <v>1852</v>
      </c>
      <c r="D1709" s="1365">
        <v>25.63</v>
      </c>
      <c r="E1709" s="1355" t="s">
        <v>207</v>
      </c>
      <c r="F1709" s="1362"/>
      <c r="G1709" s="1363"/>
      <c r="H1709" s="1357"/>
      <c r="I1709" s="1547"/>
    </row>
    <row r="1710" spans="1:9" s="1361" customFormat="1" ht="24.75" hidden="1" customHeight="1">
      <c r="A1710" s="1356"/>
      <c r="B1710" s="1357"/>
      <c r="C1710" s="1488" t="s">
        <v>1857</v>
      </c>
      <c r="D1710" s="1365">
        <v>36.619999999999997</v>
      </c>
      <c r="E1710" s="1355" t="s">
        <v>207</v>
      </c>
      <c r="F1710" s="1365">
        <v>331</v>
      </c>
      <c r="G1710" s="1366">
        <v>1</v>
      </c>
      <c r="H1710" s="1355" t="s">
        <v>182</v>
      </c>
      <c r="I1710" s="1547">
        <f t="shared" ref="I1710:I1715" si="55">ROUND(D1710*F1710/G1710,2)</f>
        <v>12121.22</v>
      </c>
    </row>
    <row r="1711" spans="1:9" s="1361" customFormat="1" ht="20.25" hidden="1" customHeight="1">
      <c r="A1711" s="1356"/>
      <c r="B1711" s="1357"/>
      <c r="C1711" s="1367" t="s">
        <v>1858</v>
      </c>
      <c r="D1711" s="1365">
        <v>36.619999999999997</v>
      </c>
      <c r="E1711" s="1355" t="s">
        <v>207</v>
      </c>
      <c r="F1711" s="1365">
        <v>131</v>
      </c>
      <c r="G1711" s="1366">
        <v>1</v>
      </c>
      <c r="H1711" s="1355" t="s">
        <v>182</v>
      </c>
      <c r="I1711" s="1547">
        <f t="shared" si="55"/>
        <v>4797.22</v>
      </c>
    </row>
    <row r="1712" spans="1:9" s="1361" customFormat="1" ht="22.5" hidden="1" customHeight="1">
      <c r="A1712" s="1356"/>
      <c r="B1712" s="1357"/>
      <c r="C1712" s="1367" t="s">
        <v>1859</v>
      </c>
      <c r="D1712" s="1365">
        <v>3.2</v>
      </c>
      <c r="E1712" s="1355" t="s">
        <v>792</v>
      </c>
      <c r="F1712" s="1365">
        <v>136</v>
      </c>
      <c r="G1712" s="1366">
        <v>1</v>
      </c>
      <c r="H1712" s="1355" t="s">
        <v>792</v>
      </c>
      <c r="I1712" s="1547">
        <f t="shared" si="55"/>
        <v>435.2</v>
      </c>
    </row>
    <row r="1713" spans="1:9" s="1361" customFormat="1" ht="14.25" hidden="1" customHeight="1">
      <c r="A1713" s="1356"/>
      <c r="B1713" s="1357"/>
      <c r="C1713" s="1360" t="s">
        <v>1853</v>
      </c>
      <c r="D1713" s="1363">
        <v>32</v>
      </c>
      <c r="E1713" s="1368" t="s">
        <v>796</v>
      </c>
      <c r="F1713" s="1362">
        <v>65</v>
      </c>
      <c r="G1713" s="1363">
        <v>1</v>
      </c>
      <c r="H1713" s="1357" t="s">
        <v>183</v>
      </c>
      <c r="I1713" s="1547">
        <f t="shared" si="55"/>
        <v>2080</v>
      </c>
    </row>
    <row r="1714" spans="1:9" s="1361" customFormat="1" ht="14.25" hidden="1" customHeight="1">
      <c r="A1714" s="1356"/>
      <c r="B1714" s="1357"/>
      <c r="C1714" s="1367" t="s">
        <v>1854</v>
      </c>
      <c r="D1714" s="1366">
        <v>32</v>
      </c>
      <c r="E1714" s="1355" t="s">
        <v>796</v>
      </c>
      <c r="F1714" s="1362">
        <v>28</v>
      </c>
      <c r="G1714" s="1366">
        <v>1</v>
      </c>
      <c r="H1714" s="1355" t="s">
        <v>771</v>
      </c>
      <c r="I1714" s="1547">
        <f t="shared" si="55"/>
        <v>896</v>
      </c>
    </row>
    <row r="1715" spans="1:9" s="1361" customFormat="1" ht="14.25" hidden="1" customHeight="1">
      <c r="A1715" s="1356"/>
      <c r="B1715" s="1357"/>
      <c r="C1715" s="1367" t="s">
        <v>1855</v>
      </c>
      <c r="D1715" s="1366">
        <v>32</v>
      </c>
      <c r="E1715" s="1355" t="s">
        <v>796</v>
      </c>
      <c r="F1715" s="1362">
        <v>12</v>
      </c>
      <c r="G1715" s="1366">
        <v>1</v>
      </c>
      <c r="H1715" s="1355" t="s">
        <v>771</v>
      </c>
      <c r="I1715" s="1547">
        <f t="shared" si="55"/>
        <v>384</v>
      </c>
    </row>
    <row r="1716" spans="1:9" s="1361" customFormat="1" ht="14.25" hidden="1" customHeight="1">
      <c r="A1716" s="1356"/>
      <c r="B1716" s="1357"/>
      <c r="C1716" s="1357"/>
      <c r="D1716" s="1362"/>
      <c r="E1716" s="1357"/>
      <c r="F1716" s="1362"/>
      <c r="G1716" s="1363"/>
      <c r="H1716" s="1357"/>
      <c r="I1716" s="1548">
        <f>SUM(I1710:I1715)</f>
        <v>20713.64</v>
      </c>
    </row>
    <row r="1717" spans="1:9" s="1361" customFormat="1" ht="14.25" hidden="1" customHeight="1">
      <c r="A1717" s="1356"/>
      <c r="B1717" s="1357"/>
      <c r="C1717" s="1360" t="s">
        <v>1856</v>
      </c>
      <c r="D1717" s="1362"/>
      <c r="E1717" s="1357"/>
      <c r="F1717" s="1362"/>
      <c r="G1717" s="1363"/>
      <c r="H1717" s="1357"/>
      <c r="I1717" s="1548">
        <f>ROUND(I1716/D1705,2)</f>
        <v>4502.97</v>
      </c>
    </row>
    <row r="1718" spans="1:9" s="1361" customFormat="1" ht="14.25" hidden="1" customHeight="1">
      <c r="A1718" s="1356"/>
      <c r="B1718" s="1357"/>
      <c r="C1718" s="1369" t="s">
        <v>1681</v>
      </c>
      <c r="D1718" s="1362"/>
      <c r="E1718" s="1357"/>
      <c r="F1718" s="1362"/>
      <c r="G1718" s="1363"/>
      <c r="H1718" s="1370"/>
      <c r="I1718" s="1548">
        <f>I1717/0.9</f>
        <v>5003.3</v>
      </c>
    </row>
    <row r="1719" spans="1:9" s="1426" customFormat="1" ht="142.5" hidden="1" customHeight="1">
      <c r="A1719" s="1424">
        <f>A1684+1</f>
        <v>1</v>
      </c>
      <c r="B1719" s="1425"/>
      <c r="C1719" s="2017" t="s">
        <v>1903</v>
      </c>
      <c r="D1719" s="2017"/>
      <c r="E1719" s="2017"/>
      <c r="F1719" s="2017"/>
      <c r="G1719" s="2017"/>
      <c r="H1719" s="2017"/>
      <c r="I1719" s="2017"/>
    </row>
    <row r="1720" spans="1:9" s="1426" customFormat="1" ht="14" hidden="1">
      <c r="A1720" s="1424"/>
      <c r="B1720" s="1425"/>
      <c r="C1720" s="1409" t="s">
        <v>1904</v>
      </c>
      <c r="D1720" s="1427"/>
      <c r="E1720" s="1427"/>
      <c r="F1720" s="1427"/>
      <c r="G1720" s="1427"/>
      <c r="H1720" s="1427"/>
      <c r="I1720" s="1427"/>
    </row>
    <row r="1721" spans="1:9" s="1426" customFormat="1" hidden="1">
      <c r="A1721" s="1424"/>
      <c r="B1721" s="1425"/>
      <c r="C1721" s="1405" t="s">
        <v>24</v>
      </c>
      <c r="D1721" s="1408"/>
      <c r="E1721" s="1409"/>
      <c r="F1721" s="1408"/>
      <c r="G1721" s="1410"/>
      <c r="H1721" s="1428"/>
      <c r="I1721" s="1411"/>
    </row>
    <row r="1722" spans="1:9" s="1426" customFormat="1" ht="12.5" hidden="1">
      <c r="A1722" s="1424"/>
      <c r="B1722" s="1425"/>
      <c r="C1722" s="1407" t="s">
        <v>1905</v>
      </c>
      <c r="D1722" s="1408">
        <v>10.5</v>
      </c>
      <c r="E1722" s="1409" t="s">
        <v>113</v>
      </c>
      <c r="F1722" s="1408">
        <v>760</v>
      </c>
      <c r="G1722" s="1410">
        <v>1</v>
      </c>
      <c r="H1722" s="1428" t="s">
        <v>113</v>
      </c>
      <c r="I1722" s="1417">
        <v>7980</v>
      </c>
    </row>
    <row r="1723" spans="1:9" s="1426" customFormat="1" ht="25" hidden="1">
      <c r="A1723" s="1424"/>
      <c r="B1723" s="1425"/>
      <c r="C1723" s="1407" t="s">
        <v>1906</v>
      </c>
      <c r="D1723" s="1409">
        <v>47.91</v>
      </c>
      <c r="E1723" s="1409" t="s">
        <v>796</v>
      </c>
      <c r="F1723" s="1408">
        <v>5</v>
      </c>
      <c r="G1723" s="1410">
        <v>1</v>
      </c>
      <c r="H1723" s="1428" t="s">
        <v>667</v>
      </c>
      <c r="I1723" s="1417">
        <v>239.54999999999998</v>
      </c>
    </row>
    <row r="1724" spans="1:9" s="1426" customFormat="1" ht="50" hidden="1">
      <c r="A1724" s="1424"/>
      <c r="B1724" s="1425"/>
      <c r="C1724" s="1407" t="s">
        <v>1907</v>
      </c>
      <c r="D1724" s="1408">
        <v>43.9</v>
      </c>
      <c r="E1724" s="1409" t="s">
        <v>796</v>
      </c>
      <c r="F1724" s="1408">
        <v>9</v>
      </c>
      <c r="G1724" s="1410">
        <v>1</v>
      </c>
      <c r="H1724" s="1428" t="s">
        <v>667</v>
      </c>
      <c r="I1724" s="1417">
        <v>395.09999999999997</v>
      </c>
    </row>
    <row r="1725" spans="1:9" s="1426" customFormat="1" ht="25" hidden="1">
      <c r="A1725" s="1424"/>
      <c r="B1725" s="1425"/>
      <c r="C1725" s="1407" t="s">
        <v>1908</v>
      </c>
      <c r="D1725" s="1408">
        <v>91.82</v>
      </c>
      <c r="E1725" s="1409" t="s">
        <v>796</v>
      </c>
      <c r="F1725" s="1408">
        <v>2</v>
      </c>
      <c r="G1725" s="1410">
        <v>1</v>
      </c>
      <c r="H1725" s="1428" t="s">
        <v>667</v>
      </c>
      <c r="I1725" s="1417">
        <v>183.64</v>
      </c>
    </row>
    <row r="1726" spans="1:9" s="1426" customFormat="1" ht="12.5" hidden="1">
      <c r="A1726" s="1424"/>
      <c r="B1726" s="1425"/>
      <c r="C1726" s="1407" t="s">
        <v>1909</v>
      </c>
      <c r="D1726" s="1408">
        <v>91.82</v>
      </c>
      <c r="E1726" s="1409" t="s">
        <v>796</v>
      </c>
      <c r="F1726" s="1408">
        <v>2</v>
      </c>
      <c r="G1726" s="1410">
        <v>1</v>
      </c>
      <c r="H1726" s="1428" t="s">
        <v>667</v>
      </c>
      <c r="I1726" s="1417">
        <v>183.64</v>
      </c>
    </row>
    <row r="1727" spans="1:9" s="1426" customFormat="1" hidden="1">
      <c r="A1727" s="1424"/>
      <c r="B1727" s="1425"/>
      <c r="C1727" s="1405" t="s">
        <v>128</v>
      </c>
      <c r="D1727" s="1408"/>
      <c r="E1727" s="1409"/>
      <c r="F1727" s="1408"/>
      <c r="G1727" s="1410"/>
      <c r="H1727" s="1428"/>
      <c r="I1727" s="1411"/>
    </row>
    <row r="1728" spans="1:9" s="1426" customFormat="1" ht="12.5" hidden="1">
      <c r="A1728" s="1424"/>
      <c r="B1728" s="1425"/>
      <c r="C1728" s="1407" t="s">
        <v>1910</v>
      </c>
      <c r="D1728" s="1408"/>
      <c r="E1728" s="1409"/>
      <c r="F1728" s="1408"/>
      <c r="G1728" s="1410"/>
      <c r="H1728" s="1428"/>
      <c r="I1728" s="1411"/>
    </row>
    <row r="1729" spans="1:9" s="1426" customFormat="1" ht="12.5" hidden="1">
      <c r="A1729" s="1424"/>
      <c r="B1729" s="1425"/>
      <c r="C1729" s="1407" t="s">
        <v>1911</v>
      </c>
      <c r="D1729" s="1408">
        <v>0.84</v>
      </c>
      <c r="E1729" s="1409" t="s">
        <v>796</v>
      </c>
      <c r="F1729" s="1408">
        <v>460</v>
      </c>
      <c r="G1729" s="1410">
        <v>1</v>
      </c>
      <c r="H1729" s="1428" t="s">
        <v>667</v>
      </c>
      <c r="I1729" s="1417">
        <v>386.4</v>
      </c>
    </row>
    <row r="1730" spans="1:9" s="1426" customFormat="1" ht="12.5" hidden="1">
      <c r="A1730" s="1424"/>
      <c r="B1730" s="1425"/>
      <c r="C1730" s="1407" t="s">
        <v>1912</v>
      </c>
      <c r="D1730" s="1408">
        <v>0.91</v>
      </c>
      <c r="E1730" s="1409" t="s">
        <v>796</v>
      </c>
      <c r="F1730" s="1408">
        <v>420</v>
      </c>
      <c r="G1730" s="1410">
        <v>1</v>
      </c>
      <c r="H1730" s="1428" t="s">
        <v>667</v>
      </c>
      <c r="I1730" s="1417">
        <v>382.2</v>
      </c>
    </row>
    <row r="1731" spans="1:9" s="1426" customFormat="1" hidden="1">
      <c r="A1731" s="1424"/>
      <c r="B1731" s="1425"/>
      <c r="C1731" s="1429" t="s">
        <v>1913</v>
      </c>
      <c r="D1731" s="1408"/>
      <c r="E1731" s="1409"/>
      <c r="F1731" s="1408"/>
      <c r="G1731" s="1410"/>
      <c r="H1731" s="1428"/>
      <c r="I1731" s="1411">
        <v>9750.5299999999988</v>
      </c>
    </row>
    <row r="1732" spans="1:9" s="1426" customFormat="1" hidden="1">
      <c r="A1732" s="1424"/>
      <c r="B1732" s="1425"/>
      <c r="C1732" s="1429" t="s">
        <v>1914</v>
      </c>
      <c r="D1732" s="1408"/>
      <c r="E1732" s="1409"/>
      <c r="F1732" s="1408"/>
      <c r="G1732" s="1410"/>
      <c r="H1732" s="1428"/>
      <c r="I1732" s="1411">
        <v>975.05299999999988</v>
      </c>
    </row>
    <row r="1733" spans="1:9" s="1426" customFormat="1" ht="12.5" hidden="1">
      <c r="A1733" s="1424"/>
      <c r="B1733" s="1425"/>
      <c r="C1733" s="1407"/>
      <c r="D1733" s="1408"/>
      <c r="E1733" s="1409"/>
      <c r="F1733" s="1408"/>
      <c r="G1733" s="1410"/>
      <c r="H1733" s="1428"/>
      <c r="I1733" s="1417"/>
    </row>
    <row r="1734" spans="1:9" s="1426" customFormat="1" hidden="1">
      <c r="A1734" s="1424"/>
      <c r="B1734" s="1425"/>
      <c r="C1734" s="1429" t="s">
        <v>1914</v>
      </c>
      <c r="D1734" s="1408"/>
      <c r="E1734" s="1409"/>
      <c r="F1734" s="1408"/>
      <c r="G1734" s="1410"/>
      <c r="H1734" s="1428"/>
      <c r="I1734" s="1411">
        <v>975.05299999999988</v>
      </c>
    </row>
    <row r="1735" spans="1:9" s="1426" customFormat="1" hidden="1">
      <c r="A1735" s="1424"/>
      <c r="B1735" s="1425"/>
      <c r="C1735" s="1407"/>
      <c r="D1735" s="1408"/>
      <c r="E1735" s="1409"/>
      <c r="F1735" s="1408"/>
      <c r="G1735" s="1410"/>
      <c r="H1735" s="1430" t="s">
        <v>139</v>
      </c>
      <c r="I1735" s="1549">
        <v>975</v>
      </c>
    </row>
    <row r="1736" spans="1:9" s="1832" customFormat="1" ht="119.25" customHeight="1">
      <c r="A1736" s="1874" t="s">
        <v>2169</v>
      </c>
      <c r="B1736" s="1875">
        <v>49</v>
      </c>
      <c r="C1736" s="2030" t="s">
        <v>2168</v>
      </c>
      <c r="D1736" s="2031"/>
      <c r="E1736" s="2031"/>
      <c r="F1736" s="2031"/>
      <c r="G1736" s="2031"/>
      <c r="H1736" s="2032"/>
      <c r="I1736" s="1408"/>
    </row>
    <row r="1737" spans="1:9" s="1832" customFormat="1">
      <c r="A1737" s="1422"/>
      <c r="B1737" s="1408"/>
      <c r="C1737" s="1409" t="s">
        <v>1700</v>
      </c>
      <c r="D1737" s="1408"/>
      <c r="E1737" s="1410"/>
      <c r="F1737" s="1422"/>
      <c r="G1737" s="1408"/>
      <c r="H1737" s="1409"/>
      <c r="I1737" s="1408"/>
    </row>
    <row r="1738" spans="1:9" s="1832" customFormat="1">
      <c r="A1738" s="1422"/>
      <c r="B1738" s="1408"/>
      <c r="C1738" s="1409" t="s">
        <v>24</v>
      </c>
      <c r="D1738" s="1408"/>
      <c r="E1738" s="1410"/>
      <c r="F1738" s="1422"/>
      <c r="G1738" s="1408"/>
      <c r="H1738" s="1409"/>
      <c r="I1738" s="1408"/>
    </row>
    <row r="1739" spans="1:9" s="1832" customFormat="1">
      <c r="A1739" s="1422"/>
      <c r="B1739" s="1408"/>
      <c r="C1739" s="1409" t="s">
        <v>2170</v>
      </c>
      <c r="D1739" s="1408">
        <v>10.5</v>
      </c>
      <c r="E1739" s="1410" t="s">
        <v>184</v>
      </c>
      <c r="F1739" s="1906">
        <v>1991</v>
      </c>
      <c r="G1739" s="1408">
        <v>1</v>
      </c>
      <c r="H1739" s="1409" t="s">
        <v>184</v>
      </c>
      <c r="I1739" s="1408">
        <f>IF(G1739="",D1739*F1739,(D1739*F1739/G1739))</f>
        <v>20905.5</v>
      </c>
    </row>
    <row r="1740" spans="1:9" s="1832" customFormat="1">
      <c r="A1740" s="1422"/>
      <c r="B1740" s="1408"/>
      <c r="C1740" s="1409" t="s">
        <v>2171</v>
      </c>
      <c r="D1740" s="1408">
        <v>36</v>
      </c>
      <c r="E1740" s="1410" t="s">
        <v>207</v>
      </c>
      <c r="F1740" s="1906">
        <v>4700</v>
      </c>
      <c r="G1740" s="1408">
        <v>1000</v>
      </c>
      <c r="H1740" s="1409" t="s">
        <v>207</v>
      </c>
      <c r="I1740" s="1408">
        <f>IF(G1740="",D1740*F1740,(D1740*F1740/G1740))</f>
        <v>169.2</v>
      </c>
    </row>
    <row r="1741" spans="1:9" s="1832" customFormat="1">
      <c r="A1741" s="1422"/>
      <c r="B1741" s="1408"/>
      <c r="C1741" s="1409" t="s">
        <v>380</v>
      </c>
      <c r="D1741" s="1408">
        <v>33</v>
      </c>
      <c r="E1741" s="1410" t="s">
        <v>207</v>
      </c>
      <c r="F1741" s="1906">
        <v>4700</v>
      </c>
      <c r="G1741" s="1408">
        <v>1000</v>
      </c>
      <c r="H1741" s="1409" t="s">
        <v>207</v>
      </c>
      <c r="I1741" s="1408">
        <f>IF(G1741="",D1741*F1741,(D1741*F1741/G1741))</f>
        <v>155.1</v>
      </c>
    </row>
    <row r="1742" spans="1:9" s="1832" customFormat="1">
      <c r="A1742" s="1422"/>
      <c r="B1742" s="1408"/>
      <c r="C1742" s="1409" t="s">
        <v>2172</v>
      </c>
      <c r="D1742" s="1408">
        <v>6</v>
      </c>
      <c r="E1742" s="1410" t="s">
        <v>207</v>
      </c>
      <c r="F1742" s="1906">
        <v>27</v>
      </c>
      <c r="G1742" s="1408">
        <v>1</v>
      </c>
      <c r="H1742" s="1409" t="s">
        <v>182</v>
      </c>
      <c r="I1742" s="1408">
        <f>IF(G1742="",D1742*F1742,(D1742*F1742/G1742))</f>
        <v>162</v>
      </c>
    </row>
    <row r="1743" spans="1:9" s="1832" customFormat="1">
      <c r="A1743" s="1422"/>
      <c r="B1743" s="1408"/>
      <c r="C1743" s="1409" t="s">
        <v>1703</v>
      </c>
      <c r="D1743" s="1408">
        <v>0.2</v>
      </c>
      <c r="E1743" s="1410" t="s">
        <v>181</v>
      </c>
      <c r="F1743" s="1906">
        <f>'Lead statement (2)'!J8</f>
        <v>1013.6</v>
      </c>
      <c r="G1743" s="1408">
        <v>1</v>
      </c>
      <c r="H1743" s="1409" t="s">
        <v>181</v>
      </c>
      <c r="I1743" s="1408">
        <f>IF(G1743="",D1743*F1743,(D1743*F1743/G1743))</f>
        <v>202.72000000000003</v>
      </c>
    </row>
    <row r="1744" spans="1:9" s="1832" customFormat="1">
      <c r="A1744" s="1422"/>
      <c r="B1744" s="1408"/>
      <c r="C1744" s="1409" t="s">
        <v>1704</v>
      </c>
      <c r="D1744" s="1408"/>
      <c r="E1744" s="1410"/>
      <c r="F1744" s="1906"/>
      <c r="G1744" s="1408"/>
      <c r="H1744" s="1409"/>
      <c r="I1744" s="1408"/>
    </row>
    <row r="1745" spans="1:9" s="1832" customFormat="1">
      <c r="A1745" s="1422"/>
      <c r="B1745" s="1408"/>
      <c r="C1745" s="1409" t="s">
        <v>401</v>
      </c>
      <c r="D1745" s="1408">
        <v>3</v>
      </c>
      <c r="E1745" s="1410" t="s">
        <v>217</v>
      </c>
      <c r="F1745" s="1906">
        <v>500</v>
      </c>
      <c r="G1745" s="1408">
        <v>1</v>
      </c>
      <c r="H1745" s="1409" t="s">
        <v>183</v>
      </c>
      <c r="I1745" s="1408">
        <f>IF(G1745="",D1745*F1745,(D1745*F1745/G1745))</f>
        <v>1500</v>
      </c>
    </row>
    <row r="1746" spans="1:9" s="1832" customFormat="1">
      <c r="A1746" s="1422"/>
      <c r="B1746" s="1408"/>
      <c r="C1746" s="1409" t="s">
        <v>402</v>
      </c>
      <c r="D1746" s="1408">
        <v>1</v>
      </c>
      <c r="E1746" s="1410" t="s">
        <v>217</v>
      </c>
      <c r="F1746" s="1906">
        <v>460</v>
      </c>
      <c r="G1746" s="1408">
        <v>1</v>
      </c>
      <c r="H1746" s="1409" t="s">
        <v>183</v>
      </c>
      <c r="I1746" s="1408">
        <f>IF(G1746="",D1746*F1746,(D1746*F1746/G1746))</f>
        <v>460</v>
      </c>
    </row>
    <row r="1747" spans="1:9" s="1832" customFormat="1">
      <c r="A1747" s="1422"/>
      <c r="B1747" s="1408"/>
      <c r="C1747" s="1409" t="s">
        <v>1705</v>
      </c>
      <c r="D1747" s="1408">
        <v>8</v>
      </c>
      <c r="E1747" s="1410" t="s">
        <v>217</v>
      </c>
      <c r="F1747" s="1906">
        <v>420</v>
      </c>
      <c r="G1747" s="1408">
        <v>1</v>
      </c>
      <c r="H1747" s="1409" t="s">
        <v>183</v>
      </c>
      <c r="I1747" s="1408">
        <f>IF(G1747="",D1747*F1747,(D1747*F1747/G1747))</f>
        <v>3360</v>
      </c>
    </row>
    <row r="1748" spans="1:9" s="1832" customFormat="1">
      <c r="A1748" s="1422"/>
      <c r="B1748" s="1408"/>
      <c r="C1748" s="1409" t="str">
        <f>[128]Input!$C$36</f>
        <v>Add for MA @ 25%</v>
      </c>
      <c r="D1748" s="1408">
        <v>0</v>
      </c>
      <c r="E1748" s="1410"/>
      <c r="F1748" s="1906">
        <f>SUM(I1745:I1747)</f>
        <v>5320</v>
      </c>
      <c r="G1748" s="1408"/>
      <c r="H1748" s="1409"/>
      <c r="I1748" s="1408">
        <f>IF(G1748="",D1748*F1748,(D1748*F1748/G1748))</f>
        <v>0</v>
      </c>
    </row>
    <row r="1749" spans="1:9" s="1832" customFormat="1">
      <c r="A1749" s="1422"/>
      <c r="B1749" s="1408"/>
      <c r="C1749" s="1409" t="s">
        <v>1679</v>
      </c>
      <c r="D1749" s="1408">
        <v>0.01</v>
      </c>
      <c r="E1749" s="1410"/>
      <c r="F1749" s="1906">
        <f>SUM(I1739:I1748)</f>
        <v>26914.52</v>
      </c>
      <c r="G1749" s="1408"/>
      <c r="H1749" s="1409"/>
      <c r="I1749" s="1408">
        <f>IF(G1749="",D1749*F1749,(D1749*F1749/G1749))</f>
        <v>269.14519999999999</v>
      </c>
    </row>
    <row r="1750" spans="1:9" s="1832" customFormat="1">
      <c r="A1750" s="1422"/>
      <c r="B1750" s="1408"/>
      <c r="C1750" s="1409" t="s">
        <v>2173</v>
      </c>
      <c r="D1750" s="1408"/>
      <c r="E1750" s="1410"/>
      <c r="F1750" s="1422"/>
      <c r="G1750" s="1408"/>
      <c r="H1750" s="1409"/>
      <c r="I1750" s="1408">
        <f>SUM(I1739:I1749)</f>
        <v>27183.665199999999</v>
      </c>
    </row>
    <row r="1751" spans="1:9" s="1832" customFormat="1">
      <c r="A1751" s="1422"/>
      <c r="B1751" s="1408"/>
      <c r="C1751" s="1409" t="s">
        <v>1681</v>
      </c>
      <c r="D1751" s="1408"/>
      <c r="E1751" s="1410"/>
      <c r="F1751" s="1422"/>
      <c r="G1751" s="1408"/>
      <c r="H1751" s="1409"/>
      <c r="I1751" s="1421">
        <f>ROUND(I1750/10,2)</f>
        <v>2718.37</v>
      </c>
    </row>
    <row r="1752" spans="1:9" s="1832" customFormat="1" hidden="1">
      <c r="A1752" s="1831"/>
      <c r="B1752" s="1831"/>
      <c r="C1752" s="1834" t="s">
        <v>2174</v>
      </c>
      <c r="D1752" s="1835" t="s">
        <v>611</v>
      </c>
      <c r="E1752" s="1836" t="s">
        <v>614</v>
      </c>
      <c r="F1752" s="1837"/>
      <c r="G1752" s="1835"/>
      <c r="H1752" s="1835"/>
      <c r="I1752" s="1835"/>
    </row>
    <row r="1753" spans="1:9" s="1832" customFormat="1" ht="12.5" hidden="1">
      <c r="A1753" s="1831"/>
      <c r="B1753" s="1831"/>
      <c r="C1753" s="1833" t="s">
        <v>2175</v>
      </c>
      <c r="D1753" s="1838">
        <f>I1750</f>
        <v>27183.665199999999</v>
      </c>
      <c r="E1753" s="1838">
        <f>I1750</f>
        <v>27183.665199999999</v>
      </c>
      <c r="F1753" s="1838"/>
      <c r="G1753" s="1838"/>
      <c r="H1753" s="1838"/>
      <c r="I1753" s="1838"/>
    </row>
    <row r="1754" spans="1:9" s="1832" customFormat="1" ht="12.5" hidden="1">
      <c r="A1754" s="1831"/>
      <c r="B1754" s="1831"/>
      <c r="C1754" s="1833" t="s">
        <v>2176</v>
      </c>
      <c r="D1754" s="1838">
        <v>0</v>
      </c>
      <c r="E1754" s="1838">
        <f>ROUND($F$1525*10%,2)</f>
        <v>0</v>
      </c>
      <c r="F1754" s="1838"/>
      <c r="G1754" s="1838"/>
      <c r="H1754" s="1838"/>
      <c r="I1754" s="1838"/>
    </row>
    <row r="1755" spans="1:9" s="1832" customFormat="1" ht="12.5" hidden="1">
      <c r="A1755" s="1831"/>
      <c r="B1755" s="1831"/>
      <c r="C1755" s="1833" t="str">
        <f>[128]Input!$C$36</f>
        <v>Add for MA @ 25%</v>
      </c>
      <c r="D1755" s="1838">
        <f>D1754*[128]Input!$D$36</f>
        <v>0</v>
      </c>
      <c r="E1755" s="1838">
        <f>E1754*[128]Input!$D$36</f>
        <v>0</v>
      </c>
      <c r="F1755" s="1838"/>
      <c r="G1755" s="1838"/>
      <c r="H1755" s="1838"/>
      <c r="I1755" s="1838"/>
    </row>
    <row r="1756" spans="1:9" s="1832" customFormat="1" ht="12.5" hidden="1">
      <c r="A1756" s="1831"/>
      <c r="B1756" s="1831"/>
      <c r="C1756" s="1839"/>
      <c r="D1756" s="1838">
        <f>SUM(D1753:D1755)</f>
        <v>27183.665199999999</v>
      </c>
      <c r="E1756" s="1838">
        <f>SUM(E1753:E1755)</f>
        <v>27183.665199999999</v>
      </c>
      <c r="F1756" s="1838"/>
      <c r="G1756" s="1838"/>
      <c r="H1756" s="1838"/>
      <c r="I1756" s="1838"/>
    </row>
    <row r="1757" spans="1:9" s="1832" customFormat="1" ht="12.75" hidden="1" customHeight="1">
      <c r="A1757" s="1831"/>
      <c r="B1757" s="1831"/>
      <c r="C1757" s="1833" t="str">
        <f>[128]Input!$C$37</f>
        <v>Overheads&amp;Contractors Profit @13.615%</v>
      </c>
      <c r="D1757" s="1838">
        <f>ROUND(D1756*[128]Input!$D$37,2)</f>
        <v>3701.06</v>
      </c>
      <c r="E1757" s="1838">
        <f>ROUND(E1756*[128]Input!$D$37,2)</f>
        <v>3701.06</v>
      </c>
      <c r="F1757" s="1838"/>
      <c r="G1757" s="1838"/>
      <c r="H1757" s="1838"/>
      <c r="I1757" s="1838"/>
    </row>
    <row r="1758" spans="1:9" s="1832" customFormat="1" hidden="1">
      <c r="A1758" s="1831"/>
      <c r="B1758" s="1831"/>
      <c r="C1758" s="1834" t="s">
        <v>1706</v>
      </c>
      <c r="D1758" s="1840">
        <f>SUM(D1756:D1757)</f>
        <v>30884.725200000001</v>
      </c>
      <c r="E1758" s="1840">
        <f>SUM(E1756:E1757)</f>
        <v>30884.725200000001</v>
      </c>
      <c r="F1758" s="1840"/>
      <c r="G1758" s="1840"/>
      <c r="H1758" s="1840"/>
      <c r="I1758" s="1840"/>
    </row>
    <row r="1759" spans="1:9" s="1832" customFormat="1" hidden="1">
      <c r="A1759" s="1831"/>
      <c r="B1759" s="1831"/>
      <c r="C1759" s="1834" t="s">
        <v>1681</v>
      </c>
      <c r="D1759" s="1840">
        <f>D1758/10</f>
        <v>3088.4725200000003</v>
      </c>
      <c r="E1759" s="1840">
        <f>E1758/10</f>
        <v>3088.4725200000003</v>
      </c>
      <c r="F1759" s="1840"/>
      <c r="G1759" s="1840"/>
      <c r="H1759" s="1840"/>
      <c r="I1759" s="1840"/>
    </row>
    <row r="1760" spans="1:9" s="1832" customFormat="1" hidden="1">
      <c r="A1760" s="1831"/>
      <c r="B1760" s="1831"/>
      <c r="C1760" s="1834" t="s">
        <v>1066</v>
      </c>
      <c r="D1760" s="1836">
        <f>ROUND(D1759,0)</f>
        <v>3088</v>
      </c>
      <c r="E1760" s="1836">
        <f>ROUND(E1759,0)</f>
        <v>3088</v>
      </c>
      <c r="F1760" s="1836"/>
      <c r="G1760" s="1836"/>
      <c r="H1760" s="1836"/>
      <c r="I1760" s="1836"/>
    </row>
    <row r="1761" spans="1:8" s="1144" customFormat="1" ht="18" customHeight="1">
      <c r="A1761" s="1271"/>
      <c r="B1761" s="1272"/>
      <c r="C1761" s="1273"/>
      <c r="D1761" s="1274"/>
      <c r="E1761" s="1275"/>
      <c r="F1761" s="1275"/>
      <c r="G1761" s="1276"/>
    </row>
    <row r="1763" spans="1:8">
      <c r="C1763" s="965"/>
      <c r="E1763" s="965" t="str">
        <f>'Specification (3)'!E35</f>
        <v>Dy.Exe.Engineer</v>
      </c>
      <c r="F1763" s="1131"/>
      <c r="H1763" s="965" t="str">
        <f>'Specification (3)'!H35</f>
        <v>Asst. Exe Engineer</v>
      </c>
    </row>
    <row r="1764" spans="1:8">
      <c r="C1764" s="965"/>
      <c r="E1764" s="965" t="str">
        <f>'Specification (3)'!E36</f>
        <v>PRI, Baireddipalle</v>
      </c>
      <c r="F1764" s="1131"/>
      <c r="H1764" s="965" t="str">
        <f>'Specification (3)'!H36</f>
        <v>MPP, Baireddipalle</v>
      </c>
    </row>
  </sheetData>
  <mergeCells count="125">
    <mergeCell ref="C1736:H1736"/>
    <mergeCell ref="C635:H635"/>
    <mergeCell ref="C653:H653"/>
    <mergeCell ref="C668:H668"/>
    <mergeCell ref="C728:H728"/>
    <mergeCell ref="C749:H749"/>
    <mergeCell ref="C791:H791"/>
    <mergeCell ref="C807:H807"/>
    <mergeCell ref="C823:H823"/>
    <mergeCell ref="C909:H909"/>
    <mergeCell ref="C923:H923"/>
    <mergeCell ref="C958:H958"/>
    <mergeCell ref="C976:H976"/>
    <mergeCell ref="C993:H993"/>
    <mergeCell ref="C1025:H1025"/>
    <mergeCell ref="C1113:H1113"/>
    <mergeCell ref="C1124:H1124"/>
    <mergeCell ref="C1139:H1139"/>
    <mergeCell ref="C1155:H1155"/>
    <mergeCell ref="C1171:H1171"/>
    <mergeCell ref="C1187:H1187"/>
    <mergeCell ref="C683:F683"/>
    <mergeCell ref="C730:F730"/>
    <mergeCell ref="C1603:H1603"/>
    <mergeCell ref="C83:F83"/>
    <mergeCell ref="C95:F95"/>
    <mergeCell ref="C185:F185"/>
    <mergeCell ref="C204:F204"/>
    <mergeCell ref="C216:G216"/>
    <mergeCell ref="C230:G230"/>
    <mergeCell ref="A2:H2"/>
    <mergeCell ref="A3:H3"/>
    <mergeCell ref="A4:H4"/>
    <mergeCell ref="C53:F53"/>
    <mergeCell ref="C72:F72"/>
    <mergeCell ref="C118:F118"/>
    <mergeCell ref="C56:E56"/>
    <mergeCell ref="C8:I8"/>
    <mergeCell ref="C17:E17"/>
    <mergeCell ref="C25:E25"/>
    <mergeCell ref="C44:I44"/>
    <mergeCell ref="C54:I54"/>
    <mergeCell ref="C414:F414"/>
    <mergeCell ref="G445:H445"/>
    <mergeCell ref="I445:J445"/>
    <mergeCell ref="K445:L445"/>
    <mergeCell ref="C535:F535"/>
    <mergeCell ref="C548:F548"/>
    <mergeCell ref="C242:G242"/>
    <mergeCell ref="C259:G259"/>
    <mergeCell ref="G291:H291"/>
    <mergeCell ref="I291:J291"/>
    <mergeCell ref="K291:L291"/>
    <mergeCell ref="D309:E309"/>
    <mergeCell ref="F309:G309"/>
    <mergeCell ref="C560:F560"/>
    <mergeCell ref="C576:F576"/>
    <mergeCell ref="C590:F590"/>
    <mergeCell ref="C602:F602"/>
    <mergeCell ref="C617:G617"/>
    <mergeCell ref="C838:F838"/>
    <mergeCell ref="C853:F853"/>
    <mergeCell ref="C708:G708"/>
    <mergeCell ref="C942:F942"/>
    <mergeCell ref="C762:F762"/>
    <mergeCell ref="C776:G776"/>
    <mergeCell ref="C837:G837"/>
    <mergeCell ref="I1102:L1102"/>
    <mergeCell ref="C1010:F1010"/>
    <mergeCell ref="C1041:F1041"/>
    <mergeCell ref="C1129:G1129"/>
    <mergeCell ref="C1421:G1421"/>
    <mergeCell ref="C1424:E1424"/>
    <mergeCell ref="C1425:E1425"/>
    <mergeCell ref="C1437:F1437"/>
    <mergeCell ref="C1451:F1451"/>
    <mergeCell ref="C1060:F1060"/>
    <mergeCell ref="C1078:F1078"/>
    <mergeCell ref="C1095:F1095"/>
    <mergeCell ref="C1203:H1203"/>
    <mergeCell ref="C1236:H1236"/>
    <mergeCell ref="C1260:F1260"/>
    <mergeCell ref="C1274:F1274"/>
    <mergeCell ref="C1288:F1288"/>
    <mergeCell ref="C1302:F1302"/>
    <mergeCell ref="C1316:F1316"/>
    <mergeCell ref="C1358:H1358"/>
    <mergeCell ref="C1551:G1551"/>
    <mergeCell ref="C1554:E1554"/>
    <mergeCell ref="C1555:E1555"/>
    <mergeCell ref="C1465:F1465"/>
    <mergeCell ref="C1479:F1479"/>
    <mergeCell ref="C1493:F1493"/>
    <mergeCell ref="C1535:G1535"/>
    <mergeCell ref="C1538:E1538"/>
    <mergeCell ref="C1539:E1539"/>
    <mergeCell ref="C1591:H1591"/>
    <mergeCell ref="C1593:H1593"/>
    <mergeCell ref="C1597:H1597"/>
    <mergeCell ref="C1595:H1595"/>
    <mergeCell ref="G1626:H1626"/>
    <mergeCell ref="G1627:H1627"/>
    <mergeCell ref="G1628:H1628"/>
    <mergeCell ref="G1629:H1629"/>
    <mergeCell ref="G1630:H1630"/>
    <mergeCell ref="G1631:H1631"/>
    <mergeCell ref="C1607:H1607"/>
    <mergeCell ref="D1623:E1623"/>
    <mergeCell ref="G1623:H1623"/>
    <mergeCell ref="G1624:H1624"/>
    <mergeCell ref="G1625:H1625"/>
    <mergeCell ref="C1719:G1719"/>
    <mergeCell ref="H1719:I1719"/>
    <mergeCell ref="C1664:F1664"/>
    <mergeCell ref="C1669:G1669"/>
    <mergeCell ref="C1675:G1675"/>
    <mergeCell ref="C1704:I1704"/>
    <mergeCell ref="G1632:H1632"/>
    <mergeCell ref="G1633:H1633"/>
    <mergeCell ref="C1634:I1634"/>
    <mergeCell ref="C1646:F1646"/>
    <mergeCell ref="C1650:F1650"/>
    <mergeCell ref="C1653:I1653"/>
    <mergeCell ref="C1681:H1681"/>
    <mergeCell ref="C1687:H1687"/>
  </mergeCells>
  <printOptions horizontalCentered="1"/>
  <pageMargins left="0.1" right="0.05" top="0.25" bottom="0.25" header="0.28000000000000003" footer="0.31"/>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sheetPr>
    <tabColor rgb="FFFF0000"/>
  </sheetPr>
  <dimension ref="A1:G517"/>
  <sheetViews>
    <sheetView topLeftCell="B1" zoomScale="125" zoomScaleNormal="125" zoomScaleSheetLayoutView="100" workbookViewId="0">
      <selection activeCell="B1" sqref="B1:G1"/>
    </sheetView>
  </sheetViews>
  <sheetFormatPr defaultColWidth="9.1796875" defaultRowHeight="13" customHeight="1"/>
  <cols>
    <col min="1" max="1" width="7.1796875" style="999" hidden="1" customWidth="1"/>
    <col min="2" max="2" width="5.81640625" style="1001" customWidth="1"/>
    <col min="3" max="3" width="50.81640625" style="1151" customWidth="1"/>
    <col min="4" max="4" width="7.7265625" style="1004" customWidth="1"/>
    <col min="5" max="5" width="8.1796875" style="1004" customWidth="1"/>
    <col min="6" max="6" width="8.7265625" style="1000" customWidth="1"/>
    <col min="7" max="7" width="9.7265625" style="1000" customWidth="1"/>
    <col min="8" max="16384" width="9.1796875" style="1000"/>
  </cols>
  <sheetData>
    <row r="1" spans="1:7" ht="20.25" customHeight="1">
      <c r="B1" s="2096" t="s">
        <v>1265</v>
      </c>
      <c r="C1" s="2096"/>
      <c r="D1" s="2096"/>
      <c r="E1" s="2096"/>
      <c r="F1" s="2096"/>
      <c r="G1" s="2096"/>
    </row>
    <row r="2" spans="1:7" s="1002" customFormat="1" ht="41.25" customHeight="1">
      <c r="A2" s="1495" t="s">
        <v>232</v>
      </c>
      <c r="B2" s="1869" t="s">
        <v>1266</v>
      </c>
      <c r="C2" s="1155" t="s">
        <v>234</v>
      </c>
      <c r="D2" s="1155" t="s">
        <v>141</v>
      </c>
      <c r="E2" s="1156" t="s">
        <v>235</v>
      </c>
      <c r="F2" s="1156" t="s">
        <v>236</v>
      </c>
      <c r="G2" s="1156" t="s">
        <v>237</v>
      </c>
    </row>
    <row r="3" spans="1:7" s="1495" customFormat="1" ht="13" customHeight="1">
      <c r="B3" s="1154">
        <v>1</v>
      </c>
      <c r="C3" s="1155">
        <v>2</v>
      </c>
      <c r="D3" s="1155">
        <v>3</v>
      </c>
      <c r="E3" s="1155">
        <v>4</v>
      </c>
      <c r="F3" s="1155">
        <v>5</v>
      </c>
      <c r="G3" s="1155">
        <v>6</v>
      </c>
    </row>
    <row r="4" spans="1:7" s="1495" customFormat="1" ht="13" customHeight="1">
      <c r="B4" s="1001"/>
      <c r="C4" s="1002" t="s">
        <v>1863</v>
      </c>
      <c r="D4" s="1371">
        <v>0</v>
      </c>
    </row>
    <row r="5" spans="1:7" ht="13" hidden="1" customHeight="1">
      <c r="A5" s="2090" t="s">
        <v>1267</v>
      </c>
      <c r="B5" s="1001">
        <v>1.3</v>
      </c>
      <c r="C5" s="1003" t="s">
        <v>1268</v>
      </c>
    </row>
    <row r="6" spans="1:7" ht="50.25" hidden="1" customHeight="1">
      <c r="A6" s="2090"/>
      <c r="B6" s="1001" t="s">
        <v>1269</v>
      </c>
      <c r="C6" s="1151" t="s">
        <v>1270</v>
      </c>
    </row>
    <row r="7" spans="1:7" ht="11.25" hidden="1" customHeight="1">
      <c r="C7" s="1005" t="s">
        <v>1271</v>
      </c>
    </row>
    <row r="8" spans="1:7" ht="12.75" hidden="1" customHeight="1">
      <c r="C8" s="1006" t="s">
        <v>469</v>
      </c>
    </row>
    <row r="9" spans="1:7" ht="12.75" hidden="1" customHeight="1">
      <c r="C9" s="1151" t="s">
        <v>1272</v>
      </c>
      <c r="D9" s="1007" t="s">
        <v>1273</v>
      </c>
      <c r="E9" s="1004">
        <v>1</v>
      </c>
      <c r="F9" s="1008">
        <v>30</v>
      </c>
      <c r="G9" s="1008">
        <f>ROUND(E9*F9*100,2)</f>
        <v>3000</v>
      </c>
    </row>
    <row r="10" spans="1:7" ht="12.75" hidden="1" customHeight="1">
      <c r="C10" s="1151" t="s">
        <v>1274</v>
      </c>
      <c r="D10" s="1007" t="s">
        <v>1275</v>
      </c>
      <c r="E10" s="1004">
        <v>2</v>
      </c>
      <c r="F10" s="1008">
        <v>30</v>
      </c>
      <c r="G10" s="1008">
        <f>ROUND(E10*F10*1,2)</f>
        <v>60</v>
      </c>
    </row>
    <row r="11" spans="1:7" ht="12.75" hidden="1" customHeight="1">
      <c r="C11" s="1151" t="s">
        <v>1276</v>
      </c>
      <c r="D11" s="1007" t="s">
        <v>1275</v>
      </c>
      <c r="E11" s="1004">
        <v>2</v>
      </c>
      <c r="F11" s="1008">
        <v>100</v>
      </c>
      <c r="G11" s="1008">
        <f>ROUND(E11*F11*1,2)</f>
        <v>200</v>
      </c>
    </row>
    <row r="12" spans="1:7" ht="12.75" hidden="1" customHeight="1">
      <c r="C12" s="1151" t="s">
        <v>1277</v>
      </c>
      <c r="D12" s="1007" t="s">
        <v>1278</v>
      </c>
      <c r="E12" s="1004">
        <v>200</v>
      </c>
      <c r="F12" s="1009">
        <v>150</v>
      </c>
      <c r="G12" s="1008">
        <f>ROUND(E12*F12/200,2)</f>
        <v>150</v>
      </c>
    </row>
    <row r="13" spans="1:7" ht="12.75" hidden="1" customHeight="1">
      <c r="C13" s="1151" t="s">
        <v>1279</v>
      </c>
      <c r="D13" s="1007" t="s">
        <v>183</v>
      </c>
      <c r="E13" s="1004">
        <v>12</v>
      </c>
      <c r="F13" s="1009">
        <v>18</v>
      </c>
      <c r="G13" s="1008">
        <f>ROUND(E13*F13,2)</f>
        <v>216</v>
      </c>
    </row>
    <row r="14" spans="1:7" ht="12.75" hidden="1" customHeight="1">
      <c r="C14" s="1151" t="s">
        <v>1280</v>
      </c>
      <c r="D14" s="1007" t="s">
        <v>183</v>
      </c>
      <c r="E14" s="1004">
        <v>12</v>
      </c>
      <c r="F14" s="1009">
        <v>7</v>
      </c>
      <c r="G14" s="1008">
        <f>ROUND(E14*F14,2)</f>
        <v>84</v>
      </c>
    </row>
    <row r="15" spans="1:7" ht="12.75" hidden="1" customHeight="1">
      <c r="C15" s="1010" t="s">
        <v>1281</v>
      </c>
      <c r="D15" s="1007"/>
      <c r="F15" s="1009"/>
      <c r="G15" s="1008">
        <f>SUM(G9:G14)</f>
        <v>3710</v>
      </c>
    </row>
    <row r="16" spans="1:7" ht="12.75" hidden="1" customHeight="1">
      <c r="C16" s="1151" t="s">
        <v>1282</v>
      </c>
      <c r="D16" s="1007" t="s">
        <v>131</v>
      </c>
      <c r="E16" s="1004">
        <v>25</v>
      </c>
      <c r="F16" s="1009">
        <v>8</v>
      </c>
      <c r="G16" s="1008">
        <f>ROUND(E16*F16,2)</f>
        <v>200</v>
      </c>
    </row>
    <row r="17" spans="1:7" ht="12.75" hidden="1" customHeight="1">
      <c r="C17" s="1003" t="s">
        <v>1283</v>
      </c>
      <c r="D17" s="1007"/>
    </row>
    <row r="18" spans="1:7" ht="12.75" hidden="1" customHeight="1">
      <c r="C18" s="1151" t="s">
        <v>1284</v>
      </c>
      <c r="D18" s="1007" t="s">
        <v>119</v>
      </c>
      <c r="E18" s="1004">
        <v>2</v>
      </c>
      <c r="F18" s="1009">
        <v>555</v>
      </c>
      <c r="G18" s="1008">
        <f>ROUND(E18*F18,2)</f>
        <v>1110</v>
      </c>
    </row>
    <row r="19" spans="1:7" ht="12.75" hidden="1" customHeight="1">
      <c r="C19" s="1151" t="s">
        <v>1285</v>
      </c>
      <c r="D19" s="1007" t="s">
        <v>119</v>
      </c>
      <c r="E19" s="1004">
        <v>2</v>
      </c>
      <c r="F19" s="1009">
        <v>440</v>
      </c>
      <c r="G19" s="1008">
        <f>ROUND(E19*F19,2)</f>
        <v>880</v>
      </c>
    </row>
    <row r="20" spans="1:7" ht="12.75" hidden="1" customHeight="1">
      <c r="C20" s="1151" t="s">
        <v>1286</v>
      </c>
      <c r="D20" s="1007" t="s">
        <v>119</v>
      </c>
      <c r="E20" s="1004">
        <v>2</v>
      </c>
      <c r="F20" s="1009">
        <v>400</v>
      </c>
      <c r="G20" s="1008">
        <f>ROUND(E20*F20,2)</f>
        <v>800</v>
      </c>
    </row>
    <row r="21" spans="1:7" ht="12.75" hidden="1" customHeight="1">
      <c r="C21" s="1151" t="s">
        <v>798</v>
      </c>
    </row>
    <row r="22" spans="1:7" ht="12.75" hidden="1" customHeight="1">
      <c r="C22" s="1003" t="s">
        <v>1287</v>
      </c>
      <c r="D22" s="1001"/>
      <c r="E22" s="1001"/>
      <c r="G22" s="1008">
        <f>SUM(G15:G21)</f>
        <v>6700</v>
      </c>
    </row>
    <row r="23" spans="1:7" ht="12.75" hidden="1" customHeight="1">
      <c r="C23" s="1003" t="s">
        <v>1288</v>
      </c>
      <c r="D23" s="1001"/>
      <c r="E23" s="1001"/>
      <c r="G23" s="1008">
        <f>G22/100</f>
        <v>67</v>
      </c>
    </row>
    <row r="24" spans="1:7" ht="15" customHeight="1">
      <c r="A24" s="2090" t="s">
        <v>1289</v>
      </c>
      <c r="B24" s="1001">
        <v>1.4</v>
      </c>
      <c r="C24" s="1011" t="s">
        <v>1290</v>
      </c>
    </row>
    <row r="25" spans="1:7" ht="29.25" customHeight="1">
      <c r="A25" s="2090"/>
      <c r="B25" s="1158" t="s">
        <v>1291</v>
      </c>
      <c r="C25" s="2089" t="s">
        <v>1658</v>
      </c>
      <c r="D25" s="2089"/>
      <c r="E25" s="2089"/>
      <c r="F25" s="2089"/>
      <c r="G25" s="1159"/>
    </row>
    <row r="26" spans="1:7" ht="13" customHeight="1">
      <c r="B26" s="1158"/>
      <c r="C26" s="1160" t="s">
        <v>1271</v>
      </c>
      <c r="D26" s="1161"/>
      <c r="E26" s="1161"/>
      <c r="F26" s="1159"/>
      <c r="G26" s="1159"/>
    </row>
    <row r="27" spans="1:7" ht="13" customHeight="1">
      <c r="B27" s="1158"/>
      <c r="C27" s="1162" t="s">
        <v>469</v>
      </c>
      <c r="D27" s="1161"/>
      <c r="E27" s="1161"/>
      <c r="F27" s="1159"/>
      <c r="G27" s="1159"/>
    </row>
    <row r="28" spans="1:7" ht="13" customHeight="1">
      <c r="B28" s="1158"/>
      <c r="C28" s="1496" t="s">
        <v>1272</v>
      </c>
      <c r="D28" s="1163" t="s">
        <v>1273</v>
      </c>
      <c r="E28" s="1161">
        <v>1</v>
      </c>
      <c r="F28" s="1164">
        <f>[125]Elec.rates!F5</f>
        <v>25</v>
      </c>
      <c r="G28" s="1164">
        <f>ROUND(E28*F28*100,2)</f>
        <v>2500</v>
      </c>
    </row>
    <row r="29" spans="1:7" ht="13" customHeight="1">
      <c r="B29" s="1158"/>
      <c r="C29" s="1165" t="s">
        <v>1292</v>
      </c>
      <c r="D29" s="1163" t="s">
        <v>1275</v>
      </c>
      <c r="E29" s="1161">
        <v>2</v>
      </c>
      <c r="F29" s="1164">
        <v>33</v>
      </c>
      <c r="G29" s="1164">
        <f>ROUND(E29*F29*1,2)</f>
        <v>66</v>
      </c>
    </row>
    <row r="30" spans="1:7" ht="13" customHeight="1">
      <c r="B30" s="1158"/>
      <c r="C30" s="1496" t="s">
        <v>1293</v>
      </c>
      <c r="D30" s="1163" t="s">
        <v>183</v>
      </c>
      <c r="E30" s="1161">
        <v>12</v>
      </c>
      <c r="F30" s="1166">
        <f>[125]Elec.rates!F8</f>
        <v>25</v>
      </c>
      <c r="G30" s="1164">
        <f>ROUND(E30*F30,2)</f>
        <v>300</v>
      </c>
    </row>
    <row r="31" spans="1:7" ht="13" customHeight="1">
      <c r="B31" s="1158"/>
      <c r="C31" s="1496" t="s">
        <v>1294</v>
      </c>
      <c r="D31" s="1163" t="s">
        <v>183</v>
      </c>
      <c r="E31" s="1161">
        <v>12</v>
      </c>
      <c r="F31" s="1166">
        <f>[125]Elec.rates!F9</f>
        <v>8</v>
      </c>
      <c r="G31" s="1164">
        <f>ROUND(E31*F31,2)</f>
        <v>96</v>
      </c>
    </row>
    <row r="32" spans="1:7" ht="13" customHeight="1">
      <c r="B32" s="1158"/>
      <c r="C32" s="1496" t="s">
        <v>218</v>
      </c>
      <c r="D32" s="1163" t="s">
        <v>131</v>
      </c>
      <c r="E32" s="1161">
        <v>50</v>
      </c>
      <c r="F32" s="1166">
        <f>'Lead statement (2)'!J24</f>
        <v>4.6975999999999996</v>
      </c>
      <c r="G32" s="1164">
        <f>ROUND(E32*F32,2)</f>
        <v>234.88</v>
      </c>
    </row>
    <row r="33" spans="1:7" ht="13" customHeight="1">
      <c r="B33" s="1158"/>
      <c r="C33" s="1498" t="s">
        <v>1283</v>
      </c>
      <c r="D33" s="1163"/>
      <c r="E33" s="1161"/>
      <c r="F33" s="1159"/>
      <c r="G33" s="1159"/>
    </row>
    <row r="34" spans="1:7" ht="13" customHeight="1">
      <c r="B34" s="1158"/>
      <c r="C34" s="1496" t="s">
        <v>1284</v>
      </c>
      <c r="D34" s="1163" t="s">
        <v>119</v>
      </c>
      <c r="E34" s="1161">
        <v>2</v>
      </c>
      <c r="F34" s="1164">
        <f>[125]Elec.rates!F71</f>
        <v>575</v>
      </c>
      <c r="G34" s="1164">
        <f>ROUND(E34*F34,2)</f>
        <v>1150</v>
      </c>
    </row>
    <row r="35" spans="1:7" ht="13" customHeight="1">
      <c r="B35" s="1158"/>
      <c r="C35" s="1496" t="s">
        <v>1285</v>
      </c>
      <c r="D35" s="1163" t="s">
        <v>119</v>
      </c>
      <c r="E35" s="1161">
        <v>2</v>
      </c>
      <c r="F35" s="1164">
        <f>[125]Elec.rates!F72</f>
        <v>471</v>
      </c>
      <c r="G35" s="1164">
        <f>ROUND(E35*F35,2)</f>
        <v>942</v>
      </c>
    </row>
    <row r="36" spans="1:7" ht="13" customHeight="1">
      <c r="B36" s="1158"/>
      <c r="C36" s="1496" t="s">
        <v>1286</v>
      </c>
      <c r="D36" s="1163" t="s">
        <v>119</v>
      </c>
      <c r="E36" s="1161">
        <v>2</v>
      </c>
      <c r="F36" s="1164">
        <f>[125]Elec.rates!F75</f>
        <v>460</v>
      </c>
      <c r="G36" s="1164">
        <f>ROUND(E36*F36,2)</f>
        <v>920</v>
      </c>
    </row>
    <row r="37" spans="1:7" ht="13" customHeight="1">
      <c r="B37" s="1158"/>
      <c r="C37" s="1496" t="s">
        <v>381</v>
      </c>
      <c r="D37" s="1163" t="s">
        <v>119</v>
      </c>
      <c r="E37" s="1161">
        <v>2</v>
      </c>
      <c r="F37" s="1164">
        <f>[125]Elec.rates!F63</f>
        <v>500</v>
      </c>
      <c r="G37" s="1164">
        <f>ROUND(E37*F37,2)</f>
        <v>1000</v>
      </c>
    </row>
    <row r="38" spans="1:7" s="722" customFormat="1" hidden="1">
      <c r="A38" s="892"/>
      <c r="B38" s="731"/>
      <c r="C38" s="813" t="s">
        <v>1724</v>
      </c>
      <c r="D38" s="737">
        <f>D4</f>
        <v>0</v>
      </c>
      <c r="E38" s="778"/>
      <c r="F38" s="778"/>
      <c r="G38" s="812">
        <f>(SUM(G34:G37))*D38</f>
        <v>0</v>
      </c>
    </row>
    <row r="39" spans="1:7" ht="13" hidden="1" customHeight="1">
      <c r="B39" s="1158"/>
      <c r="C39" s="1496" t="s">
        <v>798</v>
      </c>
      <c r="D39" s="1161"/>
      <c r="E39" s="1161"/>
      <c r="F39" s="1159"/>
      <c r="G39" s="1159"/>
    </row>
    <row r="40" spans="1:7" ht="13.5" customHeight="1">
      <c r="B40" s="1158"/>
      <c r="C40" s="1498" t="s">
        <v>1287</v>
      </c>
      <c r="D40" s="1158"/>
      <c r="E40" s="1158"/>
      <c r="F40" s="1159"/>
      <c r="G40" s="1164">
        <f>SUM(G28:G39)</f>
        <v>7208.88</v>
      </c>
    </row>
    <row r="41" spans="1:7" ht="13" customHeight="1">
      <c r="B41" s="1158"/>
      <c r="C41" s="1498" t="s">
        <v>1288</v>
      </c>
      <c r="D41" s="1158"/>
      <c r="E41" s="1158"/>
      <c r="F41" s="1159"/>
      <c r="G41" s="1164">
        <f>ROUND(G40/100,2)</f>
        <v>72.09</v>
      </c>
    </row>
    <row r="42" spans="1:7" ht="24.75" customHeight="1">
      <c r="B42" s="1158" t="s">
        <v>1295</v>
      </c>
      <c r="C42" s="2089" t="s">
        <v>1659</v>
      </c>
      <c r="D42" s="2089"/>
      <c r="E42" s="2089"/>
      <c r="F42" s="2089"/>
      <c r="G42" s="1159"/>
    </row>
    <row r="43" spans="1:7" ht="11.25" customHeight="1">
      <c r="B43" s="1158"/>
      <c r="C43" s="1160" t="s">
        <v>1271</v>
      </c>
      <c r="D43" s="1161"/>
      <c r="E43" s="1161"/>
      <c r="F43" s="1159"/>
      <c r="G43" s="1159"/>
    </row>
    <row r="44" spans="1:7" ht="13" customHeight="1">
      <c r="B44" s="1158"/>
      <c r="C44" s="1162" t="s">
        <v>469</v>
      </c>
      <c r="D44" s="1161"/>
      <c r="E44" s="1161"/>
      <c r="F44" s="1159"/>
      <c r="G44" s="1159"/>
    </row>
    <row r="45" spans="1:7" ht="12.75" customHeight="1">
      <c r="B45" s="1158"/>
      <c r="C45" s="1496" t="s">
        <v>1296</v>
      </c>
      <c r="D45" s="1163" t="s">
        <v>1273</v>
      </c>
      <c r="E45" s="1161">
        <v>1</v>
      </c>
      <c r="F45" s="1164">
        <f>F28</f>
        <v>25</v>
      </c>
      <c r="G45" s="1164">
        <f>ROUND(E45*F45*100,2)</f>
        <v>2500</v>
      </c>
    </row>
    <row r="46" spans="1:7" ht="11.25" customHeight="1">
      <c r="B46" s="1158"/>
      <c r="C46" s="1496" t="s">
        <v>1293</v>
      </c>
      <c r="D46" s="1163" t="s">
        <v>183</v>
      </c>
      <c r="E46" s="1161">
        <v>12</v>
      </c>
      <c r="F46" s="1166">
        <f>F30</f>
        <v>25</v>
      </c>
      <c r="G46" s="1164">
        <f>ROUND(E46*F46,2)</f>
        <v>300</v>
      </c>
    </row>
    <row r="47" spans="1:7" ht="13" customHeight="1">
      <c r="B47" s="1158"/>
      <c r="C47" s="1496" t="s">
        <v>1294</v>
      </c>
      <c r="D47" s="1163" t="s">
        <v>183</v>
      </c>
      <c r="E47" s="1161">
        <v>12</v>
      </c>
      <c r="F47" s="1166">
        <f>F31</f>
        <v>8</v>
      </c>
      <c r="G47" s="1164">
        <f>ROUND(E47*F47,2)</f>
        <v>96</v>
      </c>
    </row>
    <row r="48" spans="1:7" ht="13" customHeight="1">
      <c r="B48" s="1167"/>
      <c r="C48" s="1498" t="s">
        <v>1283</v>
      </c>
      <c r="D48" s="1163"/>
      <c r="E48" s="1161"/>
      <c r="F48" s="1159"/>
      <c r="G48" s="1159"/>
    </row>
    <row r="49" spans="1:7" ht="13" customHeight="1">
      <c r="B49" s="1167"/>
      <c r="C49" s="1496" t="s">
        <v>1284</v>
      </c>
      <c r="D49" s="1163" t="s">
        <v>119</v>
      </c>
      <c r="E49" s="1161">
        <v>2</v>
      </c>
      <c r="F49" s="1164">
        <f>F34</f>
        <v>575</v>
      </c>
      <c r="G49" s="1164">
        <f>ROUND(E49*F49,2)</f>
        <v>1150</v>
      </c>
    </row>
    <row r="50" spans="1:7" ht="13" customHeight="1">
      <c r="B50" s="1167"/>
      <c r="C50" s="1496" t="s">
        <v>1285</v>
      </c>
      <c r="D50" s="1163" t="s">
        <v>119</v>
      </c>
      <c r="E50" s="1161">
        <v>2</v>
      </c>
      <c r="F50" s="1164">
        <f>F35</f>
        <v>471</v>
      </c>
      <c r="G50" s="1164">
        <f>ROUND(E50*F50,2)</f>
        <v>942</v>
      </c>
    </row>
    <row r="51" spans="1:7" ht="13" customHeight="1">
      <c r="B51" s="1167"/>
      <c r="C51" s="1496" t="s">
        <v>1286</v>
      </c>
      <c r="D51" s="1163" t="s">
        <v>119</v>
      </c>
      <c r="E51" s="1161">
        <v>2</v>
      </c>
      <c r="F51" s="1164">
        <f>F36</f>
        <v>460</v>
      </c>
      <c r="G51" s="1164">
        <f>ROUND(E51*F51,2)</f>
        <v>920</v>
      </c>
    </row>
    <row r="52" spans="1:7" s="722" customFormat="1" hidden="1">
      <c r="A52" s="892"/>
      <c r="B52" s="731"/>
      <c r="C52" s="813" t="s">
        <v>1724</v>
      </c>
      <c r="D52" s="737">
        <f>D4</f>
        <v>0</v>
      </c>
      <c r="E52" s="778"/>
      <c r="F52" s="778"/>
      <c r="G52" s="812">
        <f>(SUM(G49:G51))*D52</f>
        <v>0</v>
      </c>
    </row>
    <row r="53" spans="1:7" ht="13" hidden="1" customHeight="1">
      <c r="B53" s="1167"/>
      <c r="C53" s="1496" t="s">
        <v>798</v>
      </c>
      <c r="D53" s="1161"/>
      <c r="E53" s="1161"/>
      <c r="F53" s="1159"/>
      <c r="G53" s="1159"/>
    </row>
    <row r="54" spans="1:7" ht="13" customHeight="1">
      <c r="B54" s="1167"/>
      <c r="C54" s="1498" t="s">
        <v>1287</v>
      </c>
      <c r="D54" s="1158"/>
      <c r="E54" s="1158"/>
      <c r="F54" s="1159"/>
      <c r="G54" s="1164">
        <f>SUM(G45:G53)</f>
        <v>5908</v>
      </c>
    </row>
    <row r="55" spans="1:7" ht="12" customHeight="1">
      <c r="B55" s="1167"/>
      <c r="C55" s="1498" t="s">
        <v>1288</v>
      </c>
      <c r="D55" s="1158"/>
      <c r="E55" s="1158"/>
      <c r="F55" s="1159"/>
      <c r="G55" s="1164">
        <f>ROUND(G54/100,2)</f>
        <v>59.08</v>
      </c>
    </row>
    <row r="56" spans="1:7" ht="26.25" hidden="1" customHeight="1">
      <c r="B56" s="1167"/>
      <c r="C56" s="2094" t="s">
        <v>1757</v>
      </c>
      <c r="D56" s="2094"/>
      <c r="E56" s="1161"/>
      <c r="F56" s="1159"/>
      <c r="G56" s="1159"/>
    </row>
    <row r="57" spans="1:7" s="1013" customFormat="1" ht="13" hidden="1" customHeight="1">
      <c r="A57" s="1012" t="s">
        <v>1297</v>
      </c>
      <c r="B57" s="1168">
        <v>2</v>
      </c>
      <c r="C57" s="1169" t="s">
        <v>1298</v>
      </c>
      <c r="D57" s="1168"/>
      <c r="E57" s="1168"/>
      <c r="F57" s="1170"/>
      <c r="G57" s="1170"/>
    </row>
    <row r="58" spans="1:7" ht="15" hidden="1" customHeight="1">
      <c r="A58" s="2090" t="s">
        <v>1299</v>
      </c>
      <c r="B58" s="1167">
        <v>2.1</v>
      </c>
      <c r="C58" s="1497" t="s">
        <v>1300</v>
      </c>
      <c r="D58" s="1161"/>
      <c r="E58" s="1161"/>
      <c r="F58" s="1159"/>
      <c r="G58" s="1159"/>
    </row>
    <row r="59" spans="1:7" ht="54.75" customHeight="1">
      <c r="A59" s="2090"/>
      <c r="B59" s="1158" t="s">
        <v>1301</v>
      </c>
      <c r="C59" s="2089" t="s">
        <v>1758</v>
      </c>
      <c r="D59" s="2089"/>
      <c r="E59" s="2089"/>
      <c r="F59" s="2089"/>
      <c r="G59" s="1159"/>
    </row>
    <row r="60" spans="1:7" ht="13" customHeight="1">
      <c r="B60" s="1158"/>
      <c r="C60" s="1160" t="s">
        <v>2139</v>
      </c>
      <c r="D60" s="1161"/>
      <c r="E60" s="1161"/>
      <c r="F60" s="1159"/>
      <c r="G60" s="1159"/>
    </row>
    <row r="61" spans="1:7" ht="13" customHeight="1">
      <c r="B61" s="1158"/>
      <c r="C61" s="1162" t="s">
        <v>469</v>
      </c>
      <c r="D61" s="1161"/>
      <c r="E61" s="1161"/>
      <c r="F61" s="1159"/>
      <c r="G61" s="1159"/>
    </row>
    <row r="62" spans="1:7" ht="13" customHeight="1">
      <c r="B62" s="1158"/>
      <c r="C62" s="1496" t="s">
        <v>1302</v>
      </c>
      <c r="D62" s="1163" t="s">
        <v>1273</v>
      </c>
      <c r="E62" s="1161">
        <v>1</v>
      </c>
      <c r="F62" s="1164">
        <f>[125]Elec.rates!F10</f>
        <v>1050</v>
      </c>
      <c r="G62" s="1164">
        <f>ROUND(E62*F62,2)</f>
        <v>1050</v>
      </c>
    </row>
    <row r="63" spans="1:7" ht="13" customHeight="1">
      <c r="B63" s="1158"/>
      <c r="C63" s="1496" t="s">
        <v>1303</v>
      </c>
      <c r="D63" s="1161" t="s">
        <v>799</v>
      </c>
      <c r="E63" s="1161">
        <v>6</v>
      </c>
      <c r="F63" s="1164">
        <f>[125]Elec.rates!F11</f>
        <v>15</v>
      </c>
      <c r="G63" s="1164">
        <f>ROUND(E63*F63,2)</f>
        <v>90</v>
      </c>
    </row>
    <row r="64" spans="1:7" ht="13" customHeight="1">
      <c r="B64" s="1158"/>
      <c r="C64" s="1496" t="s">
        <v>1304</v>
      </c>
      <c r="D64" s="1161" t="s">
        <v>799</v>
      </c>
      <c r="E64" s="1161">
        <v>6</v>
      </c>
      <c r="F64" s="1164">
        <f>[125]Elec.rates!F12</f>
        <v>19</v>
      </c>
      <c r="G64" s="1164">
        <f>ROUND(E64*F64,2)</f>
        <v>114</v>
      </c>
    </row>
    <row r="65" spans="1:7" ht="13" customHeight="1">
      <c r="B65" s="1158"/>
      <c r="C65" s="1496" t="s">
        <v>1305</v>
      </c>
      <c r="D65" s="1161" t="s">
        <v>799</v>
      </c>
      <c r="E65" s="1161">
        <v>1</v>
      </c>
      <c r="F65" s="1164">
        <f>[125]Elec.rates!F13</f>
        <v>120</v>
      </c>
      <c r="G65" s="1164">
        <f>ROUND(E65*F65,2)</f>
        <v>120</v>
      </c>
    </row>
    <row r="66" spans="1:7" ht="13" customHeight="1">
      <c r="B66" s="1158"/>
      <c r="C66" s="1498" t="s">
        <v>1283</v>
      </c>
      <c r="D66" s="1161"/>
      <c r="E66" s="1161"/>
      <c r="F66" s="1159"/>
      <c r="G66" s="1159"/>
    </row>
    <row r="67" spans="1:7" ht="13" customHeight="1">
      <c r="B67" s="1158"/>
      <c r="C67" s="1496" t="s">
        <v>1284</v>
      </c>
      <c r="D67" s="1163" t="s">
        <v>119</v>
      </c>
      <c r="E67" s="1161">
        <v>0.6</v>
      </c>
      <c r="F67" s="1164">
        <f>F49</f>
        <v>575</v>
      </c>
      <c r="G67" s="1164">
        <f>ROUND(E67*F67,2)</f>
        <v>345</v>
      </c>
    </row>
    <row r="68" spans="1:7" ht="13" customHeight="1">
      <c r="B68" s="1158"/>
      <c r="C68" s="1496" t="s">
        <v>1285</v>
      </c>
      <c r="D68" s="1163" t="s">
        <v>119</v>
      </c>
      <c r="E68" s="1161">
        <v>1.2</v>
      </c>
      <c r="F68" s="1164">
        <f>F50</f>
        <v>471</v>
      </c>
      <c r="G68" s="1164">
        <f>ROUND(E68*F68,2)</f>
        <v>565.20000000000005</v>
      </c>
    </row>
    <row r="69" spans="1:7" ht="13" customHeight="1">
      <c r="B69" s="1158"/>
      <c r="C69" s="1496" t="s">
        <v>1286</v>
      </c>
      <c r="D69" s="1163" t="s">
        <v>119</v>
      </c>
      <c r="E69" s="1161">
        <v>0.6</v>
      </c>
      <c r="F69" s="1164">
        <f>F51</f>
        <v>460</v>
      </c>
      <c r="G69" s="1164">
        <f>ROUND(E69*F69,2)</f>
        <v>276</v>
      </c>
    </row>
    <row r="70" spans="1:7" s="722" customFormat="1" hidden="1">
      <c r="A70" s="892"/>
      <c r="B70" s="731"/>
      <c r="C70" s="813" t="s">
        <v>1724</v>
      </c>
      <c r="D70" s="737">
        <f>D4</f>
        <v>0</v>
      </c>
      <c r="E70" s="778"/>
      <c r="F70" s="778"/>
      <c r="G70" s="812">
        <f>(SUM(G67:G69))*D70</f>
        <v>0</v>
      </c>
    </row>
    <row r="71" spans="1:7" ht="13" customHeight="1">
      <c r="B71" s="1158"/>
      <c r="C71" s="1498" t="s">
        <v>1306</v>
      </c>
      <c r="D71" s="1161"/>
      <c r="E71" s="1161"/>
      <c r="F71" s="1159"/>
      <c r="G71" s="1164">
        <f>SUM(G62:G70)</f>
        <v>2560.1999999999998</v>
      </c>
    </row>
    <row r="72" spans="1:7" ht="13" customHeight="1">
      <c r="B72" s="1158"/>
      <c r="C72" s="1498" t="s">
        <v>1307</v>
      </c>
      <c r="D72" s="1161"/>
      <c r="E72" s="1161"/>
      <c r="F72" s="1159"/>
      <c r="G72" s="1164">
        <f>ROUND(G71/6,2)</f>
        <v>426.7</v>
      </c>
    </row>
    <row r="73" spans="1:7" ht="26.25" customHeight="1">
      <c r="B73" s="1158" t="s">
        <v>1301</v>
      </c>
      <c r="C73" s="2089" t="s">
        <v>1661</v>
      </c>
      <c r="D73" s="2089"/>
      <c r="E73" s="2089"/>
      <c r="F73" s="2089"/>
      <c r="G73" s="1159"/>
    </row>
    <row r="74" spans="1:7" ht="13" customHeight="1">
      <c r="B74" s="1158"/>
      <c r="C74" s="1160" t="s">
        <v>1843</v>
      </c>
      <c r="D74" s="1161"/>
      <c r="E74" s="1161"/>
      <c r="F74" s="1159"/>
      <c r="G74" s="1159"/>
    </row>
    <row r="75" spans="1:7" ht="13" customHeight="1">
      <c r="B75" s="1158"/>
      <c r="C75" s="1162" t="s">
        <v>469</v>
      </c>
      <c r="D75" s="1161"/>
      <c r="E75" s="1161"/>
      <c r="F75" s="1159"/>
      <c r="G75" s="1159"/>
    </row>
    <row r="76" spans="1:7" ht="13" customHeight="1">
      <c r="B76" s="1158"/>
      <c r="C76" s="1496" t="s">
        <v>1662</v>
      </c>
      <c r="D76" s="1163" t="s">
        <v>1273</v>
      </c>
      <c r="E76" s="1161">
        <v>1</v>
      </c>
      <c r="F76" s="1164">
        <f>[125]Elec.rates!F10</f>
        <v>1050</v>
      </c>
      <c r="G76" s="1164">
        <f>ROUND(E76*F76,2)</f>
        <v>1050</v>
      </c>
    </row>
    <row r="77" spans="1:7" ht="13" customHeight="1">
      <c r="B77" s="1158"/>
      <c r="C77" s="1498" t="s">
        <v>1283</v>
      </c>
      <c r="D77" s="1161"/>
      <c r="E77" s="1161"/>
      <c r="F77" s="1159"/>
      <c r="G77" s="1159"/>
    </row>
    <row r="78" spans="1:7" ht="13" customHeight="1">
      <c r="B78" s="1158"/>
      <c r="C78" s="1496" t="s">
        <v>1284</v>
      </c>
      <c r="D78" s="1163" t="s">
        <v>119</v>
      </c>
      <c r="E78" s="1161">
        <v>0.34</v>
      </c>
      <c r="F78" s="1164">
        <f>F67</f>
        <v>575</v>
      </c>
      <c r="G78" s="1164">
        <f>ROUND(E78*F78,2)</f>
        <v>195.5</v>
      </c>
    </row>
    <row r="79" spans="1:7" ht="13" customHeight="1">
      <c r="B79" s="1158"/>
      <c r="C79" s="1496" t="s">
        <v>1285</v>
      </c>
      <c r="D79" s="1163" t="s">
        <v>119</v>
      </c>
      <c r="E79" s="1161">
        <v>1</v>
      </c>
      <c r="F79" s="1164">
        <f>F68</f>
        <v>471</v>
      </c>
      <c r="G79" s="1164">
        <f>ROUND(E79*F79,2)</f>
        <v>471</v>
      </c>
    </row>
    <row r="80" spans="1:7" ht="13" customHeight="1">
      <c r="B80" s="1158"/>
      <c r="C80" s="1496" t="s">
        <v>1286</v>
      </c>
      <c r="D80" s="1163" t="s">
        <v>119</v>
      </c>
      <c r="E80" s="1161">
        <v>0.34</v>
      </c>
      <c r="F80" s="1164">
        <f>F69</f>
        <v>460</v>
      </c>
      <c r="G80" s="1164">
        <f>ROUND(E80*F80,2)</f>
        <v>156.4</v>
      </c>
    </row>
    <row r="81" spans="1:7" s="722" customFormat="1" hidden="1">
      <c r="A81" s="892"/>
      <c r="B81" s="731"/>
      <c r="C81" s="813" t="s">
        <v>1724</v>
      </c>
      <c r="D81" s="737">
        <f>D4</f>
        <v>0</v>
      </c>
      <c r="E81" s="778"/>
      <c r="F81" s="778"/>
      <c r="G81" s="812">
        <f>(SUM(G78:G80))*D81</f>
        <v>0</v>
      </c>
    </row>
    <row r="82" spans="1:7" ht="13" customHeight="1">
      <c r="B82" s="1158"/>
      <c r="C82" s="1498" t="s">
        <v>1844</v>
      </c>
      <c r="D82" s="1161"/>
      <c r="E82" s="1161"/>
      <c r="F82" s="1159"/>
      <c r="G82" s="1164">
        <f>SUM(G76:G81)</f>
        <v>1872.9</v>
      </c>
    </row>
    <row r="83" spans="1:7" ht="13" customHeight="1">
      <c r="B83" s="1158"/>
      <c r="C83" s="1498" t="s">
        <v>1845</v>
      </c>
      <c r="D83" s="1161"/>
      <c r="E83" s="1161"/>
      <c r="F83" s="1159"/>
      <c r="G83" s="1164">
        <f>ROUND(G82/100,2)</f>
        <v>18.73</v>
      </c>
    </row>
    <row r="84" spans="1:7" ht="39.75" customHeight="1">
      <c r="A84" s="1014"/>
      <c r="B84" s="1158" t="s">
        <v>1308</v>
      </c>
      <c r="C84" s="2089" t="s">
        <v>1309</v>
      </c>
      <c r="D84" s="2089"/>
      <c r="E84" s="2089"/>
      <c r="F84" s="2089"/>
      <c r="G84" s="1159"/>
    </row>
    <row r="85" spans="1:7" ht="13" customHeight="1">
      <c r="B85" s="1158"/>
      <c r="C85" s="1160" t="s">
        <v>2140</v>
      </c>
      <c r="D85" s="1159"/>
      <c r="E85" s="1159"/>
      <c r="F85" s="1159"/>
      <c r="G85" s="1159"/>
    </row>
    <row r="86" spans="1:7" ht="13" customHeight="1">
      <c r="B86" s="1158"/>
      <c r="C86" s="1162" t="s">
        <v>469</v>
      </c>
      <c r="D86" s="1159"/>
      <c r="E86" s="1159"/>
      <c r="F86" s="1159"/>
      <c r="G86" s="1159"/>
    </row>
    <row r="87" spans="1:7" ht="13" customHeight="1">
      <c r="B87" s="1158"/>
      <c r="C87" s="1496" t="s">
        <v>1311</v>
      </c>
      <c r="D87" s="1161" t="s">
        <v>799</v>
      </c>
      <c r="E87" s="1161">
        <v>1</v>
      </c>
      <c r="F87" s="1164">
        <f>[125]Elec.rates!F14</f>
        <v>24</v>
      </c>
      <c r="G87" s="1164">
        <f>ROUND(E87*F87,2)</f>
        <v>24</v>
      </c>
    </row>
    <row r="88" spans="1:7" ht="13" customHeight="1">
      <c r="B88" s="1158"/>
      <c r="C88" s="1496" t="s">
        <v>1312</v>
      </c>
      <c r="D88" s="1161" t="s">
        <v>799</v>
      </c>
      <c r="E88" s="1161">
        <v>1</v>
      </c>
      <c r="F88" s="1164">
        <f>[125]Elec.rates!F15</f>
        <v>15</v>
      </c>
      <c r="G88" s="1164">
        <f>ROUND(E88*F88,2)</f>
        <v>15</v>
      </c>
    </row>
    <row r="89" spans="1:7" ht="13" customHeight="1">
      <c r="B89" s="1158"/>
      <c r="C89" s="1498" t="s">
        <v>1283</v>
      </c>
      <c r="D89" s="1161"/>
      <c r="E89" s="1161"/>
      <c r="F89" s="1159"/>
      <c r="G89" s="1159"/>
    </row>
    <row r="90" spans="1:7" ht="13" customHeight="1">
      <c r="B90" s="1158"/>
      <c r="C90" s="1496" t="s">
        <v>1284</v>
      </c>
      <c r="D90" s="1163" t="s">
        <v>119</v>
      </c>
      <c r="E90" s="1161">
        <v>6.7000000000000004E-2</v>
      </c>
      <c r="F90" s="1164">
        <f>F67</f>
        <v>575</v>
      </c>
      <c r="G90" s="1164">
        <f>ROUND(E90*F90,2)</f>
        <v>38.53</v>
      </c>
    </row>
    <row r="91" spans="1:7" ht="13" customHeight="1">
      <c r="B91" s="1158"/>
      <c r="C91" s="1496" t="s">
        <v>1286</v>
      </c>
      <c r="D91" s="1163" t="s">
        <v>119</v>
      </c>
      <c r="E91" s="1161">
        <v>6.7000000000000004E-2</v>
      </c>
      <c r="F91" s="1164">
        <f>F69</f>
        <v>460</v>
      </c>
      <c r="G91" s="1164">
        <f>ROUND(E91*F91,2)</f>
        <v>30.82</v>
      </c>
    </row>
    <row r="92" spans="1:7" s="722" customFormat="1" hidden="1">
      <c r="A92" s="892"/>
      <c r="B92" s="731"/>
      <c r="C92" s="813" t="s">
        <v>1724</v>
      </c>
      <c r="D92" s="737">
        <f>D4</f>
        <v>0</v>
      </c>
      <c r="E92" s="778"/>
      <c r="F92" s="778"/>
      <c r="G92" s="812">
        <f>(SUM(G90:G91))*D92</f>
        <v>0</v>
      </c>
    </row>
    <row r="93" spans="1:7" ht="13" customHeight="1">
      <c r="B93" s="1158"/>
      <c r="C93" s="1498" t="s">
        <v>1313</v>
      </c>
      <c r="D93" s="1161"/>
      <c r="E93" s="1161"/>
      <c r="F93" s="1159"/>
      <c r="G93" s="1164">
        <f>ROUND(SUM(G87:G92),2)</f>
        <v>108.35</v>
      </c>
    </row>
    <row r="94" spans="1:7" ht="14.25" hidden="1" customHeight="1">
      <c r="B94" s="1158"/>
      <c r="C94" s="2095" t="s">
        <v>1314</v>
      </c>
      <c r="D94" s="2095"/>
      <c r="E94" s="1161"/>
      <c r="F94" s="1159"/>
      <c r="G94" s="1159"/>
    </row>
    <row r="95" spans="1:7" ht="39.75" customHeight="1">
      <c r="A95" s="1014"/>
      <c r="B95" s="1158" t="s">
        <v>1315</v>
      </c>
      <c r="C95" s="2089" t="s">
        <v>1316</v>
      </c>
      <c r="D95" s="2089"/>
      <c r="E95" s="2089"/>
      <c r="F95" s="2089"/>
      <c r="G95" s="1159"/>
    </row>
    <row r="96" spans="1:7" ht="13" customHeight="1">
      <c r="B96" s="1158"/>
      <c r="C96" s="1160" t="s">
        <v>2141</v>
      </c>
      <c r="D96" s="1159"/>
      <c r="E96" s="1159"/>
      <c r="F96" s="1159"/>
      <c r="G96" s="1159"/>
    </row>
    <row r="97" spans="1:7" ht="13" customHeight="1">
      <c r="B97" s="1158"/>
      <c r="C97" s="1162" t="s">
        <v>469</v>
      </c>
      <c r="D97" s="1159"/>
      <c r="E97" s="1159"/>
      <c r="F97" s="1159"/>
      <c r="G97" s="1159"/>
    </row>
    <row r="98" spans="1:7" ht="13.5" customHeight="1">
      <c r="B98" s="1158"/>
      <c r="C98" s="1496" t="s">
        <v>1317</v>
      </c>
      <c r="D98" s="1161" t="s">
        <v>799</v>
      </c>
      <c r="E98" s="1161">
        <v>1</v>
      </c>
      <c r="F98" s="1164">
        <f>[125]Elec.rates!F16</f>
        <v>80</v>
      </c>
      <c r="G98" s="1164">
        <f>ROUND(E98*F98,2)</f>
        <v>80</v>
      </c>
    </row>
    <row r="99" spans="1:7" ht="24.75" customHeight="1">
      <c r="B99" s="1158"/>
      <c r="C99" s="1496" t="s">
        <v>1318</v>
      </c>
      <c r="D99" s="1161" t="s">
        <v>799</v>
      </c>
      <c r="E99" s="1161">
        <v>1</v>
      </c>
      <c r="F99" s="1164">
        <f>[125]Elec.rates!F17</f>
        <v>145</v>
      </c>
      <c r="G99" s="1164">
        <f>ROUND(E99*F99,2)</f>
        <v>145</v>
      </c>
    </row>
    <row r="100" spans="1:7" ht="13" customHeight="1">
      <c r="B100" s="1158"/>
      <c r="C100" s="1498" t="s">
        <v>1283</v>
      </c>
      <c r="D100" s="1161"/>
      <c r="E100" s="1161"/>
      <c r="F100" s="1159"/>
      <c r="G100" s="1159"/>
    </row>
    <row r="101" spans="1:7" ht="13" customHeight="1">
      <c r="B101" s="1158"/>
      <c r="C101" s="1496" t="s">
        <v>1284</v>
      </c>
      <c r="D101" s="1163" t="s">
        <v>119</v>
      </c>
      <c r="E101" s="1161">
        <v>0.1</v>
      </c>
      <c r="F101" s="1164">
        <f>F90</f>
        <v>575</v>
      </c>
      <c r="G101" s="1164">
        <f>ROUND(E101*F101,2)</f>
        <v>57.5</v>
      </c>
    </row>
    <row r="102" spans="1:7" ht="13" customHeight="1">
      <c r="B102" s="1158"/>
      <c r="C102" s="1496" t="s">
        <v>1286</v>
      </c>
      <c r="D102" s="1163" t="s">
        <v>119</v>
      </c>
      <c r="E102" s="1161">
        <v>0.1</v>
      </c>
      <c r="F102" s="1164">
        <f>F91</f>
        <v>460</v>
      </c>
      <c r="G102" s="1164">
        <f>ROUND(E102*F102,2)</f>
        <v>46</v>
      </c>
    </row>
    <row r="103" spans="1:7" s="722" customFormat="1" hidden="1">
      <c r="A103" s="892"/>
      <c r="B103" s="731"/>
      <c r="C103" s="813" t="s">
        <v>1724</v>
      </c>
      <c r="D103" s="737">
        <f>D4</f>
        <v>0</v>
      </c>
      <c r="E103" s="778"/>
      <c r="F103" s="778"/>
      <c r="G103" s="812">
        <f>(SUM(G101:G102))*D103</f>
        <v>0</v>
      </c>
    </row>
    <row r="104" spans="1:7" ht="13" customHeight="1">
      <c r="B104" s="1158"/>
      <c r="C104" s="1498" t="s">
        <v>1313</v>
      </c>
      <c r="D104" s="1161"/>
      <c r="E104" s="1161"/>
      <c r="F104" s="1159"/>
      <c r="G104" s="1164">
        <f>ROUND(SUM(G98:G103),2)</f>
        <v>328.5</v>
      </c>
    </row>
    <row r="105" spans="1:7" ht="13" hidden="1" customHeight="1">
      <c r="B105" s="1158"/>
      <c r="C105" s="2095" t="s">
        <v>1319</v>
      </c>
      <c r="D105" s="2095"/>
      <c r="E105" s="1161"/>
      <c r="F105" s="1159"/>
      <c r="G105" s="1159"/>
    </row>
    <row r="106" spans="1:7" ht="69" hidden="1" customHeight="1">
      <c r="A106" s="1014"/>
      <c r="B106" s="1158" t="s">
        <v>1320</v>
      </c>
      <c r="C106" s="1160" t="s">
        <v>1321</v>
      </c>
      <c r="D106" s="1161"/>
      <c r="E106" s="1161"/>
      <c r="F106" s="1159"/>
      <c r="G106" s="1159"/>
    </row>
    <row r="107" spans="1:7" ht="13" hidden="1" customHeight="1">
      <c r="B107" s="1158"/>
      <c r="C107" s="1160" t="s">
        <v>1310</v>
      </c>
      <c r="D107" s="1159"/>
      <c r="E107" s="1159"/>
      <c r="F107" s="1159"/>
      <c r="G107" s="1159"/>
    </row>
    <row r="108" spans="1:7" ht="13" hidden="1" customHeight="1">
      <c r="B108" s="1158"/>
      <c r="C108" s="1162" t="s">
        <v>469</v>
      </c>
      <c r="D108" s="1159"/>
      <c r="E108" s="1159"/>
      <c r="F108" s="1159"/>
      <c r="G108" s="1159"/>
    </row>
    <row r="109" spans="1:7" ht="13" hidden="1" customHeight="1">
      <c r="B109" s="1158"/>
      <c r="C109" s="1496" t="s">
        <v>1322</v>
      </c>
      <c r="D109" s="1161" t="s">
        <v>799</v>
      </c>
      <c r="E109" s="1161">
        <v>1</v>
      </c>
      <c r="F109" s="1164">
        <v>125</v>
      </c>
      <c r="G109" s="1164">
        <f>ROUND(E109*F109,2)</f>
        <v>125</v>
      </c>
    </row>
    <row r="110" spans="1:7" ht="13" hidden="1" customHeight="1">
      <c r="B110" s="1158"/>
      <c r="C110" s="1496" t="s">
        <v>1323</v>
      </c>
      <c r="D110" s="1161" t="s">
        <v>799</v>
      </c>
      <c r="E110" s="1161">
        <v>1</v>
      </c>
      <c r="F110" s="1164">
        <v>120</v>
      </c>
      <c r="G110" s="1164">
        <f>ROUND(E110*F110,2)</f>
        <v>120</v>
      </c>
    </row>
    <row r="111" spans="1:7" ht="13" hidden="1" customHeight="1">
      <c r="B111" s="1158"/>
      <c r="C111" s="1496" t="s">
        <v>1324</v>
      </c>
      <c r="D111" s="1161" t="s">
        <v>799</v>
      </c>
      <c r="E111" s="1161">
        <v>1</v>
      </c>
      <c r="F111" s="1164">
        <v>180</v>
      </c>
      <c r="G111" s="1164">
        <f>ROUND(E111*F111,2)</f>
        <v>180</v>
      </c>
    </row>
    <row r="112" spans="1:7" ht="12.75" hidden="1" customHeight="1">
      <c r="B112" s="1158"/>
      <c r="C112" s="1171" t="s">
        <v>1281</v>
      </c>
      <c r="D112" s="1163"/>
      <c r="E112" s="1161"/>
      <c r="F112" s="1166"/>
      <c r="G112" s="1164">
        <f>SUM(G109:G111)</f>
        <v>425</v>
      </c>
    </row>
    <row r="113" spans="1:7" ht="13" hidden="1" customHeight="1">
      <c r="B113" s="1158"/>
      <c r="C113" s="1498" t="s">
        <v>1283</v>
      </c>
      <c r="D113" s="1161"/>
      <c r="E113" s="1161"/>
      <c r="F113" s="1159"/>
      <c r="G113" s="1159"/>
    </row>
    <row r="114" spans="1:7" ht="13" hidden="1" customHeight="1">
      <c r="B114" s="1158"/>
      <c r="C114" s="1496" t="s">
        <v>1284</v>
      </c>
      <c r="D114" s="1163" t="s">
        <v>119</v>
      </c>
      <c r="E114" s="1161">
        <v>0.1</v>
      </c>
      <c r="F114" s="1164">
        <v>555</v>
      </c>
      <c r="G114" s="1164">
        <f>ROUND(E114*F114,2)</f>
        <v>55.5</v>
      </c>
    </row>
    <row r="115" spans="1:7" ht="13" hidden="1" customHeight="1">
      <c r="B115" s="1158"/>
      <c r="C115" s="1496" t="s">
        <v>1325</v>
      </c>
      <c r="D115" s="1163" t="s">
        <v>119</v>
      </c>
      <c r="E115" s="1161">
        <v>0.1</v>
      </c>
      <c r="F115" s="1164">
        <v>445</v>
      </c>
      <c r="G115" s="1164">
        <f>ROUND(E115*F115,2)</f>
        <v>44.5</v>
      </c>
    </row>
    <row r="116" spans="1:7" ht="13" hidden="1" customHeight="1">
      <c r="B116" s="1158"/>
      <c r="C116" s="1496" t="s">
        <v>1286</v>
      </c>
      <c r="D116" s="1163" t="s">
        <v>119</v>
      </c>
      <c r="E116" s="1161">
        <v>0.1</v>
      </c>
      <c r="F116" s="1164">
        <v>400</v>
      </c>
      <c r="G116" s="1164">
        <f>ROUND(E116*F116,2)</f>
        <v>40</v>
      </c>
    </row>
    <row r="117" spans="1:7" ht="13" hidden="1" customHeight="1">
      <c r="B117" s="1158"/>
      <c r="C117" s="1498" t="s">
        <v>1313</v>
      </c>
      <c r="D117" s="1161"/>
      <c r="E117" s="1161"/>
      <c r="F117" s="1159"/>
      <c r="G117" s="1164">
        <f>SUM(G112:G116)</f>
        <v>565</v>
      </c>
    </row>
    <row r="118" spans="1:7" ht="13" hidden="1" customHeight="1">
      <c r="B118" s="1158"/>
      <c r="C118" s="2095" t="s">
        <v>1326</v>
      </c>
      <c r="D118" s="2095"/>
      <c r="E118" s="1161"/>
      <c r="F118" s="1159"/>
      <c r="G118" s="1159"/>
    </row>
    <row r="119" spans="1:7" ht="38.25" customHeight="1">
      <c r="A119" s="1014"/>
      <c r="B119" s="1158" t="s">
        <v>1327</v>
      </c>
      <c r="C119" s="2089" t="s">
        <v>1328</v>
      </c>
      <c r="D119" s="2089"/>
      <c r="E119" s="2089"/>
      <c r="F119" s="2089"/>
      <c r="G119" s="1159"/>
    </row>
    <row r="120" spans="1:7" ht="11.25" customHeight="1">
      <c r="B120" s="1158"/>
      <c r="C120" s="1160" t="s">
        <v>1310</v>
      </c>
      <c r="D120" s="1161"/>
      <c r="E120" s="1161"/>
      <c r="F120" s="1159"/>
      <c r="G120" s="1159"/>
    </row>
    <row r="121" spans="1:7" ht="11.25" customHeight="1">
      <c r="B121" s="1158"/>
      <c r="C121" s="1162" t="s">
        <v>469</v>
      </c>
      <c r="D121" s="1161"/>
      <c r="E121" s="1161"/>
      <c r="F121" s="1159"/>
      <c r="G121" s="1159"/>
    </row>
    <row r="122" spans="1:7" ht="13" customHeight="1">
      <c r="B122" s="1158"/>
      <c r="C122" s="1496" t="s">
        <v>1329</v>
      </c>
      <c r="D122" s="1161" t="s">
        <v>799</v>
      </c>
      <c r="E122" s="1161">
        <v>1</v>
      </c>
      <c r="F122" s="1164">
        <f>[125]Elec.rates!F18</f>
        <v>20</v>
      </c>
      <c r="G122" s="1164">
        <f>ROUND(E122*F122,2)</f>
        <v>20</v>
      </c>
    </row>
    <row r="123" spans="1:7" ht="13" customHeight="1">
      <c r="B123" s="1158"/>
      <c r="C123" s="1496" t="s">
        <v>1330</v>
      </c>
      <c r="D123" s="1161" t="s">
        <v>799</v>
      </c>
      <c r="E123" s="1161">
        <v>1</v>
      </c>
      <c r="F123" s="1164">
        <f>[125]Elec.rates!F19</f>
        <v>12</v>
      </c>
      <c r="G123" s="1164">
        <f>ROUND(E123*F123,2)</f>
        <v>12</v>
      </c>
    </row>
    <row r="124" spans="1:7" ht="13" customHeight="1">
      <c r="B124" s="1158"/>
      <c r="C124" s="1498" t="s">
        <v>1283</v>
      </c>
      <c r="D124" s="1161"/>
      <c r="E124" s="1161"/>
      <c r="F124" s="1159"/>
      <c r="G124" s="1159"/>
    </row>
    <row r="125" spans="1:7" ht="13" customHeight="1">
      <c r="B125" s="1158"/>
      <c r="C125" s="1496" t="s">
        <v>1284</v>
      </c>
      <c r="D125" s="1163" t="s">
        <v>119</v>
      </c>
      <c r="E125" s="1161">
        <v>0.05</v>
      </c>
      <c r="F125" s="1164">
        <f>F101</f>
        <v>575</v>
      </c>
      <c r="G125" s="1164">
        <f>ROUND(E125*F125,2)</f>
        <v>28.75</v>
      </c>
    </row>
    <row r="126" spans="1:7" ht="13" customHeight="1">
      <c r="B126" s="1158"/>
      <c r="C126" s="1496" t="s">
        <v>1286</v>
      </c>
      <c r="D126" s="1163" t="s">
        <v>119</v>
      </c>
      <c r="E126" s="1161">
        <v>0.05</v>
      </c>
      <c r="F126" s="1164">
        <f>F102</f>
        <v>460</v>
      </c>
      <c r="G126" s="1164">
        <f>ROUND(E126*F126,2)</f>
        <v>23</v>
      </c>
    </row>
    <row r="127" spans="1:7" s="722" customFormat="1" hidden="1">
      <c r="A127" s="892"/>
      <c r="B127" s="731"/>
      <c r="C127" s="813" t="s">
        <v>1724</v>
      </c>
      <c r="D127" s="737">
        <f>D4</f>
        <v>0</v>
      </c>
      <c r="E127" s="778"/>
      <c r="F127" s="778"/>
      <c r="G127" s="812">
        <f>(SUM(G125:G126))*D127</f>
        <v>0</v>
      </c>
    </row>
    <row r="128" spans="1:7" ht="13" customHeight="1">
      <c r="B128" s="1158"/>
      <c r="C128" s="1498" t="s">
        <v>1313</v>
      </c>
      <c r="D128" s="1161"/>
      <c r="E128" s="1161"/>
      <c r="F128" s="1159"/>
      <c r="G128" s="1164">
        <f>ROUND(SUM(G122:G127),2)</f>
        <v>83.75</v>
      </c>
    </row>
    <row r="129" spans="1:7" ht="13.5" hidden="1" customHeight="1">
      <c r="B129" s="1158"/>
      <c r="C129" s="2095" t="s">
        <v>1331</v>
      </c>
      <c r="D129" s="2095"/>
      <c r="E129" s="1161"/>
      <c r="F129" s="1159"/>
      <c r="G129" s="1159"/>
    </row>
    <row r="130" spans="1:7" ht="13" hidden="1" customHeight="1">
      <c r="B130" s="1158"/>
      <c r="C130" s="2095" t="s">
        <v>1332</v>
      </c>
      <c r="D130" s="2095"/>
      <c r="E130" s="1161"/>
      <c r="F130" s="1159"/>
      <c r="G130" s="1159"/>
    </row>
    <row r="131" spans="1:7" ht="28.5" customHeight="1">
      <c r="A131" s="1014"/>
      <c r="B131" s="1158" t="s">
        <v>1333</v>
      </c>
      <c r="C131" s="2089" t="s">
        <v>1334</v>
      </c>
      <c r="D131" s="2089"/>
      <c r="E131" s="2089"/>
      <c r="F131" s="2089"/>
      <c r="G131" s="1159"/>
    </row>
    <row r="132" spans="1:7" ht="13" customHeight="1">
      <c r="B132" s="1158"/>
      <c r="C132" s="1160" t="s">
        <v>1310</v>
      </c>
      <c r="D132" s="1161"/>
      <c r="E132" s="1161"/>
      <c r="F132" s="1159"/>
      <c r="G132" s="1159"/>
    </row>
    <row r="133" spans="1:7" ht="13" customHeight="1">
      <c r="B133" s="1158"/>
      <c r="C133" s="1162" t="s">
        <v>469</v>
      </c>
      <c r="D133" s="1161"/>
      <c r="E133" s="1161"/>
      <c r="F133" s="1159"/>
      <c r="G133" s="1159"/>
    </row>
    <row r="134" spans="1:7" ht="13" customHeight="1">
      <c r="B134" s="1158"/>
      <c r="C134" s="1496" t="s">
        <v>1329</v>
      </c>
      <c r="D134" s="1161" t="s">
        <v>799</v>
      </c>
      <c r="E134" s="1161">
        <v>1</v>
      </c>
      <c r="F134" s="1164">
        <f>F122</f>
        <v>20</v>
      </c>
      <c r="G134" s="1164">
        <f>ROUND(E134*F134,2)</f>
        <v>20</v>
      </c>
    </row>
    <row r="135" spans="1:7" ht="13" customHeight="1">
      <c r="B135" s="1158"/>
      <c r="C135" s="1498" t="s">
        <v>1759</v>
      </c>
      <c r="D135" s="1161"/>
      <c r="E135" s="1161"/>
      <c r="F135" s="1159"/>
      <c r="G135" s="1159"/>
    </row>
    <row r="136" spans="1:7" ht="13" customHeight="1">
      <c r="B136" s="1158"/>
      <c r="C136" s="1498" t="s">
        <v>1283</v>
      </c>
      <c r="D136" s="1161"/>
      <c r="E136" s="1161"/>
      <c r="F136" s="1159"/>
      <c r="G136" s="1159"/>
    </row>
    <row r="137" spans="1:7" ht="13" customHeight="1">
      <c r="B137" s="1158"/>
      <c r="C137" s="1496" t="s">
        <v>1284</v>
      </c>
      <c r="D137" s="1163" t="s">
        <v>119</v>
      </c>
      <c r="E137" s="1161">
        <v>0.05</v>
      </c>
      <c r="F137" s="1164">
        <f>F125</f>
        <v>575</v>
      </c>
      <c r="G137" s="1164">
        <f>ROUND(E137*F137,2)</f>
        <v>28.75</v>
      </c>
    </row>
    <row r="138" spans="1:7" ht="13" customHeight="1">
      <c r="B138" s="1158"/>
      <c r="C138" s="1496" t="s">
        <v>1286</v>
      </c>
      <c r="D138" s="1163" t="s">
        <v>119</v>
      </c>
      <c r="E138" s="1161">
        <v>0.05</v>
      </c>
      <c r="F138" s="1164">
        <f>F126</f>
        <v>460</v>
      </c>
      <c r="G138" s="1164">
        <f>ROUND(E138*F138,2)</f>
        <v>23</v>
      </c>
    </row>
    <row r="139" spans="1:7" s="722" customFormat="1" hidden="1">
      <c r="A139" s="892"/>
      <c r="B139" s="731"/>
      <c r="C139" s="813" t="s">
        <v>1724</v>
      </c>
      <c r="D139" s="737">
        <f>D4</f>
        <v>0</v>
      </c>
      <c r="E139" s="778"/>
      <c r="F139" s="778"/>
      <c r="G139" s="812">
        <f>(SUM(G137:G138))*D139</f>
        <v>0</v>
      </c>
    </row>
    <row r="140" spans="1:7" ht="13" customHeight="1">
      <c r="B140" s="1158"/>
      <c r="C140" s="1498" t="s">
        <v>1313</v>
      </c>
      <c r="D140" s="1161"/>
      <c r="E140" s="1161"/>
      <c r="F140" s="1159"/>
      <c r="G140" s="1164">
        <f>ROUND(SUM(G134:G139),2)</f>
        <v>71.75</v>
      </c>
    </row>
    <row r="141" spans="1:7" ht="13" customHeight="1">
      <c r="B141" s="1158"/>
      <c r="C141" s="2097" t="s">
        <v>1760</v>
      </c>
      <c r="D141" s="2095"/>
      <c r="E141" s="1161"/>
      <c r="F141" s="1159"/>
      <c r="G141" s="1159"/>
    </row>
    <row r="142" spans="1:7" ht="28.5" customHeight="1">
      <c r="A142" s="1014"/>
      <c r="B142" s="1158" t="s">
        <v>1335</v>
      </c>
      <c r="C142" s="2089" t="s">
        <v>1336</v>
      </c>
      <c r="D142" s="2089"/>
      <c r="E142" s="2089"/>
      <c r="F142" s="2089"/>
      <c r="G142" s="1159"/>
    </row>
    <row r="143" spans="1:7" ht="13" customHeight="1">
      <c r="B143" s="1158"/>
      <c r="C143" s="1160" t="s">
        <v>1310</v>
      </c>
      <c r="D143" s="1161"/>
      <c r="E143" s="1161"/>
      <c r="F143" s="1159"/>
      <c r="G143" s="1159"/>
    </row>
    <row r="144" spans="1:7" ht="13" customHeight="1">
      <c r="B144" s="1158"/>
      <c r="C144" s="1162" t="s">
        <v>469</v>
      </c>
      <c r="D144" s="1161"/>
      <c r="E144" s="1161"/>
      <c r="F144" s="1159"/>
      <c r="G144" s="1159"/>
    </row>
    <row r="145" spans="1:7" ht="13" customHeight="1">
      <c r="B145" s="1158"/>
      <c r="C145" s="1496" t="s">
        <v>1337</v>
      </c>
      <c r="D145" s="1161" t="s">
        <v>799</v>
      </c>
      <c r="E145" s="1161">
        <v>1</v>
      </c>
      <c r="F145" s="1164">
        <f>[125]Elec.rates!F21</f>
        <v>55</v>
      </c>
      <c r="G145" s="1164">
        <f>ROUND(E145*F145,2)</f>
        <v>55</v>
      </c>
    </row>
    <row r="146" spans="1:7" ht="13" customHeight="1">
      <c r="B146" s="1158"/>
      <c r="C146" s="1496" t="s">
        <v>1338</v>
      </c>
      <c r="D146" s="1161" t="s">
        <v>799</v>
      </c>
      <c r="E146" s="1161">
        <v>1</v>
      </c>
      <c r="F146" s="1159"/>
      <c r="G146" s="1159"/>
    </row>
    <row r="147" spans="1:7" ht="13" customHeight="1">
      <c r="B147" s="1158"/>
      <c r="C147" s="1498" t="s">
        <v>1283</v>
      </c>
      <c r="D147" s="1161"/>
      <c r="E147" s="1161"/>
      <c r="F147" s="1159"/>
      <c r="G147" s="1159"/>
    </row>
    <row r="148" spans="1:7" ht="13" customHeight="1">
      <c r="B148" s="1158"/>
      <c r="C148" s="1496" t="s">
        <v>1284</v>
      </c>
      <c r="D148" s="1163" t="s">
        <v>119</v>
      </c>
      <c r="E148" s="1161">
        <v>6.2E-2</v>
      </c>
      <c r="F148" s="1164">
        <f>F137</f>
        <v>575</v>
      </c>
      <c r="G148" s="1164">
        <f>ROUND(E148*F148,2)</f>
        <v>35.65</v>
      </c>
    </row>
    <row r="149" spans="1:7" ht="13" customHeight="1">
      <c r="B149" s="1158"/>
      <c r="C149" s="1496" t="s">
        <v>1286</v>
      </c>
      <c r="D149" s="1163" t="s">
        <v>119</v>
      </c>
      <c r="E149" s="1161">
        <v>6.2E-2</v>
      </c>
      <c r="F149" s="1164">
        <f>F138</f>
        <v>460</v>
      </c>
      <c r="G149" s="1164">
        <f>ROUND(E149*F149,2)</f>
        <v>28.52</v>
      </c>
    </row>
    <row r="150" spans="1:7" s="722" customFormat="1" hidden="1">
      <c r="A150" s="892"/>
      <c r="B150" s="731"/>
      <c r="C150" s="813" t="s">
        <v>1724</v>
      </c>
      <c r="D150" s="737">
        <f>D4</f>
        <v>0</v>
      </c>
      <c r="E150" s="778"/>
      <c r="F150" s="778"/>
      <c r="G150" s="812">
        <f>(SUM(G148:G149))*D150</f>
        <v>0</v>
      </c>
    </row>
    <row r="151" spans="1:7" ht="13" customHeight="1">
      <c r="B151" s="1158"/>
      <c r="C151" s="1498" t="s">
        <v>1313</v>
      </c>
      <c r="D151" s="1161"/>
      <c r="E151" s="1161"/>
      <c r="F151" s="1159"/>
      <c r="G151" s="1164">
        <f>ROUND(SUM(G145:G150),2)</f>
        <v>119.17</v>
      </c>
    </row>
    <row r="152" spans="1:7" ht="13" customHeight="1">
      <c r="B152" s="1158"/>
      <c r="C152" s="2097" t="s">
        <v>1761</v>
      </c>
      <c r="D152" s="2095"/>
      <c r="E152" s="1161"/>
      <c r="F152" s="1159"/>
      <c r="G152" s="1159"/>
    </row>
    <row r="153" spans="1:7" s="1013" customFormat="1" ht="13" hidden="1" customHeight="1">
      <c r="A153" s="1012" t="s">
        <v>1339</v>
      </c>
      <c r="B153" s="1168">
        <v>3</v>
      </c>
      <c r="C153" s="1169" t="s">
        <v>1340</v>
      </c>
      <c r="D153" s="1172"/>
      <c r="E153" s="1172"/>
      <c r="F153" s="1170"/>
      <c r="G153" s="1170"/>
    </row>
    <row r="154" spans="1:7" ht="28.5" hidden="1" customHeight="1">
      <c r="A154" s="1495" t="s">
        <v>1341</v>
      </c>
      <c r="B154" s="1158">
        <v>3.1</v>
      </c>
      <c r="C154" s="1498" t="s">
        <v>1342</v>
      </c>
      <c r="D154" s="1161"/>
      <c r="E154" s="1161"/>
      <c r="F154" s="1159"/>
      <c r="G154" s="1159"/>
    </row>
    <row r="155" spans="1:7" ht="39" hidden="1" customHeight="1">
      <c r="A155" s="1014"/>
      <c r="B155" s="1158" t="s">
        <v>1343</v>
      </c>
      <c r="C155" s="1496" t="s">
        <v>1344</v>
      </c>
      <c r="D155" s="1161"/>
      <c r="E155" s="1161"/>
      <c r="F155" s="1159"/>
      <c r="G155" s="1159"/>
    </row>
    <row r="156" spans="1:7" ht="13" hidden="1" customHeight="1">
      <c r="B156" s="1158"/>
      <c r="C156" s="1160" t="s">
        <v>1271</v>
      </c>
      <c r="D156" s="1161"/>
      <c r="E156" s="1161"/>
      <c r="F156" s="1159"/>
      <c r="G156" s="1159"/>
    </row>
    <row r="157" spans="1:7" ht="13" hidden="1" customHeight="1">
      <c r="B157" s="1158"/>
      <c r="C157" s="1162" t="s">
        <v>469</v>
      </c>
      <c r="D157" s="1161"/>
      <c r="E157" s="1161"/>
      <c r="F157" s="1159"/>
      <c r="G157" s="1159"/>
    </row>
    <row r="158" spans="1:7" ht="13" hidden="1" customHeight="1">
      <c r="B158" s="1158"/>
      <c r="C158" s="1496" t="s">
        <v>1302</v>
      </c>
      <c r="D158" s="1161" t="s">
        <v>1273</v>
      </c>
      <c r="E158" s="1161">
        <v>2</v>
      </c>
      <c r="F158" s="1164">
        <v>1000</v>
      </c>
      <c r="G158" s="1164">
        <f>ROUND(E158*F158,2)</f>
        <v>2000</v>
      </c>
    </row>
    <row r="159" spans="1:7" ht="12.75" hidden="1" customHeight="1">
      <c r="B159" s="1158"/>
      <c r="C159" s="1171" t="s">
        <v>1281</v>
      </c>
      <c r="D159" s="1163"/>
      <c r="E159" s="1161"/>
      <c r="F159" s="1166"/>
      <c r="G159" s="1164">
        <f>SUM(G156:G158)</f>
        <v>2000</v>
      </c>
    </row>
    <row r="160" spans="1:7" ht="13" hidden="1" customHeight="1">
      <c r="B160" s="1158"/>
      <c r="C160" s="1498" t="s">
        <v>1283</v>
      </c>
      <c r="D160" s="1161"/>
      <c r="E160" s="1161"/>
      <c r="F160" s="1159"/>
      <c r="G160" s="1159"/>
    </row>
    <row r="161" spans="1:7" ht="13" hidden="1" customHeight="1">
      <c r="B161" s="1158"/>
      <c r="C161" s="1496" t="s">
        <v>1284</v>
      </c>
      <c r="D161" s="1163" t="s">
        <v>119</v>
      </c>
      <c r="E161" s="1161">
        <v>0.67</v>
      </c>
      <c r="F161" s="1164">
        <v>555</v>
      </c>
      <c r="G161" s="1164">
        <f>ROUND(E161*F161,2)</f>
        <v>371.85</v>
      </c>
    </row>
    <row r="162" spans="1:7" ht="13" hidden="1" customHeight="1">
      <c r="B162" s="1158"/>
      <c r="C162" s="1496" t="s">
        <v>1325</v>
      </c>
      <c r="D162" s="1163" t="s">
        <v>119</v>
      </c>
      <c r="E162" s="1161">
        <v>2</v>
      </c>
      <c r="F162" s="1164">
        <v>445</v>
      </c>
      <c r="G162" s="1164">
        <f>ROUND(E162*F162,2)</f>
        <v>890</v>
      </c>
    </row>
    <row r="163" spans="1:7" ht="13" hidden="1" customHeight="1">
      <c r="B163" s="1158"/>
      <c r="C163" s="1496" t="s">
        <v>1286</v>
      </c>
      <c r="D163" s="1163" t="s">
        <v>119</v>
      </c>
      <c r="E163" s="1161">
        <v>0.67</v>
      </c>
      <c r="F163" s="1164">
        <v>400</v>
      </c>
      <c r="G163" s="1164">
        <f>ROUND(E163*F163,2)</f>
        <v>268</v>
      </c>
    </row>
    <row r="164" spans="1:7" ht="13" hidden="1" customHeight="1">
      <c r="B164" s="1158"/>
      <c r="C164" s="1496" t="s">
        <v>798</v>
      </c>
      <c r="D164" s="1161"/>
      <c r="E164" s="1161"/>
      <c r="F164" s="1159"/>
      <c r="G164" s="1159"/>
    </row>
    <row r="165" spans="1:7" ht="13" hidden="1" customHeight="1">
      <c r="B165" s="1158"/>
      <c r="C165" s="1498" t="s">
        <v>1287</v>
      </c>
      <c r="D165" s="1161"/>
      <c r="E165" s="1161"/>
      <c r="F165" s="1159"/>
      <c r="G165" s="1164">
        <f>SUM(G159:G164)</f>
        <v>3529.85</v>
      </c>
    </row>
    <row r="166" spans="1:7" ht="13" hidden="1" customHeight="1">
      <c r="B166" s="1158"/>
      <c r="C166" s="1498" t="s">
        <v>1288</v>
      </c>
      <c r="D166" s="1161"/>
      <c r="E166" s="1161"/>
      <c r="F166" s="1159"/>
      <c r="G166" s="1164">
        <f>ROUND(G165/100,2)</f>
        <v>35.299999999999997</v>
      </c>
    </row>
    <row r="167" spans="1:7" ht="13" hidden="1" customHeight="1">
      <c r="B167" s="1158"/>
      <c r="C167" s="2092" t="s">
        <v>1345</v>
      </c>
      <c r="D167" s="2092"/>
      <c r="E167" s="1161"/>
      <c r="F167" s="1159"/>
      <c r="G167" s="1159"/>
    </row>
    <row r="168" spans="1:7" ht="42" hidden="1" customHeight="1">
      <c r="A168" s="1014"/>
      <c r="B168" s="1158" t="s">
        <v>1346</v>
      </c>
      <c r="C168" s="1496" t="s">
        <v>1347</v>
      </c>
      <c r="D168" s="1161"/>
      <c r="E168" s="1161"/>
      <c r="F168" s="1159"/>
      <c r="G168" s="1159"/>
    </row>
    <row r="169" spans="1:7" ht="13" hidden="1" customHeight="1">
      <c r="B169" s="1158"/>
      <c r="C169" s="1160" t="s">
        <v>1271</v>
      </c>
      <c r="D169" s="1161"/>
      <c r="E169" s="1161"/>
      <c r="F169" s="1159"/>
      <c r="G169" s="1159"/>
    </row>
    <row r="170" spans="1:7" ht="13" hidden="1" customHeight="1">
      <c r="B170" s="1158"/>
      <c r="C170" s="1162" t="s">
        <v>469</v>
      </c>
      <c r="D170" s="1161"/>
      <c r="E170" s="1161"/>
      <c r="F170" s="1159"/>
      <c r="G170" s="1159"/>
    </row>
    <row r="171" spans="1:7" ht="13" hidden="1" customHeight="1">
      <c r="B171" s="1158"/>
      <c r="C171" s="1496" t="s">
        <v>1302</v>
      </c>
      <c r="D171" s="1161" t="s">
        <v>1273</v>
      </c>
      <c r="E171" s="1161">
        <v>1</v>
      </c>
      <c r="F171" s="1164">
        <v>1000</v>
      </c>
      <c r="G171" s="1164">
        <f>ROUND(E171*F171,2)</f>
        <v>1000</v>
      </c>
    </row>
    <row r="172" spans="1:7" ht="12.75" hidden="1" customHeight="1">
      <c r="B172" s="1158"/>
      <c r="C172" s="1171" t="s">
        <v>1281</v>
      </c>
      <c r="D172" s="1163"/>
      <c r="E172" s="1161"/>
      <c r="F172" s="1166"/>
      <c r="G172" s="1164">
        <f>SUM(G169:G171)</f>
        <v>1000</v>
      </c>
    </row>
    <row r="173" spans="1:7" ht="13" hidden="1" customHeight="1">
      <c r="B173" s="1158"/>
      <c r="C173" s="1498" t="s">
        <v>1283</v>
      </c>
      <c r="D173" s="1161"/>
      <c r="E173" s="1161"/>
      <c r="F173" s="1159"/>
      <c r="G173" s="1159"/>
    </row>
    <row r="174" spans="1:7" ht="13" hidden="1" customHeight="1">
      <c r="B174" s="1158"/>
      <c r="C174" s="1496" t="s">
        <v>1284</v>
      </c>
      <c r="D174" s="1163" t="s">
        <v>119</v>
      </c>
      <c r="E174" s="1161">
        <v>0.34</v>
      </c>
      <c r="F174" s="1164">
        <v>555</v>
      </c>
      <c r="G174" s="1164">
        <f>ROUND(E174*F174,2)</f>
        <v>188.7</v>
      </c>
    </row>
    <row r="175" spans="1:7" ht="13" hidden="1" customHeight="1">
      <c r="B175" s="1158"/>
      <c r="C175" s="1496" t="s">
        <v>1325</v>
      </c>
      <c r="D175" s="1163" t="s">
        <v>119</v>
      </c>
      <c r="E175" s="1161">
        <v>1</v>
      </c>
      <c r="F175" s="1164">
        <v>445</v>
      </c>
      <c r="G175" s="1164">
        <f>ROUND(E175*F175,2)</f>
        <v>445</v>
      </c>
    </row>
    <row r="176" spans="1:7" ht="13" hidden="1" customHeight="1">
      <c r="B176" s="1158"/>
      <c r="C176" s="1496" t="s">
        <v>1286</v>
      </c>
      <c r="D176" s="1163" t="s">
        <v>119</v>
      </c>
      <c r="E176" s="1161">
        <v>0.34</v>
      </c>
      <c r="F176" s="1164">
        <v>400</v>
      </c>
      <c r="G176" s="1164">
        <f>ROUND(E176*F176,2)</f>
        <v>136</v>
      </c>
    </row>
    <row r="177" spans="1:7" ht="13" hidden="1" customHeight="1">
      <c r="B177" s="1158"/>
      <c r="C177" s="1496" t="s">
        <v>798</v>
      </c>
      <c r="D177" s="1161"/>
      <c r="E177" s="1161"/>
      <c r="F177" s="1159"/>
      <c r="G177" s="1159"/>
    </row>
    <row r="178" spans="1:7" ht="13" hidden="1" customHeight="1">
      <c r="B178" s="1158"/>
      <c r="C178" s="1498" t="s">
        <v>1287</v>
      </c>
      <c r="D178" s="1161"/>
      <c r="E178" s="1161"/>
      <c r="F178" s="1159"/>
      <c r="G178" s="1164">
        <f>SUM(G172:G177)</f>
        <v>1769.7</v>
      </c>
    </row>
    <row r="179" spans="1:7" ht="13" hidden="1" customHeight="1">
      <c r="B179" s="1158"/>
      <c r="C179" s="1498" t="s">
        <v>1288</v>
      </c>
      <c r="D179" s="1161"/>
      <c r="E179" s="1161"/>
      <c r="F179" s="1159"/>
      <c r="G179" s="1164">
        <f>ROUND(G178/100,2)</f>
        <v>17.7</v>
      </c>
    </row>
    <row r="180" spans="1:7" ht="13" hidden="1" customHeight="1">
      <c r="B180" s="1158"/>
      <c r="C180" s="2092" t="s">
        <v>1345</v>
      </c>
      <c r="D180" s="2092"/>
      <c r="E180" s="1161"/>
      <c r="F180" s="1159"/>
      <c r="G180" s="1159"/>
    </row>
    <row r="181" spans="1:7" ht="27.75" customHeight="1">
      <c r="A181" s="1014"/>
      <c r="B181" s="1158" t="s">
        <v>1348</v>
      </c>
      <c r="C181" s="2089" t="s">
        <v>1349</v>
      </c>
      <c r="D181" s="2089"/>
      <c r="E181" s="2089"/>
      <c r="F181" s="2089"/>
      <c r="G181" s="1159"/>
    </row>
    <row r="182" spans="1:7" ht="13" customHeight="1">
      <c r="B182" s="1158"/>
      <c r="C182" s="1160" t="s">
        <v>1271</v>
      </c>
      <c r="D182" s="1161"/>
      <c r="E182" s="1161"/>
      <c r="F182" s="1159"/>
      <c r="G182" s="1159"/>
    </row>
    <row r="183" spans="1:7" ht="13" customHeight="1">
      <c r="B183" s="1158"/>
      <c r="C183" s="1162" t="s">
        <v>469</v>
      </c>
      <c r="D183" s="1161"/>
      <c r="E183" s="1161"/>
      <c r="F183" s="1159"/>
      <c r="G183" s="1159"/>
    </row>
    <row r="184" spans="1:7" ht="13" customHeight="1">
      <c r="B184" s="1158"/>
      <c r="C184" s="1496" t="s">
        <v>1350</v>
      </c>
      <c r="D184" s="1161" t="s">
        <v>1273</v>
      </c>
      <c r="E184" s="1161">
        <v>2</v>
      </c>
      <c r="F184" s="1164">
        <f>[125]Elec.rates!F22</f>
        <v>1510</v>
      </c>
      <c r="G184" s="1164">
        <f>ROUND(E184*F184,2)</f>
        <v>3020</v>
      </c>
    </row>
    <row r="185" spans="1:7" ht="13" customHeight="1">
      <c r="B185" s="1158"/>
      <c r="C185" s="1498" t="s">
        <v>1283</v>
      </c>
      <c r="D185" s="1161"/>
      <c r="E185" s="1161"/>
      <c r="F185" s="1159"/>
      <c r="G185" s="1159"/>
    </row>
    <row r="186" spans="1:7" ht="13" customHeight="1">
      <c r="B186" s="1158"/>
      <c r="C186" s="1496" t="s">
        <v>1284</v>
      </c>
      <c r="D186" s="1163" t="s">
        <v>119</v>
      </c>
      <c r="E186" s="1161">
        <v>0.67</v>
      </c>
      <c r="F186" s="1164">
        <f>F67</f>
        <v>575</v>
      </c>
      <c r="G186" s="1164">
        <f>ROUND(E186*F186,2)</f>
        <v>385.25</v>
      </c>
    </row>
    <row r="187" spans="1:7" ht="13" customHeight="1">
      <c r="B187" s="1158"/>
      <c r="C187" s="1496" t="s">
        <v>1325</v>
      </c>
      <c r="D187" s="1163" t="s">
        <v>119</v>
      </c>
      <c r="E187" s="1161">
        <v>2</v>
      </c>
      <c r="F187" s="1164">
        <f>F68</f>
        <v>471</v>
      </c>
      <c r="G187" s="1164">
        <f>ROUND(E187*F187,2)</f>
        <v>942</v>
      </c>
    </row>
    <row r="188" spans="1:7" ht="13" customHeight="1">
      <c r="B188" s="1158"/>
      <c r="C188" s="1496" t="s">
        <v>1286</v>
      </c>
      <c r="D188" s="1163" t="s">
        <v>119</v>
      </c>
      <c r="E188" s="1161">
        <v>0.67</v>
      </c>
      <c r="F188" s="1164">
        <f>F69</f>
        <v>460</v>
      </c>
      <c r="G188" s="1164">
        <f>ROUND(E188*F188,2)</f>
        <v>308.2</v>
      </c>
    </row>
    <row r="189" spans="1:7" s="722" customFormat="1" hidden="1">
      <c r="A189" s="892"/>
      <c r="B189" s="731"/>
      <c r="C189" s="813" t="s">
        <v>1724</v>
      </c>
      <c r="D189" s="737">
        <f>D4</f>
        <v>0</v>
      </c>
      <c r="E189" s="778"/>
      <c r="F189" s="778"/>
      <c r="G189" s="812">
        <f>(SUM(G186:G188))*D189</f>
        <v>0</v>
      </c>
    </row>
    <row r="190" spans="1:7" ht="13" hidden="1" customHeight="1">
      <c r="B190" s="1158"/>
      <c r="C190" s="1496" t="s">
        <v>798</v>
      </c>
      <c r="D190" s="1161"/>
      <c r="E190" s="1161"/>
      <c r="F190" s="1159"/>
      <c r="G190" s="1159"/>
    </row>
    <row r="191" spans="1:7" ht="13" customHeight="1">
      <c r="B191" s="1158"/>
      <c r="C191" s="1498" t="s">
        <v>1287</v>
      </c>
      <c r="D191" s="1161"/>
      <c r="E191" s="1161"/>
      <c r="F191" s="1159"/>
      <c r="G191" s="1164">
        <f>SUM(G184:G190)</f>
        <v>4655.45</v>
      </c>
    </row>
    <row r="192" spans="1:7" ht="12.75" customHeight="1">
      <c r="B192" s="1158"/>
      <c r="C192" s="1498" t="s">
        <v>1288</v>
      </c>
      <c r="D192" s="1161"/>
      <c r="E192" s="1161"/>
      <c r="F192" s="1159"/>
      <c r="G192" s="1164">
        <f>ROUND(G191/100,2)</f>
        <v>46.55</v>
      </c>
    </row>
    <row r="193" spans="1:7" ht="13" customHeight="1">
      <c r="B193" s="1158"/>
      <c r="C193" s="2092" t="s">
        <v>1345</v>
      </c>
      <c r="D193" s="2092"/>
      <c r="E193" s="1161"/>
      <c r="F193" s="1159"/>
      <c r="G193" s="1159"/>
    </row>
    <row r="194" spans="1:7" ht="29.25" customHeight="1">
      <c r="A194" s="1014"/>
      <c r="B194" s="1158" t="s">
        <v>1351</v>
      </c>
      <c r="C194" s="2089" t="s">
        <v>800</v>
      </c>
      <c r="D194" s="2089"/>
      <c r="E194" s="2089"/>
      <c r="F194" s="2089"/>
      <c r="G194" s="1159"/>
    </row>
    <row r="195" spans="1:7" ht="13" customHeight="1">
      <c r="B195" s="1158"/>
      <c r="C195" s="1160" t="s">
        <v>1271</v>
      </c>
      <c r="D195" s="1161"/>
      <c r="E195" s="1161"/>
      <c r="F195" s="1159"/>
      <c r="G195" s="1159"/>
    </row>
    <row r="196" spans="1:7" ht="13" customHeight="1">
      <c r="B196" s="1158"/>
      <c r="C196" s="1162" t="s">
        <v>469</v>
      </c>
      <c r="D196" s="1161"/>
      <c r="E196" s="1161"/>
      <c r="F196" s="1159"/>
      <c r="G196" s="1159"/>
    </row>
    <row r="197" spans="1:7" ht="15.75" customHeight="1">
      <c r="B197" s="1158"/>
      <c r="C197" s="1496" t="s">
        <v>1352</v>
      </c>
      <c r="D197" s="1173" t="s">
        <v>1273</v>
      </c>
      <c r="E197" s="1173">
        <v>2</v>
      </c>
      <c r="F197" s="1174">
        <f>[125]Elec.rates!F23</f>
        <v>2440</v>
      </c>
      <c r="G197" s="1174">
        <f>ROUND(E197*F197,2)</f>
        <v>4880</v>
      </c>
    </row>
    <row r="198" spans="1:7" ht="13" customHeight="1">
      <c r="B198" s="1158"/>
      <c r="C198" s="1498" t="s">
        <v>1283</v>
      </c>
      <c r="D198" s="1161"/>
      <c r="E198" s="1161"/>
      <c r="F198" s="1159"/>
      <c r="G198" s="1159"/>
    </row>
    <row r="199" spans="1:7" ht="13" customHeight="1">
      <c r="B199" s="1158"/>
      <c r="C199" s="1496" t="s">
        <v>1284</v>
      </c>
      <c r="D199" s="1163" t="s">
        <v>119</v>
      </c>
      <c r="E199" s="1161">
        <v>0.67</v>
      </c>
      <c r="F199" s="1164">
        <f>F186</f>
        <v>575</v>
      </c>
      <c r="G199" s="1164">
        <f>ROUND(E199*F199,2)</f>
        <v>385.25</v>
      </c>
    </row>
    <row r="200" spans="1:7" ht="13" customHeight="1">
      <c r="B200" s="1158"/>
      <c r="C200" s="1496" t="s">
        <v>1325</v>
      </c>
      <c r="D200" s="1163" t="s">
        <v>119</v>
      </c>
      <c r="E200" s="1161">
        <v>2</v>
      </c>
      <c r="F200" s="1164">
        <f>F187</f>
        <v>471</v>
      </c>
      <c r="G200" s="1164">
        <f>ROUND(E200*F200,2)</f>
        <v>942</v>
      </c>
    </row>
    <row r="201" spans="1:7" ht="13" customHeight="1">
      <c r="B201" s="1158"/>
      <c r="C201" s="1496" t="s">
        <v>1286</v>
      </c>
      <c r="D201" s="1163" t="s">
        <v>119</v>
      </c>
      <c r="E201" s="1161">
        <v>0.67</v>
      </c>
      <c r="F201" s="1164">
        <f>F188</f>
        <v>460</v>
      </c>
      <c r="G201" s="1164">
        <f>ROUND(E201*F201,2)</f>
        <v>308.2</v>
      </c>
    </row>
    <row r="202" spans="1:7" s="722" customFormat="1">
      <c r="A202" s="892"/>
      <c r="B202" s="731"/>
      <c r="C202" s="813" t="s">
        <v>1724</v>
      </c>
      <c r="D202" s="737">
        <f>D4</f>
        <v>0</v>
      </c>
      <c r="E202" s="778"/>
      <c r="F202" s="778"/>
      <c r="G202" s="812">
        <f>(SUM(G199:G201))*D202</f>
        <v>0</v>
      </c>
    </row>
    <row r="203" spans="1:7" ht="13" hidden="1" customHeight="1">
      <c r="B203" s="1158"/>
      <c r="C203" s="1496" t="s">
        <v>798</v>
      </c>
      <c r="D203" s="1161"/>
      <c r="E203" s="1161"/>
      <c r="F203" s="1159"/>
      <c r="G203" s="1159"/>
    </row>
    <row r="204" spans="1:7" ht="13" customHeight="1">
      <c r="B204" s="1158"/>
      <c r="C204" s="1498" t="s">
        <v>1287</v>
      </c>
      <c r="D204" s="1161"/>
      <c r="E204" s="1161"/>
      <c r="F204" s="1159"/>
      <c r="G204" s="1164">
        <f>SUM(G197:G203)</f>
        <v>6515.45</v>
      </c>
    </row>
    <row r="205" spans="1:7" ht="13" customHeight="1">
      <c r="B205" s="1158"/>
      <c r="C205" s="1498" t="s">
        <v>1288</v>
      </c>
      <c r="D205" s="1161"/>
      <c r="E205" s="1161"/>
      <c r="F205" s="1159"/>
      <c r="G205" s="1164">
        <f>ROUND(G204/100,2)</f>
        <v>65.150000000000006</v>
      </c>
    </row>
    <row r="206" spans="1:7" ht="13" customHeight="1">
      <c r="B206" s="1158"/>
      <c r="C206" s="2092" t="s">
        <v>1345</v>
      </c>
      <c r="D206" s="2092"/>
      <c r="E206" s="1161"/>
      <c r="F206" s="1159"/>
      <c r="G206" s="1159"/>
    </row>
    <row r="207" spans="1:7" s="1016" customFormat="1" ht="27" customHeight="1">
      <c r="A207" s="1015"/>
      <c r="B207" s="1175" t="s">
        <v>1353</v>
      </c>
      <c r="C207" s="2089" t="s">
        <v>1354</v>
      </c>
      <c r="D207" s="2089"/>
      <c r="E207" s="2089"/>
      <c r="F207" s="2089"/>
      <c r="G207" s="1176"/>
    </row>
    <row r="208" spans="1:7" s="1016" customFormat="1" ht="13" customHeight="1">
      <c r="A208" s="1017"/>
      <c r="B208" s="1175"/>
      <c r="C208" s="1177" t="s">
        <v>1271</v>
      </c>
      <c r="D208" s="1178"/>
      <c r="E208" s="1178"/>
      <c r="F208" s="1176"/>
      <c r="G208" s="1176"/>
    </row>
    <row r="209" spans="1:7" s="1016" customFormat="1" ht="13" customHeight="1">
      <c r="A209" s="1017"/>
      <c r="B209" s="1175"/>
      <c r="C209" s="1179" t="s">
        <v>469</v>
      </c>
      <c r="D209" s="1178"/>
      <c r="E209" s="1178"/>
      <c r="F209" s="1176"/>
      <c r="G209" s="1176"/>
    </row>
    <row r="210" spans="1:7" s="1016" customFormat="1" ht="13" customHeight="1">
      <c r="A210" s="1017"/>
      <c r="B210" s="1175"/>
      <c r="C210" s="1180" t="s">
        <v>1355</v>
      </c>
      <c r="D210" s="1178" t="s">
        <v>1273</v>
      </c>
      <c r="E210" s="1181">
        <v>2</v>
      </c>
      <c r="F210" s="1182">
        <f>[125]Elec.rates!F24</f>
        <v>3725</v>
      </c>
      <c r="G210" s="1164">
        <f>ROUND(E210*F210,2)</f>
        <v>7450</v>
      </c>
    </row>
    <row r="211" spans="1:7" s="1016" customFormat="1" ht="13" customHeight="1">
      <c r="A211" s="1017"/>
      <c r="B211" s="1175"/>
      <c r="C211" s="1183" t="s">
        <v>1283</v>
      </c>
      <c r="D211" s="1178"/>
      <c r="E211" s="1181"/>
      <c r="F211" s="1176"/>
      <c r="G211" s="1176"/>
    </row>
    <row r="212" spans="1:7" s="1016" customFormat="1" ht="13" customHeight="1">
      <c r="A212" s="1017"/>
      <c r="B212" s="1175"/>
      <c r="C212" s="1180" t="s">
        <v>1284</v>
      </c>
      <c r="D212" s="1184" t="s">
        <v>119</v>
      </c>
      <c r="E212" s="1185">
        <v>1</v>
      </c>
      <c r="F212" s="1164">
        <f>F199</f>
        <v>575</v>
      </c>
      <c r="G212" s="1164">
        <f>ROUND(E212*F212,2)</f>
        <v>575</v>
      </c>
    </row>
    <row r="213" spans="1:7" s="1016" customFormat="1" ht="13" customHeight="1">
      <c r="A213" s="1017"/>
      <c r="B213" s="1175"/>
      <c r="C213" s="1180" t="s">
        <v>1325</v>
      </c>
      <c r="D213" s="1184" t="s">
        <v>119</v>
      </c>
      <c r="E213" s="1185">
        <v>3</v>
      </c>
      <c r="F213" s="1164">
        <f>F200</f>
        <v>471</v>
      </c>
      <c r="G213" s="1164">
        <f>ROUND(E213*F213,2)</f>
        <v>1413</v>
      </c>
    </row>
    <row r="214" spans="1:7" s="1016" customFormat="1" ht="13" customHeight="1">
      <c r="A214" s="1017"/>
      <c r="B214" s="1175"/>
      <c r="C214" s="1180" t="s">
        <v>1286</v>
      </c>
      <c r="D214" s="1184" t="s">
        <v>119</v>
      </c>
      <c r="E214" s="1185">
        <v>1</v>
      </c>
      <c r="F214" s="1164">
        <f>F201</f>
        <v>460</v>
      </c>
      <c r="G214" s="1164">
        <f>ROUND(E214*F214,2)</f>
        <v>460</v>
      </c>
    </row>
    <row r="215" spans="1:7" s="722" customFormat="1">
      <c r="A215" s="892"/>
      <c r="B215" s="731"/>
      <c r="C215" s="813" t="s">
        <v>1724</v>
      </c>
      <c r="D215" s="737">
        <f>D4</f>
        <v>0</v>
      </c>
      <c r="E215" s="778"/>
      <c r="F215" s="778"/>
      <c r="G215" s="812">
        <f>(SUM(G212:G214))*D215</f>
        <v>0</v>
      </c>
    </row>
    <row r="216" spans="1:7" s="1016" customFormat="1" ht="13" hidden="1" customHeight="1">
      <c r="A216" s="1017"/>
      <c r="B216" s="1175"/>
      <c r="C216" s="1180" t="s">
        <v>798</v>
      </c>
      <c r="D216" s="1178"/>
      <c r="E216" s="1178"/>
      <c r="F216" s="1176"/>
      <c r="G216" s="1176"/>
    </row>
    <row r="217" spans="1:7" s="1016" customFormat="1" ht="13" customHeight="1">
      <c r="A217" s="1017"/>
      <c r="B217" s="1175"/>
      <c r="C217" s="1183" t="s">
        <v>1287</v>
      </c>
      <c r="D217" s="1178"/>
      <c r="E217" s="1178"/>
      <c r="F217" s="1176"/>
      <c r="G217" s="1182">
        <f>SUM(G210:G216)</f>
        <v>9898</v>
      </c>
    </row>
    <row r="218" spans="1:7" s="1016" customFormat="1" ht="13" customHeight="1">
      <c r="A218" s="1017"/>
      <c r="B218" s="1175"/>
      <c r="C218" s="1183" t="s">
        <v>1288</v>
      </c>
      <c r="D218" s="1178"/>
      <c r="E218" s="1178"/>
      <c r="F218" s="1176"/>
      <c r="G218" s="1164">
        <f>ROUND(G217/100,2)</f>
        <v>98.98</v>
      </c>
    </row>
    <row r="219" spans="1:7" s="1016" customFormat="1" ht="13" customHeight="1">
      <c r="A219" s="1017"/>
      <c r="B219" s="1175"/>
      <c r="C219" s="2093" t="s">
        <v>1356</v>
      </c>
      <c r="D219" s="2093"/>
      <c r="E219" s="1178"/>
      <c r="F219" s="1176"/>
      <c r="G219" s="1176"/>
    </row>
    <row r="220" spans="1:7" ht="27.75" customHeight="1">
      <c r="A220" s="1014"/>
      <c r="B220" s="1158" t="s">
        <v>1357</v>
      </c>
      <c r="C220" s="2089" t="s">
        <v>1358</v>
      </c>
      <c r="D220" s="2089"/>
      <c r="E220" s="2089"/>
      <c r="F220" s="2089"/>
      <c r="G220" s="1159"/>
    </row>
    <row r="221" spans="1:7" ht="13" customHeight="1">
      <c r="B221" s="1158"/>
      <c r="C221" s="1160" t="s">
        <v>1271</v>
      </c>
      <c r="D221" s="1161"/>
      <c r="E221" s="1161"/>
      <c r="F221" s="1159"/>
      <c r="G221" s="1159"/>
    </row>
    <row r="222" spans="1:7" ht="13" customHeight="1">
      <c r="B222" s="1158"/>
      <c r="C222" s="1162" t="s">
        <v>469</v>
      </c>
      <c r="D222" s="1161"/>
      <c r="E222" s="1161"/>
      <c r="F222" s="1159"/>
      <c r="G222" s="1159"/>
    </row>
    <row r="223" spans="1:7" ht="15" customHeight="1">
      <c r="B223" s="1158"/>
      <c r="C223" s="1496" t="s">
        <v>1352</v>
      </c>
      <c r="D223" s="1173" t="s">
        <v>1273</v>
      </c>
      <c r="E223" s="1173">
        <v>1</v>
      </c>
      <c r="F223" s="1174">
        <f>F197</f>
        <v>2440</v>
      </c>
      <c r="G223" s="1174">
        <f>ROUND(E223*F223,2)</f>
        <v>2440</v>
      </c>
    </row>
    <row r="224" spans="1:7" ht="13" customHeight="1">
      <c r="B224" s="1158"/>
      <c r="C224" s="1498" t="s">
        <v>1283</v>
      </c>
      <c r="D224" s="1161"/>
      <c r="E224" s="1161"/>
      <c r="F224" s="1159"/>
      <c r="G224" s="1159"/>
    </row>
    <row r="225" spans="1:7" ht="13" customHeight="1">
      <c r="B225" s="1158"/>
      <c r="C225" s="1496" t="s">
        <v>1284</v>
      </c>
      <c r="D225" s="1163" t="s">
        <v>119</v>
      </c>
      <c r="E225" s="1161">
        <v>0.34</v>
      </c>
      <c r="F225" s="1164">
        <f>F212</f>
        <v>575</v>
      </c>
      <c r="G225" s="1164">
        <f>ROUND(E225*F225,2)</f>
        <v>195.5</v>
      </c>
    </row>
    <row r="226" spans="1:7" ht="13" customHeight="1">
      <c r="B226" s="1158"/>
      <c r="C226" s="1496" t="s">
        <v>1325</v>
      </c>
      <c r="D226" s="1163" t="s">
        <v>119</v>
      </c>
      <c r="E226" s="1161">
        <v>1</v>
      </c>
      <c r="F226" s="1164">
        <f>F213</f>
        <v>471</v>
      </c>
      <c r="G226" s="1164">
        <f>ROUND(E226*F226,2)</f>
        <v>471</v>
      </c>
    </row>
    <row r="227" spans="1:7" ht="13" customHeight="1">
      <c r="B227" s="1158"/>
      <c r="C227" s="1496" t="s">
        <v>1286</v>
      </c>
      <c r="D227" s="1163" t="s">
        <v>119</v>
      </c>
      <c r="E227" s="1161">
        <v>0.34</v>
      </c>
      <c r="F227" s="1164">
        <f>F214</f>
        <v>460</v>
      </c>
      <c r="G227" s="1164">
        <f>ROUND(E227*F227,2)</f>
        <v>156.4</v>
      </c>
    </row>
    <row r="228" spans="1:7" s="722" customFormat="1">
      <c r="A228" s="892"/>
      <c r="B228" s="731"/>
      <c r="C228" s="813" t="s">
        <v>1724</v>
      </c>
      <c r="D228" s="737">
        <f>D4</f>
        <v>0</v>
      </c>
      <c r="E228" s="778"/>
      <c r="F228" s="778"/>
      <c r="G228" s="812">
        <f>(SUM(G225:G227))*D228</f>
        <v>0</v>
      </c>
    </row>
    <row r="229" spans="1:7" ht="13" customHeight="1">
      <c r="B229" s="1158"/>
      <c r="C229" s="1496" t="s">
        <v>798</v>
      </c>
      <c r="D229" s="1161"/>
      <c r="E229" s="1161"/>
      <c r="F229" s="1159"/>
      <c r="G229" s="1159"/>
    </row>
    <row r="230" spans="1:7" ht="13" customHeight="1">
      <c r="B230" s="1158"/>
      <c r="C230" s="1498" t="s">
        <v>1287</v>
      </c>
      <c r="D230" s="1161"/>
      <c r="E230" s="1161"/>
      <c r="F230" s="1159"/>
      <c r="G230" s="1164">
        <f>SUM(G223:G229)</f>
        <v>3262.9</v>
      </c>
    </row>
    <row r="231" spans="1:7" ht="13" customHeight="1">
      <c r="B231" s="1158"/>
      <c r="C231" s="1498" t="s">
        <v>1288</v>
      </c>
      <c r="D231" s="1161"/>
      <c r="E231" s="1161"/>
      <c r="F231" s="1159"/>
      <c r="G231" s="1164">
        <f>ROUND(G230/100,2)</f>
        <v>32.630000000000003</v>
      </c>
    </row>
    <row r="232" spans="1:7" ht="13" customHeight="1">
      <c r="B232" s="1158"/>
      <c r="C232" s="2092" t="s">
        <v>1345</v>
      </c>
      <c r="D232" s="2092"/>
      <c r="E232" s="1161"/>
      <c r="F232" s="1159"/>
      <c r="G232" s="1159"/>
    </row>
    <row r="233" spans="1:7" s="1019" customFormat="1" ht="14.25" hidden="1" customHeight="1">
      <c r="A233" s="1018" t="s">
        <v>1359</v>
      </c>
      <c r="B233" s="1186">
        <v>4</v>
      </c>
      <c r="C233" s="1187" t="s">
        <v>1360</v>
      </c>
      <c r="D233" s="1188"/>
      <c r="E233" s="1188"/>
      <c r="F233" s="1189"/>
      <c r="G233" s="1189"/>
    </row>
    <row r="234" spans="1:7" s="1016" customFormat="1" ht="12.75" hidden="1" customHeight="1">
      <c r="A234" s="1015"/>
      <c r="B234" s="1175">
        <v>4.0999999999999996</v>
      </c>
      <c r="C234" s="1183" t="s">
        <v>1361</v>
      </c>
      <c r="D234" s="1178"/>
      <c r="E234" s="1178"/>
      <c r="F234" s="1176"/>
      <c r="G234" s="1176"/>
    </row>
    <row r="235" spans="1:7" s="1016" customFormat="1" ht="39" customHeight="1">
      <c r="A235" s="1015"/>
      <c r="B235" s="1175" t="s">
        <v>1362</v>
      </c>
      <c r="C235" s="2091" t="s">
        <v>1363</v>
      </c>
      <c r="D235" s="2091"/>
      <c r="E235" s="2091"/>
      <c r="F235" s="2091"/>
      <c r="G235" s="1176"/>
    </row>
    <row r="236" spans="1:7" s="1016" customFormat="1" ht="13" customHeight="1">
      <c r="A236" s="1017"/>
      <c r="B236" s="1175"/>
      <c r="C236" s="1177" t="s">
        <v>1310</v>
      </c>
      <c r="D236" s="1178"/>
      <c r="E236" s="1178"/>
      <c r="F236" s="1176"/>
      <c r="G236" s="1176"/>
    </row>
    <row r="237" spans="1:7" s="1016" customFormat="1" ht="13" customHeight="1">
      <c r="A237" s="1017"/>
      <c r="B237" s="1175"/>
      <c r="C237" s="1179" t="s">
        <v>469</v>
      </c>
      <c r="D237" s="1178"/>
      <c r="E237" s="1178"/>
      <c r="F237" s="1176"/>
      <c r="G237" s="1176"/>
    </row>
    <row r="238" spans="1:7" s="1016" customFormat="1" ht="24" customHeight="1">
      <c r="A238" s="1017"/>
      <c r="B238" s="1175"/>
      <c r="C238" s="1180" t="s">
        <v>1364</v>
      </c>
      <c r="D238" s="1178" t="s">
        <v>799</v>
      </c>
      <c r="E238" s="1190">
        <v>1</v>
      </c>
      <c r="F238" s="1191">
        <f>[125]Elec.rates!F25</f>
        <v>1300</v>
      </c>
      <c r="G238" s="1174">
        <f>ROUND(E238*F238,2)</f>
        <v>1300</v>
      </c>
    </row>
    <row r="239" spans="1:7" s="1016" customFormat="1" ht="13" customHeight="1">
      <c r="A239" s="1017"/>
      <c r="B239" s="1175"/>
      <c r="C239" s="1183" t="s">
        <v>1283</v>
      </c>
      <c r="D239" s="1178"/>
      <c r="E239" s="1178"/>
      <c r="F239" s="1176"/>
      <c r="G239" s="1176"/>
    </row>
    <row r="240" spans="1:7" s="1016" customFormat="1" ht="13" customHeight="1">
      <c r="A240" s="1017"/>
      <c r="B240" s="1175"/>
      <c r="C240" s="1180" t="s">
        <v>1284</v>
      </c>
      <c r="D240" s="1184" t="s">
        <v>119</v>
      </c>
      <c r="E240" s="1178">
        <v>0.16700000000000001</v>
      </c>
      <c r="F240" s="1164">
        <f>F225</f>
        <v>575</v>
      </c>
      <c r="G240" s="1164">
        <f>ROUND(E240*F240,2)</f>
        <v>96.03</v>
      </c>
    </row>
    <row r="241" spans="1:7" s="1016" customFormat="1" ht="13" customHeight="1">
      <c r="A241" s="1017"/>
      <c r="B241" s="1175"/>
      <c r="C241" s="1180" t="s">
        <v>1325</v>
      </c>
      <c r="D241" s="1184" t="s">
        <v>119</v>
      </c>
      <c r="E241" s="1178">
        <v>0.16700000000000001</v>
      </c>
      <c r="F241" s="1164">
        <f>F226</f>
        <v>471</v>
      </c>
      <c r="G241" s="1164">
        <f>ROUND(E241*F241,2)</f>
        <v>78.66</v>
      </c>
    </row>
    <row r="242" spans="1:7" s="1016" customFormat="1" ht="13" customHeight="1">
      <c r="A242" s="1017"/>
      <c r="B242" s="1175"/>
      <c r="C242" s="1180" t="s">
        <v>1286</v>
      </c>
      <c r="D242" s="1184" t="s">
        <v>119</v>
      </c>
      <c r="E242" s="1178">
        <v>0.33300000000000002</v>
      </c>
      <c r="F242" s="1164">
        <f>F227</f>
        <v>460</v>
      </c>
      <c r="G242" s="1164">
        <f>ROUND(E242*F242,2)</f>
        <v>153.18</v>
      </c>
    </row>
    <row r="243" spans="1:7" s="722" customFormat="1">
      <c r="A243" s="892"/>
      <c r="B243" s="731"/>
      <c r="C243" s="813" t="s">
        <v>1724</v>
      </c>
      <c r="D243" s="737">
        <f>D4</f>
        <v>0</v>
      </c>
      <c r="E243" s="778"/>
      <c r="F243" s="778"/>
      <c r="G243" s="812">
        <f>(SUM(G240:G242))*D243</f>
        <v>0</v>
      </c>
    </row>
    <row r="244" spans="1:7" s="1016" customFormat="1" ht="13" customHeight="1">
      <c r="A244" s="1017"/>
      <c r="B244" s="1175"/>
      <c r="C244" s="1180" t="s">
        <v>1365</v>
      </c>
      <c r="D244" s="1178" t="s">
        <v>728</v>
      </c>
      <c r="E244" s="1178"/>
      <c r="F244" s="1176"/>
      <c r="G244" s="1176"/>
    </row>
    <row r="245" spans="1:7" s="1016" customFormat="1" ht="13" customHeight="1">
      <c r="A245" s="1017"/>
      <c r="B245" s="1175"/>
      <c r="C245" s="1183" t="s">
        <v>1313</v>
      </c>
      <c r="D245" s="1178"/>
      <c r="E245" s="1178"/>
      <c r="F245" s="1176"/>
      <c r="G245" s="1182">
        <f>ROUND(SUM(G238:G244),2)</f>
        <v>1627.87</v>
      </c>
    </row>
    <row r="246" spans="1:7" s="1016" customFormat="1" ht="13" customHeight="1">
      <c r="A246" s="1017"/>
      <c r="B246" s="1175"/>
      <c r="C246" s="2093" t="s">
        <v>1366</v>
      </c>
      <c r="D246" s="2093"/>
      <c r="E246" s="1178"/>
      <c r="F246" s="1176"/>
      <c r="G246" s="1176"/>
    </row>
    <row r="247" spans="1:7" ht="12" hidden="1" customHeight="1">
      <c r="A247" s="2090" t="s">
        <v>1367</v>
      </c>
      <c r="B247" s="1158">
        <v>4.4000000000000004</v>
      </c>
      <c r="C247" s="1498" t="s">
        <v>1368</v>
      </c>
      <c r="D247" s="1161"/>
      <c r="E247" s="1161"/>
      <c r="F247" s="1159"/>
      <c r="G247" s="1159"/>
    </row>
    <row r="248" spans="1:7" ht="50.25" customHeight="1">
      <c r="A248" s="2090"/>
      <c r="B248" s="1158" t="s">
        <v>1369</v>
      </c>
      <c r="C248" s="2089" t="s">
        <v>1370</v>
      </c>
      <c r="D248" s="2089"/>
      <c r="E248" s="2089"/>
      <c r="F248" s="2089"/>
      <c r="G248" s="1159"/>
    </row>
    <row r="249" spans="1:7" ht="27.75" customHeight="1">
      <c r="B249" s="1158" t="s">
        <v>144</v>
      </c>
      <c r="C249" s="1498" t="s">
        <v>1371</v>
      </c>
      <c r="D249" s="1161"/>
      <c r="E249" s="1161"/>
      <c r="F249" s="1159"/>
      <c r="G249" s="1159"/>
    </row>
    <row r="250" spans="1:7" ht="12" customHeight="1">
      <c r="B250" s="1158"/>
      <c r="C250" s="1160" t="s">
        <v>1310</v>
      </c>
      <c r="D250" s="1161"/>
      <c r="E250" s="1161"/>
      <c r="F250" s="1159"/>
      <c r="G250" s="1159"/>
    </row>
    <row r="251" spans="1:7" ht="12" customHeight="1">
      <c r="B251" s="1158"/>
      <c r="C251" s="1162" t="s">
        <v>469</v>
      </c>
      <c r="D251" s="1161"/>
      <c r="E251" s="1161"/>
      <c r="F251" s="1159"/>
      <c r="G251" s="1159"/>
    </row>
    <row r="252" spans="1:7" ht="24" customHeight="1">
      <c r="B252" s="1158"/>
      <c r="C252" s="1496" t="s">
        <v>1846</v>
      </c>
      <c r="D252" s="1161" t="s">
        <v>799</v>
      </c>
      <c r="E252" s="1173">
        <v>1</v>
      </c>
      <c r="F252" s="1174">
        <v>875</v>
      </c>
      <c r="G252" s="1174">
        <f>ROUND(E252*F252,2)</f>
        <v>875</v>
      </c>
    </row>
    <row r="253" spans="1:7" ht="13" customHeight="1">
      <c r="B253" s="1158"/>
      <c r="C253" s="1496" t="s">
        <v>1372</v>
      </c>
      <c r="D253" s="1161" t="s">
        <v>799</v>
      </c>
      <c r="E253" s="1161">
        <v>1</v>
      </c>
      <c r="F253" s="1174">
        <v>360</v>
      </c>
      <c r="G253" s="1164">
        <f>ROUND(E253*F253,2)</f>
        <v>360</v>
      </c>
    </row>
    <row r="254" spans="1:7" ht="13" customHeight="1">
      <c r="B254" s="1158"/>
      <c r="C254" s="1496" t="s">
        <v>1373</v>
      </c>
      <c r="D254" s="1161" t="s">
        <v>799</v>
      </c>
      <c r="E254" s="1161">
        <v>8</v>
      </c>
      <c r="F254" s="1174">
        <f>[125]Elec.rates!F28</f>
        <v>190</v>
      </c>
      <c r="G254" s="1164">
        <f>ROUND(E254*F254,2)</f>
        <v>1520</v>
      </c>
    </row>
    <row r="255" spans="1:7" ht="13" customHeight="1">
      <c r="B255" s="1158"/>
      <c r="C255" s="1498" t="s">
        <v>1283</v>
      </c>
      <c r="D255" s="1161"/>
      <c r="E255" s="1161"/>
      <c r="F255" s="1159"/>
      <c r="G255" s="1159"/>
    </row>
    <row r="256" spans="1:7" ht="13" customHeight="1">
      <c r="B256" s="1158"/>
      <c r="C256" s="1496" t="s">
        <v>1284</v>
      </c>
      <c r="D256" s="1163" t="s">
        <v>119</v>
      </c>
      <c r="E256" s="1161">
        <v>0.5</v>
      </c>
      <c r="F256" s="1164">
        <f>F240</f>
        <v>575</v>
      </c>
      <c r="G256" s="1164">
        <f>ROUND(E256*F256,2)</f>
        <v>287.5</v>
      </c>
    </row>
    <row r="257" spans="1:7" ht="13" customHeight="1">
      <c r="B257" s="1158"/>
      <c r="C257" s="1496" t="s">
        <v>1325</v>
      </c>
      <c r="D257" s="1163" t="s">
        <v>119</v>
      </c>
      <c r="E257" s="1161">
        <v>0.5</v>
      </c>
      <c r="F257" s="1164">
        <f>F241</f>
        <v>471</v>
      </c>
      <c r="G257" s="1164">
        <f>ROUND(E257*F257,2)</f>
        <v>235.5</v>
      </c>
    </row>
    <row r="258" spans="1:7" ht="13" customHeight="1">
      <c r="B258" s="1158"/>
      <c r="C258" s="1496" t="s">
        <v>1286</v>
      </c>
      <c r="D258" s="1163" t="s">
        <v>119</v>
      </c>
      <c r="E258" s="1161">
        <v>1</v>
      </c>
      <c r="F258" s="1164">
        <f>F242</f>
        <v>460</v>
      </c>
      <c r="G258" s="1164">
        <f>ROUND(E258*F258,2)</f>
        <v>460</v>
      </c>
    </row>
    <row r="259" spans="1:7" s="722" customFormat="1" hidden="1">
      <c r="A259" s="892"/>
      <c r="B259" s="731"/>
      <c r="C259" s="813" t="s">
        <v>1724</v>
      </c>
      <c r="D259" s="737">
        <f>D4</f>
        <v>0</v>
      </c>
      <c r="E259" s="778"/>
      <c r="F259" s="778"/>
      <c r="G259" s="812">
        <f>(SUM(G256:G258))*D259</f>
        <v>0</v>
      </c>
    </row>
    <row r="260" spans="1:7" ht="13" hidden="1" customHeight="1">
      <c r="B260" s="1158"/>
      <c r="C260" s="1496" t="s">
        <v>1374</v>
      </c>
      <c r="D260" s="1161" t="s">
        <v>728</v>
      </c>
      <c r="E260" s="1161"/>
      <c r="F260" s="1159"/>
      <c r="G260" s="1159"/>
    </row>
    <row r="261" spans="1:7" ht="13" hidden="1" customHeight="1">
      <c r="B261" s="1158"/>
      <c r="C261" s="1498" t="s">
        <v>1313</v>
      </c>
      <c r="D261" s="1161"/>
      <c r="E261" s="1161"/>
      <c r="F261" s="1159"/>
      <c r="G261" s="1164">
        <f>ROUND(SUM(G252:G260),2)</f>
        <v>3738</v>
      </c>
    </row>
    <row r="262" spans="1:7" ht="13" hidden="1" customHeight="1">
      <c r="B262" s="1158"/>
      <c r="C262" s="2092" t="s">
        <v>1375</v>
      </c>
      <c r="D262" s="2092"/>
      <c r="E262" s="1161"/>
      <c r="F262" s="1159"/>
      <c r="G262" s="1159"/>
    </row>
    <row r="263" spans="1:7" s="1013" customFormat="1" ht="13.5" hidden="1" customHeight="1">
      <c r="A263" s="1012" t="s">
        <v>1376</v>
      </c>
      <c r="B263" s="1168">
        <v>5</v>
      </c>
      <c r="C263" s="1169" t="s">
        <v>1377</v>
      </c>
      <c r="D263" s="1172"/>
      <c r="E263" s="1172"/>
      <c r="F263" s="1170"/>
      <c r="G263" s="1170"/>
    </row>
    <row r="264" spans="1:7" ht="13" hidden="1" customHeight="1">
      <c r="A264" s="2090" t="s">
        <v>1378</v>
      </c>
      <c r="B264" s="1158">
        <v>5.0999999999999996</v>
      </c>
      <c r="C264" s="1498" t="s">
        <v>1377</v>
      </c>
      <c r="D264" s="1161"/>
      <c r="E264" s="1161"/>
      <c r="F264" s="1159"/>
      <c r="G264" s="1159"/>
    </row>
    <row r="265" spans="1:7" ht="51.75" customHeight="1">
      <c r="A265" s="2090"/>
      <c r="B265" s="1175" t="s">
        <v>1379</v>
      </c>
      <c r="C265" s="2091" t="s">
        <v>1380</v>
      </c>
      <c r="D265" s="2091"/>
      <c r="E265" s="2091"/>
      <c r="F265" s="2091"/>
      <c r="G265" s="1159"/>
    </row>
    <row r="266" spans="1:7" ht="11.25" customHeight="1">
      <c r="A266" s="2090"/>
      <c r="B266" s="1175"/>
      <c r="C266" s="1179" t="s">
        <v>469</v>
      </c>
      <c r="D266" s="1178"/>
      <c r="E266" s="1178"/>
      <c r="F266" s="1159"/>
      <c r="G266" s="1159"/>
    </row>
    <row r="267" spans="1:7" ht="27" customHeight="1">
      <c r="A267" s="2090"/>
      <c r="B267" s="1175"/>
      <c r="C267" s="1177" t="s">
        <v>1838</v>
      </c>
      <c r="D267" s="1174" t="s">
        <v>117</v>
      </c>
      <c r="E267" s="1174">
        <f>1.5*0.6*2.1</f>
        <v>1.89</v>
      </c>
      <c r="F267" s="1174">
        <v>250</v>
      </c>
      <c r="G267" s="1174">
        <f t="shared" ref="G267:G277" si="0">ROUND(E267*F267,2)</f>
        <v>472.5</v>
      </c>
    </row>
    <row r="268" spans="1:7" ht="27" hidden="1" customHeight="1">
      <c r="A268" s="2090"/>
      <c r="B268" s="1175"/>
      <c r="C268" s="1177" t="s">
        <v>1381</v>
      </c>
      <c r="D268" s="1174" t="s">
        <v>117</v>
      </c>
      <c r="E268" s="1174">
        <v>0.9</v>
      </c>
      <c r="F268" s="1174">
        <v>0</v>
      </c>
      <c r="G268" s="1174">
        <f t="shared" si="0"/>
        <v>0</v>
      </c>
    </row>
    <row r="269" spans="1:7" ht="24" hidden="1" customHeight="1">
      <c r="A269" s="2090"/>
      <c r="B269" s="1175"/>
      <c r="C269" s="1177" t="s">
        <v>1382</v>
      </c>
      <c r="D269" s="1174"/>
      <c r="E269" s="1174">
        <v>0</v>
      </c>
      <c r="F269" s="1174">
        <f>G267</f>
        <v>472.5</v>
      </c>
      <c r="G269" s="1174">
        <f t="shared" si="0"/>
        <v>0</v>
      </c>
    </row>
    <row r="270" spans="1:7" ht="13" customHeight="1">
      <c r="A270" s="2090"/>
      <c r="B270" s="1175"/>
      <c r="C270" s="1177" t="s">
        <v>1383</v>
      </c>
      <c r="D270" s="1174" t="s">
        <v>1384</v>
      </c>
      <c r="E270" s="1174">
        <v>2.5</v>
      </c>
      <c r="F270" s="1174">
        <f>[125]Elec.rates!F30</f>
        <v>420</v>
      </c>
      <c r="G270" s="1174">
        <f t="shared" si="0"/>
        <v>1050</v>
      </c>
    </row>
    <row r="271" spans="1:7" ht="24.75" customHeight="1">
      <c r="A271" s="2090"/>
      <c r="B271" s="1175"/>
      <c r="C271" s="1180" t="s">
        <v>1385</v>
      </c>
      <c r="D271" s="1174" t="s">
        <v>183</v>
      </c>
      <c r="E271" s="1174">
        <v>2.54</v>
      </c>
      <c r="F271" s="1174">
        <f>[125]Elec.rates!F31</f>
        <v>70</v>
      </c>
      <c r="G271" s="1174">
        <f t="shared" si="0"/>
        <v>177.8</v>
      </c>
    </row>
    <row r="272" spans="1:7" ht="13.5" customHeight="1">
      <c r="A272" s="2090"/>
      <c r="B272" s="1175"/>
      <c r="C272" s="1180" t="s">
        <v>1386</v>
      </c>
      <c r="D272" s="1174"/>
      <c r="E272" s="1174">
        <v>0.83</v>
      </c>
      <c r="F272" s="1174">
        <f>[125]Elec.rates!F32</f>
        <v>65</v>
      </c>
      <c r="G272" s="1174">
        <f t="shared" si="0"/>
        <v>53.95</v>
      </c>
    </row>
    <row r="273" spans="1:7" ht="13" customHeight="1">
      <c r="A273" s="2090"/>
      <c r="B273" s="1175"/>
      <c r="C273" s="1192" t="s">
        <v>1387</v>
      </c>
      <c r="D273" s="1174" t="s">
        <v>183</v>
      </c>
      <c r="E273" s="1174">
        <v>16</v>
      </c>
      <c r="F273" s="1174">
        <f>[125]Elec.rates!F33</f>
        <v>6</v>
      </c>
      <c r="G273" s="1174">
        <f t="shared" si="0"/>
        <v>96</v>
      </c>
    </row>
    <row r="274" spans="1:7" ht="13" customHeight="1">
      <c r="A274" s="2090"/>
      <c r="B274" s="1175"/>
      <c r="C274" s="1180" t="s">
        <v>1388</v>
      </c>
      <c r="D274" s="1174" t="s">
        <v>1389</v>
      </c>
      <c r="E274" s="1174">
        <v>4</v>
      </c>
      <c r="F274" s="1174">
        <f>[125]Elec.rates!F34</f>
        <v>12</v>
      </c>
      <c r="G274" s="1174">
        <f t="shared" si="0"/>
        <v>48</v>
      </c>
    </row>
    <row r="275" spans="1:7" ht="13" customHeight="1">
      <c r="A275" s="2090"/>
      <c r="B275" s="1175"/>
      <c r="C275" s="1180" t="s">
        <v>1390</v>
      </c>
      <c r="D275" s="1174" t="s">
        <v>183</v>
      </c>
      <c r="E275" s="1174">
        <v>1</v>
      </c>
      <c r="F275" s="1174">
        <f>[125]Elec.rates!F35</f>
        <v>250</v>
      </c>
      <c r="G275" s="1174">
        <f t="shared" si="0"/>
        <v>250</v>
      </c>
    </row>
    <row r="276" spans="1:7" ht="13" customHeight="1">
      <c r="A276" s="2090"/>
      <c r="B276" s="1175"/>
      <c r="C276" s="1180" t="s">
        <v>1391</v>
      </c>
      <c r="D276" s="1174" t="s">
        <v>182</v>
      </c>
      <c r="E276" s="1174">
        <v>40</v>
      </c>
      <c r="F276" s="1174">
        <f>[125]Elec.rates!F36</f>
        <v>20</v>
      </c>
      <c r="G276" s="1174">
        <f t="shared" si="0"/>
        <v>800</v>
      </c>
    </row>
    <row r="277" spans="1:7" ht="13" customHeight="1">
      <c r="A277" s="2090"/>
      <c r="B277" s="1175"/>
      <c r="C277" s="1180" t="s">
        <v>1392</v>
      </c>
      <c r="D277" s="1174" t="s">
        <v>182</v>
      </c>
      <c r="E277" s="1174">
        <v>20</v>
      </c>
      <c r="F277" s="1174">
        <f>[125]Elec.rates!F37</f>
        <v>15</v>
      </c>
      <c r="G277" s="1174">
        <f t="shared" si="0"/>
        <v>300</v>
      </c>
    </row>
    <row r="278" spans="1:7" ht="15.75" customHeight="1">
      <c r="A278" s="2090"/>
      <c r="B278" s="1175"/>
      <c r="C278" s="1183" t="s">
        <v>1393</v>
      </c>
      <c r="D278" s="1174"/>
      <c r="E278" s="1174"/>
      <c r="F278" s="1174"/>
      <c r="G278" s="1174"/>
    </row>
    <row r="279" spans="1:7" ht="13" customHeight="1">
      <c r="A279" s="2090"/>
      <c r="B279" s="1175"/>
      <c r="C279" s="1180" t="s">
        <v>1285</v>
      </c>
      <c r="D279" s="1174" t="s">
        <v>217</v>
      </c>
      <c r="E279" s="1174">
        <v>0.5</v>
      </c>
      <c r="F279" s="1174">
        <f>F257</f>
        <v>471</v>
      </c>
      <c r="G279" s="1174">
        <f>ROUND(E279*F279,2)</f>
        <v>235.5</v>
      </c>
    </row>
    <row r="280" spans="1:7" ht="13" customHeight="1">
      <c r="A280" s="2090"/>
      <c r="B280" s="1175"/>
      <c r="C280" s="1180" t="s">
        <v>1286</v>
      </c>
      <c r="D280" s="1174" t="s">
        <v>217</v>
      </c>
      <c r="E280" s="1174">
        <v>0.5</v>
      </c>
      <c r="F280" s="1174">
        <f>F258</f>
        <v>460</v>
      </c>
      <c r="G280" s="1174">
        <f>ROUND(E280*F280,2)</f>
        <v>230</v>
      </c>
    </row>
    <row r="281" spans="1:7" s="722" customFormat="1" hidden="1">
      <c r="A281" s="2090"/>
      <c r="B281" s="731"/>
      <c r="C281" s="813" t="s">
        <v>1724</v>
      </c>
      <c r="D281" s="737">
        <f>D4</f>
        <v>0</v>
      </c>
      <c r="E281" s="778"/>
      <c r="F281" s="778"/>
      <c r="G281" s="812">
        <f>(SUM(G279:G280))*D281</f>
        <v>0</v>
      </c>
    </row>
    <row r="282" spans="1:7" ht="13" hidden="1" customHeight="1">
      <c r="A282" s="2090"/>
      <c r="B282" s="1175"/>
      <c r="C282" s="1180" t="s">
        <v>1394</v>
      </c>
      <c r="D282" s="1178"/>
      <c r="E282" s="1178"/>
      <c r="F282" s="1159"/>
      <c r="G282" s="1159"/>
    </row>
    <row r="283" spans="1:7" ht="13" customHeight="1">
      <c r="A283" s="2090"/>
      <c r="B283" s="1175"/>
      <c r="C283" s="1183" t="s">
        <v>1313</v>
      </c>
      <c r="D283" s="1178"/>
      <c r="E283" s="1178"/>
      <c r="F283" s="1159"/>
      <c r="G283" s="1164">
        <f>SUM(G267:G282)</f>
        <v>3713.75</v>
      </c>
    </row>
    <row r="284" spans="1:7" s="1013" customFormat="1" ht="13" customHeight="1">
      <c r="A284" s="1012" t="s">
        <v>1395</v>
      </c>
      <c r="B284" s="1168">
        <v>6</v>
      </c>
      <c r="C284" s="1193" t="s">
        <v>1396</v>
      </c>
      <c r="D284" s="1172"/>
      <c r="E284" s="1172"/>
      <c r="F284" s="1170"/>
      <c r="G284" s="1170"/>
    </row>
    <row r="285" spans="1:7" ht="13" customHeight="1">
      <c r="A285" s="2090" t="s">
        <v>1397</v>
      </c>
      <c r="B285" s="1158">
        <v>6.1</v>
      </c>
      <c r="C285" s="1497" t="s">
        <v>1398</v>
      </c>
      <c r="D285" s="1161"/>
      <c r="E285" s="1161"/>
      <c r="F285" s="1159"/>
      <c r="G285" s="1159"/>
    </row>
    <row r="286" spans="1:7" ht="36" customHeight="1">
      <c r="A286" s="2090"/>
      <c r="B286" s="1158" t="s">
        <v>1399</v>
      </c>
      <c r="C286" s="2089" t="s">
        <v>1400</v>
      </c>
      <c r="D286" s="2089"/>
      <c r="E286" s="2089"/>
      <c r="F286" s="2089"/>
      <c r="G286" s="1159"/>
    </row>
    <row r="287" spans="1:7" ht="13" customHeight="1">
      <c r="B287" s="1158"/>
      <c r="C287" s="1162" t="s">
        <v>469</v>
      </c>
      <c r="D287" s="1161"/>
      <c r="E287" s="1161"/>
      <c r="F287" s="1159"/>
      <c r="G287" s="1159"/>
    </row>
    <row r="288" spans="1:7" ht="13" customHeight="1">
      <c r="B288" s="1158"/>
      <c r="C288" s="1496" t="s">
        <v>1401</v>
      </c>
      <c r="D288" s="1161" t="s">
        <v>1273</v>
      </c>
      <c r="E288" s="1161">
        <v>2</v>
      </c>
      <c r="F288" s="1164">
        <f>[125]Elec.rates!F38</f>
        <v>690</v>
      </c>
      <c r="G288" s="1164">
        <f>ROUND(E288*F288,2)</f>
        <v>1380</v>
      </c>
    </row>
    <row r="289" spans="1:7" ht="14.25" customHeight="1">
      <c r="B289" s="1158"/>
      <c r="C289" s="1496" t="s">
        <v>1402</v>
      </c>
      <c r="D289" s="1161" t="s">
        <v>131</v>
      </c>
      <c r="E289" s="1161">
        <v>6.7</v>
      </c>
      <c r="F289" s="1194">
        <f>[125]Elec.rates!F39</f>
        <v>65</v>
      </c>
      <c r="G289" s="1194">
        <f>ROUND(E289*F289,2)</f>
        <v>435.5</v>
      </c>
    </row>
    <row r="290" spans="1:7" ht="13" customHeight="1">
      <c r="B290" s="1158"/>
      <c r="C290" s="1496" t="s">
        <v>1403</v>
      </c>
      <c r="D290" s="1161" t="s">
        <v>1275</v>
      </c>
      <c r="E290" s="1161">
        <v>1</v>
      </c>
      <c r="F290" s="1194">
        <f>[125]Elec.rates!F40</f>
        <v>325</v>
      </c>
      <c r="G290" s="1164">
        <f>ROUND(E290*F290,2)</f>
        <v>325</v>
      </c>
    </row>
    <row r="291" spans="1:7" ht="13" customHeight="1">
      <c r="B291" s="1158"/>
      <c r="C291" s="1498" t="s">
        <v>1404</v>
      </c>
      <c r="D291" s="1161"/>
      <c r="E291" s="1161"/>
      <c r="F291" s="1159"/>
      <c r="G291" s="1159"/>
    </row>
    <row r="292" spans="1:7" ht="13" customHeight="1">
      <c r="B292" s="1158"/>
      <c r="C292" s="1496" t="s">
        <v>1284</v>
      </c>
      <c r="D292" s="1161" t="s">
        <v>119</v>
      </c>
      <c r="E292" s="1161">
        <v>1</v>
      </c>
      <c r="F292" s="1164">
        <f>F256</f>
        <v>575</v>
      </c>
      <c r="G292" s="1164">
        <f>ROUND(E292*F292,2)</f>
        <v>575</v>
      </c>
    </row>
    <row r="293" spans="1:7" ht="13" customHeight="1">
      <c r="B293" s="1158"/>
      <c r="C293" s="1496" t="s">
        <v>1405</v>
      </c>
      <c r="D293" s="1161" t="s">
        <v>119</v>
      </c>
      <c r="E293" s="1161">
        <v>1</v>
      </c>
      <c r="F293" s="1164">
        <f>F257</f>
        <v>471</v>
      </c>
      <c r="G293" s="1164">
        <f>ROUND(E293*F293,2)</f>
        <v>471</v>
      </c>
    </row>
    <row r="294" spans="1:7" ht="13" customHeight="1">
      <c r="B294" s="1158"/>
      <c r="C294" s="1496" t="s">
        <v>1107</v>
      </c>
      <c r="D294" s="1161" t="s">
        <v>119</v>
      </c>
      <c r="E294" s="1161">
        <v>1</v>
      </c>
      <c r="F294" s="1164">
        <f>F258</f>
        <v>460</v>
      </c>
      <c r="G294" s="1164">
        <f>ROUND(E294*F294,2)</f>
        <v>460</v>
      </c>
    </row>
    <row r="295" spans="1:7" s="722" customFormat="1" hidden="1">
      <c r="A295" s="999"/>
      <c r="B295" s="731"/>
      <c r="C295" s="813" t="s">
        <v>1724</v>
      </c>
      <c r="D295" s="737">
        <f>D4</f>
        <v>0</v>
      </c>
      <c r="E295" s="778"/>
      <c r="F295" s="778"/>
      <c r="G295" s="812">
        <f>(SUM(G292:G294))*D295</f>
        <v>0</v>
      </c>
    </row>
    <row r="296" spans="1:7" ht="13" hidden="1" customHeight="1">
      <c r="B296" s="1158"/>
      <c r="C296" s="1496" t="s">
        <v>1406</v>
      </c>
      <c r="D296" s="1161"/>
      <c r="E296" s="1161"/>
      <c r="F296" s="1159"/>
      <c r="G296" s="1159"/>
    </row>
    <row r="297" spans="1:7" ht="13" customHeight="1">
      <c r="B297" s="1158"/>
      <c r="C297" s="1498" t="s">
        <v>1407</v>
      </c>
      <c r="D297" s="1161"/>
      <c r="E297" s="1161"/>
      <c r="F297" s="1159"/>
      <c r="G297" s="1164">
        <f>SUM(G288:G296)</f>
        <v>3646.5</v>
      </c>
    </row>
    <row r="298" spans="1:7" ht="13" customHeight="1">
      <c r="B298" s="1158"/>
      <c r="C298" s="1498" t="s">
        <v>1408</v>
      </c>
      <c r="D298" s="1161"/>
      <c r="E298" s="1161"/>
      <c r="F298" s="1159"/>
      <c r="G298" s="1159">
        <f>ROUND(G297/100,2)</f>
        <v>36.47</v>
      </c>
    </row>
    <row r="299" spans="1:7" ht="13" hidden="1" customHeight="1">
      <c r="A299" s="1014" t="s">
        <v>1409</v>
      </c>
      <c r="B299" s="1158">
        <v>7</v>
      </c>
      <c r="C299" s="1498" t="s">
        <v>1410</v>
      </c>
      <c r="D299" s="1161"/>
      <c r="E299" s="1161"/>
      <c r="F299" s="1159"/>
      <c r="G299" s="1159"/>
    </row>
    <row r="300" spans="1:7" ht="13" hidden="1" customHeight="1">
      <c r="A300" s="2090" t="s">
        <v>1411</v>
      </c>
      <c r="B300" s="1158">
        <v>7.1</v>
      </c>
      <c r="C300" s="1498" t="s">
        <v>1412</v>
      </c>
      <c r="D300" s="1161"/>
      <c r="E300" s="1161"/>
      <c r="F300" s="1159"/>
      <c r="G300" s="1159"/>
    </row>
    <row r="301" spans="1:7" ht="38.25" customHeight="1">
      <c r="A301" s="2090"/>
      <c r="B301" s="1158" t="s">
        <v>1413</v>
      </c>
      <c r="C301" s="2089" t="s">
        <v>1841</v>
      </c>
      <c r="D301" s="2089"/>
      <c r="E301" s="2089"/>
      <c r="F301" s="2089"/>
      <c r="G301" s="1159"/>
    </row>
    <row r="302" spans="1:7" ht="13" customHeight="1">
      <c r="B302" s="1158"/>
      <c r="C302" s="1195" t="s">
        <v>469</v>
      </c>
      <c r="D302" s="1161"/>
      <c r="E302" s="1161"/>
      <c r="F302" s="1159"/>
      <c r="G302" s="1159"/>
    </row>
    <row r="303" spans="1:7" ht="14.25" customHeight="1">
      <c r="B303" s="1158"/>
      <c r="C303" s="1496" t="s">
        <v>1414</v>
      </c>
      <c r="D303" s="1161" t="s">
        <v>799</v>
      </c>
      <c r="E303" s="1173">
        <v>1</v>
      </c>
      <c r="F303" s="1174">
        <f>[125]Elec.rates!F41</f>
        <v>1150</v>
      </c>
      <c r="G303" s="1174">
        <f>ROUND(E303*F303,2)</f>
        <v>1150</v>
      </c>
    </row>
    <row r="304" spans="1:7" ht="13" customHeight="1">
      <c r="B304" s="1158"/>
      <c r="C304" s="1496" t="s">
        <v>1415</v>
      </c>
      <c r="D304" s="1161" t="s">
        <v>799</v>
      </c>
      <c r="E304" s="1161">
        <v>1</v>
      </c>
      <c r="F304" s="1174">
        <f>[125]Elec.rates!F42</f>
        <v>40</v>
      </c>
      <c r="G304" s="1174">
        <f>ROUND(E304*F304,2)</f>
        <v>40</v>
      </c>
    </row>
    <row r="305" spans="1:7" ht="13.5" customHeight="1">
      <c r="B305" s="1158"/>
      <c r="C305" s="1496" t="s">
        <v>1416</v>
      </c>
      <c r="D305" s="1161"/>
      <c r="E305" s="1173">
        <v>2</v>
      </c>
      <c r="F305" s="1174">
        <f>[125]Elec.rates!F43</f>
        <v>950</v>
      </c>
      <c r="G305" s="1174">
        <f>ROUND(E305*F305/100,2)</f>
        <v>19</v>
      </c>
    </row>
    <row r="306" spans="1:7" ht="13" customHeight="1">
      <c r="B306" s="1158"/>
      <c r="C306" s="1496" t="s">
        <v>1417</v>
      </c>
      <c r="D306" s="1161" t="s">
        <v>1384</v>
      </c>
      <c r="E306" s="1161">
        <v>1</v>
      </c>
      <c r="F306" s="1164">
        <f>[125]Elec.rates!F50</f>
        <v>241</v>
      </c>
      <c r="G306" s="1174">
        <f>ROUND(E306*F306,2)</f>
        <v>241</v>
      </c>
    </row>
    <row r="307" spans="1:7" ht="13" customHeight="1">
      <c r="B307" s="1158"/>
      <c r="C307" s="1496" t="s">
        <v>1418</v>
      </c>
      <c r="D307" s="1161"/>
      <c r="E307" s="1161"/>
      <c r="F307" s="1164"/>
      <c r="G307" s="1174">
        <v>20</v>
      </c>
    </row>
    <row r="308" spans="1:7" ht="13" customHeight="1">
      <c r="B308" s="1158"/>
      <c r="C308" s="1496" t="s">
        <v>1419</v>
      </c>
      <c r="D308" s="1161"/>
      <c r="E308" s="1161"/>
      <c r="F308" s="1164"/>
      <c r="G308" s="1174">
        <v>20</v>
      </c>
    </row>
    <row r="309" spans="1:7" ht="13" customHeight="1">
      <c r="B309" s="1158"/>
      <c r="C309" s="1496" t="s">
        <v>1420</v>
      </c>
      <c r="D309" s="1161"/>
      <c r="E309" s="1161"/>
      <c r="F309" s="1159"/>
      <c r="G309" s="1159"/>
    </row>
    <row r="310" spans="1:7" ht="13" customHeight="1">
      <c r="B310" s="1158"/>
      <c r="C310" s="1498" t="s">
        <v>1404</v>
      </c>
      <c r="D310" s="1161"/>
      <c r="E310" s="1161"/>
      <c r="F310" s="1159"/>
      <c r="G310" s="1159"/>
    </row>
    <row r="311" spans="1:7" ht="13" customHeight="1">
      <c r="B311" s="1158"/>
      <c r="C311" s="1496" t="s">
        <v>1284</v>
      </c>
      <c r="D311" s="1161" t="s">
        <v>119</v>
      </c>
      <c r="E311" s="1196">
        <v>0.2</v>
      </c>
      <c r="F311" s="1164">
        <f>F292</f>
        <v>575</v>
      </c>
      <c r="G311" s="1164">
        <f>ROUND(E311*F311,2)</f>
        <v>115</v>
      </c>
    </row>
    <row r="312" spans="1:7" ht="13" customHeight="1">
      <c r="B312" s="1158"/>
      <c r="C312" s="1496" t="s">
        <v>1405</v>
      </c>
      <c r="D312" s="1161" t="s">
        <v>119</v>
      </c>
      <c r="E312" s="1196">
        <v>0.2</v>
      </c>
      <c r="F312" s="1164">
        <f>F293</f>
        <v>471</v>
      </c>
      <c r="G312" s="1164">
        <f>ROUND(E312*F312,2)</f>
        <v>94.2</v>
      </c>
    </row>
    <row r="313" spans="1:7" ht="13" customHeight="1">
      <c r="B313" s="1158"/>
      <c r="C313" s="1496" t="s">
        <v>1421</v>
      </c>
      <c r="D313" s="1161" t="s">
        <v>119</v>
      </c>
      <c r="E313" s="1196">
        <v>0.2</v>
      </c>
      <c r="F313" s="1164">
        <f>F294</f>
        <v>460</v>
      </c>
      <c r="G313" s="1164">
        <f>ROUND(E313*F313,2)</f>
        <v>92</v>
      </c>
    </row>
    <row r="314" spans="1:7" s="722" customFormat="1" hidden="1">
      <c r="A314" s="999"/>
      <c r="B314" s="731"/>
      <c r="C314" s="813" t="s">
        <v>1724</v>
      </c>
      <c r="D314" s="737">
        <f>D4</f>
        <v>0</v>
      </c>
      <c r="E314" s="778"/>
      <c r="F314" s="778"/>
      <c r="G314" s="812">
        <f>(SUM(G311:G313))*D314</f>
        <v>0</v>
      </c>
    </row>
    <row r="315" spans="1:7" ht="13" customHeight="1">
      <c r="B315" s="1158"/>
      <c r="C315" s="1169" t="s">
        <v>1313</v>
      </c>
      <c r="D315" s="1161"/>
      <c r="E315" s="1161"/>
      <c r="F315" s="1159"/>
      <c r="G315" s="1164">
        <f>ROUND(SUM(G303:G314),2)</f>
        <v>1791.2</v>
      </c>
    </row>
    <row r="316" spans="1:7" ht="13" hidden="1" customHeight="1">
      <c r="A316" s="2090" t="s">
        <v>1422</v>
      </c>
      <c r="B316" s="1158">
        <v>8.1999999999999993</v>
      </c>
      <c r="C316" s="1498" t="s">
        <v>1423</v>
      </c>
      <c r="D316" s="1161"/>
      <c r="E316" s="1161"/>
      <c r="F316" s="1159"/>
      <c r="G316" s="1159"/>
    </row>
    <row r="317" spans="1:7" ht="36" hidden="1" customHeight="1">
      <c r="A317" s="2090"/>
      <c r="B317" s="1158" t="s">
        <v>1424</v>
      </c>
      <c r="C317" s="1496" t="s">
        <v>1425</v>
      </c>
      <c r="D317" s="1161"/>
      <c r="E317" s="1161"/>
      <c r="F317" s="1159"/>
      <c r="G317" s="1159"/>
    </row>
    <row r="318" spans="1:7" ht="13" hidden="1" customHeight="1">
      <c r="B318" s="1158"/>
      <c r="C318" s="1195" t="s">
        <v>469</v>
      </c>
      <c r="D318" s="1161"/>
      <c r="E318" s="1161"/>
      <c r="F318" s="1159"/>
      <c r="G318" s="1159"/>
    </row>
    <row r="319" spans="1:7" ht="13" hidden="1" customHeight="1">
      <c r="B319" s="1158"/>
      <c r="C319" s="1496" t="s">
        <v>1426</v>
      </c>
      <c r="D319" s="1161" t="s">
        <v>799</v>
      </c>
      <c r="E319" s="1161">
        <v>1</v>
      </c>
      <c r="F319" s="1159"/>
      <c r="G319" s="1159"/>
    </row>
    <row r="320" spans="1:7" ht="13" hidden="1" customHeight="1">
      <c r="B320" s="1158"/>
      <c r="C320" s="1496" t="s">
        <v>1427</v>
      </c>
      <c r="D320" s="1161" t="s">
        <v>799</v>
      </c>
      <c r="E320" s="1161">
        <v>1</v>
      </c>
      <c r="F320" s="1159"/>
      <c r="G320" s="1159"/>
    </row>
    <row r="321" spans="2:7" ht="26.25" hidden="1" customHeight="1">
      <c r="B321" s="1158"/>
      <c r="C321" s="1496" t="s">
        <v>1416</v>
      </c>
      <c r="D321" s="1161"/>
      <c r="E321" s="1173">
        <v>1</v>
      </c>
      <c r="F321" s="1174">
        <v>950</v>
      </c>
      <c r="G321" s="1174">
        <f>ROUND(E321*F321/100,2)</f>
        <v>9.5</v>
      </c>
    </row>
    <row r="322" spans="2:7" ht="14.25" hidden="1" customHeight="1">
      <c r="B322" s="1158"/>
      <c r="C322" s="1496" t="s">
        <v>1428</v>
      </c>
      <c r="D322" s="1161"/>
      <c r="E322" s="1173">
        <v>2</v>
      </c>
      <c r="F322" s="1174">
        <v>100</v>
      </c>
      <c r="G322" s="1164">
        <f>ROUND(E322*F322/100,2)</f>
        <v>2</v>
      </c>
    </row>
    <row r="323" spans="2:7" ht="13.5" hidden="1" customHeight="1">
      <c r="B323" s="1158"/>
      <c r="C323" s="1496" t="s">
        <v>1429</v>
      </c>
      <c r="D323" s="1161"/>
      <c r="E323" s="1173">
        <v>2</v>
      </c>
      <c r="F323" s="1174">
        <v>30</v>
      </c>
      <c r="G323" s="1164">
        <f>ROUND(E323*F323/100,2)</f>
        <v>0.6</v>
      </c>
    </row>
    <row r="324" spans="2:7" ht="13.5" hidden="1" customHeight="1">
      <c r="B324" s="1158"/>
      <c r="C324" s="1496" t="s">
        <v>1430</v>
      </c>
      <c r="D324" s="1161"/>
      <c r="E324" s="1173">
        <v>2</v>
      </c>
      <c r="F324" s="1174">
        <v>8</v>
      </c>
      <c r="G324" s="1164">
        <f>ROUND(E324*F324,2)</f>
        <v>16</v>
      </c>
    </row>
    <row r="325" spans="2:7" ht="13" hidden="1" customHeight="1">
      <c r="B325" s="1158"/>
      <c r="C325" s="1496" t="s">
        <v>1431</v>
      </c>
      <c r="D325" s="1161"/>
      <c r="E325" s="1161"/>
      <c r="F325" s="1159"/>
      <c r="G325" s="1159"/>
    </row>
    <row r="326" spans="2:7" ht="13" hidden="1" customHeight="1">
      <c r="B326" s="1158"/>
      <c r="C326" s="1498" t="s">
        <v>1404</v>
      </c>
      <c r="D326" s="1161"/>
      <c r="E326" s="1161"/>
      <c r="F326" s="1159"/>
      <c r="G326" s="1159"/>
    </row>
    <row r="327" spans="2:7" ht="13" hidden="1" customHeight="1">
      <c r="B327" s="1158"/>
      <c r="C327" s="1496" t="s">
        <v>1284</v>
      </c>
      <c r="D327" s="1161" t="s">
        <v>119</v>
      </c>
      <c r="E327" s="1196">
        <v>0.1</v>
      </c>
      <c r="F327" s="1164">
        <v>555</v>
      </c>
      <c r="G327" s="1164">
        <f>ROUND(E327*F327,2)</f>
        <v>55.5</v>
      </c>
    </row>
    <row r="328" spans="2:7" ht="13" hidden="1" customHeight="1">
      <c r="B328" s="1158"/>
      <c r="C328" s="1496" t="s">
        <v>1405</v>
      </c>
      <c r="D328" s="1161" t="s">
        <v>119</v>
      </c>
      <c r="E328" s="1196">
        <v>0.1</v>
      </c>
      <c r="F328" s="1164">
        <v>445</v>
      </c>
      <c r="G328" s="1164">
        <f>ROUND(E328*F328,2)</f>
        <v>44.5</v>
      </c>
    </row>
    <row r="329" spans="2:7" ht="13" hidden="1" customHeight="1">
      <c r="B329" s="1158"/>
      <c r="C329" s="1169" t="s">
        <v>1313</v>
      </c>
      <c r="D329" s="1161"/>
      <c r="E329" s="1161"/>
      <c r="F329" s="1159"/>
      <c r="G329" s="1159"/>
    </row>
    <row r="330" spans="2:7" ht="27.75" customHeight="1">
      <c r="B330" s="1158" t="s">
        <v>1432</v>
      </c>
      <c r="C330" s="2089" t="s">
        <v>1433</v>
      </c>
      <c r="D330" s="2089"/>
      <c r="E330" s="2089"/>
      <c r="F330" s="2089"/>
      <c r="G330" s="1159"/>
    </row>
    <row r="331" spans="2:7" ht="13" customHeight="1">
      <c r="B331" s="1158"/>
      <c r="C331" s="1195" t="s">
        <v>469</v>
      </c>
      <c r="D331" s="1161"/>
      <c r="E331" s="1161"/>
      <c r="F331" s="1159"/>
      <c r="G331" s="1159"/>
    </row>
    <row r="332" spans="2:7" ht="13" customHeight="1">
      <c r="B332" s="1158"/>
      <c r="C332" s="1496" t="s">
        <v>1434</v>
      </c>
      <c r="D332" s="1161" t="s">
        <v>799</v>
      </c>
      <c r="E332" s="1161">
        <v>1</v>
      </c>
      <c r="F332" s="1164">
        <f>[125]Elec.rates!F51</f>
        <v>720</v>
      </c>
      <c r="G332" s="1164">
        <f>ROUND(E332*F332,2)</f>
        <v>720</v>
      </c>
    </row>
    <row r="333" spans="2:7" ht="13" customHeight="1">
      <c r="B333" s="1158"/>
      <c r="C333" s="1496" t="s">
        <v>1435</v>
      </c>
      <c r="D333" s="1161" t="s">
        <v>799</v>
      </c>
      <c r="E333" s="1161">
        <v>1</v>
      </c>
      <c r="F333" s="1164">
        <f>[125]Elec.rates!F42</f>
        <v>40</v>
      </c>
      <c r="G333" s="1164">
        <f>ROUND(E333*F333,2)</f>
        <v>40</v>
      </c>
    </row>
    <row r="334" spans="2:7" ht="15" customHeight="1">
      <c r="B334" s="1158"/>
      <c r="C334" s="1180" t="s">
        <v>1416</v>
      </c>
      <c r="D334" s="1161"/>
      <c r="E334" s="1173">
        <v>1</v>
      </c>
      <c r="F334" s="1164">
        <f>[125]Elec.rates!F43</f>
        <v>950</v>
      </c>
      <c r="G334" s="1174">
        <f>ROUND(E334*F334/100,2)</f>
        <v>9.5</v>
      </c>
    </row>
    <row r="335" spans="2:7" ht="14.25" customHeight="1">
      <c r="B335" s="1158"/>
      <c r="C335" s="1496" t="s">
        <v>1428</v>
      </c>
      <c r="D335" s="1161"/>
      <c r="E335" s="1173">
        <v>2</v>
      </c>
      <c r="F335" s="1164">
        <f>[125]Elec.rates!F44</f>
        <v>100</v>
      </c>
      <c r="G335" s="1164">
        <f>ROUND(E335*F335/100,2)</f>
        <v>2</v>
      </c>
    </row>
    <row r="336" spans="2:7" ht="13.5" customHeight="1">
      <c r="B336" s="1158"/>
      <c r="C336" s="1496" t="s">
        <v>1429</v>
      </c>
      <c r="D336" s="1161"/>
      <c r="E336" s="1173">
        <v>2</v>
      </c>
      <c r="F336" s="1174">
        <f>[125]Elec.rates!F45</f>
        <v>30</v>
      </c>
      <c r="G336" s="1164">
        <f>ROUND(E336*F336/100,2)</f>
        <v>0.6</v>
      </c>
    </row>
    <row r="337" spans="1:7" ht="13.5" customHeight="1">
      <c r="B337" s="1158"/>
      <c r="C337" s="1496" t="s">
        <v>1430</v>
      </c>
      <c r="D337" s="1161"/>
      <c r="E337" s="1173">
        <v>2</v>
      </c>
      <c r="F337" s="1174">
        <f>[125]Elec.rates!F46</f>
        <v>8</v>
      </c>
      <c r="G337" s="1164">
        <f>ROUND(E337*F337,2)</f>
        <v>16</v>
      </c>
    </row>
    <row r="338" spans="1:7" ht="13" customHeight="1">
      <c r="B338" s="1158"/>
      <c r="C338" s="1496" t="s">
        <v>1420</v>
      </c>
      <c r="D338" s="1161"/>
      <c r="E338" s="1161"/>
      <c r="F338" s="1159"/>
      <c r="G338" s="1159"/>
    </row>
    <row r="339" spans="1:7" ht="13" customHeight="1">
      <c r="B339" s="1158"/>
      <c r="C339" s="1498" t="s">
        <v>1404</v>
      </c>
      <c r="D339" s="1161"/>
      <c r="E339" s="1161"/>
      <c r="F339" s="1159"/>
      <c r="G339" s="1159"/>
    </row>
    <row r="340" spans="1:7" ht="13" customHeight="1">
      <c r="B340" s="1158"/>
      <c r="C340" s="1496" t="s">
        <v>1284</v>
      </c>
      <c r="D340" s="1161" t="s">
        <v>119</v>
      </c>
      <c r="E340" s="1196">
        <v>0.1</v>
      </c>
      <c r="F340" s="1164">
        <f>F312</f>
        <v>471</v>
      </c>
      <c r="G340" s="1164">
        <f>ROUND(E340*F340,2)</f>
        <v>47.1</v>
      </c>
    </row>
    <row r="341" spans="1:7" ht="13" customHeight="1">
      <c r="B341" s="1158"/>
      <c r="C341" s="1496" t="s">
        <v>1405</v>
      </c>
      <c r="D341" s="1161" t="s">
        <v>119</v>
      </c>
      <c r="E341" s="1196">
        <v>0.1</v>
      </c>
      <c r="F341" s="1164">
        <f>F313</f>
        <v>460</v>
      </c>
      <c r="G341" s="1164">
        <f>ROUND(E341*F341,2)</f>
        <v>46</v>
      </c>
    </row>
    <row r="342" spans="1:7" s="722" customFormat="1">
      <c r="A342" s="999"/>
      <c r="B342" s="731"/>
      <c r="C342" s="813" t="s">
        <v>1724</v>
      </c>
      <c r="D342" s="737">
        <f>D4</f>
        <v>0</v>
      </c>
      <c r="E342" s="778"/>
      <c r="F342" s="778"/>
      <c r="G342" s="812">
        <f>(SUM(G340:G341))*D342</f>
        <v>0</v>
      </c>
    </row>
    <row r="343" spans="1:7" ht="13" customHeight="1">
      <c r="B343" s="1158"/>
      <c r="C343" s="1169" t="s">
        <v>1313</v>
      </c>
      <c r="D343" s="1161"/>
      <c r="E343" s="1161"/>
      <c r="F343" s="1159"/>
      <c r="G343" s="1164">
        <f>ROUND(SUM(G332:G342),2)</f>
        <v>881.2</v>
      </c>
    </row>
    <row r="344" spans="1:7" ht="13" hidden="1" customHeight="1">
      <c r="A344" s="1495" t="s">
        <v>1436</v>
      </c>
      <c r="B344" s="1158">
        <v>8.5</v>
      </c>
      <c r="C344" s="1498" t="s">
        <v>1437</v>
      </c>
      <c r="D344" s="1161"/>
      <c r="E344" s="1161"/>
      <c r="F344" s="1159"/>
      <c r="G344" s="1159"/>
    </row>
    <row r="345" spans="1:7" ht="52.5" hidden="1" customHeight="1">
      <c r="A345" s="1495"/>
      <c r="B345" s="1158" t="s">
        <v>1438</v>
      </c>
      <c r="C345" s="1496" t="s">
        <v>1439</v>
      </c>
      <c r="D345" s="1161"/>
      <c r="E345" s="1161"/>
      <c r="F345" s="1159"/>
      <c r="G345" s="1159"/>
    </row>
    <row r="346" spans="1:7" ht="13" hidden="1" customHeight="1">
      <c r="B346" s="1158"/>
      <c r="C346" s="1195" t="s">
        <v>469</v>
      </c>
      <c r="D346" s="1161"/>
      <c r="E346" s="1161"/>
      <c r="F346" s="1159"/>
      <c r="G346" s="1159"/>
    </row>
    <row r="347" spans="1:7" ht="13" hidden="1" customHeight="1">
      <c r="B347" s="1158"/>
      <c r="C347" s="1496" t="s">
        <v>1440</v>
      </c>
      <c r="D347" s="1161" t="s">
        <v>799</v>
      </c>
      <c r="E347" s="1161">
        <v>1</v>
      </c>
      <c r="F347" s="1159"/>
      <c r="G347" s="1159"/>
    </row>
    <row r="348" spans="1:7" ht="13" hidden="1" customHeight="1">
      <c r="B348" s="1158"/>
      <c r="C348" s="1496" t="s">
        <v>1441</v>
      </c>
      <c r="D348" s="1161" t="s">
        <v>799</v>
      </c>
      <c r="E348" s="1161">
        <v>1</v>
      </c>
      <c r="F348" s="1159"/>
      <c r="G348" s="1159"/>
    </row>
    <row r="349" spans="1:7" ht="26.25" hidden="1" customHeight="1">
      <c r="B349" s="1158"/>
      <c r="C349" s="1496" t="s">
        <v>1416</v>
      </c>
      <c r="D349" s="1161"/>
      <c r="E349" s="1173">
        <v>1</v>
      </c>
      <c r="F349" s="1174">
        <v>950</v>
      </c>
      <c r="G349" s="1174">
        <f>ROUND(E349*F349/100,2)</f>
        <v>9.5</v>
      </c>
    </row>
    <row r="350" spans="1:7" ht="14.25" hidden="1" customHeight="1">
      <c r="B350" s="1158"/>
      <c r="C350" s="1496" t="s">
        <v>1428</v>
      </c>
      <c r="D350" s="1161"/>
      <c r="E350" s="1173">
        <v>2</v>
      </c>
      <c r="F350" s="1174">
        <v>100</v>
      </c>
      <c r="G350" s="1164">
        <f>ROUND(E350*F350/100,2)</f>
        <v>2</v>
      </c>
    </row>
    <row r="351" spans="1:7" ht="13.5" hidden="1" customHeight="1">
      <c r="B351" s="1158"/>
      <c r="C351" s="1496" t="s">
        <v>1429</v>
      </c>
      <c r="D351" s="1161"/>
      <c r="E351" s="1173">
        <v>2</v>
      </c>
      <c r="F351" s="1174">
        <v>30</v>
      </c>
      <c r="G351" s="1164">
        <f>ROUND(E351*F351/100,2)</f>
        <v>0.6</v>
      </c>
    </row>
    <row r="352" spans="1:7" ht="13.5" hidden="1" customHeight="1">
      <c r="B352" s="1158"/>
      <c r="C352" s="1496" t="s">
        <v>1430</v>
      </c>
      <c r="D352" s="1161"/>
      <c r="E352" s="1173">
        <v>2</v>
      </c>
      <c r="F352" s="1174">
        <v>8</v>
      </c>
      <c r="G352" s="1164">
        <f>ROUND(E352*F352,2)</f>
        <v>16</v>
      </c>
    </row>
    <row r="353" spans="1:7" ht="13" hidden="1" customHeight="1">
      <c r="B353" s="1158"/>
      <c r="C353" s="1496" t="s">
        <v>1420</v>
      </c>
      <c r="D353" s="1161"/>
      <c r="E353" s="1161"/>
      <c r="F353" s="1159"/>
      <c r="G353" s="1159"/>
    </row>
    <row r="354" spans="1:7" ht="13" hidden="1" customHeight="1">
      <c r="B354" s="1158"/>
      <c r="C354" s="1498" t="s">
        <v>1404</v>
      </c>
      <c r="D354" s="1161"/>
      <c r="E354" s="1161"/>
      <c r="F354" s="1159"/>
      <c r="G354" s="1159"/>
    </row>
    <row r="355" spans="1:7" ht="13" hidden="1" customHeight="1">
      <c r="B355" s="1158"/>
      <c r="C355" s="1496" t="s">
        <v>1284</v>
      </c>
      <c r="D355" s="1161" t="s">
        <v>119</v>
      </c>
      <c r="E355" s="1196">
        <v>0.1</v>
      </c>
      <c r="F355" s="1164">
        <v>555</v>
      </c>
      <c r="G355" s="1164">
        <f>ROUND(E355*F355,2)</f>
        <v>55.5</v>
      </c>
    </row>
    <row r="356" spans="1:7" ht="13" hidden="1" customHeight="1">
      <c r="B356" s="1158"/>
      <c r="C356" s="1496" t="s">
        <v>1405</v>
      </c>
      <c r="D356" s="1161" t="s">
        <v>119</v>
      </c>
      <c r="E356" s="1196">
        <v>0.1</v>
      </c>
      <c r="F356" s="1164">
        <v>445</v>
      </c>
      <c r="G356" s="1164">
        <f>ROUND(E356*F356,2)</f>
        <v>44.5</v>
      </c>
    </row>
    <row r="357" spans="1:7" ht="13" hidden="1" customHeight="1">
      <c r="B357" s="1158"/>
      <c r="C357" s="1169" t="s">
        <v>1313</v>
      </c>
      <c r="D357" s="1161"/>
      <c r="E357" s="1161"/>
      <c r="F357" s="1159"/>
      <c r="G357" s="1159"/>
    </row>
    <row r="358" spans="1:7" ht="13" hidden="1" customHeight="1">
      <c r="A358" s="2090" t="s">
        <v>1442</v>
      </c>
      <c r="B358" s="1158">
        <v>9.6999999999999993</v>
      </c>
      <c r="C358" s="1498" t="s">
        <v>1443</v>
      </c>
      <c r="D358" s="1161"/>
      <c r="E358" s="1161"/>
      <c r="F358" s="1159"/>
      <c r="G358" s="1159"/>
    </row>
    <row r="359" spans="1:7" ht="36.75" customHeight="1">
      <c r="A359" s="2090"/>
      <c r="B359" s="1158" t="s">
        <v>1444</v>
      </c>
      <c r="C359" s="2089" t="s">
        <v>1840</v>
      </c>
      <c r="D359" s="2089"/>
      <c r="E359" s="2089"/>
      <c r="F359" s="2089"/>
      <c r="G359" s="1159"/>
    </row>
    <row r="360" spans="1:7" ht="12" customHeight="1">
      <c r="B360" s="1158"/>
      <c r="C360" s="1195" t="s">
        <v>469</v>
      </c>
      <c r="D360" s="1161"/>
      <c r="E360" s="1161"/>
      <c r="F360" s="1159"/>
      <c r="G360" s="1159"/>
    </row>
    <row r="361" spans="1:7" ht="16.5" customHeight="1">
      <c r="B361" s="1158"/>
      <c r="C361" s="1180" t="s">
        <v>2179</v>
      </c>
      <c r="D361" s="1161" t="s">
        <v>799</v>
      </c>
      <c r="E361" s="1173">
        <v>1</v>
      </c>
      <c r="F361" s="1174">
        <v>2300</v>
      </c>
      <c r="G361" s="1174">
        <f>ROUND(E361*F361,2)</f>
        <v>2300</v>
      </c>
    </row>
    <row r="362" spans="1:7" ht="16.5" customHeight="1">
      <c r="B362" s="1158"/>
      <c r="C362" s="1180" t="s">
        <v>1416</v>
      </c>
      <c r="D362" s="1161"/>
      <c r="E362" s="1173">
        <v>1</v>
      </c>
      <c r="F362" s="1174">
        <f>F334</f>
        <v>950</v>
      </c>
      <c r="G362" s="1174">
        <f>ROUND(E362*F362/100,2)</f>
        <v>9.5</v>
      </c>
    </row>
    <row r="363" spans="1:7" ht="13" customHeight="1">
      <c r="B363" s="1158"/>
      <c r="C363" s="1496" t="s">
        <v>1445</v>
      </c>
      <c r="D363" s="1161"/>
      <c r="E363" s="1197">
        <v>0.01</v>
      </c>
      <c r="F363" s="1159"/>
      <c r="G363" s="1164">
        <f>ROUND(G361*1%,2)</f>
        <v>23</v>
      </c>
    </row>
    <row r="364" spans="1:7" ht="24" customHeight="1">
      <c r="B364" s="1158"/>
      <c r="C364" s="1496" t="s">
        <v>1839</v>
      </c>
      <c r="D364" s="1173" t="s">
        <v>799</v>
      </c>
      <c r="E364" s="1550">
        <v>1</v>
      </c>
      <c r="F364" s="1174">
        <v>365</v>
      </c>
      <c r="G364" s="1174">
        <f>ROUND(E364*F364,2)</f>
        <v>365</v>
      </c>
    </row>
    <row r="365" spans="1:7" ht="13" customHeight="1">
      <c r="B365" s="1158"/>
      <c r="C365" s="1498" t="s">
        <v>1404</v>
      </c>
      <c r="D365" s="1161"/>
      <c r="E365" s="1161"/>
      <c r="F365" s="1159"/>
      <c r="G365" s="1159"/>
    </row>
    <row r="366" spans="1:7" ht="13" customHeight="1">
      <c r="B366" s="1158"/>
      <c r="C366" s="1496" t="s">
        <v>1284</v>
      </c>
      <c r="D366" s="1161" t="s">
        <v>119</v>
      </c>
      <c r="E366" s="1161">
        <v>0.125</v>
      </c>
      <c r="F366" s="1164">
        <f>F311</f>
        <v>575</v>
      </c>
      <c r="G366" s="1164">
        <f>ROUND(E366*F366,2)</f>
        <v>71.88</v>
      </c>
    </row>
    <row r="367" spans="1:7" ht="13" customHeight="1">
      <c r="B367" s="1158"/>
      <c r="C367" s="1496" t="s">
        <v>1107</v>
      </c>
      <c r="D367" s="1161" t="s">
        <v>119</v>
      </c>
      <c r="E367" s="1161">
        <v>0.125</v>
      </c>
      <c r="F367" s="1164">
        <f>F341</f>
        <v>460</v>
      </c>
      <c r="G367" s="1164">
        <f>ROUND(E367*F367,2)</f>
        <v>57.5</v>
      </c>
    </row>
    <row r="368" spans="1:7" s="722" customFormat="1">
      <c r="A368" s="999"/>
      <c r="B368" s="731"/>
      <c r="C368" s="813" t="s">
        <v>1724</v>
      </c>
      <c r="D368" s="737">
        <f>D4</f>
        <v>0</v>
      </c>
      <c r="E368" s="778"/>
      <c r="F368" s="778"/>
      <c r="G368" s="812">
        <f>(SUM(G366:G367))*D368</f>
        <v>0</v>
      </c>
    </row>
    <row r="369" spans="2:7" ht="13" customHeight="1">
      <c r="B369" s="1158"/>
      <c r="C369" s="1498" t="s">
        <v>1446</v>
      </c>
      <c r="D369" s="1161"/>
      <c r="E369" s="1161"/>
      <c r="F369" s="1159"/>
      <c r="G369" s="1164">
        <f>SUM(G361:G368)</f>
        <v>2826.88</v>
      </c>
    </row>
    <row r="370" spans="2:7" ht="13" hidden="1" customHeight="1">
      <c r="B370" s="1158"/>
      <c r="C370" s="1498" t="s">
        <v>1447</v>
      </c>
      <c r="D370" s="1161"/>
      <c r="E370" s="1161"/>
      <c r="F370" s="1159"/>
      <c r="G370" s="1159"/>
    </row>
    <row r="371" spans="2:7" ht="12" hidden="1" customHeight="1">
      <c r="B371" s="1158" t="s">
        <v>1448</v>
      </c>
      <c r="C371" s="1498" t="s">
        <v>1449</v>
      </c>
      <c r="D371" s="1161"/>
      <c r="E371" s="1161"/>
      <c r="F371" s="1159"/>
      <c r="G371" s="1159"/>
    </row>
    <row r="372" spans="2:7" ht="39" hidden="1" customHeight="1">
      <c r="B372" s="1158"/>
      <c r="C372" s="1496" t="s">
        <v>1450</v>
      </c>
      <c r="D372" s="1161"/>
      <c r="E372" s="1161"/>
      <c r="F372" s="1159"/>
      <c r="G372" s="1159"/>
    </row>
    <row r="373" spans="2:7" ht="12" hidden="1" customHeight="1">
      <c r="B373" s="1158"/>
      <c r="C373" s="1195" t="s">
        <v>469</v>
      </c>
      <c r="D373" s="1161"/>
      <c r="E373" s="1161"/>
      <c r="F373" s="1159"/>
      <c r="G373" s="1159"/>
    </row>
    <row r="374" spans="2:7" ht="13" hidden="1" customHeight="1">
      <c r="B374" s="1158"/>
      <c r="C374" s="1496" t="s">
        <v>1451</v>
      </c>
      <c r="D374" s="1161" t="s">
        <v>799</v>
      </c>
      <c r="E374" s="1161">
        <v>1</v>
      </c>
      <c r="F374" s="1164">
        <v>1225</v>
      </c>
      <c r="G374" s="1164">
        <f>ROUND(E374*F374,2)</f>
        <v>1225</v>
      </c>
    </row>
    <row r="375" spans="2:7" ht="26.25" hidden="1" customHeight="1">
      <c r="B375" s="1158"/>
      <c r="C375" s="1496" t="s">
        <v>1416</v>
      </c>
      <c r="D375" s="1161"/>
      <c r="E375" s="1173">
        <v>1</v>
      </c>
      <c r="F375" s="1174">
        <v>950</v>
      </c>
      <c r="G375" s="1174">
        <f>ROUND(E374*F375/100,2)</f>
        <v>9.5</v>
      </c>
    </row>
    <row r="376" spans="2:7" ht="13" hidden="1" customHeight="1">
      <c r="B376" s="1158"/>
      <c r="C376" s="1496" t="s">
        <v>1452</v>
      </c>
      <c r="D376" s="1161"/>
      <c r="E376" s="1161">
        <v>25</v>
      </c>
      <c r="F376" s="1164">
        <v>8</v>
      </c>
      <c r="G376" s="1164">
        <f>ROUND(E376*F376,2)</f>
        <v>200</v>
      </c>
    </row>
    <row r="377" spans="2:7" ht="13" hidden="1" customHeight="1">
      <c r="B377" s="1158"/>
      <c r="C377" s="1496" t="s">
        <v>1453</v>
      </c>
      <c r="D377" s="1161"/>
      <c r="E377" s="1161">
        <v>1</v>
      </c>
      <c r="F377" s="1164">
        <v>15</v>
      </c>
      <c r="G377" s="1164">
        <f>ROUND(E377*F377,2)</f>
        <v>15</v>
      </c>
    </row>
    <row r="378" spans="2:7" ht="10.5" hidden="1" customHeight="1">
      <c r="B378" s="1158"/>
      <c r="C378" s="1496"/>
      <c r="D378" s="1161"/>
      <c r="E378" s="1161"/>
      <c r="F378" s="1164"/>
      <c r="G378" s="1164">
        <f>SUM(G374:G377)</f>
        <v>1449.5</v>
      </c>
    </row>
    <row r="379" spans="2:7" ht="13" hidden="1" customHeight="1">
      <c r="B379" s="1158"/>
      <c r="C379" s="1496" t="s">
        <v>1454</v>
      </c>
      <c r="D379" s="1161"/>
      <c r="E379" s="1197">
        <v>0.01</v>
      </c>
      <c r="F379" s="1159"/>
      <c r="G379" s="1164">
        <f>ROUND(G378*1%,2)</f>
        <v>14.5</v>
      </c>
    </row>
    <row r="380" spans="2:7" ht="13" hidden="1" customHeight="1">
      <c r="B380" s="1158"/>
      <c r="C380" s="1498" t="s">
        <v>1404</v>
      </c>
      <c r="D380" s="1161"/>
      <c r="E380" s="1161"/>
      <c r="F380" s="1159"/>
      <c r="G380" s="1159"/>
    </row>
    <row r="381" spans="2:7" ht="13" hidden="1" customHeight="1">
      <c r="B381" s="1158"/>
      <c r="C381" s="1496" t="s">
        <v>1284</v>
      </c>
      <c r="D381" s="1161" t="s">
        <v>119</v>
      </c>
      <c r="E381" s="1161">
        <v>0.25</v>
      </c>
      <c r="F381" s="1164">
        <v>555</v>
      </c>
      <c r="G381" s="1164">
        <f>ROUND(E381*F381,2)</f>
        <v>138.75</v>
      </c>
    </row>
    <row r="382" spans="2:7" ht="13" hidden="1" customHeight="1">
      <c r="B382" s="1158"/>
      <c r="C382" s="1496" t="s">
        <v>1405</v>
      </c>
      <c r="D382" s="1161" t="s">
        <v>119</v>
      </c>
      <c r="E382" s="1161">
        <v>0.25</v>
      </c>
      <c r="F382" s="1164">
        <v>445</v>
      </c>
      <c r="G382" s="1164">
        <f>ROUND(E382*F382,2)</f>
        <v>111.25</v>
      </c>
    </row>
    <row r="383" spans="2:7" ht="13" hidden="1" customHeight="1">
      <c r="B383" s="1158"/>
      <c r="C383" s="1496" t="s">
        <v>1421</v>
      </c>
      <c r="D383" s="1161" t="s">
        <v>119</v>
      </c>
      <c r="E383" s="1161">
        <v>0.25</v>
      </c>
      <c r="F383" s="1164">
        <v>490</v>
      </c>
      <c r="G383" s="1164">
        <f>ROUND(E383*F383,2)</f>
        <v>122.5</v>
      </c>
    </row>
    <row r="384" spans="2:7" ht="13" hidden="1" customHeight="1">
      <c r="B384" s="1158"/>
      <c r="C384" s="1498" t="s">
        <v>1446</v>
      </c>
      <c r="D384" s="1161"/>
      <c r="E384" s="1161"/>
      <c r="F384" s="1159"/>
      <c r="G384" s="1164">
        <f>SUM(G378:G383)</f>
        <v>1836.5</v>
      </c>
    </row>
    <row r="385" spans="1:7" s="1013" customFormat="1" ht="27.75" hidden="1" customHeight="1">
      <c r="A385" s="1020"/>
      <c r="B385" s="1186" t="s">
        <v>1455</v>
      </c>
      <c r="C385" s="1198" t="s">
        <v>1456</v>
      </c>
      <c r="D385" s="1188"/>
      <c r="E385" s="1188"/>
      <c r="F385" s="1170"/>
      <c r="G385" s="1170"/>
    </row>
    <row r="386" spans="1:7" ht="12.75" hidden="1" customHeight="1">
      <c r="B386" s="1175"/>
      <c r="C386" s="1199" t="s">
        <v>469</v>
      </c>
      <c r="D386" s="1178"/>
      <c r="E386" s="1178"/>
      <c r="F386" s="1159"/>
      <c r="G386" s="1159"/>
    </row>
    <row r="387" spans="1:7" ht="13" hidden="1" customHeight="1">
      <c r="B387" s="1175"/>
      <c r="C387" s="1180" t="s">
        <v>1457</v>
      </c>
      <c r="D387" s="1178" t="s">
        <v>1458</v>
      </c>
      <c r="E387" s="1178">
        <v>1</v>
      </c>
      <c r="F387" s="1164">
        <f>[125]Elec.rates!F48</f>
        <v>180</v>
      </c>
      <c r="G387" s="1164">
        <f>ROUND(E387*F387,2)</f>
        <v>180</v>
      </c>
    </row>
    <row r="388" spans="1:7" ht="13" hidden="1" customHeight="1">
      <c r="B388" s="1175"/>
      <c r="C388" s="1183" t="s">
        <v>1459</v>
      </c>
      <c r="D388" s="1178"/>
      <c r="E388" s="1178"/>
      <c r="F388" s="1164"/>
      <c r="G388" s="1159"/>
    </row>
    <row r="389" spans="1:7" ht="13" hidden="1" customHeight="1">
      <c r="B389" s="1175"/>
      <c r="C389" s="1180" t="s">
        <v>1460</v>
      </c>
      <c r="D389" s="1178" t="s">
        <v>119</v>
      </c>
      <c r="E389" s="1178">
        <v>0.1</v>
      </c>
      <c r="F389" s="1164">
        <f>F367</f>
        <v>460</v>
      </c>
      <c r="G389" s="1164">
        <f>ROUND(E389*F389,2)</f>
        <v>46</v>
      </c>
    </row>
    <row r="390" spans="1:7" ht="13" hidden="1" customHeight="1">
      <c r="B390" s="1175"/>
      <c r="C390" s="1183" t="s">
        <v>1446</v>
      </c>
      <c r="D390" s="1178"/>
      <c r="E390" s="1178"/>
      <c r="F390" s="1159"/>
      <c r="G390" s="1200">
        <f>ROUND(SUM(G387:G389),2)</f>
        <v>226</v>
      </c>
    </row>
    <row r="391" spans="1:7" ht="13" hidden="1" customHeight="1">
      <c r="B391" s="1175"/>
      <c r="C391" s="1183" t="s">
        <v>1447</v>
      </c>
      <c r="D391" s="1178"/>
      <c r="E391" s="1178"/>
      <c r="F391" s="1159"/>
      <c r="G391" s="1159"/>
    </row>
    <row r="392" spans="1:7" ht="13" hidden="1" customHeight="1">
      <c r="A392" s="2090" t="s">
        <v>1461</v>
      </c>
      <c r="B392" s="1158">
        <v>11.3</v>
      </c>
      <c r="C392" s="1498" t="s">
        <v>1462</v>
      </c>
      <c r="D392" s="1161"/>
      <c r="E392" s="1161"/>
      <c r="F392" s="1159"/>
      <c r="G392" s="1159"/>
    </row>
    <row r="393" spans="1:7" ht="117" hidden="1" customHeight="1">
      <c r="A393" s="2090"/>
      <c r="B393" s="1158" t="s">
        <v>1463</v>
      </c>
      <c r="C393" s="1160" t="s">
        <v>1464</v>
      </c>
      <c r="D393" s="1161"/>
      <c r="E393" s="1161"/>
      <c r="F393" s="1159"/>
      <c r="G393" s="1159"/>
    </row>
    <row r="394" spans="1:7" ht="13" hidden="1" customHeight="1">
      <c r="B394" s="1158"/>
      <c r="C394" s="1195" t="s">
        <v>469</v>
      </c>
      <c r="D394" s="1161"/>
      <c r="E394" s="1161"/>
      <c r="F394" s="1159"/>
      <c r="G394" s="1159"/>
    </row>
    <row r="395" spans="1:7" ht="24.75" hidden="1" customHeight="1">
      <c r="B395" s="1158"/>
      <c r="C395" s="1160" t="s">
        <v>1465</v>
      </c>
      <c r="D395" s="1161" t="s">
        <v>799</v>
      </c>
      <c r="E395" s="1173">
        <v>1</v>
      </c>
      <c r="F395" s="1174">
        <v>16200</v>
      </c>
      <c r="G395" s="1174">
        <f>ROUND(E395*F395,2)</f>
        <v>16200</v>
      </c>
    </row>
    <row r="396" spans="1:7" ht="13" hidden="1" customHeight="1">
      <c r="B396" s="1158"/>
      <c r="C396" s="1201" t="s">
        <v>1466</v>
      </c>
      <c r="D396" s="1161" t="s">
        <v>799</v>
      </c>
      <c r="E396" s="1161">
        <v>2</v>
      </c>
      <c r="F396" s="1164">
        <v>200</v>
      </c>
      <c r="G396" s="1164">
        <f>ROUND(E396*F396,2)</f>
        <v>400</v>
      </c>
    </row>
    <row r="397" spans="1:7" ht="13" hidden="1" customHeight="1">
      <c r="B397" s="1158"/>
      <c r="C397" s="1201"/>
      <c r="D397" s="1161"/>
      <c r="E397" s="1161"/>
      <c r="F397" s="1164"/>
      <c r="G397" s="1164">
        <f>SUM(G395:G396)</f>
        <v>16600</v>
      </c>
    </row>
    <row r="398" spans="1:7" ht="12.75" hidden="1" customHeight="1">
      <c r="B398" s="1158"/>
      <c r="C398" s="1171" t="s">
        <v>1281</v>
      </c>
      <c r="D398" s="1163"/>
      <c r="E398" s="1161"/>
      <c r="F398" s="1166"/>
      <c r="G398" s="1164">
        <f>SUM(G396:G397)</f>
        <v>17000</v>
      </c>
    </row>
    <row r="399" spans="1:7" ht="13" hidden="1" customHeight="1">
      <c r="B399" s="1158"/>
      <c r="C399" s="1496" t="s">
        <v>1445</v>
      </c>
      <c r="D399" s="1161"/>
      <c r="E399" s="1197">
        <v>0.02</v>
      </c>
      <c r="F399" s="1159"/>
      <c r="G399" s="1164">
        <f>G397*E399</f>
        <v>332</v>
      </c>
    </row>
    <row r="400" spans="1:7" ht="25.5" hidden="1" customHeight="1">
      <c r="B400" s="1158"/>
      <c r="C400" s="1498" t="s">
        <v>1467</v>
      </c>
      <c r="D400" s="1161"/>
      <c r="E400" s="1161"/>
      <c r="F400" s="1159"/>
      <c r="G400" s="1159"/>
    </row>
    <row r="401" spans="1:7" ht="13" hidden="1" customHeight="1">
      <c r="B401" s="1158"/>
      <c r="C401" s="1496" t="s">
        <v>1468</v>
      </c>
      <c r="D401" s="1161" t="s">
        <v>119</v>
      </c>
      <c r="E401" s="1161">
        <v>0.5</v>
      </c>
      <c r="F401" s="1164">
        <v>555</v>
      </c>
      <c r="G401" s="1164">
        <f>ROUND(E401*F401,2)</f>
        <v>277.5</v>
      </c>
    </row>
    <row r="402" spans="1:7" ht="13" hidden="1" customHeight="1">
      <c r="B402" s="1158"/>
      <c r="C402" s="1496" t="s">
        <v>1107</v>
      </c>
      <c r="D402" s="1161" t="s">
        <v>119</v>
      </c>
      <c r="E402" s="1161">
        <v>1</v>
      </c>
      <c r="F402" s="1164">
        <v>445</v>
      </c>
      <c r="G402" s="1164">
        <f>ROUND(E402*F402,2)</f>
        <v>445</v>
      </c>
    </row>
    <row r="403" spans="1:7" ht="13" hidden="1" customHeight="1">
      <c r="B403" s="1158"/>
      <c r="C403" s="1496" t="s">
        <v>1469</v>
      </c>
      <c r="D403" s="1161" t="s">
        <v>119</v>
      </c>
      <c r="E403" s="1161">
        <v>0.5</v>
      </c>
      <c r="F403" s="1164">
        <v>490</v>
      </c>
      <c r="G403" s="1164">
        <f>ROUND(E403*F403,2)</f>
        <v>245</v>
      </c>
    </row>
    <row r="404" spans="1:7" ht="13" hidden="1" customHeight="1">
      <c r="B404" s="1158"/>
      <c r="C404" s="1496" t="s">
        <v>1470</v>
      </c>
      <c r="D404" s="1161" t="s">
        <v>728</v>
      </c>
      <c r="E404" s="1161"/>
      <c r="F404" s="1159"/>
      <c r="G404" s="1159"/>
    </row>
    <row r="405" spans="1:7" ht="13" hidden="1" customHeight="1">
      <c r="B405" s="1158"/>
      <c r="C405" s="1498" t="s">
        <v>1446</v>
      </c>
      <c r="D405" s="1161"/>
      <c r="E405" s="1161"/>
      <c r="F405" s="1159"/>
      <c r="G405" s="1164">
        <f>SUM(G398:G404)</f>
        <v>18299.5</v>
      </c>
    </row>
    <row r="406" spans="1:7" ht="13" hidden="1" customHeight="1">
      <c r="B406" s="1158"/>
      <c r="C406" s="1498" t="s">
        <v>1471</v>
      </c>
      <c r="D406" s="1161"/>
      <c r="E406" s="1161"/>
      <c r="F406" s="1159"/>
      <c r="G406" s="1159"/>
    </row>
    <row r="407" spans="1:7" s="1021" customFormat="1" ht="55.5" hidden="1" customHeight="1">
      <c r="A407" s="1157" t="s">
        <v>238</v>
      </c>
      <c r="B407" s="1202">
        <v>1</v>
      </c>
      <c r="C407" s="2089" t="s">
        <v>1580</v>
      </c>
      <c r="D407" s="2089"/>
      <c r="E407" s="2089"/>
      <c r="F407" s="2089"/>
      <c r="G407" s="1203"/>
    </row>
    <row r="408" spans="1:7" ht="13" hidden="1" customHeight="1">
      <c r="B408" s="1158"/>
      <c r="C408" s="1496" t="s">
        <v>1581</v>
      </c>
      <c r="D408" s="1161" t="s">
        <v>771</v>
      </c>
      <c r="E408" s="1196">
        <v>1</v>
      </c>
      <c r="F408" s="1164">
        <f>[125]Elec.rates!F52</f>
        <v>16700</v>
      </c>
      <c r="G408" s="1164">
        <f>ROUND(E408*F408,2)</f>
        <v>16700</v>
      </c>
    </row>
    <row r="409" spans="1:7" ht="13" hidden="1" customHeight="1">
      <c r="B409" s="1158"/>
      <c r="C409" s="1496" t="s">
        <v>1582</v>
      </c>
      <c r="D409" s="1204">
        <v>0.02</v>
      </c>
      <c r="E409" s="1196"/>
      <c r="F409" s="1164"/>
      <c r="G409" s="1164">
        <f>ROUND(G408*2%,2)</f>
        <v>334</v>
      </c>
    </row>
    <row r="410" spans="1:7" ht="13" hidden="1" customHeight="1">
      <c r="B410" s="1158"/>
      <c r="C410" s="1498" t="s">
        <v>1404</v>
      </c>
      <c r="D410" s="1161"/>
      <c r="E410" s="1161"/>
      <c r="F410" s="1159"/>
      <c r="G410" s="1159"/>
    </row>
    <row r="411" spans="1:7" ht="13" hidden="1" customHeight="1">
      <c r="B411" s="1158"/>
      <c r="C411" s="1496" t="s">
        <v>1468</v>
      </c>
      <c r="D411" s="1161" t="s">
        <v>119</v>
      </c>
      <c r="E411" s="1196">
        <v>1</v>
      </c>
      <c r="F411" s="1164">
        <f>[125]Elec.rates!F73</f>
        <v>550</v>
      </c>
      <c r="G411" s="1164">
        <f>ROUND(E411*F411,2)</f>
        <v>550</v>
      </c>
    </row>
    <row r="412" spans="1:7" ht="13" hidden="1" customHeight="1">
      <c r="B412" s="1158"/>
      <c r="C412" s="1159" t="s">
        <v>1107</v>
      </c>
      <c r="D412" s="1161" t="s">
        <v>119</v>
      </c>
      <c r="E412" s="1196">
        <v>2</v>
      </c>
      <c r="F412" s="1164">
        <f>[125]Elec.rates!F75</f>
        <v>460</v>
      </c>
      <c r="G412" s="1164">
        <f>ROUND(E412*F412,2)</f>
        <v>920</v>
      </c>
    </row>
    <row r="413" spans="1:7" ht="13" hidden="1" customHeight="1">
      <c r="B413" s="1158"/>
      <c r="C413" s="1496" t="s">
        <v>1584</v>
      </c>
      <c r="D413" s="1161" t="s">
        <v>119</v>
      </c>
      <c r="E413" s="1196">
        <v>1</v>
      </c>
      <c r="F413" s="1164">
        <f>[125]Elec.rates!F74</f>
        <v>580</v>
      </c>
      <c r="G413" s="1164">
        <f>ROUND(E413*F413,2)</f>
        <v>580</v>
      </c>
    </row>
    <row r="414" spans="1:7" ht="13" hidden="1" customHeight="1">
      <c r="B414" s="1158"/>
      <c r="C414" s="813" t="s">
        <v>1724</v>
      </c>
      <c r="D414" s="737">
        <f>D4</f>
        <v>0</v>
      </c>
      <c r="E414" s="778"/>
      <c r="F414" s="778"/>
      <c r="G414" s="812">
        <f>(SUM(G412:G413))*D414</f>
        <v>0</v>
      </c>
    </row>
    <row r="415" spans="1:7" ht="13" hidden="1" customHeight="1">
      <c r="B415" s="1158"/>
      <c r="C415" s="1169" t="s">
        <v>1313</v>
      </c>
      <c r="D415" s="1161"/>
      <c r="E415" s="1161"/>
      <c r="F415" s="1159"/>
      <c r="G415" s="1200">
        <f>ROUND(SUM(G408:G414),2)</f>
        <v>19084</v>
      </c>
    </row>
    <row r="416" spans="1:7" ht="13" hidden="1" customHeight="1"/>
    <row r="417" spans="1:7" s="1582" customFormat="1" ht="87.75" customHeight="1">
      <c r="A417" s="1580" t="s">
        <v>1301</v>
      </c>
      <c r="B417" s="1581">
        <v>12</v>
      </c>
      <c r="C417" s="2089" t="s">
        <v>2060</v>
      </c>
      <c r="D417" s="2089"/>
      <c r="E417" s="2089"/>
      <c r="F417" s="2089"/>
      <c r="G417" s="1778"/>
    </row>
    <row r="418" spans="1:7" s="1582" customFormat="1">
      <c r="A418" s="1583"/>
      <c r="B418" s="1583"/>
      <c r="C418" s="1584" t="s">
        <v>2012</v>
      </c>
      <c r="D418" s="1585"/>
      <c r="E418" s="1586"/>
      <c r="F418" s="1587"/>
      <c r="G418" s="1586"/>
    </row>
    <row r="419" spans="1:7" s="1582" customFormat="1">
      <c r="A419" s="1583"/>
      <c r="B419" s="1583"/>
      <c r="C419" s="1584" t="s">
        <v>2013</v>
      </c>
      <c r="D419" s="1590" t="s">
        <v>119</v>
      </c>
      <c r="E419" s="1585">
        <v>0.6</v>
      </c>
      <c r="F419" s="1588">
        <v>575</v>
      </c>
      <c r="G419" s="1164">
        <f>ROUND(E419*F419,2)</f>
        <v>345</v>
      </c>
    </row>
    <row r="420" spans="1:7" s="1582" customFormat="1">
      <c r="A420" s="1583"/>
      <c r="B420" s="1583"/>
      <c r="C420" s="1584" t="s">
        <v>2014</v>
      </c>
      <c r="D420" s="1590" t="s">
        <v>119</v>
      </c>
      <c r="E420" s="1585">
        <v>1.2</v>
      </c>
      <c r="F420" s="1588">
        <v>460</v>
      </c>
      <c r="G420" s="1164">
        <f>ROUND(E420*F420,2)</f>
        <v>552</v>
      </c>
    </row>
    <row r="421" spans="1:7" s="1582" customFormat="1">
      <c r="A421" s="1583"/>
      <c r="B421" s="1583"/>
      <c r="C421" s="1584" t="s">
        <v>2015</v>
      </c>
      <c r="D421" s="1590" t="s">
        <v>119</v>
      </c>
      <c r="E421" s="1585">
        <v>0.6</v>
      </c>
      <c r="F421" s="1588">
        <v>420</v>
      </c>
      <c r="G421" s="1164">
        <f>ROUND(E421*F421,2)</f>
        <v>252</v>
      </c>
    </row>
    <row r="422" spans="1:7" s="1582" customFormat="1">
      <c r="A422" s="1583"/>
      <c r="B422" s="1583"/>
      <c r="C422" s="1584" t="s">
        <v>2016</v>
      </c>
      <c r="D422" s="1590"/>
      <c r="E422" s="1585"/>
      <c r="F422" s="1588"/>
      <c r="G422" s="1589">
        <f>SUM(G419:G421)</f>
        <v>1149</v>
      </c>
    </row>
    <row r="423" spans="1:7" s="1582" customFormat="1">
      <c r="A423" s="1583"/>
      <c r="B423" s="1583"/>
      <c r="C423" s="1584" t="s">
        <v>2017</v>
      </c>
      <c r="D423" s="1590"/>
      <c r="E423" s="1585"/>
      <c r="F423" s="1588"/>
      <c r="G423" s="1589">
        <f>SUM(G422/6)</f>
        <v>191.5</v>
      </c>
    </row>
    <row r="424" spans="1:7" s="1582" customFormat="1">
      <c r="A424" s="1583"/>
      <c r="B424" s="1583"/>
      <c r="C424" s="1592" t="s">
        <v>2018</v>
      </c>
      <c r="D424" s="1590"/>
      <c r="E424" s="1585"/>
      <c r="F424" s="1588"/>
      <c r="G424" s="1589">
        <f>SUM(G423:G423)</f>
        <v>191.5</v>
      </c>
    </row>
    <row r="425" spans="1:7" s="1582" customFormat="1">
      <c r="A425" s="1583"/>
      <c r="B425" s="1583"/>
      <c r="C425" s="1584" t="s">
        <v>247</v>
      </c>
      <c r="D425" s="1590"/>
      <c r="E425" s="1585"/>
      <c r="F425" s="1588"/>
      <c r="G425" s="1589"/>
    </row>
    <row r="426" spans="1:7" s="1582" customFormat="1" ht="13.5" customHeight="1">
      <c r="A426" s="1583" t="s">
        <v>2019</v>
      </c>
      <c r="B426" s="1593"/>
      <c r="C426" s="1594" t="s">
        <v>2020</v>
      </c>
      <c r="D426" s="1590" t="s">
        <v>217</v>
      </c>
      <c r="E426" s="1585">
        <v>1</v>
      </c>
      <c r="F426" s="1588">
        <v>120</v>
      </c>
      <c r="G426" s="1164">
        <f>ROUND(E426*F426,2)</f>
        <v>120</v>
      </c>
    </row>
    <row r="427" spans="1:7" ht="13" customHeight="1">
      <c r="B427" s="1158"/>
      <c r="C427" s="1555" t="s">
        <v>1304</v>
      </c>
      <c r="D427" s="1161" t="s">
        <v>2059</v>
      </c>
      <c r="E427" s="1585">
        <v>6</v>
      </c>
      <c r="F427" s="1164">
        <v>19</v>
      </c>
      <c r="G427" s="1164">
        <f>F427*E427</f>
        <v>114</v>
      </c>
    </row>
    <row r="428" spans="1:7" s="1582" customFormat="1" ht="15" customHeight="1">
      <c r="A428" s="1583" t="s">
        <v>2021</v>
      </c>
      <c r="B428" s="1593"/>
      <c r="C428" s="1584" t="s">
        <v>2022</v>
      </c>
      <c r="D428" s="1586" t="s">
        <v>217</v>
      </c>
      <c r="E428" s="1585">
        <v>6</v>
      </c>
      <c r="F428" s="1588">
        <v>55</v>
      </c>
      <c r="G428" s="1164">
        <f>ROUND(E428*F428,2)</f>
        <v>330</v>
      </c>
    </row>
    <row r="429" spans="1:7" s="1582" customFormat="1" ht="23">
      <c r="A429" s="1583" t="s">
        <v>2023</v>
      </c>
      <c r="B429" s="1593"/>
      <c r="C429" s="1595" t="s">
        <v>2024</v>
      </c>
      <c r="D429" s="1586" t="s">
        <v>217</v>
      </c>
      <c r="E429" s="1585">
        <v>1</v>
      </c>
      <c r="F429" s="1588">
        <v>125</v>
      </c>
      <c r="G429" s="1164">
        <f>ROUND(E429*F429,2)</f>
        <v>125</v>
      </c>
    </row>
    <row r="430" spans="1:7" s="1582" customFormat="1" ht="46">
      <c r="A430" s="1583"/>
      <c r="B430" s="1583"/>
      <c r="C430" s="1596" t="s">
        <v>2025</v>
      </c>
      <c r="D430" s="1590" t="s">
        <v>2026</v>
      </c>
      <c r="E430" s="1585">
        <v>100</v>
      </c>
      <c r="F430" s="1588">
        <v>1000</v>
      </c>
      <c r="G430" s="1164">
        <f>F430</f>
        <v>1000</v>
      </c>
    </row>
    <row r="431" spans="1:7" s="1582" customFormat="1">
      <c r="A431" s="1583"/>
      <c r="B431" s="1583"/>
      <c r="C431" s="1584" t="s">
        <v>2027</v>
      </c>
      <c r="D431" s="1585"/>
      <c r="E431" s="1586"/>
      <c r="F431" s="1588"/>
      <c r="G431" s="1589">
        <f>SUM(G426:G430)</f>
        <v>1689</v>
      </c>
    </row>
    <row r="432" spans="1:7" s="1582" customFormat="1">
      <c r="A432" s="1583"/>
      <c r="B432" s="1583"/>
      <c r="C432" s="1584" t="s">
        <v>2028</v>
      </c>
      <c r="D432" s="1585"/>
      <c r="E432" s="1586"/>
      <c r="F432" s="1588"/>
      <c r="G432" s="1589">
        <f>SUM(G431/6)</f>
        <v>281.5</v>
      </c>
    </row>
    <row r="433" spans="1:7" s="1582" customFormat="1">
      <c r="A433" s="1583"/>
      <c r="B433" s="1583"/>
      <c r="C433" s="1597" t="s">
        <v>2029</v>
      </c>
      <c r="D433" s="1598"/>
      <c r="E433" s="1586"/>
      <c r="F433" s="1599"/>
      <c r="G433" s="1602">
        <f>G432+G424</f>
        <v>473</v>
      </c>
    </row>
    <row r="434" spans="1:7" s="1582" customFormat="1">
      <c r="A434" s="1603"/>
      <c r="B434" s="1603"/>
      <c r="C434" s="1584"/>
      <c r="D434" s="1603"/>
      <c r="E434" s="1603"/>
      <c r="F434" s="1601" t="s">
        <v>1967</v>
      </c>
      <c r="G434" s="1870">
        <f>SUM(G433:G433)</f>
        <v>473</v>
      </c>
    </row>
    <row r="435" spans="1:7" s="1582" customFormat="1" ht="84" hidden="1" customHeight="1">
      <c r="A435" s="1580" t="e">
        <f>A417+1</f>
        <v>#VALUE!</v>
      </c>
      <c r="B435" s="1581" t="s">
        <v>1301</v>
      </c>
      <c r="C435" s="2084" t="s">
        <v>2011</v>
      </c>
      <c r="D435" s="2085"/>
      <c r="E435" s="2085"/>
      <c r="F435" s="2085"/>
      <c r="G435" s="2085"/>
    </row>
    <row r="436" spans="1:7" s="1582" customFormat="1" hidden="1">
      <c r="A436" s="1583"/>
      <c r="B436" s="1583"/>
      <c r="C436" s="1584" t="s">
        <v>2012</v>
      </c>
      <c r="D436" s="1585"/>
      <c r="E436" s="1586"/>
      <c r="F436" s="1587"/>
      <c r="G436" s="1586"/>
    </row>
    <row r="437" spans="1:7" s="1582" customFormat="1" hidden="1">
      <c r="A437" s="1583"/>
      <c r="B437" s="1583"/>
      <c r="C437" s="1584" t="s">
        <v>2013</v>
      </c>
      <c r="D437" s="1585">
        <v>0.6</v>
      </c>
      <c r="E437" s="1590" t="s">
        <v>119</v>
      </c>
      <c r="F437" s="1587">
        <v>1</v>
      </c>
      <c r="G437" s="1590" t="s">
        <v>119</v>
      </c>
    </row>
    <row r="438" spans="1:7" s="1582" customFormat="1" hidden="1">
      <c r="A438" s="1583"/>
      <c r="B438" s="1583"/>
      <c r="C438" s="1584" t="s">
        <v>2014</v>
      </c>
      <c r="D438" s="1585">
        <v>1.2</v>
      </c>
      <c r="E438" s="1590" t="s">
        <v>119</v>
      </c>
      <c r="F438" s="1587">
        <v>1</v>
      </c>
      <c r="G438" s="1590" t="s">
        <v>119</v>
      </c>
    </row>
    <row r="439" spans="1:7" s="1582" customFormat="1" hidden="1">
      <c r="A439" s="1583"/>
      <c r="B439" s="1583"/>
      <c r="C439" s="1584" t="s">
        <v>2015</v>
      </c>
      <c r="D439" s="1585">
        <v>0.6</v>
      </c>
      <c r="E439" s="1590" t="s">
        <v>119</v>
      </c>
      <c r="F439" s="1587">
        <v>1</v>
      </c>
      <c r="G439" s="1590" t="s">
        <v>119</v>
      </c>
    </row>
    <row r="440" spans="1:7" s="1582" customFormat="1" hidden="1">
      <c r="A440" s="1583"/>
      <c r="B440" s="1583"/>
      <c r="C440" s="1584" t="s">
        <v>2016</v>
      </c>
      <c r="D440" s="1585"/>
      <c r="E440" s="1590"/>
      <c r="F440" s="1587"/>
      <c r="G440" s="1590"/>
    </row>
    <row r="441" spans="1:7" s="1582" customFormat="1" hidden="1">
      <c r="A441" s="1583"/>
      <c r="B441" s="1583"/>
      <c r="C441" s="1584" t="s">
        <v>2017</v>
      </c>
      <c r="D441" s="1591"/>
      <c r="E441" s="1590"/>
      <c r="F441" s="1587"/>
      <c r="G441" s="1590"/>
    </row>
    <row r="442" spans="1:7" s="1582" customFormat="1" hidden="1">
      <c r="A442" s="1583"/>
      <c r="B442" s="1583"/>
      <c r="C442" s="1592" t="s">
        <v>2018</v>
      </c>
      <c r="D442" s="1585"/>
      <c r="E442" s="1590"/>
      <c r="F442" s="1587"/>
      <c r="G442" s="1590"/>
    </row>
    <row r="443" spans="1:7" s="1582" customFormat="1" hidden="1">
      <c r="A443" s="1583"/>
      <c r="B443" s="1583"/>
      <c r="C443" s="1584" t="s">
        <v>247</v>
      </c>
      <c r="D443" s="1585"/>
      <c r="E443" s="1590"/>
      <c r="F443" s="1587"/>
      <c r="G443" s="1590"/>
    </row>
    <row r="444" spans="1:7" s="1582" customFormat="1" ht="23" hidden="1">
      <c r="A444" s="1583" t="s">
        <v>2030</v>
      </c>
      <c r="B444" s="1593"/>
      <c r="C444" s="1594" t="s">
        <v>2031</v>
      </c>
      <c r="D444" s="1585">
        <v>1</v>
      </c>
      <c r="E444" s="1590" t="s">
        <v>217</v>
      </c>
      <c r="F444" s="1585">
        <v>1</v>
      </c>
      <c r="G444" s="1590" t="s">
        <v>771</v>
      </c>
    </row>
    <row r="445" spans="1:7" s="1582" customFormat="1" ht="23" hidden="1">
      <c r="A445" s="1583" t="s">
        <v>2021</v>
      </c>
      <c r="B445" s="1593"/>
      <c r="C445" s="1584" t="s">
        <v>2022</v>
      </c>
      <c r="D445" s="1591">
        <v>12</v>
      </c>
      <c r="E445" s="1586" t="s">
        <v>217</v>
      </c>
      <c r="F445" s="1587">
        <v>1</v>
      </c>
      <c r="G445" s="1586" t="s">
        <v>771</v>
      </c>
    </row>
    <row r="446" spans="1:7" s="1582" customFormat="1" ht="23" hidden="1">
      <c r="A446" s="1583" t="s">
        <v>2032</v>
      </c>
      <c r="B446" s="1593"/>
      <c r="C446" s="1595" t="s">
        <v>2033</v>
      </c>
      <c r="D446" s="1591">
        <v>1</v>
      </c>
      <c r="E446" s="1586" t="s">
        <v>217</v>
      </c>
      <c r="F446" s="1587">
        <v>1</v>
      </c>
      <c r="G446" s="1586" t="s">
        <v>771</v>
      </c>
    </row>
    <row r="447" spans="1:7" s="1582" customFormat="1" ht="46" hidden="1">
      <c r="A447" s="1583"/>
      <c r="B447" s="1583"/>
      <c r="C447" s="1596" t="s">
        <v>2025</v>
      </c>
      <c r="D447" s="1585">
        <v>200</v>
      </c>
      <c r="E447" s="1590" t="s">
        <v>2026</v>
      </c>
      <c r="F447" s="1587">
        <v>100</v>
      </c>
      <c r="G447" s="1590" t="s">
        <v>2026</v>
      </c>
    </row>
    <row r="448" spans="1:7" s="1582" customFormat="1" hidden="1">
      <c r="A448" s="1583"/>
      <c r="B448" s="1583"/>
      <c r="C448" s="1584" t="s">
        <v>2034</v>
      </c>
      <c r="D448" s="1585"/>
      <c r="E448" s="1586"/>
      <c r="F448" s="1587"/>
      <c r="G448" s="1586"/>
    </row>
    <row r="449" spans="1:7" s="1582" customFormat="1" hidden="1">
      <c r="A449" s="1583"/>
      <c r="B449" s="1583"/>
      <c r="C449" s="1584" t="s">
        <v>2028</v>
      </c>
      <c r="D449" s="1585"/>
      <c r="E449" s="1586"/>
      <c r="F449" s="1587"/>
      <c r="G449" s="1586"/>
    </row>
    <row r="450" spans="1:7" s="1582" customFormat="1" hidden="1">
      <c r="A450" s="1583"/>
      <c r="B450" s="1583"/>
      <c r="C450" s="1597" t="s">
        <v>2029</v>
      </c>
      <c r="D450" s="1598"/>
      <c r="E450" s="1586"/>
      <c r="F450" s="1599"/>
      <c r="G450" s="1600"/>
    </row>
    <row r="451" spans="1:7" s="1582" customFormat="1" hidden="1">
      <c r="A451" s="1603"/>
      <c r="B451" s="1603"/>
      <c r="C451" s="1584"/>
      <c r="D451" s="1603"/>
      <c r="E451" s="1603"/>
      <c r="F451" s="1603"/>
      <c r="G451" s="1603"/>
    </row>
    <row r="452" spans="1:7" s="1582" customFormat="1" hidden="1">
      <c r="A452" s="1603"/>
      <c r="B452" s="1603"/>
      <c r="C452" s="1584"/>
      <c r="D452" s="1603"/>
      <c r="E452" s="1603"/>
      <c r="F452" s="1603"/>
      <c r="G452" s="1603"/>
    </row>
    <row r="453" spans="1:7" s="1582" customFormat="1" hidden="1">
      <c r="A453" s="1603"/>
      <c r="B453" s="1603"/>
      <c r="C453" s="1584"/>
      <c r="D453" s="1603"/>
      <c r="E453" s="1603"/>
      <c r="F453" s="1603"/>
      <c r="G453" s="1603"/>
    </row>
    <row r="454" spans="1:7" s="1582" customFormat="1" hidden="1">
      <c r="A454" s="1603"/>
      <c r="B454" s="1603"/>
      <c r="C454" s="1584"/>
      <c r="D454" s="1603"/>
      <c r="E454" s="1603"/>
      <c r="F454" s="1603"/>
      <c r="G454" s="1603"/>
    </row>
    <row r="455" spans="1:7" s="1582" customFormat="1" ht="53.25" customHeight="1">
      <c r="A455" s="1580" t="s">
        <v>1308</v>
      </c>
      <c r="B455" s="1581">
        <v>13</v>
      </c>
      <c r="C455" s="2089" t="s">
        <v>2061</v>
      </c>
      <c r="D455" s="2089"/>
      <c r="E455" s="2089"/>
      <c r="F455" s="2089"/>
      <c r="G455" s="1778"/>
    </row>
    <row r="456" spans="1:7" s="1582" customFormat="1">
      <c r="A456" s="1583"/>
      <c r="B456" s="1583"/>
      <c r="C456" s="1584" t="s">
        <v>2012</v>
      </c>
      <c r="D456" s="1585"/>
      <c r="E456" s="1586"/>
      <c r="F456" s="1587"/>
      <c r="G456" s="1586"/>
    </row>
    <row r="457" spans="1:7" s="1582" customFormat="1">
      <c r="A457" s="1583"/>
      <c r="B457" s="1583"/>
      <c r="C457" s="1584" t="s">
        <v>2013</v>
      </c>
      <c r="D457" s="1590" t="s">
        <v>119</v>
      </c>
      <c r="E457" s="1604">
        <v>6.7000000000000004E-2</v>
      </c>
      <c r="F457" s="1588">
        <f>F419</f>
        <v>575</v>
      </c>
      <c r="G457" s="1164">
        <f>F457*E457</f>
        <v>38.525000000000006</v>
      </c>
    </row>
    <row r="458" spans="1:7" s="1582" customFormat="1">
      <c r="A458" s="1583"/>
      <c r="B458" s="1583"/>
      <c r="C458" s="1584" t="s">
        <v>2015</v>
      </c>
      <c r="D458" s="1590" t="s">
        <v>119</v>
      </c>
      <c r="E458" s="1604">
        <v>6.7000000000000004E-2</v>
      </c>
      <c r="F458" s="1588">
        <f>F421</f>
        <v>420</v>
      </c>
      <c r="G458" s="1164">
        <f>F458*E458</f>
        <v>28.14</v>
      </c>
    </row>
    <row r="459" spans="1:7" s="1582" customFormat="1" hidden="1">
      <c r="A459" s="1583"/>
      <c r="B459" s="1583"/>
      <c r="C459" s="1584" t="s">
        <v>2035</v>
      </c>
      <c r="D459" s="1590"/>
      <c r="E459" s="1585"/>
      <c r="F459" s="1588"/>
      <c r="G459" s="1589">
        <f>SUM(G457:G458)</f>
        <v>66.665000000000006</v>
      </c>
    </row>
    <row r="460" spans="1:7" s="1582" customFormat="1" ht="12.75" hidden="1" customHeight="1">
      <c r="A460" s="1583"/>
      <c r="B460" s="1583"/>
      <c r="C460" s="1605" t="e">
        <f>"Add "&amp;#REF!*100&amp;"% on Labour for Municipal Limits"</f>
        <v>#REF!</v>
      </c>
      <c r="D460" s="1607"/>
      <c r="E460" s="1606" t="e">
        <f>#REF!</f>
        <v>#REF!</v>
      </c>
      <c r="F460" s="1607"/>
      <c r="G460" s="1589" t="e">
        <f>E460*G459</f>
        <v>#REF!</v>
      </c>
    </row>
    <row r="461" spans="1:7" s="1582" customFormat="1">
      <c r="A461" s="1583"/>
      <c r="B461" s="1583"/>
      <c r="C461" s="1584" t="s">
        <v>2036</v>
      </c>
      <c r="D461" s="1590"/>
      <c r="E461" s="1585"/>
      <c r="F461" s="1588"/>
      <c r="G461" s="1589">
        <f>G459</f>
        <v>66.665000000000006</v>
      </c>
    </row>
    <row r="462" spans="1:7" s="1582" customFormat="1">
      <c r="A462" s="1583"/>
      <c r="B462" s="1583"/>
      <c r="C462" s="1584" t="s">
        <v>247</v>
      </c>
      <c r="D462" s="1590"/>
      <c r="E462" s="1585"/>
      <c r="F462" s="1588"/>
      <c r="G462" s="1589"/>
    </row>
    <row r="463" spans="1:7" s="1582" customFormat="1" ht="23">
      <c r="A463" s="1608" t="s">
        <v>2037</v>
      </c>
      <c r="B463" s="1593"/>
      <c r="C463" s="1584" t="s">
        <v>2038</v>
      </c>
      <c r="D463" s="1610" t="s">
        <v>771</v>
      </c>
      <c r="E463" s="1609">
        <v>1</v>
      </c>
      <c r="F463" s="1611">
        <f>F428</f>
        <v>55</v>
      </c>
      <c r="G463" s="1164">
        <f>F463*E463</f>
        <v>55</v>
      </c>
    </row>
    <row r="464" spans="1:7" s="1582" customFormat="1" ht="23">
      <c r="A464" s="1608" t="s">
        <v>2039</v>
      </c>
      <c r="B464" s="1593"/>
      <c r="C464" s="1596" t="s">
        <v>2040</v>
      </c>
      <c r="D464" s="1610" t="s">
        <v>771</v>
      </c>
      <c r="E464" s="1609">
        <v>1</v>
      </c>
      <c r="F464" s="1611">
        <v>85</v>
      </c>
      <c r="G464" s="1164">
        <f>F464*E464</f>
        <v>85</v>
      </c>
    </row>
    <row r="465" spans="1:7" s="1582" customFormat="1">
      <c r="A465" s="1583"/>
      <c r="B465" s="1583"/>
      <c r="C465" s="1584" t="s">
        <v>2028</v>
      </c>
      <c r="D465" s="1585"/>
      <c r="E465" s="1586"/>
      <c r="F465" s="1607"/>
      <c r="G465" s="1589">
        <f>SUM(G463:G464)</f>
        <v>140</v>
      </c>
    </row>
    <row r="466" spans="1:7" s="1582" customFormat="1">
      <c r="A466" s="1583"/>
      <c r="B466" s="1583"/>
      <c r="C466" s="1594" t="s">
        <v>2029</v>
      </c>
      <c r="D466" s="1598"/>
      <c r="E466" s="1586"/>
      <c r="F466" s="1601"/>
      <c r="G466" s="1589">
        <f>G465+G461</f>
        <v>206.66500000000002</v>
      </c>
    </row>
    <row r="467" spans="1:7" s="1582" customFormat="1">
      <c r="A467" s="1603"/>
      <c r="B467" s="1603"/>
      <c r="C467" s="1612"/>
      <c r="D467" s="1603"/>
      <c r="E467" s="1603"/>
      <c r="F467" s="1601" t="s">
        <v>1967</v>
      </c>
      <c r="G467" s="1870">
        <f>SUM(G466:G466)</f>
        <v>206.66500000000002</v>
      </c>
    </row>
    <row r="468" spans="1:7" s="1582" customFormat="1" hidden="1">
      <c r="A468" s="1603"/>
      <c r="B468" s="1603"/>
      <c r="C468" s="1612" t="s">
        <v>2041</v>
      </c>
      <c r="D468" s="1603"/>
      <c r="E468" s="1603"/>
      <c r="F468" s="1603"/>
      <c r="G468" s="1603"/>
    </row>
    <row r="469" spans="1:7" s="1582" customFormat="1" ht="60.75" hidden="1" customHeight="1">
      <c r="A469" s="1613" t="e">
        <f>A455+1</f>
        <v>#VALUE!</v>
      </c>
      <c r="B469" s="1614" t="s">
        <v>1315</v>
      </c>
      <c r="C469" s="2087" t="s">
        <v>2042</v>
      </c>
      <c r="D469" s="2088"/>
      <c r="E469" s="2088"/>
      <c r="F469" s="2088"/>
      <c r="G469" s="2088"/>
    </row>
    <row r="470" spans="1:7" s="1582" customFormat="1" hidden="1">
      <c r="A470" s="1615"/>
      <c r="B470" s="1615"/>
      <c r="C470" s="1616" t="s">
        <v>2012</v>
      </c>
      <c r="D470" s="1617"/>
      <c r="E470" s="1618"/>
      <c r="F470" s="1619"/>
      <c r="G470" s="1618"/>
    </row>
    <row r="471" spans="1:7" s="1582" customFormat="1" hidden="1">
      <c r="A471" s="1615"/>
      <c r="B471" s="1615"/>
      <c r="C471" s="1616" t="s">
        <v>2013</v>
      </c>
      <c r="D471" s="1620">
        <v>0.1</v>
      </c>
      <c r="E471" s="1621" t="s">
        <v>119</v>
      </c>
      <c r="F471" s="1619">
        <v>1</v>
      </c>
      <c r="G471" s="1621" t="s">
        <v>119</v>
      </c>
    </row>
    <row r="472" spans="1:7" s="1582" customFormat="1" hidden="1">
      <c r="A472" s="1615"/>
      <c r="B472" s="1615"/>
      <c r="C472" s="1616" t="s">
        <v>2015</v>
      </c>
      <c r="D472" s="1620">
        <v>0.1</v>
      </c>
      <c r="E472" s="1621" t="s">
        <v>119</v>
      </c>
      <c r="F472" s="1619">
        <v>1</v>
      </c>
      <c r="G472" s="1621" t="s">
        <v>119</v>
      </c>
    </row>
    <row r="473" spans="1:7" s="1582" customFormat="1" hidden="1">
      <c r="A473" s="1615"/>
      <c r="B473" s="1615"/>
      <c r="C473" s="1616" t="s">
        <v>2035</v>
      </c>
      <c r="D473" s="1617"/>
      <c r="E473" s="1621"/>
      <c r="F473" s="1619"/>
      <c r="G473" s="1621"/>
    </row>
    <row r="474" spans="1:7" s="1582" customFormat="1" hidden="1">
      <c r="A474" s="1615"/>
      <c r="B474" s="1615"/>
      <c r="C474" s="1616" t="s">
        <v>2036</v>
      </c>
      <c r="D474" s="1617"/>
      <c r="E474" s="1621"/>
      <c r="F474" s="1619"/>
      <c r="G474" s="1621"/>
    </row>
    <row r="475" spans="1:7" s="1582" customFormat="1" hidden="1">
      <c r="A475" s="1615"/>
      <c r="B475" s="1615"/>
      <c r="C475" s="1616" t="s">
        <v>247</v>
      </c>
      <c r="D475" s="1617"/>
      <c r="E475" s="1621"/>
      <c r="F475" s="1619"/>
      <c r="G475" s="1621"/>
    </row>
    <row r="476" spans="1:7" s="1582" customFormat="1" ht="20" hidden="1">
      <c r="A476" s="1622"/>
      <c r="B476" s="1622" t="s">
        <v>2043</v>
      </c>
      <c r="C476" s="1616" t="s">
        <v>2044</v>
      </c>
      <c r="D476" s="1623">
        <v>1</v>
      </c>
      <c r="E476" s="1624" t="s">
        <v>771</v>
      </c>
      <c r="F476" s="1625">
        <v>1</v>
      </c>
      <c r="G476" s="1624" t="s">
        <v>771</v>
      </c>
    </row>
    <row r="477" spans="1:7" s="1582" customFormat="1" ht="34.5" hidden="1">
      <c r="A477" s="1622"/>
      <c r="B477" s="1622" t="s">
        <v>2045</v>
      </c>
      <c r="C477" s="1616" t="s">
        <v>2046</v>
      </c>
      <c r="D477" s="1623">
        <v>1</v>
      </c>
      <c r="E477" s="1624" t="s">
        <v>771</v>
      </c>
      <c r="F477" s="1625">
        <v>1</v>
      </c>
      <c r="G477" s="1624" t="s">
        <v>771</v>
      </c>
    </row>
    <row r="478" spans="1:7" s="1582" customFormat="1" ht="12.75" hidden="1" customHeight="1">
      <c r="A478" s="1615"/>
      <c r="B478" s="1615"/>
      <c r="C478" s="1616" t="s">
        <v>2028</v>
      </c>
      <c r="D478" s="1617"/>
      <c r="E478" s="1618"/>
      <c r="F478" s="1619"/>
      <c r="G478" s="1626"/>
    </row>
    <row r="479" spans="1:7" s="1582" customFormat="1" hidden="1">
      <c r="A479" s="1615"/>
      <c r="B479" s="1615"/>
      <c r="C479" s="1627" t="s">
        <v>2029</v>
      </c>
      <c r="D479" s="1628"/>
      <c r="E479" s="1618"/>
      <c r="F479" s="1629"/>
      <c r="G479" s="1630"/>
    </row>
    <row r="480" spans="1:7" s="1582" customFormat="1" hidden="1">
      <c r="A480" s="1631"/>
      <c r="B480" s="1631"/>
      <c r="C480" s="1616" t="s">
        <v>2047</v>
      </c>
      <c r="D480" s="1631"/>
      <c r="E480" s="1631"/>
      <c r="F480" s="1631"/>
      <c r="G480" s="1631"/>
    </row>
    <row r="481" spans="1:7" s="1582" customFormat="1" hidden="1">
      <c r="A481" s="1631"/>
      <c r="B481" s="1631"/>
      <c r="C481" s="1631"/>
      <c r="D481" s="1631"/>
      <c r="E481" s="1631"/>
      <c r="F481" s="1631"/>
      <c r="G481" s="1631"/>
    </row>
    <row r="482" spans="1:7" s="1582" customFormat="1" hidden="1">
      <c r="A482" s="1631"/>
      <c r="B482" s="1631"/>
      <c r="C482" s="1631"/>
      <c r="D482" s="1631"/>
      <c r="E482" s="1631"/>
      <c r="F482" s="1631"/>
      <c r="G482" s="1631"/>
    </row>
    <row r="483" spans="1:7" s="1582" customFormat="1" ht="54.75" customHeight="1">
      <c r="A483" s="1580"/>
      <c r="B483" s="1581">
        <v>14</v>
      </c>
      <c r="C483" s="2091" t="s">
        <v>2048</v>
      </c>
      <c r="D483" s="2091"/>
      <c r="E483" s="2091"/>
      <c r="F483" s="2091"/>
      <c r="G483" s="1778"/>
    </row>
    <row r="484" spans="1:7" s="1582" customFormat="1">
      <c r="A484" s="1583"/>
      <c r="B484" s="1583"/>
      <c r="C484" s="1584" t="s">
        <v>2012</v>
      </c>
      <c r="D484" s="1585"/>
      <c r="E484" s="1586"/>
      <c r="F484" s="1587"/>
      <c r="G484" s="1586"/>
    </row>
    <row r="485" spans="1:7" s="1582" customFormat="1">
      <c r="A485" s="1583"/>
      <c r="B485" s="1583"/>
      <c r="C485" s="1584" t="s">
        <v>2013</v>
      </c>
      <c r="D485" s="1604">
        <v>0.1</v>
      </c>
      <c r="E485" s="1590" t="s">
        <v>119</v>
      </c>
      <c r="F485" s="1588">
        <v>575</v>
      </c>
      <c r="G485" s="1589">
        <f>D485*F485</f>
        <v>57.5</v>
      </c>
    </row>
    <row r="486" spans="1:7" s="1582" customFormat="1">
      <c r="A486" s="1583"/>
      <c r="B486" s="1583"/>
      <c r="C486" s="1584" t="s">
        <v>2015</v>
      </c>
      <c r="D486" s="1604">
        <v>0.1</v>
      </c>
      <c r="E486" s="1590" t="s">
        <v>119</v>
      </c>
      <c r="F486" s="1588">
        <v>420</v>
      </c>
      <c r="G486" s="1589">
        <f>D486*F486</f>
        <v>42</v>
      </c>
    </row>
    <row r="487" spans="1:7" s="1582" customFormat="1">
      <c r="A487" s="1583"/>
      <c r="B487" s="1583"/>
      <c r="C487" s="1584" t="s">
        <v>247</v>
      </c>
      <c r="D487" s="1585"/>
      <c r="E487" s="1590"/>
      <c r="F487" s="1588"/>
      <c r="G487" s="1589"/>
    </row>
    <row r="488" spans="1:7" s="1582" customFormat="1" ht="23">
      <c r="A488" s="1608" t="s">
        <v>2049</v>
      </c>
      <c r="B488" s="1593"/>
      <c r="C488" s="1584" t="s">
        <v>2050</v>
      </c>
      <c r="D488" s="1609">
        <v>1</v>
      </c>
      <c r="E488" s="1610" t="s">
        <v>771</v>
      </c>
      <c r="F488" s="1611">
        <v>80</v>
      </c>
      <c r="G488" s="1589">
        <f>D488*F488</f>
        <v>80</v>
      </c>
    </row>
    <row r="489" spans="1:7" s="1582" customFormat="1" ht="23">
      <c r="A489" s="1608" t="s">
        <v>2051</v>
      </c>
      <c r="B489" s="1593"/>
      <c r="C489" s="1596" t="s">
        <v>2052</v>
      </c>
      <c r="D489" s="1609">
        <v>1</v>
      </c>
      <c r="E489" s="1610" t="s">
        <v>771</v>
      </c>
      <c r="F489" s="1611">
        <v>145</v>
      </c>
      <c r="G489" s="1589">
        <f>D489*F489</f>
        <v>145</v>
      </c>
    </row>
    <row r="490" spans="1:7" s="1582" customFormat="1" hidden="1">
      <c r="A490" s="1583"/>
      <c r="B490" s="1593"/>
      <c r="C490" s="1584" t="s">
        <v>2138</v>
      </c>
      <c r="D490" s="1585"/>
      <c r="E490" s="1586"/>
      <c r="F490" s="1607"/>
      <c r="G490" s="1589">
        <f>SUM(G485:G489)</f>
        <v>324.5</v>
      </c>
    </row>
    <row r="491" spans="1:7" s="1582" customFormat="1">
      <c r="A491" s="1583"/>
      <c r="B491" s="1593"/>
      <c r="C491" s="1594" t="s">
        <v>2029</v>
      </c>
      <c r="D491" s="1598"/>
      <c r="E491" s="1586"/>
      <c r="F491" s="1601"/>
      <c r="G491" s="1589">
        <f>G490</f>
        <v>324.5</v>
      </c>
    </row>
    <row r="492" spans="1:7" s="1582" customFormat="1">
      <c r="A492" s="1603"/>
      <c r="B492" s="1593"/>
      <c r="C492" s="1612"/>
      <c r="D492" s="1603"/>
      <c r="E492" s="1603"/>
      <c r="F492" s="1601" t="s">
        <v>1967</v>
      </c>
      <c r="G492" s="1870">
        <f>SUM(G491:G491)</f>
        <v>324.5</v>
      </c>
    </row>
    <row r="493" spans="1:7" s="1582" customFormat="1" ht="35.25" hidden="1" customHeight="1">
      <c r="A493" s="1581" t="s">
        <v>1455</v>
      </c>
      <c r="B493" s="1581">
        <v>15</v>
      </c>
      <c r="C493" s="2084" t="s">
        <v>2053</v>
      </c>
      <c r="D493" s="2085"/>
      <c r="E493" s="2085"/>
      <c r="F493" s="2085"/>
      <c r="G493" s="2085"/>
    </row>
    <row r="494" spans="1:7" s="1582" customFormat="1" hidden="1">
      <c r="A494" s="1583"/>
      <c r="B494" s="1583"/>
      <c r="C494" s="1632" t="s">
        <v>2054</v>
      </c>
      <c r="D494" s="1585"/>
      <c r="E494" s="1586"/>
      <c r="F494" s="1587"/>
      <c r="G494" s="1586"/>
    </row>
    <row r="495" spans="1:7" s="1582" customFormat="1" hidden="1">
      <c r="A495" s="1583"/>
      <c r="B495" s="1583"/>
      <c r="C495" s="1633" t="s">
        <v>2014</v>
      </c>
      <c r="D495" s="1585">
        <v>0.1</v>
      </c>
      <c r="E495" s="1586" t="s">
        <v>217</v>
      </c>
      <c r="F495" s="1587">
        <v>1</v>
      </c>
      <c r="G495" s="1586" t="s">
        <v>217</v>
      </c>
    </row>
    <row r="496" spans="1:7" s="1582" customFormat="1" hidden="1">
      <c r="A496" s="1583"/>
      <c r="B496" s="1583"/>
      <c r="C496" s="1584" t="s">
        <v>2035</v>
      </c>
      <c r="D496" s="1585"/>
      <c r="E496" s="1590"/>
      <c r="F496" s="1587"/>
      <c r="G496" s="1590"/>
    </row>
    <row r="497" spans="1:7" s="1582" customFormat="1" hidden="1">
      <c r="A497" s="1583"/>
      <c r="B497" s="1583"/>
      <c r="C497" s="1584" t="s">
        <v>2036</v>
      </c>
      <c r="D497" s="1585"/>
      <c r="E497" s="1590"/>
      <c r="F497" s="1587"/>
      <c r="G497" s="1590"/>
    </row>
    <row r="498" spans="1:7" s="1582" customFormat="1" hidden="1">
      <c r="A498" s="1583"/>
      <c r="B498" s="1583"/>
      <c r="C498" s="1584" t="s">
        <v>2055</v>
      </c>
      <c r="D498" s="1584"/>
      <c r="E498" s="1584"/>
      <c r="F498" s="1584"/>
      <c r="G498" s="1584"/>
    </row>
    <row r="499" spans="1:7" s="1582" customFormat="1" hidden="1">
      <c r="A499" s="1583"/>
      <c r="B499" s="1583" t="s">
        <v>2056</v>
      </c>
      <c r="C499" s="1596" t="s">
        <v>2057</v>
      </c>
      <c r="D499" s="1591">
        <v>1</v>
      </c>
      <c r="E499" s="1586" t="s">
        <v>217</v>
      </c>
      <c r="F499" s="1587">
        <v>1</v>
      </c>
      <c r="G499" s="1586" t="s">
        <v>217</v>
      </c>
    </row>
    <row r="500" spans="1:7" s="1582" customFormat="1" hidden="1">
      <c r="A500" s="1583"/>
      <c r="B500" s="1583"/>
      <c r="C500" s="1584" t="s">
        <v>2058</v>
      </c>
      <c r="D500" s="1585"/>
      <c r="E500" s="1586"/>
      <c r="F500" s="1587"/>
      <c r="G500" s="1586"/>
    </row>
    <row r="501" spans="1:7" s="1582" customFormat="1" hidden="1">
      <c r="A501" s="1634"/>
      <c r="B501" s="1634"/>
      <c r="C501" s="1594" t="s">
        <v>2029</v>
      </c>
      <c r="D501" s="1634"/>
      <c r="E501" s="1634"/>
      <c r="F501" s="1634"/>
      <c r="G501" s="1634"/>
    </row>
    <row r="502" spans="1:7" s="1582" customFormat="1" hidden="1">
      <c r="A502" s="1603"/>
      <c r="B502" s="1603"/>
      <c r="C502" s="1612"/>
      <c r="D502" s="1603"/>
      <c r="E502" s="1603"/>
      <c r="F502" s="1603"/>
      <c r="G502" s="1603"/>
    </row>
    <row r="503" spans="1:7" s="1582" customFormat="1" hidden="1">
      <c r="A503" s="1603"/>
      <c r="B503" s="1603"/>
      <c r="C503" s="1612"/>
      <c r="D503" s="1603"/>
      <c r="E503" s="1603"/>
      <c r="F503" s="1603"/>
      <c r="G503" s="1603"/>
    </row>
    <row r="504" spans="1:7" s="1447" customFormat="1" ht="51" customHeight="1">
      <c r="A504" s="1635"/>
      <c r="B504" s="1636">
        <v>16</v>
      </c>
      <c r="C504" s="2089" t="s">
        <v>1949</v>
      </c>
      <c r="D504" s="2089"/>
      <c r="E504" s="2089"/>
      <c r="F504" s="2089"/>
      <c r="G504" s="1830"/>
    </row>
    <row r="505" spans="1:7" s="1447" customFormat="1">
      <c r="A505" s="1635"/>
      <c r="B505" s="1637"/>
      <c r="C505" s="1638" t="s">
        <v>1950</v>
      </c>
      <c r="D505" s="1639">
        <v>1</v>
      </c>
      <c r="E505" s="1640" t="s">
        <v>771</v>
      </c>
      <c r="F505" s="1641">
        <v>4500</v>
      </c>
      <c r="G505" s="1871">
        <f>F505</f>
        <v>4500</v>
      </c>
    </row>
    <row r="506" spans="1:7" s="1447" customFormat="1" hidden="1">
      <c r="A506" s="1635"/>
      <c r="B506" s="1637"/>
      <c r="C506" s="1638"/>
      <c r="D506" s="1448"/>
      <c r="E506" s="1448"/>
      <c r="F506" s="1639"/>
      <c r="G506" s="1640"/>
    </row>
    <row r="507" spans="1:7" s="1447" customFormat="1" ht="27.75" hidden="1" customHeight="1">
      <c r="A507" s="1635"/>
      <c r="B507" s="1636">
        <v>17</v>
      </c>
      <c r="C507" s="2086" t="s">
        <v>1951</v>
      </c>
      <c r="D507" s="2086"/>
      <c r="E507" s="2086"/>
      <c r="F507" s="1642" t="s">
        <v>183</v>
      </c>
      <c r="G507" s="1641">
        <v>522</v>
      </c>
    </row>
    <row r="508" spans="1:7" s="1447" customFormat="1" hidden="1">
      <c r="A508" s="1635"/>
      <c r="B508" s="1637"/>
      <c r="C508" s="1638" t="s">
        <v>1952</v>
      </c>
      <c r="D508" s="1448"/>
      <c r="E508" s="1448"/>
      <c r="F508" s="1639"/>
      <c r="G508" s="1640"/>
    </row>
    <row r="509" spans="1:7" s="1582" customFormat="1" hidden="1">
      <c r="A509" s="1603"/>
      <c r="B509" s="1603"/>
      <c r="C509" s="1612"/>
      <c r="D509" s="1603"/>
      <c r="E509" s="1603"/>
      <c r="F509" s="1603"/>
      <c r="G509" s="1603"/>
    </row>
    <row r="510" spans="1:7" s="1447" customFormat="1" ht="27.75" customHeight="1">
      <c r="A510" s="1635"/>
      <c r="B510" s="1636">
        <v>18</v>
      </c>
      <c r="C510" s="2086" t="s">
        <v>1953</v>
      </c>
      <c r="D510" s="2086"/>
      <c r="E510" s="2086"/>
      <c r="F510" s="1448"/>
      <c r="G510" s="1448"/>
    </row>
    <row r="511" spans="1:7" s="1447" customFormat="1">
      <c r="A511" s="1635"/>
      <c r="B511" s="1637"/>
      <c r="C511" s="1638" t="s">
        <v>1954</v>
      </c>
      <c r="D511" s="1642" t="s">
        <v>183</v>
      </c>
      <c r="E511" s="1641">
        <v>5000</v>
      </c>
      <c r="F511" s="1643">
        <v>1</v>
      </c>
      <c r="G511" s="1640">
        <f>ROUND(E511*F511,2)</f>
        <v>5000</v>
      </c>
    </row>
    <row r="512" spans="1:7" s="1582" customFormat="1" hidden="1">
      <c r="A512" s="1603"/>
      <c r="B512" s="1603"/>
      <c r="C512" s="1612"/>
      <c r="D512" s="1603"/>
      <c r="E512" s="1603"/>
      <c r="F512" s="1641" t="s">
        <v>142</v>
      </c>
      <c r="G512" s="1871">
        <f>G511</f>
        <v>5000</v>
      </c>
    </row>
    <row r="516" spans="3:6" ht="13" customHeight="1">
      <c r="C516" s="1004" t="str">
        <f>'Specification (3)'!E35</f>
        <v>Dy.Exe.Engineer</v>
      </c>
      <c r="E516" s="1819" t="str">
        <f>'Specification (3)'!H35</f>
        <v>Asst. Exe Engineer</v>
      </c>
      <c r="F516"/>
    </row>
    <row r="517" spans="3:6" ht="13" customHeight="1">
      <c r="C517" s="1004" t="str">
        <f>'Specification (3)'!E36</f>
        <v>PRI, Baireddipalle</v>
      </c>
      <c r="E517" s="1819" t="str">
        <f>'Specification (3)'!H36</f>
        <v>MPP, Baireddipalle</v>
      </c>
      <c r="F517"/>
    </row>
  </sheetData>
  <mergeCells count="57">
    <mergeCell ref="C417:F417"/>
    <mergeCell ref="C455:F455"/>
    <mergeCell ref="C483:F483"/>
    <mergeCell ref="C95:F95"/>
    <mergeCell ref="B1:G1"/>
    <mergeCell ref="C219:D219"/>
    <mergeCell ref="C152:D152"/>
    <mergeCell ref="C167:D167"/>
    <mergeCell ref="C105:D105"/>
    <mergeCell ref="C118:D118"/>
    <mergeCell ref="C119:F119"/>
    <mergeCell ref="C129:D129"/>
    <mergeCell ref="C130:D130"/>
    <mergeCell ref="C180:D180"/>
    <mergeCell ref="C131:F131"/>
    <mergeCell ref="C141:D141"/>
    <mergeCell ref="C142:F142"/>
    <mergeCell ref="A5:A6"/>
    <mergeCell ref="A24:A25"/>
    <mergeCell ref="C25:F25"/>
    <mergeCell ref="C42:F42"/>
    <mergeCell ref="C56:D56"/>
    <mergeCell ref="A58:A59"/>
    <mergeCell ref="C59:F59"/>
    <mergeCell ref="C73:F73"/>
    <mergeCell ref="C84:F84"/>
    <mergeCell ref="C94:D94"/>
    <mergeCell ref="C220:F220"/>
    <mergeCell ref="C232:D232"/>
    <mergeCell ref="C235:F235"/>
    <mergeCell ref="C246:D246"/>
    <mergeCell ref="C181:F181"/>
    <mergeCell ref="C193:D193"/>
    <mergeCell ref="C194:F194"/>
    <mergeCell ref="C206:D206"/>
    <mergeCell ref="C207:F207"/>
    <mergeCell ref="C435:G435"/>
    <mergeCell ref="A247:A248"/>
    <mergeCell ref="C248:F248"/>
    <mergeCell ref="C407:F407"/>
    <mergeCell ref="A264:A283"/>
    <mergeCell ref="C265:F265"/>
    <mergeCell ref="A285:A286"/>
    <mergeCell ref="C286:F286"/>
    <mergeCell ref="A300:A301"/>
    <mergeCell ref="C301:F301"/>
    <mergeCell ref="A316:A317"/>
    <mergeCell ref="C330:F330"/>
    <mergeCell ref="A358:A359"/>
    <mergeCell ref="C359:F359"/>
    <mergeCell ref="A392:A393"/>
    <mergeCell ref="C262:D262"/>
    <mergeCell ref="C493:G493"/>
    <mergeCell ref="C507:E507"/>
    <mergeCell ref="C510:E510"/>
    <mergeCell ref="C469:G469"/>
    <mergeCell ref="C504:F504"/>
  </mergeCells>
  <pageMargins left="0.67" right="0.24" top="0.5" bottom="0.25" header="0.2" footer="0.25"/>
  <pageSetup paperSize="9" firstPageNumber="754" fitToHeight="9" orientation="portrait" useFirstPageNumber="1" r:id="rId1"/>
  <headerFooter alignWithMargins="0">
    <oddHeader>&amp;R&amp;"Arial,Bold"BLD-ELEC</oddHeader>
  </headerFooter>
</worksheet>
</file>

<file path=xl/worksheets/sheet13.xml><?xml version="1.0" encoding="utf-8"?>
<worksheet xmlns="http://schemas.openxmlformats.org/spreadsheetml/2006/main" xmlns:r="http://schemas.openxmlformats.org/officeDocument/2006/relationships">
  <sheetPr>
    <tabColor rgb="FFFF0000"/>
  </sheetPr>
  <dimension ref="A1:S267"/>
  <sheetViews>
    <sheetView topLeftCell="A82" zoomScaleSheetLayoutView="100" workbookViewId="0">
      <selection activeCell="A95" sqref="A95:XFD95"/>
    </sheetView>
  </sheetViews>
  <sheetFormatPr defaultColWidth="9.1796875" defaultRowHeight="13"/>
  <cols>
    <col min="1" max="1" width="6.26953125" style="1055" customWidth="1"/>
    <col min="2" max="2" width="8.7265625" style="1022" hidden="1" customWidth="1"/>
    <col min="3" max="3" width="51.1796875" style="1022" customWidth="1"/>
    <col min="4" max="4" width="7.81640625" style="1056" customWidth="1"/>
    <col min="5" max="5" width="9.1796875" style="1056" customWidth="1"/>
    <col min="6" max="6" width="8.453125" style="1056" customWidth="1"/>
    <col min="7" max="7" width="8.81640625" style="1056" customWidth="1"/>
    <col min="8" max="21" width="0" style="1022" hidden="1" customWidth="1"/>
    <col min="22" max="16384" width="9.1796875" style="1022"/>
  </cols>
  <sheetData>
    <row r="1" spans="1:8" ht="21.75" customHeight="1">
      <c r="A1" s="2105"/>
      <c r="B1" s="2106"/>
      <c r="C1" s="2106"/>
      <c r="D1" s="2106"/>
      <c r="E1" s="2106"/>
      <c r="F1" s="2106"/>
      <c r="G1" s="2106"/>
    </row>
    <row r="2" spans="1:8" ht="17.25" customHeight="1">
      <c r="A2" s="1023"/>
      <c r="B2" s="2107" t="s">
        <v>1139</v>
      </c>
      <c r="C2" s="2108"/>
      <c r="D2" s="2108"/>
      <c r="E2" s="2108"/>
      <c r="F2" s="2108"/>
      <c r="G2" s="2109"/>
    </row>
    <row r="3" spans="1:8">
      <c r="A3" s="1023"/>
      <c r="B3" s="1024"/>
      <c r="C3" s="1025"/>
      <c r="D3" s="1026">
        <v>0.18</v>
      </c>
      <c r="E3" s="1027" t="s">
        <v>1140</v>
      </c>
      <c r="F3" s="1027"/>
      <c r="G3" s="1027"/>
    </row>
    <row r="4" spans="1:8">
      <c r="A4" s="1028"/>
      <c r="B4" s="1029"/>
      <c r="C4" s="1030">
        <v>2019</v>
      </c>
      <c r="D4" s="1031"/>
      <c r="E4" s="1031"/>
      <c r="F4" s="1031"/>
      <c r="G4" s="1031"/>
    </row>
    <row r="5" spans="1:8" ht="26">
      <c r="A5" s="1032" t="s">
        <v>1141</v>
      </c>
      <c r="B5" s="1033" t="s">
        <v>232</v>
      </c>
      <c r="C5" s="1033" t="s">
        <v>234</v>
      </c>
      <c r="D5" s="1033" t="s">
        <v>141</v>
      </c>
      <c r="E5" s="1034" t="s">
        <v>236</v>
      </c>
      <c r="F5" s="1035" t="s">
        <v>1142</v>
      </c>
      <c r="G5" s="1034" t="s">
        <v>237</v>
      </c>
    </row>
    <row r="6" spans="1:8">
      <c r="A6" s="1036"/>
      <c r="B6" s="1037">
        <v>1</v>
      </c>
      <c r="C6" s="1037">
        <v>2</v>
      </c>
      <c r="D6" s="1037">
        <v>3</v>
      </c>
      <c r="E6" s="1037">
        <v>4</v>
      </c>
      <c r="F6" s="1037">
        <v>5</v>
      </c>
      <c r="G6" s="1037">
        <v>6</v>
      </c>
    </row>
    <row r="7" spans="1:8" ht="81.75" hidden="1" customHeight="1">
      <c r="A7" s="1038">
        <v>1</v>
      </c>
      <c r="B7" s="1039"/>
      <c r="C7" s="2110" t="s">
        <v>1143</v>
      </c>
      <c r="D7" s="2111"/>
      <c r="E7" s="2111"/>
      <c r="F7" s="2111"/>
      <c r="G7" s="2112"/>
    </row>
    <row r="8" spans="1:8" ht="52.5" hidden="1" customHeight="1">
      <c r="A8" s="1023"/>
      <c r="B8" s="1040" t="s">
        <v>1144</v>
      </c>
      <c r="C8" s="1041" t="s">
        <v>1145</v>
      </c>
      <c r="D8" s="1035" t="s">
        <v>183</v>
      </c>
      <c r="E8" s="1042">
        <v>1399</v>
      </c>
      <c r="F8" s="1043">
        <v>1</v>
      </c>
      <c r="G8" s="1042">
        <f>ROUND(E8*F8,2)</f>
        <v>1399</v>
      </c>
    </row>
    <row r="9" spans="1:8" ht="46.5" hidden="1" customHeight="1">
      <c r="A9" s="1023"/>
      <c r="B9" s="1044" t="s">
        <v>1146</v>
      </c>
      <c r="C9" s="1041" t="s">
        <v>1147</v>
      </c>
      <c r="D9" s="1045" t="s">
        <v>183</v>
      </c>
      <c r="E9" s="1042">
        <v>1254</v>
      </c>
      <c r="F9" s="1042">
        <v>1</v>
      </c>
      <c r="G9" s="1042">
        <f>ROUND(E9*F9,2)</f>
        <v>1254</v>
      </c>
    </row>
    <row r="10" spans="1:8" ht="21" hidden="1" customHeight="1">
      <c r="A10" s="1023"/>
      <c r="B10" s="1046"/>
      <c r="C10" s="1047" t="s">
        <v>1148</v>
      </c>
      <c r="D10" s="1048">
        <f>$D$3</f>
        <v>0.18</v>
      </c>
      <c r="E10" s="1049">
        <f>G8+G9</f>
        <v>2653</v>
      </c>
      <c r="F10" s="1049">
        <f>F11</f>
        <v>1</v>
      </c>
      <c r="G10" s="1049">
        <f>E10*D10</f>
        <v>477.53999999999996</v>
      </c>
    </row>
    <row r="11" spans="1:8" ht="28.5" hidden="1" customHeight="1">
      <c r="A11" s="1023"/>
      <c r="B11" s="1050" t="s">
        <v>1149</v>
      </c>
      <c r="C11" s="1051" t="s">
        <v>1150</v>
      </c>
      <c r="D11" s="1052" t="s">
        <v>799</v>
      </c>
      <c r="E11" s="1053">
        <v>377</v>
      </c>
      <c r="F11" s="1054">
        <v>1</v>
      </c>
      <c r="G11" s="1042">
        <f>E11</f>
        <v>377</v>
      </c>
    </row>
    <row r="12" spans="1:8" hidden="1"/>
    <row r="13" spans="1:8" hidden="1">
      <c r="A13" s="1023"/>
      <c r="B13" s="1046"/>
      <c r="C13" s="1047"/>
      <c r="D13" s="1048"/>
      <c r="E13" s="1049"/>
      <c r="F13" s="1049"/>
      <c r="G13" s="1049">
        <f>SUM(G8:G11)</f>
        <v>3507.54</v>
      </c>
    </row>
    <row r="14" spans="1:8" hidden="1">
      <c r="A14" s="1023"/>
      <c r="B14" s="1039"/>
      <c r="C14" s="1057" t="s">
        <v>1151</v>
      </c>
      <c r="D14" s="1045"/>
      <c r="E14" s="1042"/>
      <c r="F14" s="1058">
        <v>0.13614999999999999</v>
      </c>
      <c r="G14" s="1042">
        <f>ROUND(E14*F14,2)</f>
        <v>0</v>
      </c>
    </row>
    <row r="15" spans="1:8" hidden="1">
      <c r="A15" s="1023"/>
      <c r="B15" s="1039"/>
      <c r="C15" s="1057" t="s">
        <v>1152</v>
      </c>
      <c r="D15" s="1045"/>
      <c r="E15" s="1042"/>
      <c r="F15" s="1059">
        <v>1</v>
      </c>
      <c r="G15" s="1060">
        <f>SUM(G13:G14)</f>
        <v>3507.54</v>
      </c>
    </row>
    <row r="16" spans="1:8" ht="51" customHeight="1">
      <c r="A16" s="1207">
        <v>1</v>
      </c>
      <c r="B16" s="1061"/>
      <c r="C16" s="2113" t="s">
        <v>1153</v>
      </c>
      <c r="D16" s="2113"/>
      <c r="E16" s="2113"/>
      <c r="F16" s="2113"/>
      <c r="G16" s="2113"/>
      <c r="H16" s="1112"/>
    </row>
    <row r="17" spans="1:8" ht="52">
      <c r="A17" s="1208"/>
      <c r="B17" s="1062" t="s">
        <v>1154</v>
      </c>
      <c r="C17" s="1063" t="s">
        <v>1789</v>
      </c>
      <c r="D17" s="1064" t="s">
        <v>183</v>
      </c>
      <c r="E17" s="1065">
        <v>1784</v>
      </c>
      <c r="F17" s="1066">
        <v>1</v>
      </c>
      <c r="G17" s="1065">
        <f t="shared" ref="G17:G24" si="0">ROUND(E17*F17,2)</f>
        <v>1784</v>
      </c>
      <c r="H17" s="1075"/>
    </row>
    <row r="18" spans="1:8" ht="39">
      <c r="A18" s="1208"/>
      <c r="B18" s="1067" t="s">
        <v>1146</v>
      </c>
      <c r="C18" s="1499" t="s">
        <v>1147</v>
      </c>
      <c r="D18" s="1068" t="s">
        <v>183</v>
      </c>
      <c r="E18" s="1065">
        <v>1254</v>
      </c>
      <c r="F18" s="1065">
        <v>1</v>
      </c>
      <c r="G18" s="1065">
        <f t="shared" si="0"/>
        <v>1254</v>
      </c>
      <c r="H18" s="1075"/>
    </row>
    <row r="19" spans="1:8" ht="25">
      <c r="A19" s="1208"/>
      <c r="B19" s="1067"/>
      <c r="C19" s="1336" t="s">
        <v>1809</v>
      </c>
      <c r="D19" s="1068" t="s">
        <v>183</v>
      </c>
      <c r="E19" s="1065">
        <v>766</v>
      </c>
      <c r="F19" s="1065">
        <v>1</v>
      </c>
      <c r="G19" s="1065">
        <f t="shared" si="0"/>
        <v>766</v>
      </c>
      <c r="H19" s="1075"/>
    </row>
    <row r="20" spans="1:8">
      <c r="A20" s="1208"/>
      <c r="B20" s="1067"/>
      <c r="C20" s="1337" t="s">
        <v>1810</v>
      </c>
      <c r="D20" s="1068" t="s">
        <v>183</v>
      </c>
      <c r="E20" s="1065">
        <v>408</v>
      </c>
      <c r="F20" s="1065">
        <v>1</v>
      </c>
      <c r="G20" s="1065">
        <f t="shared" si="0"/>
        <v>408</v>
      </c>
      <c r="H20" s="1075"/>
    </row>
    <row r="21" spans="1:8">
      <c r="A21" s="1208"/>
      <c r="B21" s="1067"/>
      <c r="C21" s="1336" t="s">
        <v>1811</v>
      </c>
      <c r="D21" s="1068">
        <v>1</v>
      </c>
      <c r="E21" s="1065">
        <v>86</v>
      </c>
      <c r="F21" s="1065">
        <v>1</v>
      </c>
      <c r="G21" s="1065">
        <f t="shared" si="0"/>
        <v>86</v>
      </c>
      <c r="H21" s="1075"/>
    </row>
    <row r="22" spans="1:8">
      <c r="A22" s="1208"/>
      <c r="B22" s="1067"/>
      <c r="C22" s="1336" t="s">
        <v>1812</v>
      </c>
      <c r="D22" s="1068">
        <v>1</v>
      </c>
      <c r="E22" s="1065">
        <v>47</v>
      </c>
      <c r="F22" s="1065">
        <v>1</v>
      </c>
      <c r="G22" s="1065">
        <f t="shared" si="0"/>
        <v>47</v>
      </c>
      <c r="H22" s="1075"/>
    </row>
    <row r="23" spans="1:8">
      <c r="A23" s="1208"/>
      <c r="B23" s="1067"/>
      <c r="C23" s="1336" t="s">
        <v>1814</v>
      </c>
      <c r="D23" s="1068" t="s">
        <v>183</v>
      </c>
      <c r="E23" s="1065">
        <v>264</v>
      </c>
      <c r="F23" s="1065">
        <v>1</v>
      </c>
      <c r="G23" s="1065">
        <f t="shared" si="0"/>
        <v>264</v>
      </c>
      <c r="H23" s="1075"/>
    </row>
    <row r="24" spans="1:8">
      <c r="A24" s="1208"/>
      <c r="B24" s="1067"/>
      <c r="C24" s="1336" t="s">
        <v>1813</v>
      </c>
      <c r="D24" s="1068">
        <v>5</v>
      </c>
      <c r="E24" s="1065">
        <v>23</v>
      </c>
      <c r="F24" s="1065">
        <v>1</v>
      </c>
      <c r="G24" s="1065">
        <f t="shared" si="0"/>
        <v>23</v>
      </c>
      <c r="H24" s="1075"/>
    </row>
    <row r="25" spans="1:8">
      <c r="A25" s="1208"/>
      <c r="B25" s="1069"/>
      <c r="C25" s="1072" t="s">
        <v>1152</v>
      </c>
      <c r="D25" s="1073"/>
      <c r="E25" s="1071"/>
      <c r="F25" s="1071"/>
      <c r="G25" s="1071">
        <f>SUM(G17:G24)</f>
        <v>4632</v>
      </c>
      <c r="H25" s="1075"/>
    </row>
    <row r="26" spans="1:8">
      <c r="A26" s="1208"/>
      <c r="B26" s="1074"/>
      <c r="C26" s="1075"/>
      <c r="D26" s="1068"/>
      <c r="E26" s="1065"/>
      <c r="F26" s="1076">
        <v>1</v>
      </c>
      <c r="G26" s="1077">
        <f>SUM(G25:G25)</f>
        <v>4632</v>
      </c>
      <c r="H26" s="1075"/>
    </row>
    <row r="27" spans="1:8" ht="41.25" hidden="1" customHeight="1">
      <c r="A27" s="1209">
        <v>2</v>
      </c>
      <c r="B27" s="1074"/>
      <c r="C27" s="2098" t="s">
        <v>1155</v>
      </c>
      <c r="D27" s="2098"/>
      <c r="E27" s="2098"/>
      <c r="F27" s="2098"/>
      <c r="G27" s="2098"/>
      <c r="H27" s="1075"/>
    </row>
    <row r="28" spans="1:8" s="1342" customFormat="1" ht="17.25" hidden="1" customHeight="1">
      <c r="A28" s="1208"/>
      <c r="B28" s="1062" t="s">
        <v>1154</v>
      </c>
      <c r="C28" s="1499" t="s">
        <v>1815</v>
      </c>
      <c r="D28" s="1338" t="s">
        <v>183</v>
      </c>
      <c r="E28" s="1339">
        <v>1467</v>
      </c>
      <c r="F28" s="1340">
        <v>1</v>
      </c>
      <c r="G28" s="1339">
        <f>ROUND(E28*F28,2)</f>
        <v>1467</v>
      </c>
      <c r="H28" s="1341"/>
    </row>
    <row r="29" spans="1:8" ht="16.5" hidden="1" customHeight="1">
      <c r="A29" s="1208"/>
      <c r="B29" s="1067" t="s">
        <v>1146</v>
      </c>
      <c r="C29" s="1499" t="s">
        <v>1817</v>
      </c>
      <c r="D29" s="1068" t="s">
        <v>183</v>
      </c>
      <c r="E29" s="1065">
        <v>377</v>
      </c>
      <c r="F29" s="1065">
        <v>1</v>
      </c>
      <c r="G29" s="1065">
        <f>ROUND(E29*F29,2)</f>
        <v>377</v>
      </c>
      <c r="H29" s="1075"/>
    </row>
    <row r="30" spans="1:8" ht="28.5" hidden="1" customHeight="1">
      <c r="A30" s="1208"/>
      <c r="B30" s="1067"/>
      <c r="C30" s="1499" t="s">
        <v>1816</v>
      </c>
      <c r="D30" s="1068" t="s">
        <v>183</v>
      </c>
      <c r="E30" s="1065">
        <v>278</v>
      </c>
      <c r="F30" s="1065">
        <v>1</v>
      </c>
      <c r="G30" s="1065">
        <f>ROUND(E30*F30,2)</f>
        <v>278</v>
      </c>
      <c r="H30" s="1075"/>
    </row>
    <row r="31" spans="1:8" ht="26.25" hidden="1" customHeight="1">
      <c r="A31" s="1208"/>
      <c r="B31" s="1067"/>
      <c r="C31" s="1343" t="s">
        <v>1818</v>
      </c>
      <c r="D31" s="1068" t="s">
        <v>183</v>
      </c>
      <c r="E31" s="1065">
        <v>83</v>
      </c>
      <c r="F31" s="1065">
        <v>1</v>
      </c>
      <c r="G31" s="1065">
        <f>ROUND(E31*F31,2)</f>
        <v>83</v>
      </c>
      <c r="H31" s="1075"/>
    </row>
    <row r="32" spans="1:8" hidden="1">
      <c r="A32" s="1208"/>
      <c r="B32" s="1069"/>
      <c r="C32" s="1072" t="s">
        <v>1152</v>
      </c>
      <c r="D32" s="1073"/>
      <c r="E32" s="1071"/>
      <c r="F32" s="1071"/>
      <c r="G32" s="1077">
        <f>SUM(G28:G31)</f>
        <v>2205</v>
      </c>
      <c r="H32" s="1075"/>
    </row>
    <row r="33" spans="1:8" ht="80.25" customHeight="1">
      <c r="A33" s="1211">
        <v>2</v>
      </c>
      <c r="B33" s="1074"/>
      <c r="C33" s="2104" t="s">
        <v>1819</v>
      </c>
      <c r="D33" s="2104"/>
      <c r="E33" s="2104"/>
      <c r="F33" s="1075"/>
      <c r="G33" s="1075"/>
      <c r="H33" s="1075"/>
    </row>
    <row r="34" spans="1:8" ht="16.5" customHeight="1">
      <c r="A34" s="1208"/>
      <c r="B34" s="1072" t="s">
        <v>1156</v>
      </c>
      <c r="C34" s="1078" t="s">
        <v>1820</v>
      </c>
      <c r="D34" s="1064" t="s">
        <v>183</v>
      </c>
      <c r="E34" s="1065">
        <v>1764</v>
      </c>
      <c r="F34" s="1066">
        <v>1</v>
      </c>
      <c r="G34" s="1065">
        <f>ROUND(E34*F34,2)</f>
        <v>1764</v>
      </c>
      <c r="H34" s="1075"/>
    </row>
    <row r="35" spans="1:8" ht="52.5" customHeight="1">
      <c r="A35" s="1208"/>
      <c r="B35" s="1072"/>
      <c r="C35" s="1344" t="s">
        <v>1821</v>
      </c>
      <c r="D35" s="1064" t="s">
        <v>183</v>
      </c>
      <c r="E35" s="1065">
        <v>319</v>
      </c>
      <c r="F35" s="1066">
        <v>1</v>
      </c>
      <c r="G35" s="1065">
        <f>ROUND(E35*F35,2)</f>
        <v>319</v>
      </c>
      <c r="H35" s="1075"/>
    </row>
    <row r="36" spans="1:8" ht="24" customHeight="1">
      <c r="A36" s="1208"/>
      <c r="B36" s="1072"/>
      <c r="C36" s="1344" t="s">
        <v>1822</v>
      </c>
      <c r="D36" s="1064" t="s">
        <v>183</v>
      </c>
      <c r="E36" s="1065">
        <v>390</v>
      </c>
      <c r="F36" s="1066">
        <v>1</v>
      </c>
      <c r="G36" s="1065">
        <f>ROUND(E36*F36,2)</f>
        <v>390</v>
      </c>
      <c r="H36" s="1075"/>
    </row>
    <row r="37" spans="1:8" ht="24" customHeight="1">
      <c r="A37" s="1208"/>
      <c r="B37" s="1072"/>
      <c r="C37" s="1344" t="s">
        <v>1823</v>
      </c>
      <c r="D37" s="1064" t="s">
        <v>183</v>
      </c>
      <c r="E37" s="1065">
        <v>45</v>
      </c>
      <c r="F37" s="1066">
        <v>1</v>
      </c>
      <c r="G37" s="1065">
        <f>ROUND(E37*F37,2)</f>
        <v>45</v>
      </c>
      <c r="H37" s="1075"/>
    </row>
    <row r="38" spans="1:8">
      <c r="A38" s="1208"/>
      <c r="B38" s="1074"/>
      <c r="C38" s="1072" t="s">
        <v>1152</v>
      </c>
      <c r="D38" s="1068"/>
      <c r="E38" s="1065"/>
      <c r="F38" s="1076"/>
      <c r="G38" s="1077">
        <f>SUM(G34:G36)</f>
        <v>2473</v>
      </c>
      <c r="H38" s="1075"/>
    </row>
    <row r="39" spans="1:8" ht="41.25" customHeight="1">
      <c r="A39" s="1211">
        <v>3</v>
      </c>
      <c r="B39" s="1074"/>
      <c r="C39" s="2098" t="s">
        <v>1157</v>
      </c>
      <c r="D39" s="2098"/>
      <c r="E39" s="2098"/>
      <c r="F39" s="2098"/>
      <c r="G39" s="2098"/>
      <c r="H39" s="1075"/>
    </row>
    <row r="40" spans="1:8" ht="22.5" customHeight="1">
      <c r="A40" s="1208"/>
      <c r="B40" s="1072" t="s">
        <v>1156</v>
      </c>
      <c r="C40" s="1078" t="s">
        <v>1824</v>
      </c>
      <c r="D40" s="1064" t="s">
        <v>183</v>
      </c>
      <c r="E40" s="1065">
        <v>223</v>
      </c>
      <c r="F40" s="1066">
        <v>1</v>
      </c>
      <c r="G40" s="1065">
        <f>ROUND(E40*F40,2)</f>
        <v>223</v>
      </c>
      <c r="H40" s="1075"/>
    </row>
    <row r="41" spans="1:8">
      <c r="A41" s="1208"/>
      <c r="B41" s="1072"/>
      <c r="C41" s="1079" t="s">
        <v>1825</v>
      </c>
      <c r="D41" s="1080">
        <f>D2</f>
        <v>0</v>
      </c>
      <c r="E41" s="1076"/>
      <c r="F41" s="1066">
        <v>29</v>
      </c>
      <c r="G41" s="1065">
        <f>F41</f>
        <v>29</v>
      </c>
      <c r="H41" s="1075"/>
    </row>
    <row r="42" spans="1:8">
      <c r="A42" s="1208"/>
      <c r="B42" s="1072"/>
      <c r="C42" s="1079"/>
      <c r="D42" s="1080"/>
      <c r="E42" s="1076"/>
      <c r="F42" s="1066"/>
      <c r="G42" s="1065">
        <f>SUM(G40:G41)</f>
        <v>252</v>
      </c>
      <c r="H42" s="1075"/>
    </row>
    <row r="43" spans="1:8">
      <c r="A43" s="1208"/>
      <c r="B43" s="1074"/>
      <c r="C43" s="1072" t="s">
        <v>1152</v>
      </c>
      <c r="D43" s="1068"/>
      <c r="E43" s="1065"/>
      <c r="F43" s="1076">
        <v>1</v>
      </c>
      <c r="G43" s="1077">
        <f>SUM(G42:G42)</f>
        <v>252</v>
      </c>
      <c r="H43" s="1075"/>
    </row>
    <row r="44" spans="1:8" ht="51.75" hidden="1" customHeight="1">
      <c r="A44" s="1209">
        <f>A39+1</f>
        <v>4</v>
      </c>
      <c r="B44" s="1074"/>
      <c r="C44" s="2114" t="s">
        <v>1158</v>
      </c>
      <c r="D44" s="2114"/>
      <c r="E44" s="2114"/>
      <c r="F44" s="2114"/>
      <c r="G44" s="2114"/>
      <c r="H44" s="1075"/>
    </row>
    <row r="45" spans="1:8" ht="16.5" hidden="1" customHeight="1">
      <c r="A45" s="1208"/>
      <c r="B45" s="1081" t="s">
        <v>1159</v>
      </c>
      <c r="C45" s="1074" t="s">
        <v>1160</v>
      </c>
      <c r="D45" s="1068"/>
      <c r="E45" s="1068"/>
      <c r="F45" s="1068"/>
      <c r="G45" s="1068"/>
      <c r="H45" s="1075"/>
    </row>
    <row r="46" spans="1:8" ht="30.75" hidden="1" customHeight="1">
      <c r="A46" s="1208"/>
      <c r="B46" s="1062" t="s">
        <v>1161</v>
      </c>
      <c r="C46" s="1082" t="s">
        <v>1162</v>
      </c>
      <c r="D46" s="1083" t="s">
        <v>183</v>
      </c>
      <c r="E46" s="1084">
        <v>976</v>
      </c>
      <c r="F46" s="1085">
        <v>1</v>
      </c>
      <c r="G46" s="1084">
        <f>ROUND(E46*F46,2)</f>
        <v>976</v>
      </c>
      <c r="H46" s="1075"/>
    </row>
    <row r="47" spans="1:8" ht="16.5" hidden="1" customHeight="1">
      <c r="A47" s="1208"/>
      <c r="B47" s="1086" t="s">
        <v>1163</v>
      </c>
      <c r="C47" s="1500" t="s">
        <v>1164</v>
      </c>
      <c r="D47" s="1087" t="s">
        <v>790</v>
      </c>
      <c r="E47" s="1088">
        <v>70</v>
      </c>
      <c r="F47" s="1088">
        <v>3</v>
      </c>
      <c r="G47" s="1084">
        <f>ROUND(E47*F47,2)</f>
        <v>210</v>
      </c>
      <c r="H47" s="1075"/>
    </row>
    <row r="48" spans="1:8" ht="12.75" hidden="1" customHeight="1">
      <c r="A48" s="1208"/>
      <c r="B48" s="1089"/>
      <c r="C48" s="1070" t="s">
        <v>1148</v>
      </c>
      <c r="D48" s="1073">
        <v>0.18</v>
      </c>
      <c r="E48" s="1088">
        <f>G46</f>
        <v>976</v>
      </c>
      <c r="F48" s="1090"/>
      <c r="G48" s="1071">
        <f>E48*D48</f>
        <v>175.68</v>
      </c>
      <c r="H48" s="1075"/>
    </row>
    <row r="49" spans="1:19" ht="12.75" hidden="1" customHeight="1">
      <c r="A49" s="1208"/>
      <c r="B49" s="1062"/>
      <c r="C49" s="1091"/>
      <c r="D49" s="1083"/>
      <c r="E49" s="1092"/>
      <c r="F49" s="1085"/>
      <c r="G49" s="1084">
        <f>SUM(G46:G48)</f>
        <v>1361.68</v>
      </c>
      <c r="H49" s="1075"/>
    </row>
    <row r="50" spans="1:19" hidden="1">
      <c r="A50" s="1208"/>
      <c r="B50" s="1074"/>
      <c r="C50" s="1072" t="s">
        <v>1151</v>
      </c>
      <c r="D50" s="1068"/>
      <c r="E50" s="1065"/>
      <c r="F50" s="1066">
        <v>0.13614999999999999</v>
      </c>
      <c r="G50" s="1065">
        <f>ROUND(E50*F50,2)</f>
        <v>0</v>
      </c>
      <c r="H50" s="1075"/>
    </row>
    <row r="51" spans="1:19" hidden="1">
      <c r="A51" s="1208"/>
      <c r="B51" s="1074"/>
      <c r="C51" s="1072" t="s">
        <v>1165</v>
      </c>
      <c r="D51" s="1068"/>
      <c r="E51" s="1068"/>
      <c r="F51" s="1065">
        <v>0</v>
      </c>
      <c r="G51" s="1065">
        <v>0</v>
      </c>
      <c r="H51" s="1075"/>
    </row>
    <row r="52" spans="1:19" hidden="1">
      <c r="A52" s="1208"/>
      <c r="B52" s="1074"/>
      <c r="C52" s="1072" t="s">
        <v>1166</v>
      </c>
      <c r="D52" s="1068"/>
      <c r="E52" s="1068"/>
      <c r="F52" s="1076">
        <v>1</v>
      </c>
      <c r="G52" s="1077">
        <f>SUM(G49:G51)</f>
        <v>1361.68</v>
      </c>
      <c r="H52" s="1075"/>
    </row>
    <row r="53" spans="1:19" hidden="1">
      <c r="A53" s="1208"/>
      <c r="B53" s="1081"/>
      <c r="C53" s="1074" t="s">
        <v>1167</v>
      </c>
      <c r="D53" s="1068"/>
      <c r="E53" s="1068"/>
      <c r="F53" s="1068"/>
      <c r="G53" s="1093">
        <f>ROUND(G52/3,2)</f>
        <v>453.89</v>
      </c>
      <c r="H53" s="1075"/>
    </row>
    <row r="54" spans="1:19" ht="15" customHeight="1">
      <c r="A54" s="1208"/>
      <c r="B54" s="1081" t="s">
        <v>1168</v>
      </c>
      <c r="C54" s="1074"/>
      <c r="D54" s="1068"/>
      <c r="E54" s="1068"/>
      <c r="F54" s="1068"/>
      <c r="G54" s="1068"/>
      <c r="H54" s="1075"/>
    </row>
    <row r="55" spans="1:19" ht="45.75" hidden="1" customHeight="1">
      <c r="A55" s="1208">
        <v>5</v>
      </c>
      <c r="B55" s="1062" t="s">
        <v>1169</v>
      </c>
      <c r="C55" s="1091" t="s">
        <v>1578</v>
      </c>
      <c r="D55" s="1083" t="s">
        <v>183</v>
      </c>
      <c r="E55" s="1084">
        <v>412</v>
      </c>
      <c r="F55" s="1085">
        <v>1</v>
      </c>
      <c r="G55" s="1084">
        <f>ROUND(E55*F55,2)</f>
        <v>412</v>
      </c>
      <c r="H55" s="1075"/>
      <c r="L55" s="1205"/>
      <c r="M55" s="1205"/>
      <c r="N55" s="1205"/>
      <c r="O55" s="1205"/>
      <c r="P55" s="1205"/>
      <c r="Q55" s="1205"/>
      <c r="R55" s="1205"/>
      <c r="S55" s="1205"/>
    </row>
    <row r="56" spans="1:19" hidden="1">
      <c r="A56" s="1208"/>
      <c r="B56" s="1062"/>
      <c r="C56" s="1091"/>
      <c r="D56" s="1083"/>
      <c r="E56" s="1092"/>
      <c r="F56" s="1085"/>
      <c r="G56" s="1077">
        <f>SUM(G55:G55)</f>
        <v>412</v>
      </c>
      <c r="H56" s="1075"/>
    </row>
    <row r="57" spans="1:19" ht="41.25" hidden="1" customHeight="1">
      <c r="A57" s="1208">
        <v>6</v>
      </c>
      <c r="B57" s="1062" t="s">
        <v>1169</v>
      </c>
      <c r="C57" s="1091" t="s">
        <v>1170</v>
      </c>
      <c r="D57" s="1083" t="s">
        <v>183</v>
      </c>
      <c r="E57" s="1084">
        <v>241</v>
      </c>
      <c r="F57" s="1085">
        <v>1</v>
      </c>
      <c r="G57" s="1084">
        <f>ROUND(E57*F57,2)</f>
        <v>241</v>
      </c>
      <c r="H57" s="1075"/>
      <c r="L57" s="1205"/>
      <c r="M57" s="1205"/>
      <c r="N57" s="1205"/>
      <c r="O57" s="1205"/>
      <c r="P57" s="1205"/>
      <c r="Q57" s="1205"/>
      <c r="R57" s="1205"/>
      <c r="S57" s="1205"/>
    </row>
    <row r="58" spans="1:19" hidden="1">
      <c r="A58" s="1208"/>
      <c r="B58" s="1062"/>
      <c r="C58" s="1091"/>
      <c r="D58" s="1083"/>
      <c r="E58" s="1092"/>
      <c r="F58" s="1085"/>
      <c r="G58" s="1077">
        <f>SUM(G57:G57)</f>
        <v>241</v>
      </c>
      <c r="H58" s="1075"/>
    </row>
    <row r="59" spans="1:19" ht="40.5" hidden="1" customHeight="1">
      <c r="A59" s="1208">
        <v>7</v>
      </c>
      <c r="B59" s="1062" t="s">
        <v>1169</v>
      </c>
      <c r="C59" s="1091" t="s">
        <v>1171</v>
      </c>
      <c r="D59" s="1083" t="s">
        <v>183</v>
      </c>
      <c r="E59" s="1084">
        <v>185</v>
      </c>
      <c r="F59" s="1085">
        <v>1</v>
      </c>
      <c r="G59" s="1084">
        <f>ROUND(E59*F59,2)</f>
        <v>185</v>
      </c>
      <c r="H59" s="1075"/>
      <c r="L59" s="1205"/>
      <c r="M59" s="1205"/>
      <c r="N59" s="1205"/>
      <c r="O59" s="1205"/>
      <c r="P59" s="1205"/>
      <c r="Q59" s="1205"/>
      <c r="R59" s="1205"/>
      <c r="S59" s="1205"/>
    </row>
    <row r="60" spans="1:19" hidden="1">
      <c r="A60" s="1208"/>
      <c r="B60" s="1062"/>
      <c r="C60" s="1091"/>
      <c r="D60" s="1083"/>
      <c r="E60" s="1092"/>
      <c r="F60" s="1085"/>
      <c r="G60" s="1077">
        <f>SUM(G59:G59)</f>
        <v>185</v>
      </c>
      <c r="H60" s="1075"/>
    </row>
    <row r="61" spans="1:19" ht="29.25" customHeight="1">
      <c r="A61" s="1208">
        <v>4</v>
      </c>
      <c r="B61" s="1062" t="s">
        <v>1169</v>
      </c>
      <c r="C61" s="1091" t="s">
        <v>1172</v>
      </c>
      <c r="D61" s="1083" t="s">
        <v>183</v>
      </c>
      <c r="E61" s="1084">
        <v>410</v>
      </c>
      <c r="F61" s="1085">
        <v>1</v>
      </c>
      <c r="G61" s="1084">
        <f>ROUND(E61*F61,2)</f>
        <v>410</v>
      </c>
      <c r="H61" s="1075"/>
      <c r="L61" s="1205"/>
      <c r="M61" s="1205"/>
      <c r="N61" s="1205"/>
      <c r="O61" s="1205"/>
      <c r="P61" s="1205"/>
      <c r="Q61" s="1205"/>
      <c r="R61" s="1205"/>
      <c r="S61" s="1205"/>
    </row>
    <row r="62" spans="1:19" ht="20.25" customHeight="1">
      <c r="A62" s="1208"/>
      <c r="B62" s="1086" t="s">
        <v>1163</v>
      </c>
      <c r="C62" s="1500" t="s">
        <v>1164</v>
      </c>
      <c r="D62" s="1087" t="s">
        <v>790</v>
      </c>
      <c r="E62" s="1088">
        <v>70</v>
      </c>
      <c r="F62" s="1088">
        <v>3</v>
      </c>
      <c r="G62" s="1084">
        <f>ROUND(E62*F62,2)</f>
        <v>210</v>
      </c>
      <c r="H62" s="1075"/>
      <c r="L62" s="1205"/>
      <c r="M62" s="1205"/>
      <c r="N62" s="1205"/>
      <c r="O62" s="1205"/>
      <c r="P62" s="1205"/>
      <c r="Q62" s="1205"/>
      <c r="R62" s="1205"/>
      <c r="S62" s="1205"/>
    </row>
    <row r="63" spans="1:19">
      <c r="A63" s="1208"/>
      <c r="B63" s="1074"/>
      <c r="C63" s="1072" t="s">
        <v>1166</v>
      </c>
      <c r="D63" s="1068"/>
      <c r="E63" s="1068"/>
      <c r="F63" s="1076"/>
      <c r="G63" s="1077">
        <f>SUM(G61:G62)</f>
        <v>620</v>
      </c>
      <c r="H63" s="1075"/>
    </row>
    <row r="64" spans="1:19">
      <c r="A64" s="1208"/>
      <c r="B64" s="1081"/>
      <c r="C64" s="1074" t="s">
        <v>1167</v>
      </c>
      <c r="D64" s="1068"/>
      <c r="E64" s="1068"/>
      <c r="F64" s="1068"/>
      <c r="G64" s="1093">
        <f>ROUND(G63/3,2)</f>
        <v>206.67</v>
      </c>
      <c r="H64" s="1075"/>
    </row>
    <row r="65" spans="1:8" hidden="1">
      <c r="A65" s="1208"/>
      <c r="B65" s="1081" t="s">
        <v>1173</v>
      </c>
      <c r="C65" s="1074" t="s">
        <v>1174</v>
      </c>
      <c r="D65" s="1068"/>
      <c r="E65" s="1068"/>
      <c r="F65" s="1068"/>
      <c r="G65" s="1068"/>
      <c r="H65" s="1075"/>
    </row>
    <row r="66" spans="1:8" ht="26" hidden="1">
      <c r="A66" s="1208"/>
      <c r="B66" s="1062" t="s">
        <v>1175</v>
      </c>
      <c r="C66" s="1082" t="s">
        <v>1176</v>
      </c>
      <c r="D66" s="1083" t="s">
        <v>183</v>
      </c>
      <c r="E66" s="1084">
        <v>216</v>
      </c>
      <c r="F66" s="1085">
        <v>1</v>
      </c>
      <c r="G66" s="1084">
        <f>ROUND(E66*F66,2)</f>
        <v>216</v>
      </c>
      <c r="H66" s="1075"/>
    </row>
    <row r="67" spans="1:8" ht="21.75" hidden="1" customHeight="1">
      <c r="A67" s="1208"/>
      <c r="B67" s="1086" t="s">
        <v>1163</v>
      </c>
      <c r="C67" s="1500" t="s">
        <v>1164</v>
      </c>
      <c r="D67" s="1087" t="s">
        <v>790</v>
      </c>
      <c r="E67" s="1088">
        <v>70</v>
      </c>
      <c r="F67" s="1088">
        <v>3</v>
      </c>
      <c r="G67" s="1084">
        <f>ROUND(E67*F67,2)</f>
        <v>210</v>
      </c>
      <c r="H67" s="1075"/>
    </row>
    <row r="68" spans="1:8" hidden="1">
      <c r="A68" s="1208"/>
      <c r="B68" s="1089"/>
      <c r="C68" s="1070" t="s">
        <v>1148</v>
      </c>
      <c r="D68" s="1073">
        <v>0.18</v>
      </c>
      <c r="E68" s="1088">
        <f>G66</f>
        <v>216</v>
      </c>
      <c r="F68" s="1090"/>
      <c r="G68" s="1071">
        <f>E68*D68</f>
        <v>38.879999999999995</v>
      </c>
      <c r="H68" s="1075"/>
    </row>
    <row r="69" spans="1:8" hidden="1">
      <c r="A69" s="1208"/>
      <c r="B69" s="1062"/>
      <c r="C69" s="1091"/>
      <c r="D69" s="1083"/>
      <c r="E69" s="1092"/>
      <c r="F69" s="1085"/>
      <c r="G69" s="1084">
        <f>SUM(G66:G68)</f>
        <v>464.88</v>
      </c>
      <c r="H69" s="1075"/>
    </row>
    <row r="70" spans="1:8" hidden="1">
      <c r="A70" s="1208"/>
      <c r="B70" s="1074"/>
      <c r="C70" s="1072" t="s">
        <v>1151</v>
      </c>
      <c r="D70" s="1068"/>
      <c r="E70" s="1065"/>
      <c r="F70" s="1066">
        <v>0.13614999999999999</v>
      </c>
      <c r="G70" s="1065">
        <f>ROUND(E70*F70,2)</f>
        <v>0</v>
      </c>
      <c r="H70" s="1075"/>
    </row>
    <row r="71" spans="1:8" hidden="1">
      <c r="A71" s="1208"/>
      <c r="B71" s="1074"/>
      <c r="C71" s="1072" t="s">
        <v>1152</v>
      </c>
      <c r="D71" s="1068"/>
      <c r="E71" s="1068"/>
      <c r="F71" s="1076">
        <v>1</v>
      </c>
      <c r="G71" s="1077">
        <f>SUM(G69:G70)</f>
        <v>464.88</v>
      </c>
      <c r="H71" s="1075"/>
    </row>
    <row r="72" spans="1:8" hidden="1">
      <c r="A72" s="1208"/>
      <c r="B72" s="1081"/>
      <c r="C72" s="1074" t="s">
        <v>1167</v>
      </c>
      <c r="D72" s="1068"/>
      <c r="E72" s="1068"/>
      <c r="F72" s="1068"/>
      <c r="G72" s="1077">
        <f>ROUND(G71/3,2)</f>
        <v>154.96</v>
      </c>
      <c r="H72" s="1075"/>
    </row>
    <row r="73" spans="1:8" ht="66.75" hidden="1" customHeight="1">
      <c r="A73" s="1208">
        <v>5</v>
      </c>
      <c r="B73" s="1074"/>
      <c r="C73" s="2114" t="s">
        <v>1177</v>
      </c>
      <c r="D73" s="2114"/>
      <c r="E73" s="2114"/>
      <c r="F73" s="2114"/>
      <c r="G73" s="2114"/>
      <c r="H73" s="1075"/>
    </row>
    <row r="74" spans="1:8" hidden="1">
      <c r="A74" s="1208"/>
      <c r="B74" s="1074"/>
      <c r="C74" s="1500"/>
      <c r="D74" s="1087"/>
      <c r="E74" s="1087"/>
      <c r="F74" s="1087"/>
      <c r="G74" s="1087"/>
      <c r="H74" s="1075"/>
    </row>
    <row r="75" spans="1:8" hidden="1">
      <c r="A75" s="1208"/>
      <c r="B75" s="1086" t="s">
        <v>1178</v>
      </c>
      <c r="C75" s="1094" t="s">
        <v>1179</v>
      </c>
      <c r="D75" s="1087" t="s">
        <v>790</v>
      </c>
      <c r="E75" s="1087">
        <v>1</v>
      </c>
      <c r="F75" s="1088">
        <v>85</v>
      </c>
      <c r="G75" s="1071">
        <f>ROUND(F75*E75,2)</f>
        <v>85</v>
      </c>
      <c r="H75" s="1075"/>
    </row>
    <row r="76" spans="1:8" hidden="1">
      <c r="A76" s="1208"/>
      <c r="B76" s="1086" t="s">
        <v>1180</v>
      </c>
      <c r="C76" s="1500" t="s">
        <v>1164</v>
      </c>
      <c r="D76" s="1087" t="s">
        <v>790</v>
      </c>
      <c r="E76" s="1087">
        <v>1</v>
      </c>
      <c r="F76" s="1088">
        <v>31</v>
      </c>
      <c r="G76" s="1071">
        <f>F76</f>
        <v>31</v>
      </c>
      <c r="H76" s="1075"/>
    </row>
    <row r="77" spans="1:8" hidden="1">
      <c r="A77" s="1208"/>
      <c r="B77" s="1089"/>
      <c r="C77" s="1070" t="s">
        <v>1148</v>
      </c>
      <c r="D77" s="1073">
        <v>0.18</v>
      </c>
      <c r="E77" s="1095">
        <f>G75</f>
        <v>85</v>
      </c>
      <c r="F77" s="1090"/>
      <c r="G77" s="1071">
        <f>E77*D77</f>
        <v>15.299999999999999</v>
      </c>
      <c r="H77" s="1075"/>
    </row>
    <row r="78" spans="1:8" hidden="1">
      <c r="A78" s="1208"/>
      <c r="B78" s="1089"/>
      <c r="C78" s="1070" t="s">
        <v>1181</v>
      </c>
      <c r="D78" s="1087"/>
      <c r="E78" s="1087"/>
      <c r="F78" s="1090"/>
      <c r="G78" s="1096">
        <f>SUM(G75:G77)</f>
        <v>131.30000000000001</v>
      </c>
      <c r="H78" s="1075"/>
    </row>
    <row r="79" spans="1:8" ht="26" hidden="1">
      <c r="A79" s="1208"/>
      <c r="B79" s="1089"/>
      <c r="C79" s="1097" t="s">
        <v>1182</v>
      </c>
      <c r="D79" s="1087"/>
      <c r="E79" s="1087"/>
      <c r="F79" s="1087"/>
      <c r="G79" s="1071"/>
      <c r="H79" s="1075"/>
    </row>
    <row r="80" spans="1:8" hidden="1">
      <c r="A80" s="1208"/>
      <c r="B80" s="1089"/>
      <c r="C80" s="1098" t="s">
        <v>1183</v>
      </c>
      <c r="D80" s="1087"/>
      <c r="E80" s="1087"/>
      <c r="F80" s="1087"/>
      <c r="G80" s="1096">
        <f>SUM(G78:G79)</f>
        <v>131.30000000000001</v>
      </c>
      <c r="H80" s="1075"/>
    </row>
    <row r="81" spans="1:19" ht="29.25" customHeight="1">
      <c r="A81" s="1208">
        <v>5</v>
      </c>
      <c r="B81" s="1062" t="s">
        <v>1169</v>
      </c>
      <c r="C81" s="1091" t="s">
        <v>1664</v>
      </c>
      <c r="D81" s="1083" t="s">
        <v>183</v>
      </c>
      <c r="E81" s="1084">
        <v>343</v>
      </c>
      <c r="F81" s="1085">
        <v>1</v>
      </c>
      <c r="G81" s="1084">
        <f>ROUND(E81*F81,2)</f>
        <v>343</v>
      </c>
      <c r="H81" s="1075"/>
      <c r="L81" s="1205"/>
      <c r="M81" s="1205"/>
      <c r="N81" s="1205"/>
      <c r="O81" s="1205"/>
      <c r="P81" s="1205"/>
      <c r="Q81" s="1205"/>
      <c r="R81" s="1205"/>
      <c r="S81" s="1205"/>
    </row>
    <row r="82" spans="1:19" ht="20.25" customHeight="1">
      <c r="A82" s="1208"/>
      <c r="B82" s="1086" t="s">
        <v>1163</v>
      </c>
      <c r="C82" s="1500" t="s">
        <v>1164</v>
      </c>
      <c r="D82" s="1087" t="s">
        <v>790</v>
      </c>
      <c r="E82" s="1088">
        <v>70</v>
      </c>
      <c r="F82" s="1088">
        <v>3</v>
      </c>
      <c r="G82" s="1084">
        <f>ROUND(E82*F82,2)</f>
        <v>210</v>
      </c>
      <c r="H82" s="1075"/>
      <c r="L82" s="1205"/>
      <c r="M82" s="1205"/>
      <c r="N82" s="1205"/>
      <c r="O82" s="1205"/>
      <c r="P82" s="1205"/>
      <c r="Q82" s="1205"/>
      <c r="R82" s="1205"/>
      <c r="S82" s="1205"/>
    </row>
    <row r="83" spans="1:19">
      <c r="A83" s="1208"/>
      <c r="B83" s="1074"/>
      <c r="C83" s="1072" t="s">
        <v>1166</v>
      </c>
      <c r="D83" s="1068"/>
      <c r="E83" s="1068"/>
      <c r="F83" s="1076"/>
      <c r="G83" s="1077">
        <f>SUM(G81:G82)</f>
        <v>553</v>
      </c>
      <c r="H83" s="1075"/>
    </row>
    <row r="84" spans="1:19">
      <c r="A84" s="1208"/>
      <c r="B84" s="1081"/>
      <c r="C84" s="1074" t="s">
        <v>1167</v>
      </c>
      <c r="D84" s="1068"/>
      <c r="E84" s="1068"/>
      <c r="F84" s="1068"/>
      <c r="G84" s="1093">
        <f>ROUND(G83/3,2)</f>
        <v>184.33</v>
      </c>
      <c r="H84" s="1075"/>
    </row>
    <row r="85" spans="1:19" ht="29.25" customHeight="1">
      <c r="A85" s="1208">
        <v>6</v>
      </c>
      <c r="B85" s="1062" t="s">
        <v>1169</v>
      </c>
      <c r="C85" s="1091" t="s">
        <v>1184</v>
      </c>
      <c r="D85" s="1083" t="s">
        <v>183</v>
      </c>
      <c r="E85" s="1084">
        <v>216</v>
      </c>
      <c r="F85" s="1085">
        <v>1</v>
      </c>
      <c r="G85" s="1084">
        <f>ROUND(E85*F85,2)</f>
        <v>216</v>
      </c>
      <c r="H85" s="1075"/>
      <c r="L85" s="1206"/>
      <c r="M85" s="1206"/>
      <c r="N85" s="1206"/>
      <c r="O85" s="1206"/>
      <c r="P85" s="1206"/>
      <c r="Q85" s="1206"/>
      <c r="R85" s="1206"/>
      <c r="S85" s="1206"/>
    </row>
    <row r="86" spans="1:19" ht="20.25" customHeight="1">
      <c r="A86" s="1208"/>
      <c r="B86" s="1086" t="s">
        <v>1163</v>
      </c>
      <c r="C86" s="1500" t="s">
        <v>1164</v>
      </c>
      <c r="D86" s="1087" t="s">
        <v>790</v>
      </c>
      <c r="E86" s="1088">
        <v>70</v>
      </c>
      <c r="F86" s="1088">
        <v>3</v>
      </c>
      <c r="G86" s="1084">
        <f>ROUND(E86*F86,2)</f>
        <v>210</v>
      </c>
      <c r="H86" s="1075"/>
      <c r="L86" s="1206"/>
      <c r="M86" s="1206"/>
      <c r="N86" s="1206"/>
      <c r="O86" s="1206"/>
      <c r="P86" s="1206"/>
      <c r="Q86" s="1206"/>
      <c r="R86" s="1206"/>
      <c r="S86" s="1206"/>
    </row>
    <row r="87" spans="1:19">
      <c r="A87" s="1208"/>
      <c r="B87" s="1074"/>
      <c r="C87" s="1072" t="s">
        <v>1166</v>
      </c>
      <c r="D87" s="1068"/>
      <c r="E87" s="1068"/>
      <c r="F87" s="1076"/>
      <c r="G87" s="1077">
        <f>SUM(G85:G86)</f>
        <v>426</v>
      </c>
      <c r="H87" s="1075"/>
    </row>
    <row r="88" spans="1:19">
      <c r="A88" s="1208"/>
      <c r="B88" s="1081"/>
      <c r="C88" s="1074" t="s">
        <v>1167</v>
      </c>
      <c r="D88" s="1068"/>
      <c r="E88" s="1068"/>
      <c r="F88" s="1068"/>
      <c r="G88" s="1077">
        <f>ROUND(G87/3,2)</f>
        <v>142</v>
      </c>
      <c r="H88" s="1075"/>
    </row>
    <row r="89" spans="1:19" ht="54.75" hidden="1" customHeight="1">
      <c r="A89" s="1212">
        <v>7</v>
      </c>
      <c r="B89" s="1086"/>
      <c r="C89" s="2098" t="s">
        <v>1671</v>
      </c>
      <c r="D89" s="2098"/>
      <c r="E89" s="2098"/>
      <c r="F89" s="2098"/>
      <c r="G89" s="2098"/>
      <c r="H89" s="1075"/>
    </row>
    <row r="90" spans="1:19" ht="18.75" hidden="1" customHeight="1">
      <c r="A90" s="1212"/>
      <c r="B90" s="1086" t="s">
        <v>1186</v>
      </c>
      <c r="C90" s="1500" t="s">
        <v>1672</v>
      </c>
      <c r="D90" s="1087" t="s">
        <v>790</v>
      </c>
      <c r="E90" s="1087">
        <v>1</v>
      </c>
      <c r="F90" s="1088">
        <v>193</v>
      </c>
      <c r="G90" s="1071">
        <f>ROUND(F90*E90,2)</f>
        <v>193</v>
      </c>
      <c r="H90" s="1075"/>
    </row>
    <row r="91" spans="1:19" hidden="1">
      <c r="A91" s="1212"/>
      <c r="B91" s="1089"/>
      <c r="C91" s="1098" t="s">
        <v>1183</v>
      </c>
      <c r="D91" s="1087"/>
      <c r="E91" s="1087"/>
      <c r="F91" s="1090"/>
      <c r="G91" s="1096">
        <f>SUM(G90:G90)</f>
        <v>193</v>
      </c>
      <c r="H91" s="1075"/>
    </row>
    <row r="92" spans="1:19" ht="53.25" hidden="1" customHeight="1">
      <c r="A92" s="1212">
        <v>12</v>
      </c>
      <c r="B92" s="1086"/>
      <c r="C92" s="2098" t="s">
        <v>1185</v>
      </c>
      <c r="D92" s="2098"/>
      <c r="E92" s="2098"/>
      <c r="F92" s="2098"/>
      <c r="G92" s="2098"/>
      <c r="H92" s="1075"/>
    </row>
    <row r="93" spans="1:19" ht="18.75" hidden="1" customHeight="1">
      <c r="A93" s="1212"/>
      <c r="B93" s="1086" t="s">
        <v>1186</v>
      </c>
      <c r="C93" s="1500" t="s">
        <v>1187</v>
      </c>
      <c r="D93" s="1087" t="s">
        <v>790</v>
      </c>
      <c r="E93" s="1087">
        <v>1</v>
      </c>
      <c r="F93" s="1088">
        <v>123</v>
      </c>
      <c r="G93" s="1071">
        <f>ROUND(F93*E93,2)</f>
        <v>123</v>
      </c>
      <c r="H93" s="1075"/>
    </row>
    <row r="94" spans="1:19" hidden="1">
      <c r="A94" s="1212"/>
      <c r="B94" s="1089"/>
      <c r="C94" s="1098" t="s">
        <v>1183</v>
      </c>
      <c r="D94" s="1087"/>
      <c r="E94" s="1087"/>
      <c r="F94" s="1090"/>
      <c r="G94" s="1096">
        <f>SUM(G93:G93)</f>
        <v>123</v>
      </c>
      <c r="H94" s="1075"/>
    </row>
    <row r="95" spans="1:19" ht="55.5" customHeight="1">
      <c r="A95" s="1212">
        <v>7</v>
      </c>
      <c r="B95" s="1086"/>
      <c r="C95" s="2098" t="s">
        <v>1586</v>
      </c>
      <c r="D95" s="2098"/>
      <c r="E95" s="2098"/>
      <c r="F95" s="2098"/>
      <c r="G95" s="2098"/>
      <c r="H95" s="1075"/>
    </row>
    <row r="96" spans="1:19" ht="18.75" customHeight="1">
      <c r="A96" s="1212"/>
      <c r="B96" s="1086" t="s">
        <v>1186</v>
      </c>
      <c r="C96" s="1500" t="s">
        <v>1179</v>
      </c>
      <c r="D96" s="1087" t="s">
        <v>790</v>
      </c>
      <c r="E96" s="1087">
        <v>1</v>
      </c>
      <c r="F96" s="1088">
        <v>85</v>
      </c>
      <c r="G96" s="1071">
        <f>ROUND(F96*E96,2)</f>
        <v>85</v>
      </c>
      <c r="H96" s="1075"/>
    </row>
    <row r="97" spans="1:8">
      <c r="A97" s="1212"/>
      <c r="B97" s="1089"/>
      <c r="C97" s="1098" t="s">
        <v>1183</v>
      </c>
      <c r="D97" s="1087"/>
      <c r="E97" s="1087"/>
      <c r="F97" s="1090"/>
      <c r="G97" s="1096">
        <f>SUM(G96:G96)</f>
        <v>85</v>
      </c>
      <c r="H97" s="1075"/>
    </row>
    <row r="98" spans="1:8" ht="53.25" customHeight="1">
      <c r="A98" s="1212">
        <v>8</v>
      </c>
      <c r="B98" s="1086"/>
      <c r="C98" s="2098" t="s">
        <v>1669</v>
      </c>
      <c r="D98" s="2098"/>
      <c r="E98" s="2098"/>
      <c r="F98" s="2098"/>
      <c r="G98" s="2098"/>
      <c r="H98" s="1075"/>
    </row>
    <row r="99" spans="1:8" ht="18.75" customHeight="1">
      <c r="A99" s="1208"/>
      <c r="B99" s="1086" t="s">
        <v>1186</v>
      </c>
      <c r="C99" s="1500" t="s">
        <v>1670</v>
      </c>
      <c r="D99" s="1087" t="s">
        <v>790</v>
      </c>
      <c r="E99" s="1087">
        <v>1</v>
      </c>
      <c r="F99" s="1088">
        <v>53</v>
      </c>
      <c r="G99" s="1071">
        <f>ROUND(F99*E99,2)</f>
        <v>53</v>
      </c>
      <c r="H99" s="1075"/>
    </row>
    <row r="100" spans="1:8">
      <c r="A100" s="1208"/>
      <c r="B100" s="1089"/>
      <c r="C100" s="1098" t="s">
        <v>1183</v>
      </c>
      <c r="D100" s="1087"/>
      <c r="E100" s="1087"/>
      <c r="F100" s="1090"/>
      <c r="G100" s="1096">
        <f>SUM(G99:G99)</f>
        <v>53</v>
      </c>
      <c r="H100" s="1075"/>
    </row>
    <row r="101" spans="1:8" ht="42" customHeight="1">
      <c r="A101" s="1208">
        <v>9</v>
      </c>
      <c r="B101" s="1074"/>
      <c r="C101" s="2098" t="s">
        <v>1188</v>
      </c>
      <c r="D101" s="2098"/>
      <c r="E101" s="2098"/>
      <c r="F101" s="2098"/>
      <c r="G101" s="2098"/>
      <c r="H101" s="1075"/>
    </row>
    <row r="102" spans="1:8" ht="21" customHeight="1">
      <c r="A102" s="1208"/>
      <c r="B102" s="1086" t="s">
        <v>1189</v>
      </c>
      <c r="C102" s="1500" t="s">
        <v>1826</v>
      </c>
      <c r="D102" s="1087" t="s">
        <v>217</v>
      </c>
      <c r="E102" s="1087">
        <v>1</v>
      </c>
      <c r="F102" s="1088">
        <v>3238</v>
      </c>
      <c r="G102" s="1071">
        <f>ROUND(F102*E102,2)</f>
        <v>3238</v>
      </c>
      <c r="H102" s="1075"/>
    </row>
    <row r="103" spans="1:8">
      <c r="A103" s="1208"/>
      <c r="B103" s="1086" t="s">
        <v>1192</v>
      </c>
      <c r="C103" s="1500" t="s">
        <v>1827</v>
      </c>
      <c r="D103" s="1087" t="s">
        <v>217</v>
      </c>
      <c r="E103" s="1087">
        <v>1</v>
      </c>
      <c r="F103" s="1088">
        <v>71</v>
      </c>
      <c r="G103" s="1071">
        <f>ROUND(F103*E103,2)</f>
        <v>71</v>
      </c>
      <c r="H103" s="1075"/>
    </row>
    <row r="104" spans="1:8" hidden="1">
      <c r="A104" s="1208"/>
      <c r="B104" s="1089"/>
      <c r="C104" s="1070" t="s">
        <v>1181</v>
      </c>
      <c r="D104" s="1087"/>
      <c r="E104" s="1087"/>
      <c r="F104" s="1090"/>
      <c r="G104" s="1096">
        <f>SUM(G102:G103)</f>
        <v>3309</v>
      </c>
      <c r="H104" s="1075"/>
    </row>
    <row r="105" spans="1:8" ht="26" hidden="1">
      <c r="A105" s="1208"/>
      <c r="B105" s="1089"/>
      <c r="C105" s="1099" t="s">
        <v>1182</v>
      </c>
      <c r="D105" s="1087"/>
      <c r="E105" s="1087"/>
      <c r="F105" s="1087"/>
      <c r="G105" s="1071"/>
      <c r="H105" s="1075"/>
    </row>
    <row r="106" spans="1:8">
      <c r="A106" s="1208"/>
      <c r="B106" s="1089"/>
      <c r="C106" s="1098" t="s">
        <v>1828</v>
      </c>
      <c r="D106" s="1087"/>
      <c r="E106" s="1087"/>
      <c r="F106" s="1087"/>
      <c r="G106" s="1096">
        <f>SUM(G104:G105)</f>
        <v>3309</v>
      </c>
      <c r="H106" s="1075"/>
    </row>
    <row r="107" spans="1:8" ht="39.75" hidden="1" customHeight="1">
      <c r="A107" s="1208">
        <v>10</v>
      </c>
      <c r="B107" s="1074"/>
      <c r="C107" s="2098" t="s">
        <v>1829</v>
      </c>
      <c r="D107" s="2098"/>
      <c r="E107" s="2098"/>
      <c r="F107" s="2098"/>
      <c r="G107" s="2098"/>
      <c r="H107" s="1075"/>
    </row>
    <row r="108" spans="1:8" ht="21" hidden="1" customHeight="1">
      <c r="A108" s="1208"/>
      <c r="B108" s="1086" t="s">
        <v>1194</v>
      </c>
      <c r="C108" s="1500" t="s">
        <v>1190</v>
      </c>
      <c r="D108" s="1087" t="s">
        <v>217</v>
      </c>
      <c r="E108" s="1087">
        <v>1</v>
      </c>
      <c r="F108" s="1088">
        <v>5372</v>
      </c>
      <c r="G108" s="1071">
        <f>ROUND(F108*E108,2)</f>
        <v>5372</v>
      </c>
      <c r="H108" s="1075"/>
    </row>
    <row r="109" spans="1:8" ht="29.25" hidden="1" customHeight="1">
      <c r="A109" s="1208"/>
      <c r="B109" s="1086" t="s">
        <v>1191</v>
      </c>
      <c r="C109" s="1500" t="s">
        <v>1195</v>
      </c>
      <c r="D109" s="1087" t="s">
        <v>217</v>
      </c>
      <c r="E109" s="1087">
        <v>1</v>
      </c>
      <c r="F109" s="1087">
        <v>107</v>
      </c>
      <c r="G109" s="1071">
        <f>ROUND(F109*E109,2)</f>
        <v>107</v>
      </c>
      <c r="H109" s="1075"/>
    </row>
    <row r="110" spans="1:8" ht="18" hidden="1" customHeight="1">
      <c r="A110" s="1208"/>
      <c r="B110" s="1086" t="s">
        <v>1192</v>
      </c>
      <c r="C110" s="1500" t="s">
        <v>1193</v>
      </c>
      <c r="D110" s="1087" t="s">
        <v>217</v>
      </c>
      <c r="E110" s="1087">
        <v>1</v>
      </c>
      <c r="F110" s="1087">
        <v>71</v>
      </c>
      <c r="G110" s="1071">
        <f>ROUND(F110*E110,2)</f>
        <v>71</v>
      </c>
      <c r="H110" s="1075"/>
    </row>
    <row r="111" spans="1:8" hidden="1">
      <c r="A111" s="1208"/>
      <c r="B111" s="1089"/>
      <c r="C111" s="1070" t="s">
        <v>1181</v>
      </c>
      <c r="D111" s="1087"/>
      <c r="E111" s="1087"/>
      <c r="F111" s="1090"/>
      <c r="G111" s="1096">
        <f>SUM(G108:G110)</f>
        <v>5550</v>
      </c>
      <c r="H111" s="1075"/>
    </row>
    <row r="112" spans="1:8" ht="26" hidden="1">
      <c r="A112" s="1208"/>
      <c r="B112" s="1089"/>
      <c r="C112" s="1097" t="s">
        <v>1182</v>
      </c>
      <c r="D112" s="1087"/>
      <c r="E112" s="1087"/>
      <c r="F112" s="1087"/>
      <c r="G112" s="1071"/>
      <c r="H112" s="1075"/>
    </row>
    <row r="113" spans="1:8" hidden="1">
      <c r="A113" s="1208"/>
      <c r="B113" s="1089"/>
      <c r="C113" s="1098" t="s">
        <v>1828</v>
      </c>
      <c r="D113" s="1087"/>
      <c r="E113" s="1087"/>
      <c r="F113" s="1087"/>
      <c r="G113" s="1096">
        <f>SUM(G111:G112)</f>
        <v>5550</v>
      </c>
      <c r="H113" s="1075"/>
    </row>
    <row r="114" spans="1:8" ht="67.5" customHeight="1">
      <c r="A114" s="1208">
        <v>10</v>
      </c>
      <c r="B114" s="1074"/>
      <c r="C114" s="2098" t="s">
        <v>1196</v>
      </c>
      <c r="D114" s="2098"/>
      <c r="E114" s="2098"/>
      <c r="F114" s="2098"/>
      <c r="G114" s="2098"/>
      <c r="H114" s="1075"/>
    </row>
    <row r="115" spans="1:8" ht="42.75" customHeight="1">
      <c r="A115" s="1208"/>
      <c r="B115" s="1086" t="s">
        <v>1197</v>
      </c>
      <c r="C115" s="1500" t="s">
        <v>2000</v>
      </c>
      <c r="D115" s="1087" t="s">
        <v>217</v>
      </c>
      <c r="E115" s="1087">
        <v>1</v>
      </c>
      <c r="F115" s="1088">
        <v>86</v>
      </c>
      <c r="G115" s="1071">
        <f>ROUND(F115*E115,2)</f>
        <v>86</v>
      </c>
      <c r="H115" s="1075"/>
    </row>
    <row r="116" spans="1:8" ht="18" customHeight="1">
      <c r="A116" s="1208"/>
      <c r="B116" s="1086"/>
      <c r="C116" s="1500" t="s">
        <v>1193</v>
      </c>
      <c r="D116" s="1087" t="s">
        <v>217</v>
      </c>
      <c r="E116" s="1087">
        <v>1</v>
      </c>
      <c r="F116" s="1088">
        <v>70</v>
      </c>
      <c r="G116" s="1071">
        <f>ROUND(F116*E116,2)</f>
        <v>70</v>
      </c>
      <c r="H116" s="1075"/>
    </row>
    <row r="117" spans="1:8">
      <c r="A117" s="1208"/>
      <c r="B117" s="1089"/>
      <c r="C117" s="1070" t="s">
        <v>1181</v>
      </c>
      <c r="D117" s="1087"/>
      <c r="E117" s="1087"/>
      <c r="F117" s="1090"/>
      <c r="G117" s="1096">
        <f>SUM(G115:G116)</f>
        <v>156</v>
      </c>
      <c r="H117" s="1075"/>
    </row>
    <row r="118" spans="1:8">
      <c r="A118" s="1208"/>
      <c r="B118" s="1089"/>
      <c r="C118" s="1098" t="s">
        <v>1183</v>
      </c>
      <c r="D118" s="1087"/>
      <c r="E118" s="1087"/>
      <c r="F118" s="1087"/>
      <c r="G118" s="1096">
        <f>SUM(G117:G117)</f>
        <v>156</v>
      </c>
      <c r="H118" s="1075"/>
    </row>
    <row r="119" spans="1:8" ht="54" customHeight="1">
      <c r="A119" s="1208">
        <v>11</v>
      </c>
      <c r="B119" s="1074"/>
      <c r="C119" s="2098" t="s">
        <v>1198</v>
      </c>
      <c r="D119" s="2098"/>
      <c r="E119" s="2098"/>
      <c r="F119" s="2098"/>
      <c r="G119" s="2098"/>
      <c r="H119" s="1075"/>
    </row>
    <row r="120" spans="1:8" ht="26">
      <c r="A120" s="1208"/>
      <c r="B120" s="1086" t="s">
        <v>1199</v>
      </c>
      <c r="C120" s="1094" t="s">
        <v>1200</v>
      </c>
      <c r="D120" s="1087" t="s">
        <v>771</v>
      </c>
      <c r="E120" s="1087">
        <v>1</v>
      </c>
      <c r="F120" s="1088">
        <v>146</v>
      </c>
      <c r="G120" s="1071">
        <f>ROUND(F120*E120,2)</f>
        <v>146</v>
      </c>
      <c r="H120" s="1075"/>
    </row>
    <row r="121" spans="1:8">
      <c r="A121" s="1208"/>
      <c r="B121" s="1086" t="s">
        <v>1201</v>
      </c>
      <c r="C121" s="1500" t="s">
        <v>1193</v>
      </c>
      <c r="D121" s="1087" t="s">
        <v>771</v>
      </c>
      <c r="E121" s="1087">
        <v>1</v>
      </c>
      <c r="F121" s="1088">
        <v>44</v>
      </c>
      <c r="G121" s="1071">
        <f>F121</f>
        <v>44</v>
      </c>
      <c r="H121" s="1075"/>
    </row>
    <row r="122" spans="1:8">
      <c r="A122" s="1208"/>
      <c r="B122" s="1089"/>
      <c r="C122" s="1070" t="s">
        <v>1830</v>
      </c>
      <c r="D122" s="1087"/>
      <c r="E122" s="1087"/>
      <c r="F122" s="1090"/>
      <c r="G122" s="1096">
        <f>SUM(G120:G121)</f>
        <v>190</v>
      </c>
      <c r="H122" s="1075"/>
    </row>
    <row r="123" spans="1:8" ht="26" hidden="1">
      <c r="A123" s="1208"/>
      <c r="B123" s="1089"/>
      <c r="C123" s="1099" t="s">
        <v>1182</v>
      </c>
      <c r="D123" s="1087"/>
      <c r="E123" s="1087"/>
      <c r="F123" s="1087"/>
      <c r="G123" s="1071"/>
      <c r="H123" s="1075"/>
    </row>
    <row r="124" spans="1:8">
      <c r="A124" s="1208"/>
      <c r="B124" s="1089"/>
      <c r="C124" s="1098" t="s">
        <v>1831</v>
      </c>
      <c r="D124" s="1087"/>
      <c r="E124" s="1087"/>
      <c r="F124" s="1087"/>
      <c r="G124" s="1096">
        <f>SUM(G122:G123)</f>
        <v>190</v>
      </c>
      <c r="H124" s="1075"/>
    </row>
    <row r="125" spans="1:8" ht="40.5" customHeight="1">
      <c r="A125" s="1208">
        <f>A119+1</f>
        <v>12</v>
      </c>
      <c r="B125" s="1074"/>
      <c r="C125" s="2098" t="s">
        <v>1202</v>
      </c>
      <c r="D125" s="2098"/>
      <c r="E125" s="2098"/>
      <c r="F125" s="2098"/>
      <c r="G125" s="1087"/>
      <c r="H125" s="1075"/>
    </row>
    <row r="126" spans="1:8">
      <c r="A126" s="1208"/>
      <c r="B126" s="1086" t="s">
        <v>1203</v>
      </c>
      <c r="C126" s="1500" t="s">
        <v>1204</v>
      </c>
      <c r="D126" s="1087" t="s">
        <v>771</v>
      </c>
      <c r="E126" s="1087">
        <v>1</v>
      </c>
      <c r="F126" s="1100">
        <v>208</v>
      </c>
      <c r="G126" s="1088">
        <v>243</v>
      </c>
      <c r="H126" s="1075"/>
    </row>
    <row r="127" spans="1:8">
      <c r="A127" s="1208"/>
      <c r="B127" s="1086" t="s">
        <v>1205</v>
      </c>
      <c r="C127" s="1500" t="s">
        <v>1193</v>
      </c>
      <c r="D127" s="1087" t="s">
        <v>771</v>
      </c>
      <c r="E127" s="1087">
        <v>1</v>
      </c>
      <c r="F127" s="1088">
        <v>12</v>
      </c>
      <c r="G127" s="1071">
        <f>F127</f>
        <v>12</v>
      </c>
      <c r="H127" s="1075"/>
    </row>
    <row r="128" spans="1:8">
      <c r="A128" s="1208"/>
      <c r="B128" s="1089"/>
      <c r="C128" s="1070" t="s">
        <v>1832</v>
      </c>
      <c r="D128" s="1087"/>
      <c r="E128" s="1087"/>
      <c r="F128" s="1090"/>
      <c r="G128" s="1096">
        <f>SUM(G126:G127)</f>
        <v>255</v>
      </c>
      <c r="H128" s="1075"/>
    </row>
    <row r="129" spans="1:8" ht="26" hidden="1">
      <c r="A129" s="1208"/>
      <c r="B129" s="1089"/>
      <c r="C129" s="1099" t="s">
        <v>1182</v>
      </c>
      <c r="D129" s="1087"/>
      <c r="E129" s="1087"/>
      <c r="F129" s="1087"/>
      <c r="G129" s="1071"/>
      <c r="H129" s="1075"/>
    </row>
    <row r="130" spans="1:8">
      <c r="A130" s="1208"/>
      <c r="B130" s="1089"/>
      <c r="C130" s="1098" t="s">
        <v>1831</v>
      </c>
      <c r="D130" s="1087"/>
      <c r="E130" s="1087"/>
      <c r="F130" s="1087"/>
      <c r="G130" s="1096">
        <f>SUM(G128:G129)</f>
        <v>255</v>
      </c>
      <c r="H130" s="1075"/>
    </row>
    <row r="131" spans="1:8" ht="18" hidden="1" customHeight="1">
      <c r="A131" s="1208"/>
      <c r="B131" s="1089"/>
      <c r="C131" s="1089" t="s">
        <v>1206</v>
      </c>
      <c r="D131" s="1089"/>
      <c r="E131" s="1089"/>
      <c r="F131" s="1089"/>
      <c r="G131" s="1101">
        <v>107</v>
      </c>
      <c r="H131" s="1075"/>
    </row>
    <row r="132" spans="1:8" hidden="1">
      <c r="A132" s="1208"/>
      <c r="B132" s="1089"/>
      <c r="C132" s="1500"/>
      <c r="D132" s="1087"/>
      <c r="E132" s="1087"/>
      <c r="F132" s="1087"/>
      <c r="G132" s="1096"/>
      <c r="H132" s="1075"/>
    </row>
    <row r="133" spans="1:8" ht="52.5" customHeight="1">
      <c r="A133" s="1208">
        <v>13</v>
      </c>
      <c r="B133" s="1074"/>
      <c r="C133" s="2098" t="s">
        <v>1207</v>
      </c>
      <c r="D133" s="2098"/>
      <c r="E133" s="2098"/>
      <c r="F133" s="2098"/>
      <c r="G133" s="2098"/>
      <c r="H133" s="1075"/>
    </row>
    <row r="134" spans="1:8" ht="78">
      <c r="A134" s="1208"/>
      <c r="B134" s="1086" t="s">
        <v>1208</v>
      </c>
      <c r="C134" s="1094" t="s">
        <v>1833</v>
      </c>
      <c r="D134" s="1087" t="s">
        <v>1209</v>
      </c>
      <c r="E134" s="1102">
        <v>1000</v>
      </c>
      <c r="F134" s="1088">
        <v>5</v>
      </c>
      <c r="G134" s="1071">
        <f>ROUND(F134*E134,2)</f>
        <v>5000</v>
      </c>
      <c r="H134" s="1075"/>
    </row>
    <row r="135" spans="1:8">
      <c r="A135" s="1208"/>
      <c r="B135" s="1086"/>
      <c r="C135" s="1094" t="s">
        <v>1834</v>
      </c>
      <c r="D135" s="1087" t="s">
        <v>1209</v>
      </c>
      <c r="E135" s="1102">
        <v>1000</v>
      </c>
      <c r="F135" s="1088">
        <v>1</v>
      </c>
      <c r="G135" s="1071">
        <f>ROUND(F135*E135,2)</f>
        <v>1000</v>
      </c>
      <c r="H135" s="1075"/>
    </row>
    <row r="136" spans="1:8">
      <c r="A136" s="1208"/>
      <c r="B136" s="1086"/>
      <c r="C136" s="1094" t="s">
        <v>1836</v>
      </c>
      <c r="D136" s="1087" t="s">
        <v>771</v>
      </c>
      <c r="E136" s="1102">
        <v>64</v>
      </c>
      <c r="F136" s="1088">
        <v>1</v>
      </c>
      <c r="G136" s="1071">
        <f>ROUND(F136*E136,2)</f>
        <v>64</v>
      </c>
      <c r="H136" s="1075"/>
    </row>
    <row r="137" spans="1:8" ht="18.75" customHeight="1">
      <c r="A137" s="1208"/>
      <c r="B137" s="1086" t="s">
        <v>1210</v>
      </c>
      <c r="C137" s="1500" t="s">
        <v>1211</v>
      </c>
      <c r="D137" s="1087" t="s">
        <v>771</v>
      </c>
      <c r="E137" s="1087">
        <v>1</v>
      </c>
      <c r="F137" s="1088">
        <v>41</v>
      </c>
      <c r="G137" s="1071">
        <f>ROUND(F137*E137,2)</f>
        <v>41</v>
      </c>
      <c r="H137" s="1075"/>
    </row>
    <row r="138" spans="1:8" ht="20.25" customHeight="1">
      <c r="A138" s="1208"/>
      <c r="B138" s="1086" t="s">
        <v>1212</v>
      </c>
      <c r="C138" s="1500" t="s">
        <v>1835</v>
      </c>
      <c r="D138" s="1087" t="s">
        <v>771</v>
      </c>
      <c r="E138" s="1087">
        <v>1</v>
      </c>
      <c r="F138" s="1087">
        <v>77</v>
      </c>
      <c r="G138" s="1071">
        <f>ROUND(F138*E138,2)</f>
        <v>77</v>
      </c>
      <c r="H138" s="1075"/>
    </row>
    <row r="139" spans="1:8">
      <c r="A139" s="1208"/>
      <c r="B139" s="1089"/>
      <c r="C139" s="1070" t="s">
        <v>1213</v>
      </c>
      <c r="D139" s="1087"/>
      <c r="E139" s="1087"/>
      <c r="F139" s="1090"/>
      <c r="G139" s="1096">
        <f>SUM(G134:G138)</f>
        <v>6182</v>
      </c>
      <c r="H139" s="1075"/>
    </row>
    <row r="140" spans="1:8">
      <c r="A140" s="1208"/>
      <c r="B140" s="1089"/>
      <c r="C140" s="1098" t="s">
        <v>1214</v>
      </c>
      <c r="D140" s="1087"/>
      <c r="E140" s="1087"/>
      <c r="F140" s="1087"/>
      <c r="G140" s="1096">
        <f>ROUND(SUM(G139:G139)/1000,2)</f>
        <v>6.18</v>
      </c>
      <c r="H140" s="1075"/>
    </row>
    <row r="141" spans="1:8" ht="27.75" customHeight="1">
      <c r="A141" s="1209">
        <f>A133+1</f>
        <v>14</v>
      </c>
      <c r="B141" s="1074"/>
      <c r="C141" s="2098" t="s">
        <v>1215</v>
      </c>
      <c r="D141" s="2098"/>
      <c r="E141" s="2098"/>
      <c r="F141" s="2098"/>
      <c r="G141" s="2098"/>
      <c r="H141" s="1075"/>
    </row>
    <row r="142" spans="1:8">
      <c r="A142" s="1208"/>
      <c r="B142" s="1103"/>
      <c r="C142" s="1074"/>
      <c r="D142" s="1064" t="s">
        <v>141</v>
      </c>
      <c r="E142" s="1064" t="s">
        <v>149</v>
      </c>
      <c r="F142" s="1064" t="s">
        <v>1142</v>
      </c>
      <c r="G142" s="1064" t="s">
        <v>302</v>
      </c>
      <c r="H142" s="1075"/>
    </row>
    <row r="143" spans="1:8" ht="26">
      <c r="A143" s="1208"/>
      <c r="B143" s="1086" t="s">
        <v>1216</v>
      </c>
      <c r="C143" s="1104" t="s">
        <v>2001</v>
      </c>
      <c r="D143" s="1064" t="s">
        <v>183</v>
      </c>
      <c r="E143" s="1076">
        <v>408</v>
      </c>
      <c r="F143" s="1066">
        <v>1</v>
      </c>
      <c r="G143" s="1065">
        <f>ROUND(E143*F143,2)</f>
        <v>408</v>
      </c>
      <c r="H143" s="1075"/>
    </row>
    <row r="144" spans="1:8" hidden="1">
      <c r="A144" s="1208"/>
      <c r="B144" s="1072"/>
      <c r="C144" s="1079"/>
      <c r="D144" s="1080"/>
      <c r="E144" s="1076"/>
      <c r="F144" s="1066"/>
      <c r="G144" s="1065">
        <f>SUM(G143:G143)</f>
        <v>408</v>
      </c>
      <c r="H144" s="1075"/>
    </row>
    <row r="145" spans="1:8">
      <c r="A145" s="1208"/>
      <c r="B145" s="1074"/>
      <c r="C145" s="1072" t="s">
        <v>1152</v>
      </c>
      <c r="D145" s="1068"/>
      <c r="E145" s="1065"/>
      <c r="F145" s="1076">
        <v>1</v>
      </c>
      <c r="G145" s="1077">
        <f>SUM(G144:G144)</f>
        <v>408</v>
      </c>
      <c r="H145" s="1075"/>
    </row>
    <row r="146" spans="1:8" ht="29.25" customHeight="1">
      <c r="A146" s="1209">
        <f>A141+1</f>
        <v>15</v>
      </c>
      <c r="B146" s="1074"/>
      <c r="C146" s="2098" t="s">
        <v>1217</v>
      </c>
      <c r="D146" s="2098"/>
      <c r="E146" s="2098"/>
      <c r="F146" s="2098"/>
      <c r="G146" s="2098"/>
      <c r="H146" s="1075"/>
    </row>
    <row r="147" spans="1:8">
      <c r="A147" s="1208"/>
      <c r="B147" s="1103"/>
      <c r="C147" s="1074"/>
      <c r="D147" s="1064" t="s">
        <v>141</v>
      </c>
      <c r="E147" s="1064" t="s">
        <v>149</v>
      </c>
      <c r="F147" s="1064" t="s">
        <v>1142</v>
      </c>
      <c r="G147" s="1064" t="s">
        <v>302</v>
      </c>
      <c r="H147" s="1075"/>
    </row>
    <row r="148" spans="1:8">
      <c r="A148" s="1208"/>
      <c r="B148" s="1086" t="s">
        <v>1218</v>
      </c>
      <c r="C148" s="1104" t="s">
        <v>1219</v>
      </c>
      <c r="D148" s="1064" t="s">
        <v>183</v>
      </c>
      <c r="E148" s="1076">
        <v>200</v>
      </c>
      <c r="F148" s="1066">
        <v>1</v>
      </c>
      <c r="G148" s="1065">
        <f>ROUND(E148*F148,2)</f>
        <v>200</v>
      </c>
      <c r="H148" s="1075"/>
    </row>
    <row r="149" spans="1:8" hidden="1">
      <c r="A149" s="1208"/>
      <c r="B149" s="1072"/>
      <c r="C149" s="1079"/>
      <c r="D149" s="1080"/>
      <c r="E149" s="1076"/>
      <c r="F149" s="1066"/>
      <c r="G149" s="1065">
        <f>SUM(G148:G148)</f>
        <v>200</v>
      </c>
      <c r="H149" s="1075"/>
    </row>
    <row r="150" spans="1:8">
      <c r="A150" s="1208"/>
      <c r="B150" s="1074"/>
      <c r="C150" s="1072" t="s">
        <v>1152</v>
      </c>
      <c r="D150" s="1068"/>
      <c r="E150" s="1065"/>
      <c r="F150" s="1076">
        <v>1</v>
      </c>
      <c r="G150" s="1077">
        <f>SUM(G149:G149)</f>
        <v>200</v>
      </c>
      <c r="H150" s="1075"/>
    </row>
    <row r="151" spans="1:8" ht="28.5" customHeight="1">
      <c r="A151" s="1209">
        <v>16</v>
      </c>
      <c r="B151" s="1074"/>
      <c r="C151" s="2098" t="s">
        <v>1665</v>
      </c>
      <c r="D151" s="2098"/>
      <c r="E151" s="2098"/>
      <c r="F151" s="2098"/>
      <c r="G151" s="2098"/>
      <c r="H151" s="1075"/>
    </row>
    <row r="152" spans="1:8">
      <c r="A152" s="1208"/>
      <c r="B152" s="1103"/>
      <c r="C152" s="1074"/>
      <c r="D152" s="1064" t="s">
        <v>141</v>
      </c>
      <c r="E152" s="1064" t="s">
        <v>149</v>
      </c>
      <c r="F152" s="1064" t="s">
        <v>1142</v>
      </c>
      <c r="G152" s="1064" t="s">
        <v>302</v>
      </c>
      <c r="H152" s="1075"/>
    </row>
    <row r="153" spans="1:8">
      <c r="A153" s="1208"/>
      <c r="B153" s="1086" t="s">
        <v>1221</v>
      </c>
      <c r="C153" s="1104" t="s">
        <v>1666</v>
      </c>
      <c r="D153" s="1064" t="s">
        <v>183</v>
      </c>
      <c r="E153" s="1076">
        <v>3758</v>
      </c>
      <c r="F153" s="1066">
        <v>1</v>
      </c>
      <c r="G153" s="1065">
        <f>ROUND(E153*F153,2)</f>
        <v>3758</v>
      </c>
      <c r="H153" s="1075"/>
    </row>
    <row r="154" spans="1:8" hidden="1">
      <c r="A154" s="1208"/>
      <c r="B154" s="1072"/>
      <c r="C154" s="1079"/>
      <c r="D154" s="1080"/>
      <c r="E154" s="1076"/>
      <c r="F154" s="1066"/>
      <c r="G154" s="1065">
        <f>SUM(G153:G153)</f>
        <v>3758</v>
      </c>
      <c r="H154" s="1075"/>
    </row>
    <row r="155" spans="1:8">
      <c r="A155" s="1208"/>
      <c r="B155" s="1074"/>
      <c r="C155" s="1072" t="s">
        <v>1152</v>
      </c>
      <c r="D155" s="1068"/>
      <c r="E155" s="1065"/>
      <c r="F155" s="1076">
        <v>1</v>
      </c>
      <c r="G155" s="1077">
        <f>SUM(G154:G154)</f>
        <v>3758</v>
      </c>
      <c r="H155" s="1075"/>
    </row>
    <row r="156" spans="1:8" ht="41.25" customHeight="1">
      <c r="A156" s="1209">
        <v>17</v>
      </c>
      <c r="B156" s="1074"/>
      <c r="C156" s="2098" t="s">
        <v>1220</v>
      </c>
      <c r="D156" s="2098"/>
      <c r="E156" s="2098"/>
      <c r="F156" s="2098"/>
      <c r="G156" s="2098"/>
      <c r="H156" s="1075"/>
    </row>
    <row r="157" spans="1:8">
      <c r="A157" s="1208"/>
      <c r="B157" s="1103"/>
      <c r="C157" s="1074"/>
      <c r="D157" s="1064" t="s">
        <v>141</v>
      </c>
      <c r="E157" s="1064" t="s">
        <v>149</v>
      </c>
      <c r="F157" s="1064" t="s">
        <v>1142</v>
      </c>
      <c r="G157" s="1064" t="s">
        <v>302</v>
      </c>
      <c r="H157" s="1075"/>
    </row>
    <row r="158" spans="1:8" ht="28.5" customHeight="1">
      <c r="A158" s="1208"/>
      <c r="B158" s="1086" t="s">
        <v>1221</v>
      </c>
      <c r="C158" s="1104" t="s">
        <v>1222</v>
      </c>
      <c r="D158" s="1064" t="s">
        <v>183</v>
      </c>
      <c r="E158" s="1076">
        <v>547</v>
      </c>
      <c r="F158" s="1066">
        <v>1</v>
      </c>
      <c r="G158" s="1065">
        <f>ROUND(E158*F158,2)</f>
        <v>547</v>
      </c>
      <c r="H158" s="1075"/>
    </row>
    <row r="159" spans="1:8" hidden="1">
      <c r="A159" s="1208"/>
      <c r="B159" s="1072"/>
      <c r="C159" s="1079"/>
      <c r="D159" s="1080"/>
      <c r="E159" s="1076"/>
      <c r="F159" s="1066"/>
      <c r="G159" s="1065">
        <f>SUM(G158:G158)</f>
        <v>547</v>
      </c>
      <c r="H159" s="1075"/>
    </row>
    <row r="160" spans="1:8">
      <c r="A160" s="1208"/>
      <c r="B160" s="1074"/>
      <c r="C160" s="1072" t="s">
        <v>1152</v>
      </c>
      <c r="D160" s="1068"/>
      <c r="E160" s="1065"/>
      <c r="F160" s="1076">
        <v>1</v>
      </c>
      <c r="G160" s="1077">
        <f>SUM(G159:G159)</f>
        <v>547</v>
      </c>
      <c r="H160" s="1075"/>
    </row>
    <row r="161" spans="1:8" ht="42.75" hidden="1" customHeight="1">
      <c r="A161" s="1209">
        <f>A156+1</f>
        <v>18</v>
      </c>
      <c r="B161" s="1074"/>
      <c r="C161" s="2098" t="s">
        <v>1223</v>
      </c>
      <c r="D161" s="2102"/>
      <c r="E161" s="2102"/>
      <c r="F161" s="2102"/>
      <c r="G161" s="2102"/>
      <c r="H161" s="1075"/>
    </row>
    <row r="162" spans="1:8" hidden="1">
      <c r="A162" s="1208"/>
      <c r="B162" s="1103"/>
      <c r="C162" s="1074"/>
      <c r="D162" s="1064" t="s">
        <v>141</v>
      </c>
      <c r="E162" s="1064" t="s">
        <v>149</v>
      </c>
      <c r="F162" s="1064" t="s">
        <v>1142</v>
      </c>
      <c r="G162" s="1064" t="s">
        <v>302</v>
      </c>
      <c r="H162" s="1075"/>
    </row>
    <row r="163" spans="1:8" ht="27.75" hidden="1" customHeight="1">
      <c r="A163" s="1208"/>
      <c r="B163" s="1086" t="s">
        <v>1224</v>
      </c>
      <c r="C163" s="1104" t="s">
        <v>1225</v>
      </c>
      <c r="D163" s="1064" t="s">
        <v>183</v>
      </c>
      <c r="E163" s="1076">
        <v>525</v>
      </c>
      <c r="F163" s="1066">
        <v>1</v>
      </c>
      <c r="G163" s="1065">
        <f>ROUND(E163*F163,2)</f>
        <v>525</v>
      </c>
      <c r="H163" s="1075"/>
    </row>
    <row r="164" spans="1:8" hidden="1">
      <c r="A164" s="1208"/>
      <c r="B164" s="1072"/>
      <c r="C164" s="1079"/>
      <c r="D164" s="1080"/>
      <c r="E164" s="1076"/>
      <c r="F164" s="1066"/>
      <c r="G164" s="1065">
        <f>SUM(G163:G163)</f>
        <v>525</v>
      </c>
      <c r="H164" s="1075"/>
    </row>
    <row r="165" spans="1:8" hidden="1">
      <c r="A165" s="1208"/>
      <c r="B165" s="1074"/>
      <c r="C165" s="1072" t="s">
        <v>1152</v>
      </c>
      <c r="D165" s="1068"/>
      <c r="E165" s="1065"/>
      <c r="F165" s="1076">
        <v>1</v>
      </c>
      <c r="G165" s="1077">
        <f>SUM(G164:G164)</f>
        <v>525</v>
      </c>
      <c r="H165" s="1075"/>
    </row>
    <row r="166" spans="1:8">
      <c r="A166" s="1208">
        <v>18</v>
      </c>
      <c r="B166" s="1086" t="s">
        <v>1224</v>
      </c>
      <c r="C166" s="1104" t="s">
        <v>1667</v>
      </c>
      <c r="D166" s="1064" t="s">
        <v>183</v>
      </c>
      <c r="E166" s="1076">
        <v>223</v>
      </c>
      <c r="F166" s="1066">
        <v>1</v>
      </c>
      <c r="G166" s="1065">
        <f>ROUND(E166*F166,2)</f>
        <v>223</v>
      </c>
      <c r="H166" s="1075"/>
    </row>
    <row r="167" spans="1:8" hidden="1">
      <c r="A167" s="1208"/>
      <c r="B167" s="1072"/>
      <c r="C167" s="1079"/>
      <c r="D167" s="1080"/>
      <c r="E167" s="1076"/>
      <c r="F167" s="1066"/>
      <c r="G167" s="1065">
        <f>SUM(G166:G166)</f>
        <v>223</v>
      </c>
      <c r="H167" s="1075"/>
    </row>
    <row r="168" spans="1:8">
      <c r="A168" s="1208"/>
      <c r="B168" s="1074"/>
      <c r="C168" s="1072" t="s">
        <v>1152</v>
      </c>
      <c r="D168" s="1068"/>
      <c r="E168" s="1065"/>
      <c r="F168" s="1076">
        <v>1</v>
      </c>
      <c r="G168" s="1077">
        <f>SUM(G167:G167)</f>
        <v>223</v>
      </c>
      <c r="H168" s="1075"/>
    </row>
    <row r="169" spans="1:8" ht="26">
      <c r="A169" s="1208">
        <v>19</v>
      </c>
      <c r="B169" s="1086" t="s">
        <v>1224</v>
      </c>
      <c r="C169" s="1104" t="s">
        <v>1788</v>
      </c>
      <c r="D169" s="1064" t="s">
        <v>183</v>
      </c>
      <c r="E169" s="1076">
        <v>86</v>
      </c>
      <c r="F169" s="1066">
        <v>1</v>
      </c>
      <c r="G169" s="1065">
        <f>ROUND(E169*F169,2)</f>
        <v>86</v>
      </c>
      <c r="H169" s="1075"/>
    </row>
    <row r="170" spans="1:8" hidden="1">
      <c r="A170" s="1208"/>
      <c r="B170" s="1072"/>
      <c r="C170" s="1079"/>
      <c r="D170" s="1080"/>
      <c r="E170" s="1076"/>
      <c r="F170" s="1066"/>
      <c r="G170" s="1065">
        <f>SUM(G169:G169)</f>
        <v>86</v>
      </c>
      <c r="H170" s="1075"/>
    </row>
    <row r="171" spans="1:8">
      <c r="A171" s="1208"/>
      <c r="B171" s="1074"/>
      <c r="C171" s="1072" t="s">
        <v>1152</v>
      </c>
      <c r="D171" s="1068"/>
      <c r="E171" s="1065"/>
      <c r="F171" s="1076">
        <v>1</v>
      </c>
      <c r="G171" s="1077">
        <f>SUM(G170:G170)</f>
        <v>86</v>
      </c>
      <c r="H171" s="1075"/>
    </row>
    <row r="172" spans="1:8" ht="27" customHeight="1">
      <c r="A172" s="1208">
        <v>20</v>
      </c>
      <c r="B172" s="1086" t="s">
        <v>1224</v>
      </c>
      <c r="C172" s="1104" t="s">
        <v>1668</v>
      </c>
      <c r="D172" s="1064" t="s">
        <v>183</v>
      </c>
      <c r="E172" s="1076">
        <v>122</v>
      </c>
      <c r="F172" s="1066">
        <v>1</v>
      </c>
      <c r="G172" s="1065">
        <f>ROUND(E172*F172,2)</f>
        <v>122</v>
      </c>
      <c r="H172" s="1075"/>
    </row>
    <row r="173" spans="1:8" hidden="1">
      <c r="A173" s="1208"/>
      <c r="B173" s="1072"/>
      <c r="C173" s="1079"/>
      <c r="D173" s="1080"/>
      <c r="E173" s="1076"/>
      <c r="F173" s="1066"/>
      <c r="G173" s="1065">
        <f>SUM(G172:G172)</f>
        <v>122</v>
      </c>
      <c r="H173" s="1075"/>
    </row>
    <row r="174" spans="1:8">
      <c r="A174" s="1208"/>
      <c r="B174" s="1074"/>
      <c r="C174" s="1072" t="s">
        <v>1152</v>
      </c>
      <c r="D174" s="1068"/>
      <c r="E174" s="1065"/>
      <c r="F174" s="1076">
        <v>1</v>
      </c>
      <c r="G174" s="1077">
        <f>SUM(G173:G173)</f>
        <v>122</v>
      </c>
      <c r="H174" s="1075"/>
    </row>
    <row r="175" spans="1:8" ht="40.5" customHeight="1">
      <c r="A175" s="1208">
        <v>21</v>
      </c>
      <c r="B175" s="1086" t="s">
        <v>1224</v>
      </c>
      <c r="C175" s="1104" t="s">
        <v>1674</v>
      </c>
      <c r="D175" s="1064" t="s">
        <v>183</v>
      </c>
      <c r="E175" s="1076">
        <v>1594</v>
      </c>
      <c r="F175" s="1066">
        <v>1</v>
      </c>
      <c r="G175" s="1065">
        <f>ROUND(E175*F175,2)</f>
        <v>1594</v>
      </c>
      <c r="H175" s="1075"/>
    </row>
    <row r="176" spans="1:8" hidden="1">
      <c r="A176" s="1208"/>
      <c r="B176" s="1072"/>
      <c r="C176" s="1079"/>
      <c r="D176" s="1080"/>
      <c r="E176" s="1076"/>
      <c r="F176" s="1066"/>
      <c r="G176" s="1065">
        <f>SUM(G175:G175)</f>
        <v>1594</v>
      </c>
      <c r="H176" s="1075"/>
    </row>
    <row r="177" spans="1:8">
      <c r="A177" s="1208"/>
      <c r="B177" s="1074"/>
      <c r="C177" s="1072" t="s">
        <v>1152</v>
      </c>
      <c r="D177" s="1068"/>
      <c r="E177" s="1065"/>
      <c r="F177" s="1076">
        <v>1</v>
      </c>
      <c r="G177" s="1077">
        <f>SUM(G176:G176)</f>
        <v>1594</v>
      </c>
      <c r="H177" s="1075"/>
    </row>
    <row r="178" spans="1:8" ht="42" customHeight="1">
      <c r="A178" s="1209">
        <v>22</v>
      </c>
      <c r="B178" s="1074"/>
      <c r="C178" s="2098" t="s">
        <v>1787</v>
      </c>
      <c r="D178" s="2098"/>
      <c r="E178" s="2098"/>
      <c r="F178" s="2098"/>
      <c r="G178" s="2098"/>
      <c r="H178" s="1075"/>
    </row>
    <row r="179" spans="1:8" hidden="1">
      <c r="A179" s="1208"/>
      <c r="B179" s="1103"/>
      <c r="C179" s="1074"/>
      <c r="D179" s="1064" t="s">
        <v>141</v>
      </c>
      <c r="E179" s="1064" t="s">
        <v>149</v>
      </c>
      <c r="F179" s="1064" t="s">
        <v>1142</v>
      </c>
      <c r="G179" s="1064" t="s">
        <v>302</v>
      </c>
      <c r="H179" s="1075"/>
    </row>
    <row r="180" spans="1:8" ht="26">
      <c r="A180" s="1208"/>
      <c r="B180" s="1086" t="s">
        <v>1226</v>
      </c>
      <c r="C180" s="1104" t="s">
        <v>1227</v>
      </c>
      <c r="D180" s="1064" t="s">
        <v>183</v>
      </c>
      <c r="E180" s="1076">
        <v>16</v>
      </c>
      <c r="F180" s="1066">
        <v>1</v>
      </c>
      <c r="G180" s="1065">
        <f>ROUND(E180*F180,2)</f>
        <v>16</v>
      </c>
      <c r="H180" s="1075"/>
    </row>
    <row r="181" spans="1:8" hidden="1">
      <c r="A181" s="1208"/>
      <c r="B181" s="1072"/>
      <c r="C181" s="1079"/>
      <c r="D181" s="1080"/>
      <c r="E181" s="1076"/>
      <c r="F181" s="1066"/>
      <c r="G181" s="1065">
        <f>SUM(G180:G180)</f>
        <v>16</v>
      </c>
      <c r="H181" s="1075"/>
    </row>
    <row r="182" spans="1:8">
      <c r="A182" s="1208"/>
      <c r="B182" s="1074"/>
      <c r="C182" s="1072" t="s">
        <v>1152</v>
      </c>
      <c r="D182" s="1068"/>
      <c r="E182" s="1065"/>
      <c r="F182" s="1076">
        <v>1</v>
      </c>
      <c r="G182" s="1077">
        <f>SUM(G181:G181)</f>
        <v>16</v>
      </c>
      <c r="H182" s="1075"/>
    </row>
    <row r="183" spans="1:8" ht="39" customHeight="1">
      <c r="A183" s="1209">
        <v>23</v>
      </c>
      <c r="B183" s="1074"/>
      <c r="C183" s="2098" t="s">
        <v>1786</v>
      </c>
      <c r="D183" s="2098"/>
      <c r="E183" s="2098"/>
      <c r="F183" s="2098"/>
      <c r="G183" s="2098"/>
      <c r="H183" s="1075"/>
    </row>
    <row r="184" spans="1:8" hidden="1">
      <c r="A184" s="1208"/>
      <c r="B184" s="1103"/>
      <c r="C184" s="1074"/>
      <c r="D184" s="1064" t="s">
        <v>141</v>
      </c>
      <c r="E184" s="1064" t="s">
        <v>149</v>
      </c>
      <c r="F184" s="1064" t="s">
        <v>1142</v>
      </c>
      <c r="G184" s="1064" t="s">
        <v>302</v>
      </c>
      <c r="H184" s="1075"/>
    </row>
    <row r="185" spans="1:8" ht="26">
      <c r="A185" s="1208"/>
      <c r="B185" s="1086" t="s">
        <v>1228</v>
      </c>
      <c r="C185" s="1091" t="s">
        <v>1229</v>
      </c>
      <c r="D185" s="1064" t="s">
        <v>183</v>
      </c>
      <c r="E185" s="1065">
        <v>91</v>
      </c>
      <c r="F185" s="1066">
        <v>1</v>
      </c>
      <c r="G185" s="1065">
        <f>ROUND(E185*F185,2)</f>
        <v>91</v>
      </c>
      <c r="H185" s="1075"/>
    </row>
    <row r="186" spans="1:8" hidden="1">
      <c r="A186" s="1208"/>
      <c r="B186" s="1072"/>
      <c r="C186" s="1079"/>
      <c r="D186" s="1080"/>
      <c r="E186" s="1076"/>
      <c r="F186" s="1066"/>
      <c r="G186" s="1065">
        <f>SUM(G185:G185)</f>
        <v>91</v>
      </c>
      <c r="H186" s="1075"/>
    </row>
    <row r="187" spans="1:8">
      <c r="A187" s="1208"/>
      <c r="B187" s="1074"/>
      <c r="C187" s="1072" t="s">
        <v>1152</v>
      </c>
      <c r="D187" s="1068"/>
      <c r="E187" s="1065"/>
      <c r="F187" s="1076">
        <v>1</v>
      </c>
      <c r="G187" s="1077">
        <f>SUM(G186:G186)</f>
        <v>91</v>
      </c>
      <c r="H187" s="1075"/>
    </row>
    <row r="188" spans="1:8" ht="38.25" customHeight="1">
      <c r="A188" s="1209">
        <f>A183+1</f>
        <v>24</v>
      </c>
      <c r="B188" s="1074"/>
      <c r="C188" s="2098" t="s">
        <v>1230</v>
      </c>
      <c r="D188" s="2098"/>
      <c r="E188" s="2098"/>
      <c r="F188" s="2098"/>
      <c r="G188" s="2098"/>
      <c r="H188" s="1075"/>
    </row>
    <row r="189" spans="1:8" hidden="1">
      <c r="A189" s="1208"/>
      <c r="B189" s="1103"/>
      <c r="C189" s="1074"/>
      <c r="D189" s="1064" t="s">
        <v>141</v>
      </c>
      <c r="E189" s="1064" t="s">
        <v>149</v>
      </c>
      <c r="F189" s="1064" t="s">
        <v>1142</v>
      </c>
      <c r="G189" s="1064" t="s">
        <v>302</v>
      </c>
      <c r="H189" s="1075"/>
    </row>
    <row r="190" spans="1:8" ht="27" customHeight="1">
      <c r="A190" s="1208"/>
      <c r="B190" s="1086" t="s">
        <v>1231</v>
      </c>
      <c r="C190" s="1091" t="s">
        <v>1232</v>
      </c>
      <c r="D190" s="1064" t="s">
        <v>183</v>
      </c>
      <c r="E190" s="1065">
        <v>70</v>
      </c>
      <c r="F190" s="1066">
        <v>1</v>
      </c>
      <c r="G190" s="1065">
        <f>ROUND(E190*F190,2)</f>
        <v>70</v>
      </c>
      <c r="H190" s="1075"/>
    </row>
    <row r="191" spans="1:8" hidden="1">
      <c r="A191" s="1208"/>
      <c r="B191" s="1072"/>
      <c r="C191" s="1079"/>
      <c r="D191" s="1080"/>
      <c r="E191" s="1076"/>
      <c r="F191" s="1066"/>
      <c r="G191" s="1065">
        <f>SUM(G190:G190)</f>
        <v>70</v>
      </c>
      <c r="H191" s="1075"/>
    </row>
    <row r="192" spans="1:8">
      <c r="A192" s="1208"/>
      <c r="B192" s="1074"/>
      <c r="C192" s="1072" t="s">
        <v>1152</v>
      </c>
      <c r="D192" s="1068"/>
      <c r="E192" s="1065"/>
      <c r="F192" s="1076">
        <v>1</v>
      </c>
      <c r="G192" s="1077">
        <f>SUM(G191:G191)</f>
        <v>70</v>
      </c>
      <c r="H192" s="1075"/>
    </row>
    <row r="193" spans="1:8" ht="39" customHeight="1">
      <c r="A193" s="1209">
        <f>A188+1</f>
        <v>25</v>
      </c>
      <c r="B193" s="1074"/>
      <c r="C193" s="2098" t="s">
        <v>1233</v>
      </c>
      <c r="D193" s="2098"/>
      <c r="E193" s="2098"/>
      <c r="F193" s="2098"/>
      <c r="G193" s="2098"/>
      <c r="H193" s="1075"/>
    </row>
    <row r="194" spans="1:8" hidden="1">
      <c r="A194" s="1208"/>
      <c r="B194" s="1103"/>
      <c r="C194" s="1074"/>
      <c r="D194" s="1064" t="s">
        <v>141</v>
      </c>
      <c r="E194" s="1064" t="s">
        <v>149</v>
      </c>
      <c r="F194" s="1064" t="s">
        <v>1142</v>
      </c>
      <c r="G194" s="1064" t="s">
        <v>302</v>
      </c>
      <c r="H194" s="1075"/>
    </row>
    <row r="195" spans="1:8" ht="27" customHeight="1">
      <c r="A195" s="1208"/>
      <c r="B195" s="1086" t="s">
        <v>1234</v>
      </c>
      <c r="C195" s="1104" t="s">
        <v>1235</v>
      </c>
      <c r="D195" s="1064" t="s">
        <v>183</v>
      </c>
      <c r="E195" s="1065">
        <v>91</v>
      </c>
      <c r="F195" s="1066">
        <v>1</v>
      </c>
      <c r="G195" s="1065">
        <f>ROUND(E195*F195,2)</f>
        <v>91</v>
      </c>
      <c r="H195" s="1075"/>
    </row>
    <row r="196" spans="1:8" hidden="1">
      <c r="A196" s="1208"/>
      <c r="B196" s="1072"/>
      <c r="C196" s="1079"/>
      <c r="D196" s="1080"/>
      <c r="E196" s="1076"/>
      <c r="F196" s="1066"/>
      <c r="G196" s="1065">
        <f>SUM(G195:G195)</f>
        <v>91</v>
      </c>
      <c r="H196" s="1075"/>
    </row>
    <row r="197" spans="1:8">
      <c r="A197" s="1208"/>
      <c r="B197" s="1074"/>
      <c r="C197" s="1072" t="s">
        <v>1152</v>
      </c>
      <c r="D197" s="1068"/>
      <c r="E197" s="1065"/>
      <c r="F197" s="1076">
        <v>1</v>
      </c>
      <c r="G197" s="1077">
        <f>SUM(G196:G196)</f>
        <v>91</v>
      </c>
      <c r="H197" s="1075"/>
    </row>
    <row r="198" spans="1:8" ht="40.5" customHeight="1">
      <c r="A198" s="1209">
        <f>A193+1</f>
        <v>26</v>
      </c>
      <c r="B198" s="1074"/>
      <c r="C198" s="2098" t="s">
        <v>1236</v>
      </c>
      <c r="D198" s="2098"/>
      <c r="E198" s="2098"/>
      <c r="F198" s="2098"/>
      <c r="G198" s="2098"/>
      <c r="H198" s="1075"/>
    </row>
    <row r="199" spans="1:8" hidden="1">
      <c r="A199" s="1208"/>
      <c r="B199" s="1103"/>
      <c r="C199" s="1074"/>
      <c r="D199" s="1064" t="s">
        <v>141</v>
      </c>
      <c r="E199" s="1064" t="s">
        <v>149</v>
      </c>
      <c r="F199" s="1064" t="s">
        <v>1142</v>
      </c>
      <c r="G199" s="1064" t="s">
        <v>302</v>
      </c>
      <c r="H199" s="1075"/>
    </row>
    <row r="200" spans="1:8" ht="30" customHeight="1">
      <c r="A200" s="1208"/>
      <c r="B200" s="1086" t="s">
        <v>1237</v>
      </c>
      <c r="C200" s="1091" t="s">
        <v>1238</v>
      </c>
      <c r="D200" s="1064" t="s">
        <v>183</v>
      </c>
      <c r="E200" s="1065">
        <v>145</v>
      </c>
      <c r="F200" s="1066">
        <v>1</v>
      </c>
      <c r="G200" s="1065">
        <f>ROUND(E200*F200,2)</f>
        <v>145</v>
      </c>
      <c r="H200" s="1075"/>
    </row>
    <row r="201" spans="1:8" hidden="1">
      <c r="A201" s="1208"/>
      <c r="B201" s="1072"/>
      <c r="C201" s="1079"/>
      <c r="D201" s="1080"/>
      <c r="E201" s="1076"/>
      <c r="F201" s="1066"/>
      <c r="G201" s="1065">
        <f>SUM(G200:G200)</f>
        <v>145</v>
      </c>
      <c r="H201" s="1075"/>
    </row>
    <row r="202" spans="1:8">
      <c r="A202" s="1208"/>
      <c r="B202" s="1074"/>
      <c r="C202" s="1072" t="s">
        <v>1152</v>
      </c>
      <c r="D202" s="1068"/>
      <c r="E202" s="1065"/>
      <c r="F202" s="1076">
        <v>1</v>
      </c>
      <c r="G202" s="1077">
        <f>SUM(G201:G201)</f>
        <v>145</v>
      </c>
      <c r="H202" s="1075"/>
    </row>
    <row r="203" spans="1:8" ht="38.25" customHeight="1">
      <c r="A203" s="1209">
        <f>A198+1</f>
        <v>27</v>
      </c>
      <c r="B203" s="1074"/>
      <c r="C203" s="2098" t="s">
        <v>1239</v>
      </c>
      <c r="D203" s="2098"/>
      <c r="E203" s="2098"/>
      <c r="F203" s="2098"/>
      <c r="G203" s="2098"/>
      <c r="H203" s="1075"/>
    </row>
    <row r="204" spans="1:8" hidden="1">
      <c r="A204" s="1208"/>
      <c r="B204" s="1103"/>
      <c r="C204" s="1074"/>
      <c r="D204" s="1064" t="s">
        <v>141</v>
      </c>
      <c r="E204" s="1064" t="s">
        <v>149</v>
      </c>
      <c r="F204" s="1064" t="s">
        <v>1142</v>
      </c>
      <c r="G204" s="1064" t="s">
        <v>302</v>
      </c>
      <c r="H204" s="1075"/>
    </row>
    <row r="205" spans="1:8" ht="26">
      <c r="A205" s="1208"/>
      <c r="B205" s="1086" t="s">
        <v>1240</v>
      </c>
      <c r="C205" s="1104" t="s">
        <v>1241</v>
      </c>
      <c r="D205" s="1064" t="s">
        <v>183</v>
      </c>
      <c r="E205" s="1065">
        <v>115</v>
      </c>
      <c r="F205" s="1066">
        <v>1</v>
      </c>
      <c r="G205" s="1065">
        <f>ROUND(E205*F205,2)</f>
        <v>115</v>
      </c>
      <c r="H205" s="1075"/>
    </row>
    <row r="206" spans="1:8">
      <c r="A206" s="1208"/>
      <c r="B206" s="1072"/>
      <c r="C206" s="1079"/>
      <c r="D206" s="1080"/>
      <c r="E206" s="1076"/>
      <c r="F206" s="1066"/>
      <c r="G206" s="1065">
        <f>SUM(G205:G205)</f>
        <v>115</v>
      </c>
      <c r="H206" s="1075"/>
    </row>
    <row r="207" spans="1:8">
      <c r="A207" s="1208"/>
      <c r="B207" s="1074"/>
      <c r="C207" s="1072" t="s">
        <v>1152</v>
      </c>
      <c r="D207" s="1068"/>
      <c r="E207" s="1065"/>
      <c r="F207" s="1076">
        <v>1</v>
      </c>
      <c r="G207" s="1077">
        <f>SUM(G206:G206)</f>
        <v>115</v>
      </c>
      <c r="H207" s="1075"/>
    </row>
    <row r="208" spans="1:8" ht="39" customHeight="1">
      <c r="A208" s="1209">
        <f>A203+1</f>
        <v>28</v>
      </c>
      <c r="B208" s="1074"/>
      <c r="C208" s="2098" t="s">
        <v>1242</v>
      </c>
      <c r="D208" s="2098"/>
      <c r="E208" s="2098"/>
      <c r="F208" s="2098"/>
      <c r="G208" s="2098"/>
      <c r="H208" s="1075"/>
    </row>
    <row r="209" spans="1:8" hidden="1">
      <c r="A209" s="1208"/>
      <c r="B209" s="1103"/>
      <c r="C209" s="1074"/>
      <c r="D209" s="1064" t="s">
        <v>141</v>
      </c>
      <c r="E209" s="1064" t="s">
        <v>149</v>
      </c>
      <c r="F209" s="1064" t="s">
        <v>1142</v>
      </c>
      <c r="G209" s="1064" t="s">
        <v>302</v>
      </c>
      <c r="H209" s="1075"/>
    </row>
    <row r="210" spans="1:8" ht="26">
      <c r="A210" s="1208"/>
      <c r="B210" s="1086" t="s">
        <v>1243</v>
      </c>
      <c r="C210" s="1104" t="s">
        <v>1244</v>
      </c>
      <c r="D210" s="1064" t="s">
        <v>183</v>
      </c>
      <c r="E210" s="1065">
        <v>59</v>
      </c>
      <c r="F210" s="1066">
        <v>1</v>
      </c>
      <c r="G210" s="1065">
        <f>ROUND(E210*F210,2)</f>
        <v>59</v>
      </c>
      <c r="H210" s="1075"/>
    </row>
    <row r="211" spans="1:8" hidden="1">
      <c r="A211" s="1208"/>
      <c r="B211" s="1072"/>
      <c r="C211" s="1079"/>
      <c r="D211" s="1080"/>
      <c r="E211" s="1076"/>
      <c r="F211" s="1066"/>
      <c r="G211" s="1065">
        <f>SUM(G210:G210)</f>
        <v>59</v>
      </c>
      <c r="H211" s="1075"/>
    </row>
    <row r="212" spans="1:8">
      <c r="A212" s="1208"/>
      <c r="B212" s="1074"/>
      <c r="C212" s="1072" t="s">
        <v>1152</v>
      </c>
      <c r="D212" s="1068"/>
      <c r="E212" s="1065"/>
      <c r="F212" s="1076">
        <v>1</v>
      </c>
      <c r="G212" s="1077">
        <f>SUM(G211:G211)</f>
        <v>59</v>
      </c>
      <c r="H212" s="1075"/>
    </row>
    <row r="213" spans="1:8" ht="39.75" customHeight="1">
      <c r="A213" s="1209">
        <f>A208+1</f>
        <v>29</v>
      </c>
      <c r="B213" s="1074"/>
      <c r="C213" s="2098" t="s">
        <v>1245</v>
      </c>
      <c r="D213" s="2098"/>
      <c r="E213" s="2098"/>
      <c r="F213" s="2098"/>
      <c r="G213" s="2098"/>
      <c r="H213" s="1075"/>
    </row>
    <row r="214" spans="1:8" hidden="1">
      <c r="A214" s="1208"/>
      <c r="B214" s="1103"/>
      <c r="C214" s="1074"/>
      <c r="D214" s="1064" t="s">
        <v>141</v>
      </c>
      <c r="E214" s="1064" t="s">
        <v>149</v>
      </c>
      <c r="F214" s="1064" t="s">
        <v>1142</v>
      </c>
      <c r="G214" s="1064" t="s">
        <v>302</v>
      </c>
      <c r="H214" s="1075"/>
    </row>
    <row r="215" spans="1:8" ht="26">
      <c r="A215" s="1208"/>
      <c r="B215" s="1086" t="s">
        <v>1246</v>
      </c>
      <c r="C215" s="1104" t="s">
        <v>1247</v>
      </c>
      <c r="D215" s="1064" t="s">
        <v>183</v>
      </c>
      <c r="E215" s="1076">
        <v>50</v>
      </c>
      <c r="F215" s="1066">
        <v>1</v>
      </c>
      <c r="G215" s="1065">
        <f>ROUND(E215*F215,2)</f>
        <v>50</v>
      </c>
      <c r="H215" s="1075"/>
    </row>
    <row r="216" spans="1:8" hidden="1">
      <c r="A216" s="1208"/>
      <c r="B216" s="1072"/>
      <c r="C216" s="1079"/>
      <c r="D216" s="1080"/>
      <c r="E216" s="1076"/>
      <c r="F216" s="1066"/>
      <c r="G216" s="1065">
        <f>SUM(G215:G215)</f>
        <v>50</v>
      </c>
      <c r="H216" s="1075"/>
    </row>
    <row r="217" spans="1:8">
      <c r="A217" s="1208"/>
      <c r="B217" s="1074"/>
      <c r="C217" s="1072" t="s">
        <v>1152</v>
      </c>
      <c r="D217" s="1068"/>
      <c r="E217" s="1065"/>
      <c r="F217" s="1076">
        <v>1</v>
      </c>
      <c r="G217" s="1077">
        <f>SUM(G216:G216)</f>
        <v>50</v>
      </c>
      <c r="H217" s="1075"/>
    </row>
    <row r="218" spans="1:8" ht="39" customHeight="1">
      <c r="A218" s="1209">
        <f>A213+1</f>
        <v>30</v>
      </c>
      <c r="B218" s="1074"/>
      <c r="C218" s="2098" t="s">
        <v>1248</v>
      </c>
      <c r="D218" s="2098"/>
      <c r="E218" s="2098"/>
      <c r="F218" s="2098"/>
      <c r="G218" s="2098"/>
      <c r="H218" s="1075"/>
    </row>
    <row r="219" spans="1:8" hidden="1">
      <c r="A219" s="1208"/>
      <c r="B219" s="1103"/>
      <c r="C219" s="1074"/>
      <c r="D219" s="1064" t="s">
        <v>141</v>
      </c>
      <c r="E219" s="1064" t="s">
        <v>149</v>
      </c>
      <c r="F219" s="1064" t="s">
        <v>1142</v>
      </c>
      <c r="G219" s="1064" t="s">
        <v>302</v>
      </c>
      <c r="H219" s="1075"/>
    </row>
    <row r="220" spans="1:8" ht="29.25" customHeight="1">
      <c r="A220" s="1208"/>
      <c r="B220" s="1086" t="s">
        <v>1249</v>
      </c>
      <c r="C220" s="1104" t="s">
        <v>1250</v>
      </c>
      <c r="D220" s="1064" t="s">
        <v>183</v>
      </c>
      <c r="E220" s="1076">
        <v>42</v>
      </c>
      <c r="F220" s="1066">
        <v>1</v>
      </c>
      <c r="G220" s="1065">
        <f>ROUND(E220*F220,2)</f>
        <v>42</v>
      </c>
      <c r="H220" s="1075"/>
    </row>
    <row r="221" spans="1:8" hidden="1">
      <c r="A221" s="1208"/>
      <c r="B221" s="1072"/>
      <c r="C221" s="1079"/>
      <c r="D221" s="1080"/>
      <c r="E221" s="1076"/>
      <c r="F221" s="1066"/>
      <c r="G221" s="1065">
        <f>SUM(G220:G220)</f>
        <v>42</v>
      </c>
      <c r="H221" s="1075"/>
    </row>
    <row r="222" spans="1:8">
      <c r="A222" s="1208"/>
      <c r="B222" s="1074"/>
      <c r="C222" s="1072" t="s">
        <v>1152</v>
      </c>
      <c r="D222" s="1068"/>
      <c r="E222" s="1065"/>
      <c r="F222" s="1076">
        <v>1</v>
      </c>
      <c r="G222" s="1077">
        <f>SUM(G221:G221)</f>
        <v>42</v>
      </c>
      <c r="H222" s="1075"/>
    </row>
    <row r="223" spans="1:8" ht="39.75" customHeight="1">
      <c r="A223" s="1209">
        <f>A218+1</f>
        <v>31</v>
      </c>
      <c r="B223" s="1074"/>
      <c r="C223" s="2098" t="s">
        <v>1251</v>
      </c>
      <c r="D223" s="2098"/>
      <c r="E223" s="2098"/>
      <c r="F223" s="2098"/>
      <c r="G223" s="2098"/>
      <c r="H223" s="1075"/>
    </row>
    <row r="224" spans="1:8" hidden="1">
      <c r="A224" s="1208"/>
      <c r="B224" s="1103"/>
      <c r="C224" s="1074"/>
      <c r="D224" s="1064" t="s">
        <v>141</v>
      </c>
      <c r="E224" s="1064" t="s">
        <v>149</v>
      </c>
      <c r="F224" s="1064" t="s">
        <v>1142</v>
      </c>
      <c r="G224" s="1064" t="s">
        <v>302</v>
      </c>
      <c r="H224" s="1075"/>
    </row>
    <row r="225" spans="1:13" ht="26">
      <c r="A225" s="1208"/>
      <c r="B225" s="1086" t="s">
        <v>1252</v>
      </c>
      <c r="C225" s="1104" t="s">
        <v>1837</v>
      </c>
      <c r="D225" s="1064" t="s">
        <v>183</v>
      </c>
      <c r="E225" s="1076">
        <v>57</v>
      </c>
      <c r="F225" s="1066">
        <v>1</v>
      </c>
      <c r="G225" s="1065">
        <f>ROUND(E225*F225,2)</f>
        <v>57</v>
      </c>
      <c r="H225" s="1075"/>
    </row>
    <row r="226" spans="1:13" hidden="1">
      <c r="A226" s="1208"/>
      <c r="B226" s="1072"/>
      <c r="C226" s="1079"/>
      <c r="D226" s="1080"/>
      <c r="E226" s="1076"/>
      <c r="F226" s="1066"/>
      <c r="G226" s="1065">
        <f>SUM(G225:G225)</f>
        <v>57</v>
      </c>
      <c r="H226" s="1075"/>
    </row>
    <row r="227" spans="1:13">
      <c r="A227" s="1208"/>
      <c r="B227" s="1074"/>
      <c r="C227" s="1072" t="s">
        <v>1152</v>
      </c>
      <c r="D227" s="1068"/>
      <c r="E227" s="1065"/>
      <c r="F227" s="1076">
        <v>1</v>
      </c>
      <c r="G227" s="1077">
        <f>SUM(G226:G226)</f>
        <v>57</v>
      </c>
      <c r="H227" s="1075"/>
    </row>
    <row r="228" spans="1:13">
      <c r="A228" s="1208"/>
      <c r="B228" s="1074"/>
      <c r="C228" s="1105"/>
      <c r="D228" s="1068"/>
      <c r="E228" s="1068"/>
      <c r="F228" s="1068"/>
      <c r="G228" s="1068"/>
      <c r="H228" s="1075"/>
    </row>
    <row r="229" spans="1:13" ht="40.5" customHeight="1">
      <c r="A229" s="1209">
        <f>A223+1</f>
        <v>32</v>
      </c>
      <c r="B229" s="1074"/>
      <c r="C229" s="2098" t="s">
        <v>1253</v>
      </c>
      <c r="D229" s="2098"/>
      <c r="E229" s="2098"/>
      <c r="F229" s="2098"/>
      <c r="G229" s="2098"/>
      <c r="H229" s="1075"/>
    </row>
    <row r="230" spans="1:13" hidden="1">
      <c r="A230" s="1208"/>
      <c r="B230" s="1103"/>
      <c r="C230" s="1074"/>
      <c r="D230" s="1064" t="s">
        <v>141</v>
      </c>
      <c r="E230" s="1064" t="s">
        <v>149</v>
      </c>
      <c r="F230" s="1064" t="s">
        <v>1142</v>
      </c>
      <c r="G230" s="1064" t="s">
        <v>302</v>
      </c>
      <c r="H230" s="1075"/>
    </row>
    <row r="231" spans="1:13" ht="26">
      <c r="A231" s="1208"/>
      <c r="B231" s="1086" t="s">
        <v>1254</v>
      </c>
      <c r="C231" s="1104" t="s">
        <v>1255</v>
      </c>
      <c r="D231" s="1064" t="s">
        <v>183</v>
      </c>
      <c r="E231" s="1076">
        <v>33</v>
      </c>
      <c r="F231" s="1066">
        <v>1</v>
      </c>
      <c r="G231" s="1065">
        <f>ROUND(E231*F231,2)</f>
        <v>33</v>
      </c>
      <c r="H231" s="1075"/>
    </row>
    <row r="232" spans="1:13" hidden="1">
      <c r="A232" s="1208"/>
      <c r="B232" s="1072"/>
      <c r="C232" s="1079"/>
      <c r="D232" s="1080"/>
      <c r="E232" s="1076"/>
      <c r="F232" s="1066"/>
      <c r="G232" s="1065">
        <f>SUM(G231:G231)</f>
        <v>33</v>
      </c>
      <c r="H232" s="1075"/>
    </row>
    <row r="233" spans="1:13">
      <c r="A233" s="1208"/>
      <c r="B233" s="1074"/>
      <c r="C233" s="1072" t="s">
        <v>1152</v>
      </c>
      <c r="D233" s="1068"/>
      <c r="E233" s="1065"/>
      <c r="F233" s="1076">
        <v>1</v>
      </c>
      <c r="G233" s="1077">
        <f>SUM(G232:G232)</f>
        <v>33</v>
      </c>
      <c r="H233" s="1075"/>
    </row>
    <row r="234" spans="1:13" ht="39" customHeight="1">
      <c r="A234" s="1209">
        <f>A229+1</f>
        <v>33</v>
      </c>
      <c r="B234" s="1074"/>
      <c r="C234" s="2098" t="s">
        <v>1256</v>
      </c>
      <c r="D234" s="2098"/>
      <c r="E234" s="2098"/>
      <c r="F234" s="2098"/>
      <c r="G234" s="2098"/>
      <c r="H234" s="1075"/>
      <c r="M234" s="1644"/>
    </row>
    <row r="235" spans="1:13">
      <c r="A235" s="1208"/>
      <c r="B235" s="1103"/>
      <c r="C235" s="1074"/>
      <c r="D235" s="1064" t="s">
        <v>141</v>
      </c>
      <c r="E235" s="1064" t="s">
        <v>149</v>
      </c>
      <c r="F235" s="1064" t="s">
        <v>1142</v>
      </c>
      <c r="G235" s="1064" t="s">
        <v>302</v>
      </c>
      <c r="H235" s="1075"/>
    </row>
    <row r="236" spans="1:13" ht="26">
      <c r="A236" s="1208"/>
      <c r="B236" s="1086" t="s">
        <v>1257</v>
      </c>
      <c r="C236" s="1104" t="s">
        <v>1258</v>
      </c>
      <c r="D236" s="1064" t="s">
        <v>183</v>
      </c>
      <c r="E236" s="1076">
        <v>80</v>
      </c>
      <c r="F236" s="1066">
        <v>1</v>
      </c>
      <c r="G236" s="1065">
        <f>ROUND(E236*F236,2)</f>
        <v>80</v>
      </c>
      <c r="H236" s="1075"/>
    </row>
    <row r="237" spans="1:13" hidden="1">
      <c r="A237" s="1208"/>
      <c r="B237" s="1072"/>
      <c r="C237" s="1079"/>
      <c r="D237" s="1080"/>
      <c r="E237" s="1076"/>
      <c r="F237" s="1066"/>
      <c r="G237" s="1065">
        <f>SUM(G236:G236)</f>
        <v>80</v>
      </c>
      <c r="H237" s="1075"/>
    </row>
    <row r="238" spans="1:13">
      <c r="A238" s="1208"/>
      <c r="B238" s="1074"/>
      <c r="C238" s="1072" t="s">
        <v>1152</v>
      </c>
      <c r="D238" s="1068"/>
      <c r="E238" s="1065"/>
      <c r="F238" s="1076">
        <v>1</v>
      </c>
      <c r="G238" s="1077">
        <f>SUM(G237:G237)</f>
        <v>80</v>
      </c>
      <c r="H238" s="1075"/>
    </row>
    <row r="239" spans="1:13" ht="40.5" hidden="1" customHeight="1">
      <c r="A239" s="1209">
        <f>A234+1</f>
        <v>34</v>
      </c>
      <c r="B239" s="1074"/>
      <c r="C239" s="2098" t="s">
        <v>1259</v>
      </c>
      <c r="D239" s="2098"/>
      <c r="E239" s="2098"/>
      <c r="F239" s="2098"/>
      <c r="G239" s="2098"/>
      <c r="H239" s="1075"/>
    </row>
    <row r="240" spans="1:13" hidden="1">
      <c r="A240" s="1208"/>
      <c r="B240" s="1103"/>
      <c r="C240" s="1074"/>
      <c r="D240" s="1064" t="s">
        <v>141</v>
      </c>
      <c r="E240" s="1064" t="s">
        <v>149</v>
      </c>
      <c r="F240" s="1064" t="s">
        <v>1142</v>
      </c>
      <c r="G240" s="1064" t="s">
        <v>302</v>
      </c>
      <c r="H240" s="1075"/>
    </row>
    <row r="241" spans="1:19" ht="26.25" hidden="1" customHeight="1">
      <c r="A241" s="1208"/>
      <c r="B241" s="1086" t="s">
        <v>1260</v>
      </c>
      <c r="C241" s="1104" t="s">
        <v>1261</v>
      </c>
      <c r="D241" s="1064" t="s">
        <v>183</v>
      </c>
      <c r="E241" s="1076">
        <v>63</v>
      </c>
      <c r="F241" s="1066">
        <v>1</v>
      </c>
      <c r="G241" s="1065">
        <f>ROUND(E241*F241,2)</f>
        <v>63</v>
      </c>
      <c r="H241" s="1075"/>
    </row>
    <row r="242" spans="1:19" hidden="1">
      <c r="A242" s="1208"/>
      <c r="B242" s="1072"/>
      <c r="C242" s="1079"/>
      <c r="D242" s="1080"/>
      <c r="E242" s="1076"/>
      <c r="F242" s="1066"/>
      <c r="G242" s="1065">
        <f>SUM(G241:G241)</f>
        <v>63</v>
      </c>
      <c r="H242" s="1075"/>
    </row>
    <row r="243" spans="1:19" hidden="1">
      <c r="A243" s="1208"/>
      <c r="B243" s="1074"/>
      <c r="C243" s="1072" t="s">
        <v>1152</v>
      </c>
      <c r="D243" s="1068"/>
      <c r="E243" s="1065"/>
      <c r="F243" s="1076">
        <v>1</v>
      </c>
      <c r="G243" s="1077">
        <f>SUM(G242:G242)</f>
        <v>63</v>
      </c>
      <c r="H243" s="1075"/>
    </row>
    <row r="244" spans="1:19" ht="39" customHeight="1">
      <c r="A244" s="1209">
        <f>A239+1</f>
        <v>35</v>
      </c>
      <c r="B244" s="1074"/>
      <c r="C244" s="2098" t="s">
        <v>1262</v>
      </c>
      <c r="D244" s="2098"/>
      <c r="E244" s="2098"/>
      <c r="F244" s="2098"/>
      <c r="G244" s="2098"/>
      <c r="H244" s="1075"/>
    </row>
    <row r="245" spans="1:19" hidden="1">
      <c r="A245" s="1208"/>
      <c r="B245" s="1103"/>
      <c r="C245" s="1074"/>
      <c r="D245" s="1064" t="s">
        <v>141</v>
      </c>
      <c r="E245" s="1064" t="s">
        <v>149</v>
      </c>
      <c r="F245" s="1064" t="s">
        <v>1142</v>
      </c>
      <c r="G245" s="1064" t="s">
        <v>302</v>
      </c>
      <c r="H245" s="1075"/>
    </row>
    <row r="246" spans="1:19" ht="26">
      <c r="A246" s="1208"/>
      <c r="B246" s="1086" t="s">
        <v>1263</v>
      </c>
      <c r="C246" s="1104" t="s">
        <v>1264</v>
      </c>
      <c r="D246" s="1064" t="s">
        <v>183</v>
      </c>
      <c r="E246" s="1076">
        <v>12</v>
      </c>
      <c r="F246" s="1066">
        <v>1</v>
      </c>
      <c r="G246" s="1065">
        <f>ROUND(E246*F246,2)</f>
        <v>12</v>
      </c>
      <c r="H246" s="1075"/>
    </row>
    <row r="247" spans="1:19" ht="15.75" hidden="1" customHeight="1">
      <c r="A247" s="1208"/>
      <c r="B247" s="1072"/>
      <c r="C247" s="1079"/>
      <c r="D247" s="1080"/>
      <c r="E247" s="1076"/>
      <c r="F247" s="1066"/>
      <c r="G247" s="1065">
        <f>SUM(G246:G246)</f>
        <v>12</v>
      </c>
      <c r="H247" s="1075"/>
    </row>
    <row r="248" spans="1:19">
      <c r="A248" s="1210"/>
      <c r="B248" s="1106"/>
      <c r="C248" s="1107" t="s">
        <v>1152</v>
      </c>
      <c r="D248" s="1108"/>
      <c r="E248" s="1109"/>
      <c r="F248" s="1110">
        <v>1</v>
      </c>
      <c r="G248" s="1111">
        <f>SUM(G247:G247)</f>
        <v>12</v>
      </c>
      <c r="H248" s="1113"/>
    </row>
    <row r="249" spans="1:19" ht="36" customHeight="1">
      <c r="A249" s="1208">
        <v>36</v>
      </c>
      <c r="B249" s="1062" t="s">
        <v>1169</v>
      </c>
      <c r="C249" s="1091" t="s">
        <v>1860</v>
      </c>
      <c r="D249" s="1083" t="s">
        <v>183</v>
      </c>
      <c r="E249" s="1084">
        <v>410</v>
      </c>
      <c r="F249" s="1085">
        <v>1</v>
      </c>
      <c r="G249" s="1084">
        <f>ROUND(E249*F249,2)</f>
        <v>410</v>
      </c>
      <c r="H249" s="1075"/>
      <c r="L249" s="1205"/>
      <c r="M249" s="1205"/>
      <c r="N249" s="1205"/>
      <c r="O249" s="1205"/>
      <c r="P249" s="1205"/>
      <c r="Q249" s="1205"/>
      <c r="R249" s="1205"/>
      <c r="S249" s="1205"/>
    </row>
    <row r="250" spans="1:19">
      <c r="A250" s="1208"/>
      <c r="B250" s="1062"/>
      <c r="C250" s="1091" t="s">
        <v>1861</v>
      </c>
      <c r="D250" s="1083" t="s">
        <v>183</v>
      </c>
      <c r="E250" s="1084">
        <v>15</v>
      </c>
      <c r="F250" s="1085">
        <v>3</v>
      </c>
      <c r="G250" s="1084">
        <f>ROUND(E250*F250,2)</f>
        <v>45</v>
      </c>
      <c r="H250" s="1075"/>
      <c r="L250" s="1205"/>
      <c r="M250" s="1205"/>
      <c r="N250" s="1205"/>
      <c r="O250" s="1205"/>
      <c r="P250" s="1205"/>
      <c r="Q250" s="1205"/>
      <c r="R250" s="1205"/>
      <c r="S250" s="1205"/>
    </row>
    <row r="251" spans="1:19">
      <c r="A251" s="1208"/>
      <c r="B251" s="1062"/>
      <c r="C251" s="1091" t="s">
        <v>1862</v>
      </c>
      <c r="D251" s="1083" t="s">
        <v>183</v>
      </c>
      <c r="E251" s="1084">
        <v>362</v>
      </c>
      <c r="F251" s="1085">
        <v>2</v>
      </c>
      <c r="G251" s="1084">
        <f>ROUND(E251*F251,2)</f>
        <v>724</v>
      </c>
      <c r="H251" s="1075"/>
      <c r="L251" s="1205"/>
      <c r="M251" s="1205"/>
      <c r="N251" s="1205"/>
      <c r="O251" s="1205"/>
      <c r="P251" s="1205"/>
      <c r="Q251" s="1205"/>
      <c r="R251" s="1205"/>
      <c r="S251" s="1205"/>
    </row>
    <row r="252" spans="1:19" ht="20.25" customHeight="1">
      <c r="A252" s="1208"/>
      <c r="B252" s="1086" t="s">
        <v>1163</v>
      </c>
      <c r="C252" s="1500" t="s">
        <v>1164</v>
      </c>
      <c r="D252" s="1087" t="s">
        <v>790</v>
      </c>
      <c r="E252" s="1088">
        <v>70</v>
      </c>
      <c r="F252" s="1088">
        <v>3</v>
      </c>
      <c r="G252" s="1084">
        <f>ROUND(E252*F252,2)</f>
        <v>210</v>
      </c>
      <c r="H252" s="1075"/>
      <c r="L252" s="1205"/>
      <c r="M252" s="1205"/>
      <c r="N252" s="1205"/>
      <c r="O252" s="1205"/>
      <c r="P252" s="1205"/>
      <c r="Q252" s="1205"/>
      <c r="R252" s="1205"/>
      <c r="S252" s="1205"/>
    </row>
    <row r="253" spans="1:19">
      <c r="A253" s="1208"/>
      <c r="B253" s="1074"/>
      <c r="C253" s="1072" t="s">
        <v>1166</v>
      </c>
      <c r="D253" s="1068"/>
      <c r="E253" s="1068"/>
      <c r="F253" s="1076"/>
      <c r="G253" s="1077">
        <f>SUM(G249:G252)</f>
        <v>1389</v>
      </c>
      <c r="H253" s="1075"/>
    </row>
    <row r="254" spans="1:19">
      <c r="A254" s="1208"/>
      <c r="B254" s="1081"/>
      <c r="C254" s="1074" t="s">
        <v>1167</v>
      </c>
      <c r="D254" s="1068"/>
      <c r="E254" s="1068"/>
      <c r="F254" s="1068"/>
      <c r="G254" s="1077">
        <f>ROUND(G253/3,2)</f>
        <v>463</v>
      </c>
      <c r="H254" s="1075"/>
    </row>
    <row r="255" spans="1:19" s="1559" customFormat="1" ht="43.5" customHeight="1">
      <c r="A255" s="1557"/>
      <c r="B255" s="1558">
        <v>10</v>
      </c>
      <c r="C255" s="2099" t="s">
        <v>2006</v>
      </c>
      <c r="D255" s="2100"/>
      <c r="E255" s="2100"/>
      <c r="F255" s="2100"/>
      <c r="G255" s="2101"/>
      <c r="H255" s="1645"/>
      <c r="I255" s="1645"/>
    </row>
    <row r="256" spans="1:19" s="1559" customFormat="1">
      <c r="A256" s="1557"/>
      <c r="B256" s="1558"/>
      <c r="C256" s="1560" t="s">
        <v>2007</v>
      </c>
      <c r="D256" s="1561">
        <v>1</v>
      </c>
      <c r="E256" s="1562">
        <f>'[129]WS SSR 18-19'!$F$83</f>
        <v>208</v>
      </c>
      <c r="F256" s="1563">
        <v>1</v>
      </c>
      <c r="G256" s="1562">
        <v>208</v>
      </c>
      <c r="H256" s="1564">
        <f>IF(F256="",D256*E256,(D256*E256/F256))</f>
        <v>208</v>
      </c>
    </row>
    <row r="257" spans="1:9" s="1559" customFormat="1">
      <c r="A257" s="1557"/>
      <c r="B257" s="1558"/>
      <c r="C257" s="1565" t="s">
        <v>2008</v>
      </c>
      <c r="D257" s="1566"/>
      <c r="E257" s="1562"/>
      <c r="F257" s="1563"/>
      <c r="G257" s="1649">
        <v>208</v>
      </c>
      <c r="H257" s="1568" t="e">
        <f>ROUND(#REF!,0)</f>
        <v>#REF!</v>
      </c>
    </row>
    <row r="258" spans="1:9" s="1559" customFormat="1" hidden="1">
      <c r="A258" s="1557"/>
      <c r="B258" s="1558"/>
      <c r="C258" s="1569"/>
      <c r="D258" s="1569"/>
      <c r="E258" s="1566"/>
      <c r="F258" s="1567"/>
      <c r="G258" s="1562"/>
      <c r="H258" s="1563"/>
      <c r="I258" s="1562"/>
    </row>
    <row r="259" spans="1:9" s="1559" customFormat="1" ht="44.25" customHeight="1">
      <c r="A259" s="1557"/>
      <c r="B259" s="1558">
        <v>11</v>
      </c>
      <c r="C259" s="2099" t="s">
        <v>2009</v>
      </c>
      <c r="D259" s="2100"/>
      <c r="E259" s="2100"/>
      <c r="F259" s="2100"/>
      <c r="G259" s="2101"/>
      <c r="H259" s="2099"/>
      <c r="I259" s="2100"/>
    </row>
    <row r="260" spans="1:9" s="1559" customFormat="1">
      <c r="A260" s="1557"/>
      <c r="B260" s="1558"/>
      <c r="C260" s="1569" t="s">
        <v>2010</v>
      </c>
      <c r="D260" s="1561">
        <v>1</v>
      </c>
      <c r="E260" s="1562" t="s">
        <v>667</v>
      </c>
      <c r="F260" s="1562">
        <f>'[129]WS SSR 18-19'!$F$90</f>
        <v>452</v>
      </c>
      <c r="G260" s="1564">
        <f>F260</f>
        <v>452</v>
      </c>
      <c r="H260" s="1562" t="s">
        <v>183</v>
      </c>
    </row>
    <row r="261" spans="1:9" s="1559" customFormat="1">
      <c r="A261" s="1557"/>
      <c r="B261" s="1558"/>
      <c r="C261" s="1565" t="s">
        <v>2008</v>
      </c>
      <c r="D261" s="1570"/>
      <c r="E261" s="1567"/>
      <c r="F261" s="1562"/>
      <c r="G261" s="1568">
        <f>G260</f>
        <v>452</v>
      </c>
      <c r="H261" s="1562" t="s">
        <v>139</v>
      </c>
    </row>
    <row r="262" spans="1:9" s="1579" customFormat="1">
      <c r="A262" s="1571"/>
      <c r="B262" s="1572"/>
      <c r="C262" s="1573"/>
      <c r="D262" s="1574"/>
      <c r="E262" s="1575"/>
      <c r="F262" s="1574"/>
      <c r="G262" s="1576"/>
      <c r="H262" s="1577"/>
      <c r="I262" s="1578"/>
    </row>
    <row r="263" spans="1:9" s="1447" customFormat="1" ht="27.75" customHeight="1">
      <c r="A263" s="1779"/>
      <c r="B263" s="1780">
        <v>17</v>
      </c>
      <c r="C263" s="2103" t="s">
        <v>1951</v>
      </c>
      <c r="D263" s="2103"/>
      <c r="E263" s="2103"/>
      <c r="F263" s="1781" t="s">
        <v>183</v>
      </c>
      <c r="G263" s="1782">
        <v>522</v>
      </c>
      <c r="H263" s="1783">
        <v>1</v>
      </c>
      <c r="I263" s="1784">
        <f>ROUND(G263*H263,2)</f>
        <v>522</v>
      </c>
    </row>
    <row r="266" spans="1:9">
      <c r="B266" s="1022" t="str">
        <f>'[125]GEn Abst '!B34</f>
        <v>Asst. Exe. Engineer</v>
      </c>
      <c r="C266" s="1937" t="str">
        <f>'Specification (3)'!E35</f>
        <v>Dy.Exe.Engineer</v>
      </c>
      <c r="F266" s="1056" t="str">
        <f>'Specification (3)'!H35</f>
        <v>Asst. Exe Engineer</v>
      </c>
    </row>
    <row r="267" spans="1:9">
      <c r="B267" s="1022" t="str">
        <f>'[125]GEn Abst '!B35</f>
        <v>MPP, Puthalapattu</v>
      </c>
      <c r="C267" s="1937" t="str">
        <f>'Specification (3)'!E36</f>
        <v>PRI, Baireddipalle</v>
      </c>
      <c r="F267" s="1056" t="str">
        <f>'Specification (3)'!H36</f>
        <v>MPP, Baireddipalle</v>
      </c>
    </row>
  </sheetData>
  <mergeCells count="42">
    <mergeCell ref="C263:E263"/>
    <mergeCell ref="C33:E33"/>
    <mergeCell ref="A1:G1"/>
    <mergeCell ref="B2:G2"/>
    <mergeCell ref="C7:G7"/>
    <mergeCell ref="C16:G16"/>
    <mergeCell ref="C27:G27"/>
    <mergeCell ref="C125:F125"/>
    <mergeCell ref="C39:G39"/>
    <mergeCell ref="C44:G44"/>
    <mergeCell ref="C73:G73"/>
    <mergeCell ref="C89:G89"/>
    <mergeCell ref="C92:G92"/>
    <mergeCell ref="C95:G95"/>
    <mergeCell ref="C98:G98"/>
    <mergeCell ref="C101:G101"/>
    <mergeCell ref="C107:G107"/>
    <mergeCell ref="C114:G114"/>
    <mergeCell ref="C119:G119"/>
    <mergeCell ref="C133:G133"/>
    <mergeCell ref="C141:G141"/>
    <mergeCell ref="C146:G146"/>
    <mergeCell ref="C151:G151"/>
    <mergeCell ref="C156:G156"/>
    <mergeCell ref="C161:G161"/>
    <mergeCell ref="C178:G178"/>
    <mergeCell ref="C183:G183"/>
    <mergeCell ref="C188:G188"/>
    <mergeCell ref="C193:G193"/>
    <mergeCell ref="H259:I259"/>
    <mergeCell ref="C239:G239"/>
    <mergeCell ref="C244:G244"/>
    <mergeCell ref="C234:G234"/>
    <mergeCell ref="C198:G198"/>
    <mergeCell ref="C223:G223"/>
    <mergeCell ref="C229:G229"/>
    <mergeCell ref="C255:G255"/>
    <mergeCell ref="C259:G259"/>
    <mergeCell ref="C208:G208"/>
    <mergeCell ref="C213:G213"/>
    <mergeCell ref="C218:G218"/>
    <mergeCell ref="C203:G203"/>
  </mergeCells>
  <pageMargins left="0.45" right="0.45" top="0.5" bottom="0.5" header="0.3" footer="0.3"/>
  <pageSetup paperSize="9" fitToHeight="5" orientation="portrait" verticalDpi="300" r:id="rId1"/>
</worksheet>
</file>

<file path=xl/worksheets/sheet14.xml><?xml version="1.0" encoding="utf-8"?>
<worksheet xmlns="http://schemas.openxmlformats.org/spreadsheetml/2006/main" xmlns:r="http://schemas.openxmlformats.org/officeDocument/2006/relationships">
  <dimension ref="A1:L26"/>
  <sheetViews>
    <sheetView topLeftCell="A10" workbookViewId="0">
      <selection activeCell="A8" sqref="A8:IV8"/>
    </sheetView>
  </sheetViews>
  <sheetFormatPr defaultColWidth="9.1796875" defaultRowHeight="12.5"/>
  <cols>
    <col min="1" max="1" width="5.7265625" style="592" customWidth="1"/>
    <col min="2" max="9" width="9.1796875" style="592"/>
    <col min="10" max="10" width="11.26953125" style="592" customWidth="1"/>
    <col min="11" max="16384" width="9.1796875" style="592"/>
  </cols>
  <sheetData>
    <row r="1" spans="1:12" ht="15.5">
      <c r="A1" s="2117" t="s">
        <v>1087</v>
      </c>
      <c r="B1" s="2117"/>
      <c r="C1" s="2117"/>
      <c r="D1" s="2117"/>
      <c r="E1" s="2117"/>
      <c r="F1" s="2117"/>
      <c r="G1" s="2117"/>
      <c r="H1" s="2117"/>
      <c r="I1" s="2117"/>
      <c r="J1" s="2117"/>
    </row>
    <row r="3" spans="1:12" ht="15.75" customHeight="1">
      <c r="A3" s="2118" t="e">
        <f>#REF!</f>
        <v>#REF!</v>
      </c>
      <c r="B3" s="2118"/>
      <c r="C3" s="2118"/>
      <c r="D3" s="2118"/>
      <c r="E3" s="2118"/>
      <c r="F3" s="2118"/>
      <c r="G3" s="2118"/>
      <c r="H3" s="2118"/>
      <c r="I3" s="2118"/>
      <c r="J3" s="2118"/>
      <c r="K3" s="2118"/>
    </row>
    <row r="4" spans="1:12" s="593" customFormat="1" ht="13">
      <c r="F4" s="592"/>
      <c r="G4" s="593" t="s">
        <v>1596</v>
      </c>
    </row>
    <row r="5" spans="1:12" ht="54" customHeight="1">
      <c r="B5" s="2119" t="s">
        <v>1597</v>
      </c>
      <c r="C5" s="2115"/>
      <c r="D5" s="2115"/>
      <c r="E5" s="2115"/>
      <c r="F5" s="2115"/>
      <c r="G5" s="2115"/>
      <c r="H5" s="2115"/>
      <c r="I5" s="2115"/>
      <c r="J5" s="2115"/>
    </row>
    <row r="6" spans="1:12">
      <c r="A6" s="594"/>
      <c r="B6" s="595"/>
      <c r="C6" s="595" t="s">
        <v>1088</v>
      </c>
    </row>
    <row r="7" spans="1:12" ht="12" customHeight="1"/>
    <row r="8" spans="1:12" ht="31.5" customHeight="1">
      <c r="A8" s="592">
        <v>2</v>
      </c>
      <c r="B8" s="2120" t="s">
        <v>1100</v>
      </c>
      <c r="C8" s="2115"/>
      <c r="D8" s="2115"/>
      <c r="E8" s="2115"/>
      <c r="F8" s="2115"/>
      <c r="G8" s="2115"/>
      <c r="H8" s="2115"/>
      <c r="I8" s="2115"/>
      <c r="J8" s="2115"/>
      <c r="K8" s="2115"/>
    </row>
    <row r="9" spans="1:12" ht="69" customHeight="1">
      <c r="A9" s="592">
        <v>3</v>
      </c>
      <c r="B9" s="2115" t="s">
        <v>1024</v>
      </c>
      <c r="C9" s="2115"/>
      <c r="D9" s="2115"/>
      <c r="E9" s="2115"/>
      <c r="F9" s="2115"/>
      <c r="G9" s="2115"/>
      <c r="H9" s="2115"/>
      <c r="I9" s="2115"/>
      <c r="J9" s="2115"/>
      <c r="K9" s="2115"/>
    </row>
    <row r="10" spans="1:12" ht="29.25" customHeight="1">
      <c r="A10" s="592">
        <v>4</v>
      </c>
      <c r="B10" s="2115" t="s">
        <v>1089</v>
      </c>
      <c r="C10" s="2115"/>
      <c r="D10" s="2115"/>
      <c r="E10" s="2115"/>
      <c r="F10" s="2115"/>
      <c r="G10" s="2115"/>
      <c r="H10" s="2115"/>
      <c r="I10" s="2115"/>
      <c r="J10" s="2115"/>
      <c r="K10" s="2115"/>
    </row>
    <row r="11" spans="1:12" ht="44.25" customHeight="1">
      <c r="A11" s="592">
        <v>5</v>
      </c>
      <c r="B11" s="2115" t="s">
        <v>1090</v>
      </c>
      <c r="C11" s="2115"/>
      <c r="D11" s="2115"/>
      <c r="E11" s="2115"/>
      <c r="F11" s="2115"/>
      <c r="G11" s="2115"/>
      <c r="H11" s="2115"/>
      <c r="I11" s="2115"/>
      <c r="J11" s="2115"/>
      <c r="K11" s="2115"/>
    </row>
    <row r="12" spans="1:12" ht="33.75" customHeight="1">
      <c r="A12" s="592">
        <v>6</v>
      </c>
      <c r="B12" s="2115" t="s">
        <v>1091</v>
      </c>
      <c r="C12" s="2115"/>
      <c r="D12" s="2115"/>
      <c r="E12" s="2115"/>
      <c r="F12" s="2115"/>
      <c r="G12" s="2115"/>
      <c r="H12" s="2115"/>
      <c r="I12" s="2115"/>
      <c r="J12" s="2115"/>
      <c r="K12" s="2115"/>
    </row>
    <row r="13" spans="1:12" ht="15" customHeight="1">
      <c r="B13" s="2116" t="s">
        <v>1092</v>
      </c>
      <c r="C13" s="2116"/>
      <c r="D13" s="2116"/>
      <c r="E13" s="2116"/>
      <c r="F13" s="2116"/>
      <c r="G13" s="2116"/>
      <c r="H13" s="2116"/>
      <c r="I13" s="2116"/>
      <c r="J13" s="2116"/>
      <c r="K13" s="2116"/>
    </row>
    <row r="14" spans="1:12" ht="12" customHeight="1"/>
    <row r="15" spans="1:12" ht="17.25" customHeight="1">
      <c r="B15" s="595"/>
      <c r="C15" s="596"/>
      <c r="D15" s="597"/>
      <c r="E15" s="597"/>
      <c r="F15" s="597"/>
      <c r="G15" s="597"/>
      <c r="H15" s="597"/>
      <c r="I15" s="597"/>
      <c r="J15" s="598"/>
      <c r="K15" s="599"/>
      <c r="L15" s="599"/>
    </row>
    <row r="16" spans="1:12" ht="17.25" customHeight="1">
      <c r="B16" s="595"/>
      <c r="C16" s="608" t="s">
        <v>1095</v>
      </c>
      <c r="D16" s="597"/>
      <c r="E16" s="597" t="s">
        <v>1093</v>
      </c>
      <c r="F16" s="597"/>
      <c r="G16" s="597"/>
      <c r="H16" s="597"/>
      <c r="I16" s="597"/>
      <c r="J16" s="598"/>
      <c r="K16" s="599"/>
      <c r="L16" s="599"/>
    </row>
    <row r="17" spans="1:12" ht="17.25" customHeight="1">
      <c r="C17" s="600"/>
      <c r="D17" s="597"/>
      <c r="E17" s="597"/>
      <c r="F17" s="597"/>
      <c r="G17" s="597"/>
      <c r="H17" s="597"/>
      <c r="I17" s="597"/>
      <c r="J17" s="598"/>
      <c r="K17" s="599"/>
      <c r="L17" s="599"/>
    </row>
    <row r="18" spans="1:12" ht="12" customHeight="1"/>
    <row r="19" spans="1:12" ht="36.75" customHeight="1">
      <c r="C19" s="2115" t="s">
        <v>1094</v>
      </c>
      <c r="D19" s="2115"/>
      <c r="E19" s="2115"/>
      <c r="F19" s="2115"/>
      <c r="G19" s="2115"/>
      <c r="H19" s="2115"/>
      <c r="I19" s="2115"/>
      <c r="J19" s="2115"/>
      <c r="K19" s="2115"/>
    </row>
    <row r="20" spans="1:12">
      <c r="A20" s="601"/>
    </row>
    <row r="21" spans="1:12">
      <c r="A21" s="601"/>
    </row>
    <row r="24" spans="1:12" ht="13">
      <c r="A24" s="593"/>
      <c r="G24" s="593"/>
    </row>
    <row r="25" spans="1:12" ht="13">
      <c r="A25" s="593"/>
      <c r="C25" s="395" t="s">
        <v>1101</v>
      </c>
      <c r="D25" s="603"/>
      <c r="E25" s="604"/>
      <c r="F25" s="605"/>
      <c r="G25" s="602" t="s">
        <v>849</v>
      </c>
      <c r="H25" s="606"/>
      <c r="I25" s="607"/>
      <c r="J25" s="602" t="s">
        <v>1028</v>
      </c>
    </row>
    <row r="26" spans="1:12" ht="13">
      <c r="A26" s="593"/>
      <c r="C26" s="457" t="s">
        <v>1102</v>
      </c>
      <c r="D26" s="603"/>
      <c r="E26" s="604"/>
      <c r="F26" s="605"/>
      <c r="G26" s="609" t="s">
        <v>1096</v>
      </c>
      <c r="H26" s="606"/>
      <c r="I26" s="607"/>
      <c r="J26" s="609" t="s">
        <v>1103</v>
      </c>
    </row>
  </sheetData>
  <mergeCells count="10">
    <mergeCell ref="B11:K11"/>
    <mergeCell ref="B12:K12"/>
    <mergeCell ref="B13:K13"/>
    <mergeCell ref="C19:K19"/>
    <mergeCell ref="A1:J1"/>
    <mergeCell ref="A3:K3"/>
    <mergeCell ref="B5:J5"/>
    <mergeCell ref="B8:K8"/>
    <mergeCell ref="B9:K9"/>
    <mergeCell ref="B10:K10"/>
  </mergeCells>
  <printOptions horizontalCentered="1"/>
  <pageMargins left="0.75" right="0.75" top="1" bottom="1" header="0.5" footer="0.5"/>
  <pageSetup paperSize="9" scale="88" orientation="portrait" verticalDpi="300" r:id="rId1"/>
  <headerFooter alignWithMargins="0"/>
</worksheet>
</file>

<file path=xl/worksheets/sheet15.xml><?xml version="1.0" encoding="utf-8"?>
<worksheet xmlns="http://schemas.openxmlformats.org/spreadsheetml/2006/main" xmlns:r="http://schemas.openxmlformats.org/officeDocument/2006/relationships">
  <dimension ref="A1:J122"/>
  <sheetViews>
    <sheetView workbookViewId="0">
      <selection activeCell="N9" sqref="N9"/>
    </sheetView>
  </sheetViews>
  <sheetFormatPr defaultColWidth="9.1796875" defaultRowHeight="12.5"/>
  <cols>
    <col min="1" max="1" width="3.81640625" style="331" customWidth="1"/>
    <col min="2" max="7" width="9.1796875" style="334"/>
    <col min="8" max="8" width="8.1796875" style="334" customWidth="1"/>
    <col min="9" max="9" width="10.1796875" style="334" customWidth="1"/>
    <col min="10" max="10" width="14.7265625" style="334" customWidth="1"/>
    <col min="11" max="11" width="8.1796875" style="334" customWidth="1"/>
    <col min="12" max="16384" width="9.1796875" style="334"/>
  </cols>
  <sheetData>
    <row r="1" spans="1:10" ht="62.25" customHeight="1">
      <c r="B1" s="2122" t="s">
        <v>1086</v>
      </c>
      <c r="C1" s="2123"/>
      <c r="D1" s="2123"/>
      <c r="E1" s="2123"/>
      <c r="F1" s="2123"/>
      <c r="G1" s="2123"/>
      <c r="H1" s="2123"/>
      <c r="I1" s="2123"/>
      <c r="J1" s="2123"/>
    </row>
    <row r="2" spans="1:10" ht="9.75" customHeight="1">
      <c r="B2" s="332"/>
      <c r="C2" s="333"/>
      <c r="D2" s="333"/>
      <c r="E2" s="333"/>
      <c r="F2" s="333"/>
      <c r="G2" s="333"/>
      <c r="H2" s="333"/>
      <c r="I2" s="333"/>
      <c r="J2" s="333"/>
    </row>
    <row r="3" spans="1:10" ht="14">
      <c r="B3" s="335"/>
      <c r="C3" s="335"/>
      <c r="D3" s="335"/>
      <c r="E3" s="335"/>
      <c r="F3" s="335"/>
      <c r="G3" s="2124" t="s">
        <v>1717</v>
      </c>
      <c r="H3" s="2125"/>
      <c r="I3" s="2125"/>
      <c r="J3" s="2125"/>
    </row>
    <row r="5" spans="1:10" s="336" customFormat="1" ht="135" customHeight="1">
      <c r="B5" s="2126" t="s">
        <v>981</v>
      </c>
      <c r="C5" s="2126"/>
      <c r="D5" s="2126"/>
      <c r="E5" s="2126"/>
      <c r="F5" s="2126"/>
      <c r="G5" s="2126"/>
      <c r="H5" s="2126"/>
      <c r="I5" s="2126"/>
      <c r="J5" s="2126"/>
    </row>
    <row r="6" spans="1:10" ht="9" customHeight="1"/>
    <row r="7" spans="1:10" s="336" customFormat="1" ht="55.5" hidden="1" customHeight="1">
      <c r="B7" s="2126" t="s">
        <v>943</v>
      </c>
      <c r="C7" s="2126"/>
      <c r="D7" s="2126"/>
      <c r="E7" s="2126"/>
      <c r="F7" s="2126"/>
      <c r="G7" s="2126"/>
      <c r="H7" s="2126"/>
      <c r="I7" s="2126"/>
      <c r="J7" s="2126"/>
    </row>
    <row r="8" spans="1:10" ht="9" hidden="1" customHeight="1"/>
    <row r="9" spans="1:10" s="336" customFormat="1" ht="35.25" customHeight="1">
      <c r="B9" s="2126" t="s">
        <v>944</v>
      </c>
      <c r="C9" s="2126"/>
      <c r="D9" s="2126"/>
      <c r="E9" s="2126"/>
      <c r="F9" s="2126"/>
      <c r="G9" s="2126"/>
      <c r="H9" s="2126"/>
      <c r="I9" s="2126"/>
      <c r="J9" s="2126"/>
    </row>
    <row r="10" spans="1:10" ht="9.75" customHeight="1"/>
    <row r="11" spans="1:10" ht="32.25" customHeight="1">
      <c r="A11" s="337">
        <v>1</v>
      </c>
      <c r="B11" s="2121" t="s">
        <v>978</v>
      </c>
      <c r="C11" s="2121"/>
      <c r="D11" s="2121"/>
      <c r="E11" s="2121"/>
      <c r="F11" s="2121"/>
      <c r="G11" s="2121"/>
      <c r="H11" s="2121"/>
      <c r="I11" s="2121"/>
      <c r="J11" s="2121"/>
    </row>
    <row r="12" spans="1:10" ht="32.25" customHeight="1">
      <c r="A12" s="337">
        <v>2</v>
      </c>
      <c r="B12" s="2121" t="s">
        <v>945</v>
      </c>
      <c r="C12" s="2121"/>
      <c r="D12" s="2121"/>
      <c r="E12" s="2121"/>
      <c r="F12" s="2121"/>
      <c r="G12" s="2121"/>
      <c r="H12" s="2121"/>
      <c r="I12" s="2121"/>
      <c r="J12" s="2121"/>
    </row>
    <row r="13" spans="1:10" ht="31.5" customHeight="1">
      <c r="A13" s="337">
        <v>3</v>
      </c>
      <c r="B13" s="2121" t="s">
        <v>946</v>
      </c>
      <c r="C13" s="2121"/>
      <c r="D13" s="2121"/>
      <c r="E13" s="2121"/>
      <c r="F13" s="2121"/>
      <c r="G13" s="2121"/>
      <c r="H13" s="2121"/>
      <c r="I13" s="2121"/>
      <c r="J13" s="2121"/>
    </row>
    <row r="14" spans="1:10" ht="26.25" customHeight="1">
      <c r="A14" s="337">
        <v>4</v>
      </c>
      <c r="B14" s="2121" t="s">
        <v>947</v>
      </c>
      <c r="C14" s="2121"/>
      <c r="D14" s="2121"/>
      <c r="E14" s="2121"/>
      <c r="F14" s="2121"/>
      <c r="G14" s="2121"/>
      <c r="H14" s="2121"/>
      <c r="I14" s="2121"/>
      <c r="J14" s="2121"/>
    </row>
    <row r="15" spans="1:10" ht="16.5" customHeight="1">
      <c r="A15" s="337">
        <v>5</v>
      </c>
      <c r="B15" s="2121" t="s">
        <v>948</v>
      </c>
      <c r="C15" s="2121"/>
      <c r="D15" s="2121"/>
      <c r="E15" s="2121"/>
      <c r="F15" s="2121"/>
      <c r="G15" s="2121"/>
      <c r="H15" s="2121"/>
      <c r="I15" s="2121"/>
      <c r="J15" s="2121"/>
    </row>
    <row r="16" spans="1:10" ht="18" customHeight="1">
      <c r="A16" s="337">
        <v>6</v>
      </c>
      <c r="B16" s="2121" t="s">
        <v>949</v>
      </c>
      <c r="C16" s="2121"/>
      <c r="D16" s="2121"/>
      <c r="E16" s="2121"/>
      <c r="F16" s="2121"/>
      <c r="G16" s="2121"/>
      <c r="H16" s="2121"/>
      <c r="I16" s="2121"/>
      <c r="J16" s="2121"/>
    </row>
    <row r="17" spans="1:10" ht="19.5" customHeight="1">
      <c r="A17" s="337">
        <v>7</v>
      </c>
      <c r="B17" s="2121" t="s">
        <v>950</v>
      </c>
      <c r="C17" s="2121"/>
      <c r="D17" s="2121"/>
      <c r="E17" s="2121"/>
      <c r="F17" s="2121"/>
      <c r="G17" s="2121"/>
      <c r="H17" s="2121"/>
      <c r="I17" s="2121"/>
      <c r="J17" s="2121"/>
    </row>
    <row r="18" spans="1:10" ht="18" customHeight="1">
      <c r="A18" s="337">
        <v>8</v>
      </c>
      <c r="B18" s="2121" t="s">
        <v>951</v>
      </c>
      <c r="C18" s="2121"/>
      <c r="D18" s="2121"/>
      <c r="E18" s="2121"/>
      <c r="F18" s="2121"/>
      <c r="G18" s="2121"/>
      <c r="H18" s="2121"/>
      <c r="I18" s="2121"/>
      <c r="J18" s="2121"/>
    </row>
    <row r="19" spans="1:10" ht="19.5" customHeight="1">
      <c r="A19" s="337">
        <v>9</v>
      </c>
      <c r="B19" s="2121" t="s">
        <v>952</v>
      </c>
      <c r="C19" s="2121"/>
      <c r="D19" s="2121"/>
      <c r="E19" s="2121"/>
      <c r="F19" s="2121"/>
      <c r="G19" s="2121"/>
      <c r="H19" s="2121"/>
      <c r="I19" s="2121"/>
      <c r="J19" s="2121"/>
    </row>
    <row r="20" spans="1:10" ht="20.25" customHeight="1">
      <c r="A20" s="337">
        <v>10</v>
      </c>
      <c r="B20" s="2121" t="s">
        <v>953</v>
      </c>
      <c r="C20" s="2121"/>
      <c r="D20" s="2121"/>
      <c r="E20" s="2121"/>
      <c r="F20" s="2121"/>
      <c r="G20" s="2121"/>
      <c r="H20" s="2121"/>
      <c r="I20" s="2121"/>
      <c r="J20" s="2121"/>
    </row>
    <row r="21" spans="1:10" ht="19.5" customHeight="1">
      <c r="A21" s="337">
        <v>11</v>
      </c>
      <c r="B21" s="2121" t="s">
        <v>954</v>
      </c>
      <c r="C21" s="2121"/>
      <c r="D21" s="2121"/>
      <c r="E21" s="2121"/>
      <c r="F21" s="2121"/>
      <c r="G21" s="2121"/>
      <c r="H21" s="2121"/>
      <c r="I21" s="2121"/>
      <c r="J21" s="2121"/>
    </row>
    <row r="22" spans="1:10" ht="18.75" customHeight="1">
      <c r="A22" s="337">
        <v>12</v>
      </c>
      <c r="B22" s="2121" t="s">
        <v>955</v>
      </c>
      <c r="C22" s="2121"/>
      <c r="D22" s="2121"/>
      <c r="E22" s="2121"/>
      <c r="F22" s="2121"/>
      <c r="G22" s="2121"/>
      <c r="H22" s="2121"/>
      <c r="I22" s="2121"/>
      <c r="J22" s="2121"/>
    </row>
    <row r="23" spans="1:10" ht="18" customHeight="1">
      <c r="A23" s="337">
        <v>13</v>
      </c>
      <c r="B23" s="2121" t="s">
        <v>980</v>
      </c>
      <c r="C23" s="2121"/>
      <c r="D23" s="2121"/>
      <c r="E23" s="2121"/>
      <c r="F23" s="2121"/>
      <c r="G23" s="2121"/>
      <c r="H23" s="2121"/>
      <c r="I23" s="2121"/>
      <c r="J23" s="2121"/>
    </row>
    <row r="24" spans="1:10" ht="19.5" customHeight="1">
      <c r="A24" s="337">
        <v>14</v>
      </c>
      <c r="B24" s="2121" t="s">
        <v>956</v>
      </c>
      <c r="C24" s="2121"/>
      <c r="D24" s="2121"/>
      <c r="E24" s="2121"/>
      <c r="F24" s="2121"/>
      <c r="G24" s="2121"/>
      <c r="H24" s="2121"/>
      <c r="I24" s="2121"/>
      <c r="J24" s="2121"/>
    </row>
    <row r="25" spans="1:10" ht="21" customHeight="1">
      <c r="A25" s="337">
        <v>15</v>
      </c>
      <c r="B25" s="2121" t="s">
        <v>957</v>
      </c>
      <c r="C25" s="2121"/>
      <c r="D25" s="2121"/>
      <c r="E25" s="2121"/>
      <c r="F25" s="2121"/>
      <c r="G25" s="2121"/>
      <c r="H25" s="2121"/>
      <c r="I25" s="2121"/>
      <c r="J25" s="2121"/>
    </row>
    <row r="26" spans="1:10" ht="9.75" customHeight="1">
      <c r="A26" s="337"/>
      <c r="B26" s="339"/>
      <c r="C26" s="339"/>
      <c r="D26" s="339"/>
      <c r="E26" s="339"/>
      <c r="F26" s="339"/>
      <c r="G26" s="339"/>
      <c r="H26" s="339"/>
      <c r="I26" s="339"/>
      <c r="J26" s="339"/>
    </row>
    <row r="27" spans="1:10" s="336" customFormat="1" ht="35.25" customHeight="1">
      <c r="B27" s="2126" t="s">
        <v>979</v>
      </c>
      <c r="C27" s="2126"/>
      <c r="D27" s="2126"/>
      <c r="E27" s="2126"/>
      <c r="F27" s="2126"/>
      <c r="G27" s="2126"/>
      <c r="H27" s="2126"/>
      <c r="I27" s="2126"/>
      <c r="J27" s="2126"/>
    </row>
    <row r="28" spans="1:10">
      <c r="A28" s="340"/>
      <c r="B28" s="341"/>
      <c r="C28" s="341"/>
      <c r="D28" s="341"/>
      <c r="E28" s="341"/>
      <c r="F28" s="341"/>
      <c r="G28" s="341"/>
      <c r="H28" s="341"/>
      <c r="I28" s="341"/>
      <c r="J28" s="341"/>
    </row>
    <row r="29" spans="1:10">
      <c r="A29" s="340"/>
      <c r="B29" s="341"/>
      <c r="C29" s="341"/>
      <c r="D29" s="341"/>
      <c r="E29" s="341"/>
      <c r="F29" s="341"/>
      <c r="G29" s="341"/>
      <c r="H29" s="342"/>
      <c r="I29" s="341"/>
      <c r="J29" s="341"/>
    </row>
    <row r="30" spans="1:10">
      <c r="A30" s="340"/>
      <c r="B30" s="341"/>
      <c r="C30" s="341"/>
      <c r="D30" s="341"/>
      <c r="E30" s="341"/>
      <c r="F30" s="341"/>
      <c r="G30" s="341"/>
      <c r="H30" s="331"/>
      <c r="I30" s="341"/>
      <c r="J30" s="341"/>
    </row>
    <row r="31" spans="1:10">
      <c r="A31" s="340"/>
      <c r="B31" s="341"/>
      <c r="C31" s="341"/>
      <c r="D31" s="341"/>
      <c r="E31" s="341"/>
      <c r="F31" s="341"/>
      <c r="G31" s="341"/>
      <c r="H31" s="331"/>
      <c r="I31" s="341"/>
      <c r="J31" s="341"/>
    </row>
    <row r="32" spans="1:10" ht="14">
      <c r="A32" s="340"/>
      <c r="B32" s="341"/>
      <c r="C32" s="2127" t="s">
        <v>849</v>
      </c>
      <c r="D32" s="2127"/>
      <c r="E32" s="2127"/>
      <c r="F32" s="2127"/>
      <c r="G32" s="2127" t="s">
        <v>780</v>
      </c>
      <c r="H32" s="2127"/>
      <c r="I32" s="2127"/>
      <c r="J32" s="2127"/>
    </row>
    <row r="33" spans="1:10" ht="14">
      <c r="A33" s="340"/>
      <c r="B33" s="341"/>
      <c r="C33" s="2127" t="s">
        <v>801</v>
      </c>
      <c r="D33" s="2127"/>
      <c r="E33" s="2127"/>
      <c r="F33" s="2127"/>
      <c r="G33" s="2127" t="s">
        <v>958</v>
      </c>
      <c r="H33" s="2127"/>
      <c r="I33" s="2127"/>
      <c r="J33" s="2127"/>
    </row>
    <row r="34" spans="1:10">
      <c r="A34" s="340"/>
      <c r="B34" s="341"/>
      <c r="C34" s="341"/>
      <c r="D34" s="341"/>
      <c r="E34" s="341"/>
      <c r="F34" s="341"/>
      <c r="G34" s="341"/>
      <c r="H34" s="341"/>
      <c r="I34" s="341"/>
      <c r="J34" s="341"/>
    </row>
    <row r="35" spans="1:10">
      <c r="A35" s="340"/>
      <c r="B35" s="341"/>
      <c r="C35" s="341"/>
      <c r="D35" s="341"/>
      <c r="E35" s="341"/>
      <c r="F35" s="341"/>
      <c r="G35" s="341"/>
      <c r="H35" s="341"/>
      <c r="I35" s="341"/>
      <c r="J35" s="341"/>
    </row>
    <row r="36" spans="1:10">
      <c r="A36" s="340"/>
      <c r="B36" s="341"/>
      <c r="C36" s="341"/>
      <c r="D36" s="341"/>
      <c r="E36" s="341"/>
      <c r="F36" s="341"/>
      <c r="G36" s="341"/>
      <c r="H36" s="341"/>
      <c r="I36" s="341"/>
      <c r="J36" s="341"/>
    </row>
    <row r="45" spans="1:10" hidden="1"/>
    <row r="46" spans="1:10" hidden="1"/>
    <row r="47" spans="1:10" hidden="1"/>
    <row r="48" spans="1:10" hidden="1"/>
    <row r="49" spans="1:10" hidden="1"/>
    <row r="50" spans="1:10" hidden="1"/>
    <row r="51" spans="1:10" hidden="1"/>
    <row r="52" spans="1:10" ht="58.5" hidden="1" customHeight="1">
      <c r="B52" s="2122" t="s">
        <v>959</v>
      </c>
      <c r="C52" s="2123"/>
      <c r="D52" s="2123"/>
      <c r="E52" s="2123"/>
      <c r="F52" s="2123"/>
      <c r="G52" s="2123"/>
      <c r="H52" s="2123"/>
      <c r="I52" s="2123"/>
      <c r="J52" s="2123"/>
    </row>
    <row r="53" spans="1:10" ht="9.75" hidden="1" customHeight="1">
      <c r="B53" s="332"/>
      <c r="C53" s="333"/>
      <c r="D53" s="333"/>
      <c r="E53" s="333"/>
      <c r="F53" s="333"/>
      <c r="G53" s="333"/>
      <c r="H53" s="333"/>
      <c r="I53" s="333"/>
      <c r="J53" s="333"/>
    </row>
    <row r="54" spans="1:10" ht="14" hidden="1">
      <c r="B54" s="335"/>
      <c r="C54" s="335"/>
      <c r="D54" s="335"/>
      <c r="E54" s="335"/>
      <c r="F54" s="335"/>
      <c r="G54" s="2125" t="s">
        <v>960</v>
      </c>
      <c r="H54" s="2125"/>
      <c r="I54" s="2125"/>
      <c r="J54" s="2125"/>
    </row>
    <row r="55" spans="1:10" hidden="1"/>
    <row r="56" spans="1:10" s="336" customFormat="1" ht="126" hidden="1" customHeight="1">
      <c r="B56" s="2126" t="s">
        <v>961</v>
      </c>
      <c r="C56" s="2126"/>
      <c r="D56" s="2126"/>
      <c r="E56" s="2126"/>
      <c r="F56" s="2126"/>
      <c r="G56" s="2126"/>
      <c r="H56" s="2126"/>
      <c r="I56" s="2126"/>
      <c r="J56" s="2126"/>
    </row>
    <row r="57" spans="1:10" ht="9" hidden="1" customHeight="1"/>
    <row r="58" spans="1:10" s="336" customFormat="1" ht="15.75" hidden="1" customHeight="1">
      <c r="B58" s="2126" t="s">
        <v>962</v>
      </c>
      <c r="C58" s="2126"/>
      <c r="D58" s="2126"/>
      <c r="E58" s="2126"/>
      <c r="F58" s="2126"/>
      <c r="G58" s="2126"/>
      <c r="H58" s="2126"/>
      <c r="I58" s="2126"/>
      <c r="J58" s="2126"/>
    </row>
    <row r="59" spans="1:10" ht="9.75" hidden="1" customHeight="1"/>
    <row r="60" spans="1:10" ht="35.25" hidden="1" customHeight="1">
      <c r="A60" s="337">
        <v>1</v>
      </c>
      <c r="B60" s="2121" t="s">
        <v>963</v>
      </c>
      <c r="C60" s="2121"/>
      <c r="D60" s="2121"/>
      <c r="E60" s="2121"/>
      <c r="F60" s="2121"/>
      <c r="G60" s="2121"/>
      <c r="H60" s="2121"/>
      <c r="I60" s="2121"/>
      <c r="J60" s="2121"/>
    </row>
    <row r="61" spans="1:10" ht="32.25" hidden="1" customHeight="1">
      <c r="A61" s="337">
        <v>2</v>
      </c>
      <c r="B61" s="2121" t="s">
        <v>964</v>
      </c>
      <c r="C61" s="2121"/>
      <c r="D61" s="2121"/>
      <c r="E61" s="2121"/>
      <c r="F61" s="2121"/>
      <c r="G61" s="2121"/>
      <c r="H61" s="2121"/>
      <c r="I61" s="2121"/>
      <c r="J61" s="2121"/>
    </row>
    <row r="62" spans="1:10" ht="31.5" hidden="1" customHeight="1">
      <c r="A62" s="337">
        <v>3</v>
      </c>
      <c r="B62" s="2121" t="s">
        <v>965</v>
      </c>
      <c r="C62" s="2121"/>
      <c r="D62" s="2121"/>
      <c r="E62" s="2121"/>
      <c r="F62" s="2121"/>
      <c r="G62" s="2121"/>
      <c r="H62" s="2121"/>
      <c r="I62" s="2121"/>
      <c r="J62" s="2121"/>
    </row>
    <row r="63" spans="1:10" ht="32.25" hidden="1" customHeight="1">
      <c r="A63" s="337">
        <v>4</v>
      </c>
      <c r="B63" s="2121" t="s">
        <v>966</v>
      </c>
      <c r="C63" s="2121"/>
      <c r="D63" s="2121"/>
      <c r="E63" s="2121"/>
      <c r="F63" s="2121"/>
      <c r="G63" s="2121"/>
      <c r="H63" s="2121"/>
      <c r="I63" s="2121"/>
      <c r="J63" s="2121"/>
    </row>
    <row r="64" spans="1:10" ht="21.75" hidden="1" customHeight="1">
      <c r="A64" s="337">
        <v>5</v>
      </c>
      <c r="B64" s="2121" t="s">
        <v>967</v>
      </c>
      <c r="C64" s="2121"/>
      <c r="D64" s="2121"/>
      <c r="E64" s="2121"/>
      <c r="F64" s="2121"/>
      <c r="G64" s="2121"/>
      <c r="H64" s="2121"/>
      <c r="I64" s="2121"/>
      <c r="J64" s="2121"/>
    </row>
    <row r="65" spans="1:10" ht="18" hidden="1" customHeight="1">
      <c r="A65" s="337">
        <v>6</v>
      </c>
      <c r="B65" s="2121" t="s">
        <v>968</v>
      </c>
      <c r="C65" s="2121"/>
      <c r="D65" s="2121"/>
      <c r="E65" s="2121"/>
      <c r="F65" s="2121"/>
      <c r="G65" s="2121"/>
      <c r="H65" s="2121"/>
      <c r="I65" s="2121"/>
      <c r="J65" s="2121"/>
    </row>
    <row r="66" spans="1:10" ht="19.5" hidden="1" customHeight="1">
      <c r="A66" s="337">
        <v>7</v>
      </c>
      <c r="B66" s="2121" t="s">
        <v>969</v>
      </c>
      <c r="C66" s="2121"/>
      <c r="D66" s="2121"/>
      <c r="E66" s="2121"/>
      <c r="F66" s="2121"/>
      <c r="G66" s="2121"/>
      <c r="H66" s="2121"/>
      <c r="I66" s="2121"/>
      <c r="J66" s="2121"/>
    </row>
    <row r="67" spans="1:10" ht="18" hidden="1" customHeight="1">
      <c r="A67" s="337">
        <v>8</v>
      </c>
      <c r="B67" s="2121" t="s">
        <v>970</v>
      </c>
      <c r="C67" s="2121"/>
      <c r="D67" s="2121"/>
      <c r="E67" s="2121"/>
      <c r="F67" s="2121"/>
      <c r="G67" s="2121"/>
      <c r="H67" s="2121"/>
      <c r="I67" s="2121"/>
      <c r="J67" s="2121"/>
    </row>
    <row r="68" spans="1:10" ht="19.5" hidden="1" customHeight="1">
      <c r="A68" s="337">
        <v>9</v>
      </c>
      <c r="B68" s="2121" t="s">
        <v>971</v>
      </c>
      <c r="C68" s="2121"/>
      <c r="D68" s="2121"/>
      <c r="E68" s="2121"/>
      <c r="F68" s="2121"/>
      <c r="G68" s="2121"/>
      <c r="H68" s="2121"/>
      <c r="I68" s="2121"/>
      <c r="J68" s="2121"/>
    </row>
    <row r="69" spans="1:10" ht="19.5" hidden="1" customHeight="1">
      <c r="A69" s="337">
        <v>10</v>
      </c>
      <c r="B69" s="2121" t="s">
        <v>972</v>
      </c>
      <c r="C69" s="2121"/>
      <c r="D69" s="2121"/>
      <c r="E69" s="2121"/>
      <c r="F69" s="2121"/>
      <c r="G69" s="2121"/>
      <c r="H69" s="2121"/>
      <c r="I69" s="2121"/>
      <c r="J69" s="2121"/>
    </row>
    <row r="70" spans="1:10" ht="19.5" hidden="1" customHeight="1">
      <c r="A70" s="337">
        <v>11</v>
      </c>
      <c r="B70" s="2121" t="s">
        <v>973</v>
      </c>
      <c r="C70" s="2121"/>
      <c r="D70" s="2121"/>
      <c r="E70" s="2121"/>
      <c r="F70" s="2121"/>
      <c r="G70" s="2121"/>
      <c r="H70" s="2121"/>
      <c r="I70" s="2121"/>
      <c r="J70" s="2121"/>
    </row>
    <row r="71" spans="1:10" ht="19.5" hidden="1" customHeight="1">
      <c r="A71" s="337">
        <v>12</v>
      </c>
      <c r="B71" s="2121" t="s">
        <v>974</v>
      </c>
      <c r="C71" s="2121"/>
      <c r="D71" s="2121"/>
      <c r="E71" s="2121"/>
      <c r="F71" s="2121"/>
      <c r="G71" s="2121"/>
      <c r="H71" s="2121"/>
      <c r="I71" s="2121"/>
      <c r="J71" s="2121"/>
    </row>
    <row r="72" spans="1:10" ht="18" hidden="1" customHeight="1">
      <c r="A72" s="337">
        <v>13</v>
      </c>
      <c r="B72" s="2121" t="s">
        <v>975</v>
      </c>
      <c r="C72" s="2121"/>
      <c r="D72" s="2121"/>
      <c r="E72" s="2121"/>
      <c r="F72" s="2121"/>
      <c r="G72" s="2121"/>
      <c r="H72" s="2121"/>
      <c r="I72" s="2121"/>
      <c r="J72" s="2121"/>
    </row>
    <row r="73" spans="1:10" ht="19.5" hidden="1" customHeight="1">
      <c r="A73" s="337">
        <v>14</v>
      </c>
      <c r="B73" s="2121" t="s">
        <v>976</v>
      </c>
      <c r="C73" s="2121"/>
      <c r="D73" s="2121"/>
      <c r="E73" s="2121"/>
      <c r="F73" s="2121"/>
      <c r="G73" s="2121"/>
      <c r="H73" s="2121"/>
      <c r="I73" s="2121"/>
      <c r="J73" s="2121"/>
    </row>
    <row r="74" spans="1:10" ht="21" hidden="1" customHeight="1">
      <c r="A74" s="337">
        <v>15</v>
      </c>
      <c r="B74" s="2121" t="s">
        <v>957</v>
      </c>
      <c r="C74" s="2121"/>
      <c r="D74" s="2121"/>
      <c r="E74" s="2121"/>
      <c r="F74" s="2121"/>
      <c r="G74" s="2121"/>
      <c r="H74" s="2121"/>
      <c r="I74" s="2121"/>
      <c r="J74" s="2121"/>
    </row>
    <row r="75" spans="1:10" ht="9.75" hidden="1" customHeight="1">
      <c r="A75" s="337"/>
      <c r="B75" s="338"/>
      <c r="C75" s="338"/>
      <c r="D75" s="338"/>
      <c r="E75" s="338"/>
      <c r="F75" s="338"/>
      <c r="G75" s="338"/>
      <c r="H75" s="338"/>
      <c r="I75" s="338"/>
      <c r="J75" s="338"/>
    </row>
    <row r="76" spans="1:10" ht="7.5" hidden="1" customHeight="1">
      <c r="A76" s="337"/>
      <c r="B76" s="339"/>
      <c r="C76" s="339"/>
      <c r="D76" s="339"/>
      <c r="E76" s="339"/>
      <c r="F76" s="339"/>
      <c r="G76" s="339"/>
      <c r="H76" s="339"/>
      <c r="I76" s="339"/>
      <c r="J76" s="339"/>
    </row>
    <row r="77" spans="1:10" s="336" customFormat="1" ht="35.25" hidden="1" customHeight="1">
      <c r="B77" s="2126" t="s">
        <v>977</v>
      </c>
      <c r="C77" s="2126"/>
      <c r="D77" s="2126"/>
      <c r="E77" s="2126"/>
      <c r="F77" s="2126"/>
      <c r="G77" s="2126"/>
      <c r="H77" s="2126"/>
      <c r="I77" s="2126"/>
      <c r="J77" s="2126"/>
    </row>
    <row r="78" spans="1:10" hidden="1">
      <c r="A78" s="340"/>
      <c r="B78" s="341"/>
      <c r="C78" s="341"/>
      <c r="D78" s="341"/>
      <c r="E78" s="341"/>
      <c r="F78" s="341"/>
      <c r="G78" s="341"/>
      <c r="H78" s="341"/>
      <c r="I78" s="341"/>
      <c r="J78" s="341"/>
    </row>
    <row r="79" spans="1:10" hidden="1">
      <c r="A79" s="340"/>
      <c r="B79" s="341"/>
      <c r="C79" s="341"/>
      <c r="D79" s="341"/>
      <c r="E79" s="341"/>
      <c r="F79" s="341"/>
      <c r="G79" s="341"/>
      <c r="H79" s="342"/>
      <c r="I79" s="341"/>
      <c r="J79" s="341"/>
    </row>
    <row r="80" spans="1:10" hidden="1">
      <c r="A80" s="340"/>
      <c r="B80" s="341"/>
      <c r="C80" s="341"/>
      <c r="D80" s="341"/>
      <c r="E80" s="341"/>
      <c r="F80" s="341"/>
      <c r="G80" s="341"/>
      <c r="H80" s="331"/>
      <c r="I80" s="341"/>
      <c r="J80" s="341"/>
    </row>
    <row r="81" spans="1:10" ht="14" hidden="1">
      <c r="A81" s="340"/>
      <c r="B81" s="341"/>
      <c r="C81" s="341"/>
      <c r="D81" s="341"/>
      <c r="E81" s="341"/>
      <c r="F81" s="341"/>
      <c r="G81" s="2127" t="s">
        <v>848</v>
      </c>
      <c r="H81" s="2127"/>
      <c r="I81" s="2127"/>
      <c r="J81" s="2127"/>
    </row>
    <row r="82" spans="1:10" ht="14" hidden="1">
      <c r="A82" s="340"/>
      <c r="B82" s="341"/>
      <c r="C82" s="341"/>
      <c r="D82" s="341"/>
      <c r="E82" s="341"/>
      <c r="F82" s="341"/>
      <c r="G82" s="2127" t="s">
        <v>958</v>
      </c>
      <c r="H82" s="2127"/>
      <c r="I82" s="2127"/>
      <c r="J82" s="2127"/>
    </row>
    <row r="83" spans="1:10" hidden="1">
      <c r="A83" s="340"/>
      <c r="B83" s="341"/>
      <c r="C83" s="341"/>
      <c r="D83" s="341"/>
      <c r="E83" s="341"/>
      <c r="F83" s="341"/>
      <c r="G83" s="341"/>
      <c r="H83" s="341"/>
      <c r="I83" s="341"/>
      <c r="J83" s="341"/>
    </row>
    <row r="84" spans="1:10" hidden="1">
      <c r="A84" s="340"/>
      <c r="B84" s="341"/>
      <c r="C84" s="341"/>
      <c r="D84" s="341"/>
      <c r="E84" s="341"/>
      <c r="F84" s="341"/>
      <c r="G84" s="341"/>
      <c r="H84" s="341"/>
      <c r="I84" s="341"/>
      <c r="J84" s="341"/>
    </row>
    <row r="85" spans="1:10" hidden="1">
      <c r="A85" s="340"/>
      <c r="B85" s="341"/>
      <c r="C85" s="341"/>
      <c r="D85" s="341"/>
      <c r="E85" s="341"/>
      <c r="F85" s="341"/>
      <c r="G85" s="341"/>
      <c r="H85" s="341"/>
      <c r="I85" s="341"/>
      <c r="J85" s="341"/>
    </row>
    <row r="86" spans="1:10" hidden="1"/>
    <row r="87" spans="1:10" hidden="1"/>
    <row r="88" spans="1:10" hidden="1"/>
    <row r="89" spans="1:10" hidden="1"/>
    <row r="90" spans="1:10" hidden="1"/>
    <row r="91" spans="1:10" hidden="1"/>
    <row r="92" spans="1:10" hidden="1"/>
    <row r="93" spans="1:10" hidden="1"/>
    <row r="94" spans="1:10" hidden="1"/>
    <row r="95" spans="1:10" hidden="1"/>
    <row r="96" spans="1:10"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sheetData>
  <mergeCells count="47">
    <mergeCell ref="B74:J74"/>
    <mergeCell ref="B77:J77"/>
    <mergeCell ref="G81:J81"/>
    <mergeCell ref="G82:J82"/>
    <mergeCell ref="B68:J68"/>
    <mergeCell ref="B69:J69"/>
    <mergeCell ref="B70:J70"/>
    <mergeCell ref="B71:J71"/>
    <mergeCell ref="B72:J72"/>
    <mergeCell ref="B73:J73"/>
    <mergeCell ref="B67:J67"/>
    <mergeCell ref="B52:J52"/>
    <mergeCell ref="G54:J54"/>
    <mergeCell ref="B56:J56"/>
    <mergeCell ref="B58:J58"/>
    <mergeCell ref="B60:J60"/>
    <mergeCell ref="B61:J61"/>
    <mergeCell ref="B62:J62"/>
    <mergeCell ref="B63:J63"/>
    <mergeCell ref="B64:J64"/>
    <mergeCell ref="B65:J65"/>
    <mergeCell ref="B66:J66"/>
    <mergeCell ref="C33:F33"/>
    <mergeCell ref="G33:J33"/>
    <mergeCell ref="B18:J18"/>
    <mergeCell ref="B19:J19"/>
    <mergeCell ref="B20:J20"/>
    <mergeCell ref="B21:J21"/>
    <mergeCell ref="B22:J22"/>
    <mergeCell ref="B23:J23"/>
    <mergeCell ref="B24:J24"/>
    <mergeCell ref="B25:J25"/>
    <mergeCell ref="B27:J27"/>
    <mergeCell ref="C32:F32"/>
    <mergeCell ref="G32:J32"/>
    <mergeCell ref="B17:J17"/>
    <mergeCell ref="B1:J1"/>
    <mergeCell ref="G3:J3"/>
    <mergeCell ref="B5:J5"/>
    <mergeCell ref="B7:J7"/>
    <mergeCell ref="B9:J9"/>
    <mergeCell ref="B11:J11"/>
    <mergeCell ref="B12:J12"/>
    <mergeCell ref="B13:J13"/>
    <mergeCell ref="B14:J14"/>
    <mergeCell ref="B15:J15"/>
    <mergeCell ref="B16:J16"/>
  </mergeCells>
  <pageMargins left="0.7" right="0.48" top="0.47"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dimension ref="A1:R47"/>
  <sheetViews>
    <sheetView topLeftCell="A17" workbookViewId="0">
      <selection activeCell="M26" sqref="M26"/>
    </sheetView>
  </sheetViews>
  <sheetFormatPr defaultColWidth="9.1796875" defaultRowHeight="12.5"/>
  <cols>
    <col min="1" max="1" width="6.1796875" style="406" customWidth="1"/>
    <col min="2" max="2" width="12.1796875" style="399" customWidth="1"/>
    <col min="3" max="3" width="5" style="399" customWidth="1"/>
    <col min="4" max="4" width="3.453125" style="399" customWidth="1"/>
    <col min="5" max="5" width="4.7265625" style="399" customWidth="1"/>
    <col min="6" max="7" width="9.453125" style="399" bestFit="1" customWidth="1"/>
    <col min="8" max="8" width="7" style="399" customWidth="1"/>
    <col min="9" max="9" width="9.81640625" style="399" customWidth="1"/>
    <col min="10" max="10" width="10.26953125" style="399" customWidth="1"/>
    <col min="11" max="11" width="7.453125" style="399" customWidth="1"/>
    <col min="12" max="12" width="12.26953125" style="399" customWidth="1"/>
    <col min="13" max="15" width="9.1796875" style="399"/>
    <col min="16" max="17" width="12.81640625" style="399" bestFit="1" customWidth="1"/>
    <col min="18" max="16384" width="9.1796875" style="399"/>
  </cols>
  <sheetData>
    <row r="1" spans="1:18" ht="15.5">
      <c r="A1" s="2131" t="s">
        <v>1018</v>
      </c>
      <c r="B1" s="2131"/>
      <c r="C1" s="2131"/>
      <c r="D1" s="2131"/>
      <c r="E1" s="2131"/>
      <c r="F1" s="2131"/>
      <c r="G1" s="2131"/>
      <c r="H1" s="2131"/>
      <c r="I1" s="2131"/>
      <c r="J1" s="2131"/>
      <c r="K1" s="2131"/>
      <c r="L1" s="2131"/>
    </row>
    <row r="2" spans="1:18" ht="21" customHeight="1">
      <c r="A2" s="2132" t="s">
        <v>1019</v>
      </c>
      <c r="B2" s="2133"/>
      <c r="C2" s="2133"/>
      <c r="D2" s="2133"/>
      <c r="E2" s="2133"/>
      <c r="F2" s="2133"/>
      <c r="G2" s="2133"/>
      <c r="H2" s="2133"/>
      <c r="I2" s="2133"/>
      <c r="J2" s="2133"/>
      <c r="K2" s="2133"/>
      <c r="L2" s="2133"/>
    </row>
    <row r="3" spans="1:18" ht="21" customHeight="1">
      <c r="A3" s="2134" t="s">
        <v>1037</v>
      </c>
      <c r="B3" s="2135"/>
      <c r="C3" s="2135"/>
      <c r="D3" s="2135"/>
      <c r="E3" s="2135"/>
      <c r="F3" s="2135"/>
      <c r="G3" s="2135"/>
      <c r="H3" s="2135"/>
      <c r="I3" s="2135"/>
      <c r="J3" s="2135"/>
      <c r="K3" s="2135"/>
      <c r="L3" s="2135"/>
    </row>
    <row r="4" spans="1:18" ht="24" customHeight="1">
      <c r="A4" s="384" t="s">
        <v>1020</v>
      </c>
      <c r="B4" s="2136" t="s">
        <v>1021</v>
      </c>
      <c r="C4" s="2137"/>
      <c r="D4" s="2137"/>
      <c r="E4" s="2137"/>
      <c r="F4" s="2137"/>
      <c r="G4" s="2137"/>
      <c r="H4" s="2138"/>
      <c r="I4" s="385" t="s">
        <v>235</v>
      </c>
      <c r="J4" s="383" t="s">
        <v>1022</v>
      </c>
      <c r="K4" s="383" t="s">
        <v>1023</v>
      </c>
      <c r="L4" s="383" t="s">
        <v>302</v>
      </c>
      <c r="Q4" s="399">
        <f>400</f>
        <v>400</v>
      </c>
    </row>
    <row r="5" spans="1:18">
      <c r="A5" s="384">
        <v>1</v>
      </c>
      <c r="B5" s="2136">
        <v>2</v>
      </c>
      <c r="C5" s="2137"/>
      <c r="D5" s="2137"/>
      <c r="E5" s="2137"/>
      <c r="F5" s="2137"/>
      <c r="G5" s="2137"/>
      <c r="H5" s="2138"/>
      <c r="I5" s="386">
        <v>3</v>
      </c>
      <c r="J5" s="383">
        <v>4</v>
      </c>
      <c r="K5" s="383">
        <v>5</v>
      </c>
      <c r="L5" s="383">
        <v>6</v>
      </c>
    </row>
    <row r="6" spans="1:18" ht="22" customHeight="1">
      <c r="A6" s="384">
        <v>1</v>
      </c>
      <c r="B6" s="2128" t="s">
        <v>1038</v>
      </c>
      <c r="C6" s="2129"/>
      <c r="D6" s="2129"/>
      <c r="E6" s="2129"/>
      <c r="F6" s="2129"/>
      <c r="G6" s="2129"/>
      <c r="H6" s="2130"/>
      <c r="I6" s="386" t="s">
        <v>692</v>
      </c>
      <c r="J6" s="400">
        <v>2700000</v>
      </c>
      <c r="K6" s="383"/>
      <c r="L6" s="383">
        <f>J6</f>
        <v>2700000</v>
      </c>
    </row>
    <row r="7" spans="1:18" ht="22" customHeight="1">
      <c r="A7" s="384">
        <v>2</v>
      </c>
      <c r="B7" s="2128" t="s">
        <v>1039</v>
      </c>
      <c r="C7" s="2129"/>
      <c r="D7" s="2129"/>
      <c r="E7" s="2129"/>
      <c r="F7" s="2129"/>
      <c r="G7" s="2129"/>
      <c r="H7" s="2130"/>
      <c r="I7" s="386" t="s">
        <v>692</v>
      </c>
      <c r="J7" s="400">
        <v>1800000</v>
      </c>
      <c r="K7" s="383"/>
      <c r="L7" s="383">
        <f>J7</f>
        <v>1800000</v>
      </c>
      <c r="Q7" s="399">
        <f>Q4/20</f>
        <v>20</v>
      </c>
      <c r="R7" s="399">
        <f>4*20</f>
        <v>80</v>
      </c>
    </row>
    <row r="8" spans="1:18" ht="22" customHeight="1">
      <c r="A8" s="387">
        <v>3</v>
      </c>
      <c r="B8" s="2128" t="s">
        <v>1030</v>
      </c>
      <c r="C8" s="2129"/>
      <c r="D8" s="2129"/>
      <c r="E8" s="2129"/>
      <c r="F8" s="2129"/>
      <c r="G8" s="2129"/>
      <c r="H8" s="2130"/>
      <c r="I8" s="386" t="s">
        <v>692</v>
      </c>
      <c r="J8" s="400">
        <v>300000</v>
      </c>
      <c r="K8" s="388"/>
      <c r="L8" s="383">
        <f>J8</f>
        <v>300000</v>
      </c>
      <c r="Q8" s="399">
        <f>Q4/10</f>
        <v>40</v>
      </c>
      <c r="R8" s="399">
        <f>2*50</f>
        <v>100</v>
      </c>
    </row>
    <row r="9" spans="1:18" ht="22" customHeight="1">
      <c r="A9" s="387">
        <v>4</v>
      </c>
      <c r="B9" s="2128" t="s">
        <v>1031</v>
      </c>
      <c r="C9" s="2129"/>
      <c r="D9" s="2129"/>
      <c r="E9" s="2129"/>
      <c r="F9" s="2129"/>
      <c r="G9" s="2129"/>
      <c r="H9" s="2130"/>
      <c r="I9" s="386" t="s">
        <v>692</v>
      </c>
      <c r="J9" s="400">
        <v>100000</v>
      </c>
      <c r="K9" s="388"/>
      <c r="L9" s="383">
        <f>J9</f>
        <v>100000</v>
      </c>
      <c r="Q9" s="399">
        <f>Q4/15</f>
        <v>26.666666666666668</v>
      </c>
    </row>
    <row r="10" spans="1:18" ht="32.15" hidden="1" customHeight="1">
      <c r="A10" s="387"/>
      <c r="B10" s="2128" t="s">
        <v>1040</v>
      </c>
      <c r="C10" s="2129"/>
      <c r="D10" s="2129"/>
      <c r="E10" s="2129"/>
      <c r="F10" s="2129"/>
      <c r="G10" s="2129"/>
      <c r="H10" s="2130"/>
      <c r="I10" s="386">
        <v>100</v>
      </c>
      <c r="J10" s="400">
        <v>10000</v>
      </c>
      <c r="K10" s="388"/>
      <c r="L10" s="383"/>
      <c r="P10" s="399">
        <f>37*40</f>
        <v>1480</v>
      </c>
    </row>
    <row r="11" spans="1:18" ht="22" customHeight="1">
      <c r="A11" s="387"/>
      <c r="B11" s="401"/>
      <c r="C11" s="402"/>
      <c r="D11" s="402"/>
      <c r="E11" s="402"/>
      <c r="F11" s="402"/>
      <c r="G11" s="402"/>
      <c r="H11" s="403"/>
      <c r="I11" s="386"/>
      <c r="J11" s="404"/>
      <c r="K11" s="388"/>
      <c r="L11" s="389">
        <f>SUM(L6:L10)</f>
        <v>4900000</v>
      </c>
      <c r="P11" s="399">
        <f>P10/9</f>
        <v>164.44444444444446</v>
      </c>
    </row>
    <row r="12" spans="1:18" ht="22" customHeight="1">
      <c r="A12" s="387">
        <v>5</v>
      </c>
      <c r="B12" s="2128" t="s">
        <v>1032</v>
      </c>
      <c r="C12" s="2129"/>
      <c r="D12" s="2129"/>
      <c r="E12" s="2129"/>
      <c r="F12" s="2129"/>
      <c r="G12" s="2129"/>
      <c r="H12" s="2130"/>
      <c r="I12" s="386"/>
      <c r="J12" s="388"/>
      <c r="K12" s="388"/>
      <c r="L12" s="389">
        <f>L11*0.12</f>
        <v>588000</v>
      </c>
      <c r="P12" s="399">
        <f>P11/48.5</f>
        <v>3.3906071019473085</v>
      </c>
    </row>
    <row r="13" spans="1:18" ht="22" customHeight="1">
      <c r="A13" s="387">
        <v>6</v>
      </c>
      <c r="B13" s="2128" t="s">
        <v>1033</v>
      </c>
      <c r="C13" s="2129"/>
      <c r="D13" s="2129"/>
      <c r="E13" s="2129"/>
      <c r="F13" s="2129"/>
      <c r="G13" s="2129"/>
      <c r="H13" s="2130"/>
      <c r="I13" s="386"/>
      <c r="J13" s="388"/>
      <c r="K13" s="388"/>
      <c r="L13" s="389">
        <f>L11*0.5/100</f>
        <v>24500</v>
      </c>
    </row>
    <row r="14" spans="1:18" ht="22" customHeight="1">
      <c r="A14" s="387">
        <v>7</v>
      </c>
      <c r="B14" s="2128" t="s">
        <v>1034</v>
      </c>
      <c r="C14" s="2129"/>
      <c r="D14" s="2129"/>
      <c r="E14" s="2129"/>
      <c r="F14" s="2129"/>
      <c r="G14" s="2129"/>
      <c r="H14" s="2130"/>
      <c r="I14" s="386"/>
      <c r="J14" s="388"/>
      <c r="K14" s="388"/>
      <c r="L14" s="389">
        <f>L11*0.1/100</f>
        <v>4900</v>
      </c>
    </row>
    <row r="15" spans="1:18" ht="22" customHeight="1">
      <c r="A15" s="387">
        <v>8</v>
      </c>
      <c r="B15" s="2128" t="s">
        <v>1035</v>
      </c>
      <c r="C15" s="2129"/>
      <c r="D15" s="2129"/>
      <c r="E15" s="2129"/>
      <c r="F15" s="2129"/>
      <c r="G15" s="2129"/>
      <c r="H15" s="2130"/>
      <c r="I15" s="386"/>
      <c r="J15" s="388"/>
      <c r="K15" s="388"/>
      <c r="L15" s="389">
        <v>70000</v>
      </c>
    </row>
    <row r="16" spans="1:18" ht="22" customHeight="1">
      <c r="A16" s="387"/>
      <c r="B16" s="2128"/>
      <c r="C16" s="2129"/>
      <c r="D16" s="2129"/>
      <c r="E16" s="2129"/>
      <c r="F16" s="2129"/>
      <c r="G16" s="2129"/>
      <c r="H16" s="2130"/>
      <c r="I16" s="390"/>
      <c r="J16" s="388"/>
      <c r="K16" s="388"/>
      <c r="L16" s="389">
        <f>SUM(L11:L15)</f>
        <v>5587400</v>
      </c>
    </row>
    <row r="17" spans="1:14" ht="29.15" customHeight="1">
      <c r="A17" s="387">
        <v>9</v>
      </c>
      <c r="B17" s="2128" t="s">
        <v>1041</v>
      </c>
      <c r="C17" s="2129"/>
      <c r="D17" s="2129"/>
      <c r="E17" s="2129"/>
      <c r="F17" s="2129"/>
      <c r="G17" s="2129"/>
      <c r="H17" s="2130"/>
      <c r="I17" s="390"/>
      <c r="J17" s="388"/>
      <c r="K17" s="388"/>
      <c r="L17" s="389">
        <v>412600</v>
      </c>
      <c r="N17" s="399">
        <f>6000000-L16</f>
        <v>412600</v>
      </c>
    </row>
    <row r="18" spans="1:14" ht="26.15" customHeight="1">
      <c r="A18" s="387"/>
      <c r="B18" s="391"/>
      <c r="C18" s="392"/>
      <c r="D18" s="392"/>
      <c r="E18" s="392"/>
      <c r="F18" s="390"/>
      <c r="G18" s="390"/>
      <c r="H18" s="390"/>
      <c r="I18" s="390"/>
      <c r="J18" s="388"/>
      <c r="K18" s="388"/>
      <c r="L18" s="405">
        <f>SUM(L16:L17)</f>
        <v>6000000</v>
      </c>
    </row>
    <row r="19" spans="1:14" ht="64" customHeight="1">
      <c r="A19" s="393"/>
      <c r="B19" s="394"/>
      <c r="C19" s="395"/>
      <c r="D19" s="395"/>
      <c r="E19" s="395"/>
      <c r="F19" s="396"/>
      <c r="G19" s="396"/>
      <c r="H19" s="396"/>
      <c r="I19" s="396"/>
      <c r="J19" s="397"/>
      <c r="K19" s="397"/>
      <c r="L19" s="398"/>
    </row>
    <row r="20" spans="1:14" ht="13">
      <c r="A20" s="393"/>
      <c r="B20" s="394"/>
      <c r="C20" s="395"/>
      <c r="D20" s="395"/>
      <c r="E20" s="395"/>
      <c r="F20" s="396"/>
      <c r="G20" s="396"/>
      <c r="H20" s="396"/>
      <c r="I20" s="396"/>
      <c r="J20" s="397"/>
      <c r="K20" s="397"/>
      <c r="L20" s="398"/>
    </row>
    <row r="21" spans="1:14" ht="15.5">
      <c r="F21" s="407" t="s">
        <v>849</v>
      </c>
      <c r="J21" s="407" t="s">
        <v>1036</v>
      </c>
    </row>
    <row r="22" spans="1:14" ht="15.5">
      <c r="F22" s="407" t="s">
        <v>1029</v>
      </c>
      <c r="J22" s="407" t="s">
        <v>1042</v>
      </c>
    </row>
    <row r="47" ht="21" customHeight="1"/>
  </sheetData>
  <mergeCells count="16">
    <mergeCell ref="A1:L1"/>
    <mergeCell ref="A2:L2"/>
    <mergeCell ref="A3:L3"/>
    <mergeCell ref="B4:H4"/>
    <mergeCell ref="B5:H5"/>
    <mergeCell ref="B6:H6"/>
    <mergeCell ref="B14:H14"/>
    <mergeCell ref="B15:H15"/>
    <mergeCell ref="B16:H16"/>
    <mergeCell ref="B17:H17"/>
    <mergeCell ref="B7:H7"/>
    <mergeCell ref="B8:H8"/>
    <mergeCell ref="B9:H9"/>
    <mergeCell ref="B10:H10"/>
    <mergeCell ref="B12:H12"/>
    <mergeCell ref="B13:H13"/>
  </mergeCells>
  <pageMargins left="0.55118110236220474" right="0.15748031496062992" top="0.98425196850393704" bottom="0.74803149606299213" header="0.74803149606299213" footer="0.31496062992125984"/>
  <pageSetup paperSize="9" scale="90" orientation="portrait" r:id="rId1"/>
</worksheet>
</file>

<file path=xl/worksheets/sheet17.xml><?xml version="1.0" encoding="utf-8"?>
<worksheet xmlns="http://schemas.openxmlformats.org/spreadsheetml/2006/main" xmlns:r="http://schemas.openxmlformats.org/officeDocument/2006/relationships">
  <dimension ref="A1:F39"/>
  <sheetViews>
    <sheetView view="pageBreakPreview" zoomScale="85" zoomScaleSheetLayoutView="85" workbookViewId="0">
      <selection activeCell="F32" sqref="F32"/>
    </sheetView>
  </sheetViews>
  <sheetFormatPr defaultColWidth="8" defaultRowHeight="13"/>
  <cols>
    <col min="1" max="1" width="6.1796875" style="305" customWidth="1"/>
    <col min="2" max="2" width="37" style="290" customWidth="1"/>
    <col min="3" max="3" width="9" style="305" bestFit="1" customWidth="1"/>
    <col min="4" max="4" width="7.26953125" style="305" customWidth="1"/>
    <col min="5" max="5" width="17" style="307" customWidth="1"/>
    <col min="6" max="6" width="11.1796875" style="305" customWidth="1"/>
    <col min="7" max="7" width="22.453125" style="290" customWidth="1"/>
    <col min="8" max="8" width="14.26953125" style="290" customWidth="1"/>
    <col min="9" max="16384" width="8" style="290"/>
  </cols>
  <sheetData>
    <row r="1" spans="1:6" ht="14">
      <c r="A1" s="289"/>
      <c r="B1" s="2140" t="s">
        <v>863</v>
      </c>
      <c r="C1" s="2140"/>
      <c r="D1" s="2140"/>
      <c r="E1" s="2140"/>
      <c r="F1" s="2140"/>
    </row>
    <row r="2" spans="1:6" ht="36" customHeight="1">
      <c r="A2" s="2141" t="e">
        <f>#REF!</f>
        <v>#REF!</v>
      </c>
      <c r="B2" s="2141"/>
      <c r="C2" s="2141"/>
      <c r="D2" s="2141"/>
      <c r="E2" s="2141"/>
      <c r="F2" s="2141"/>
    </row>
    <row r="3" spans="1:6" s="291" customFormat="1" ht="16.5" customHeight="1">
      <c r="A3" s="2142" t="s">
        <v>1718</v>
      </c>
      <c r="B3" s="2142"/>
      <c r="C3" s="2142"/>
      <c r="D3" s="2142"/>
      <c r="E3" s="2142"/>
      <c r="F3" s="2142"/>
    </row>
    <row r="4" spans="1:6" ht="14">
      <c r="A4" s="289"/>
      <c r="B4" s="292"/>
      <c r="C4" s="289"/>
      <c r="D4" s="289"/>
      <c r="E4" s="293"/>
      <c r="F4" s="289"/>
    </row>
    <row r="5" spans="1:6" ht="14">
      <c r="A5" s="289">
        <v>1</v>
      </c>
      <c r="B5" s="294" t="s">
        <v>864</v>
      </c>
      <c r="C5" s="289"/>
      <c r="D5" s="289"/>
      <c r="E5" s="293"/>
      <c r="F5" s="289"/>
    </row>
    <row r="6" spans="1:6" ht="28">
      <c r="A6" s="289"/>
      <c r="B6" s="292" t="s">
        <v>865</v>
      </c>
      <c r="C6" s="289"/>
      <c r="D6" s="289"/>
      <c r="E6" s="295" t="s">
        <v>866</v>
      </c>
      <c r="F6" s="289"/>
    </row>
    <row r="7" spans="1:6" ht="28">
      <c r="A7" s="289"/>
      <c r="B7" s="292" t="s">
        <v>867</v>
      </c>
      <c r="C7" s="296"/>
      <c r="D7" s="289"/>
      <c r="E7" s="295" t="s">
        <v>868</v>
      </c>
      <c r="F7" s="289"/>
    </row>
    <row r="8" spans="1:6" ht="28">
      <c r="A8" s="289"/>
      <c r="B8" s="292" t="s">
        <v>869</v>
      </c>
      <c r="C8" s="297"/>
      <c r="D8" s="289"/>
      <c r="E8" s="295" t="s">
        <v>870</v>
      </c>
      <c r="F8" s="289"/>
    </row>
    <row r="9" spans="1:6" ht="34.5">
      <c r="A9" s="289"/>
      <c r="B9" s="292" t="s">
        <v>871</v>
      </c>
      <c r="C9" s="289"/>
      <c r="D9" s="289"/>
      <c r="E9" s="295" t="s">
        <v>872</v>
      </c>
      <c r="F9" s="289"/>
    </row>
    <row r="10" spans="1:6" ht="14">
      <c r="A10" s="289" t="s">
        <v>873</v>
      </c>
      <c r="B10" s="292" t="s">
        <v>874</v>
      </c>
      <c r="C10" s="289"/>
      <c r="D10" s="289"/>
      <c r="E10" s="293"/>
      <c r="F10" s="289"/>
    </row>
    <row r="11" spans="1:6" ht="28">
      <c r="A11" s="298" t="s">
        <v>744</v>
      </c>
      <c r="B11" s="294" t="s">
        <v>875</v>
      </c>
      <c r="C11" s="297"/>
      <c r="D11" s="289"/>
      <c r="E11" s="293"/>
      <c r="F11" s="289"/>
    </row>
    <row r="12" spans="1:6" ht="14">
      <c r="A12" s="289"/>
      <c r="B12" s="292" t="s">
        <v>876</v>
      </c>
      <c r="C12" s="296">
        <f>'AW 7.00 pile (2)'!M137</f>
        <v>1230</v>
      </c>
      <c r="D12" s="289"/>
      <c r="E12" s="293"/>
      <c r="F12" s="289"/>
    </row>
    <row r="13" spans="1:6" ht="14">
      <c r="A13" s="289"/>
      <c r="B13" s="294" t="s">
        <v>877</v>
      </c>
      <c r="C13" s="289"/>
      <c r="D13" s="289"/>
      <c r="E13" s="293"/>
      <c r="F13" s="289"/>
    </row>
    <row r="14" spans="1:6" ht="28">
      <c r="A14" s="289"/>
      <c r="B14" s="292" t="s">
        <v>878</v>
      </c>
      <c r="C14" s="289"/>
      <c r="D14" s="289"/>
      <c r="E14" s="293"/>
      <c r="F14" s="289"/>
    </row>
    <row r="15" spans="1:6" ht="17.25" customHeight="1">
      <c r="A15" s="289"/>
      <c r="B15" s="289" t="s">
        <v>879</v>
      </c>
      <c r="C15" s="289" t="s">
        <v>235</v>
      </c>
      <c r="D15" s="289" t="s">
        <v>141</v>
      </c>
      <c r="E15" s="289" t="s">
        <v>149</v>
      </c>
      <c r="F15" s="289" t="s">
        <v>302</v>
      </c>
    </row>
    <row r="16" spans="1:6" ht="17.25" customHeight="1">
      <c r="A16" s="298" t="s">
        <v>880</v>
      </c>
      <c r="B16" s="292" t="s">
        <v>218</v>
      </c>
      <c r="C16" s="299"/>
      <c r="D16" s="289"/>
      <c r="E16" s="299"/>
      <c r="F16" s="300"/>
    </row>
    <row r="17" spans="1:6" ht="17.25" customHeight="1">
      <c r="A17" s="298" t="s">
        <v>881</v>
      </c>
      <c r="B17" s="292" t="s">
        <v>882</v>
      </c>
      <c r="C17" s="299"/>
      <c r="D17" s="289"/>
      <c r="E17" s="299"/>
      <c r="F17" s="300"/>
    </row>
    <row r="18" spans="1:6" ht="17.25" customHeight="1">
      <c r="A18" s="298" t="s">
        <v>883</v>
      </c>
      <c r="B18" s="292" t="s">
        <v>212</v>
      </c>
      <c r="C18" s="299"/>
      <c r="D18" s="289"/>
      <c r="E18" s="299"/>
      <c r="F18" s="300"/>
    </row>
    <row r="19" spans="1:6" ht="17.25" customHeight="1">
      <c r="A19" s="289"/>
      <c r="B19" s="294" t="s">
        <v>313</v>
      </c>
      <c r="C19" s="289"/>
      <c r="D19" s="289"/>
      <c r="E19" s="289"/>
      <c r="F19" s="289"/>
    </row>
    <row r="20" spans="1:6" ht="17.25" customHeight="1">
      <c r="A20" s="298" t="s">
        <v>884</v>
      </c>
      <c r="B20" s="292" t="s">
        <v>885</v>
      </c>
      <c r="C20" s="299"/>
      <c r="D20" s="289"/>
      <c r="E20" s="299"/>
      <c r="F20" s="300"/>
    </row>
    <row r="21" spans="1:6" ht="18.75" customHeight="1">
      <c r="A21" s="298" t="s">
        <v>886</v>
      </c>
      <c r="B21" s="292" t="s">
        <v>887</v>
      </c>
      <c r="C21" s="289"/>
      <c r="D21" s="289"/>
      <c r="E21" s="293"/>
      <c r="F21" s="289"/>
    </row>
    <row r="22" spans="1:6" ht="18.75" customHeight="1">
      <c r="A22" s="298" t="s">
        <v>888</v>
      </c>
      <c r="B22" s="292" t="s">
        <v>889</v>
      </c>
      <c r="C22" s="299"/>
      <c r="D22" s="289"/>
      <c r="E22" s="299"/>
      <c r="F22" s="300"/>
    </row>
    <row r="23" spans="1:6" ht="18.75" customHeight="1">
      <c r="A23" s="298" t="s">
        <v>890</v>
      </c>
      <c r="B23" s="292" t="s">
        <v>891</v>
      </c>
      <c r="C23" s="299"/>
      <c r="D23" s="289"/>
      <c r="E23" s="299"/>
      <c r="F23" s="300"/>
    </row>
    <row r="24" spans="1:6" ht="18.75" customHeight="1">
      <c r="A24" s="298" t="s">
        <v>892</v>
      </c>
      <c r="B24" s="292" t="s">
        <v>893</v>
      </c>
      <c r="C24" s="299"/>
      <c r="D24" s="289"/>
      <c r="E24" s="299"/>
      <c r="F24" s="300"/>
    </row>
    <row r="25" spans="1:6" ht="28">
      <c r="A25" s="289"/>
      <c r="B25" s="293" t="s">
        <v>894</v>
      </c>
      <c r="C25" s="289"/>
      <c r="D25" s="289"/>
      <c r="E25" s="293"/>
      <c r="F25" s="301"/>
    </row>
    <row r="26" spans="1:6" ht="50.5">
      <c r="A26" s="298" t="s">
        <v>743</v>
      </c>
      <c r="B26" s="302" t="s">
        <v>895</v>
      </c>
      <c r="C26" s="289"/>
      <c r="D26" s="289"/>
      <c r="E26" s="293"/>
      <c r="F26" s="296" t="e">
        <f>'AW 7.00 pile (2)'!M136+'AW 7.00 pile (2)'!M244</f>
        <v>#REF!</v>
      </c>
    </row>
    <row r="27" spans="1:6" ht="19.5" customHeight="1">
      <c r="A27" s="298" t="s">
        <v>745</v>
      </c>
      <c r="B27" s="303" t="s">
        <v>896</v>
      </c>
      <c r="C27" s="289"/>
      <c r="D27" s="289"/>
      <c r="E27" s="293"/>
      <c r="F27" s="296"/>
    </row>
    <row r="28" spans="1:6" ht="19.5" customHeight="1">
      <c r="A28" s="298" t="s">
        <v>746</v>
      </c>
      <c r="B28" s="303" t="s">
        <v>897</v>
      </c>
      <c r="C28" s="289"/>
      <c r="D28" s="289"/>
      <c r="E28" s="293"/>
      <c r="F28" s="296" t="e">
        <f>'AW 7.00 pile (2)'!M245+'AW 7.00 pile (2)'!M138</f>
        <v>#REF!</v>
      </c>
    </row>
    <row r="29" spans="1:6" ht="19.5" customHeight="1">
      <c r="A29" s="298" t="s">
        <v>747</v>
      </c>
      <c r="B29" s="303" t="s">
        <v>898</v>
      </c>
      <c r="C29" s="289"/>
      <c r="D29" s="289"/>
      <c r="E29" s="293"/>
      <c r="F29" s="296">
        <f>'AW 7.00 pile (2)'!M139+'AW 7.00 pile (2)'!M246</f>
        <v>4727</v>
      </c>
    </row>
    <row r="30" spans="1:6" ht="28">
      <c r="A30" s="298" t="s">
        <v>899</v>
      </c>
      <c r="B30" s="303" t="s">
        <v>900</v>
      </c>
      <c r="C30" s="289"/>
      <c r="D30" s="289"/>
      <c r="E30" s="293"/>
      <c r="F30" s="296"/>
    </row>
    <row r="31" spans="1:6" ht="14">
      <c r="A31" s="298" t="s">
        <v>901</v>
      </c>
      <c r="B31" s="303" t="s">
        <v>902</v>
      </c>
      <c r="C31" s="289"/>
      <c r="D31" s="289"/>
      <c r="E31" s="293"/>
      <c r="F31" s="296">
        <f>'AW 7.00 pile (2)'!M247+'AW 7.00 pile (2)'!M140</f>
        <v>11749</v>
      </c>
    </row>
    <row r="32" spans="1:6" ht="28">
      <c r="A32" s="289"/>
      <c r="B32" s="294" t="s">
        <v>903</v>
      </c>
      <c r="C32" s="289"/>
      <c r="D32" s="289"/>
      <c r="E32" s="293"/>
      <c r="F32" s="304" t="e">
        <f>SUM(F25:F31)</f>
        <v>#REF!</v>
      </c>
    </row>
    <row r="33" spans="1:6" ht="28">
      <c r="A33" s="289"/>
      <c r="B33" s="303" t="s">
        <v>904</v>
      </c>
      <c r="C33" s="289"/>
      <c r="D33" s="289"/>
      <c r="E33" s="293"/>
      <c r="F33" s="297" t="e">
        <f>C12+F32</f>
        <v>#REF!</v>
      </c>
    </row>
    <row r="34" spans="1:6" ht="14">
      <c r="A34" s="289"/>
      <c r="B34" s="292"/>
      <c r="C34" s="289"/>
      <c r="D34" s="289"/>
      <c r="E34" s="293"/>
      <c r="F34" s="297"/>
    </row>
    <row r="37" spans="1:6" ht="14.25" customHeight="1">
      <c r="B37" s="306" t="s">
        <v>905</v>
      </c>
      <c r="D37" s="2143" t="s">
        <v>848</v>
      </c>
      <c r="E37" s="2143"/>
      <c r="F37" s="2143"/>
    </row>
    <row r="38" spans="1:6" ht="14.25" customHeight="1">
      <c r="B38" s="306" t="s">
        <v>801</v>
      </c>
      <c r="D38" s="2143" t="s">
        <v>906</v>
      </c>
      <c r="E38" s="2143"/>
      <c r="F38" s="2143"/>
    </row>
    <row r="39" spans="1:6" ht="14" hidden="1">
      <c r="C39" s="2139"/>
      <c r="D39" s="2139"/>
      <c r="E39" s="2139"/>
      <c r="F39" s="2139"/>
    </row>
  </sheetData>
  <mergeCells count="6">
    <mergeCell ref="C39:F39"/>
    <mergeCell ref="B1:F1"/>
    <mergeCell ref="A2:F2"/>
    <mergeCell ref="A3:F3"/>
    <mergeCell ref="D37:F37"/>
    <mergeCell ref="D38:F38"/>
  </mergeCells>
  <pageMargins left="0.7" right="0.7" top="0.34" bottom="0.35" header="0.3" footer="0.3"/>
  <pageSetup paperSize="9" orientation="portrait" verticalDpi="300" r:id="rId1"/>
</worksheet>
</file>

<file path=xl/worksheets/sheet18.xml><?xml version="1.0" encoding="utf-8"?>
<worksheet xmlns="http://schemas.openxmlformats.org/spreadsheetml/2006/main" xmlns:r="http://schemas.openxmlformats.org/officeDocument/2006/relationships">
  <dimension ref="A1:U256"/>
  <sheetViews>
    <sheetView view="pageBreakPreview" topLeftCell="A139" zoomScaleSheetLayoutView="100" workbookViewId="0">
      <selection activeCell="A2" sqref="A2:M2"/>
    </sheetView>
  </sheetViews>
  <sheetFormatPr defaultColWidth="7.453125" defaultRowHeight="14"/>
  <cols>
    <col min="1" max="1" width="4" style="220" customWidth="1"/>
    <col min="2" max="2" width="17.453125" style="221" customWidth="1"/>
    <col min="3" max="3" width="3.453125" style="221" customWidth="1"/>
    <col min="4" max="4" width="3" style="221" customWidth="1"/>
    <col min="5" max="5" width="4.26953125" style="47" customWidth="1"/>
    <col min="6" max="6" width="6.1796875" style="47" customWidth="1"/>
    <col min="7" max="7" width="6.26953125" style="47" customWidth="1"/>
    <col min="8" max="8" width="6.7265625" style="47" customWidth="1"/>
    <col min="9" max="9" width="8.81640625" style="47" customWidth="1"/>
    <col min="10" max="10" width="7.453125" style="47" customWidth="1"/>
    <col min="11" max="11" width="10.1796875" style="47" customWidth="1"/>
    <col min="12" max="12" width="7.453125" style="79" customWidth="1"/>
    <col min="13" max="13" width="9.26953125" style="47" customWidth="1"/>
    <col min="14" max="14" width="7.453125" style="47"/>
    <col min="15" max="16" width="8" style="47" bestFit="1" customWidth="1"/>
    <col min="17" max="16384" width="7.453125" style="47"/>
  </cols>
  <sheetData>
    <row r="1" spans="1:17" ht="27" customHeight="1">
      <c r="A1" s="2176" t="s">
        <v>664</v>
      </c>
      <c r="B1" s="2177"/>
      <c r="C1" s="2177"/>
      <c r="D1" s="2177"/>
      <c r="E1" s="2177"/>
      <c r="F1" s="2177"/>
      <c r="G1" s="2177"/>
      <c r="H1" s="2177"/>
      <c r="I1" s="2177"/>
      <c r="J1" s="2177"/>
      <c r="K1" s="2177"/>
      <c r="L1" s="2177"/>
      <c r="M1" s="2178"/>
      <c r="N1" s="46"/>
    </row>
    <row r="2" spans="1:17" ht="36" customHeight="1">
      <c r="A2" s="2179" t="e">
        <f>#REF!</f>
        <v>#REF!</v>
      </c>
      <c r="B2" s="2180"/>
      <c r="C2" s="2180"/>
      <c r="D2" s="2180"/>
      <c r="E2" s="2180"/>
      <c r="F2" s="2180"/>
      <c r="G2" s="2180"/>
      <c r="H2" s="2180"/>
      <c r="I2" s="2180"/>
      <c r="J2" s="2180"/>
      <c r="K2" s="2180"/>
      <c r="L2" s="2180"/>
      <c r="M2" s="2181"/>
      <c r="P2" s="48"/>
    </row>
    <row r="3" spans="1:17" ht="17.25" customHeight="1">
      <c r="A3" s="2182" t="e">
        <f ca="1">_xlfn.SINGLE(#REF!)</f>
        <v>#NAME?</v>
      </c>
      <c r="B3" s="2183"/>
      <c r="C3" s="2183"/>
      <c r="D3" s="2183"/>
      <c r="E3" s="2183"/>
      <c r="F3" s="2183"/>
      <c r="G3" s="2183"/>
      <c r="H3" s="2183"/>
      <c r="I3" s="2183"/>
      <c r="J3" s="2183"/>
      <c r="K3" s="2183"/>
      <c r="L3" s="2183"/>
      <c r="M3" s="2184"/>
    </row>
    <row r="4" spans="1:17" s="51" customFormat="1" ht="19.5" customHeight="1">
      <c r="A4" s="2185" t="s">
        <v>665</v>
      </c>
      <c r="B4" s="2186" t="s">
        <v>666</v>
      </c>
      <c r="C4" s="2186" t="s">
        <v>667</v>
      </c>
      <c r="D4" s="2186"/>
      <c r="E4" s="2186"/>
      <c r="F4" s="2186" t="s">
        <v>668</v>
      </c>
      <c r="G4" s="2186"/>
      <c r="H4" s="2186"/>
      <c r="I4" s="2186" t="s">
        <v>235</v>
      </c>
      <c r="J4" s="2186" t="s">
        <v>669</v>
      </c>
      <c r="K4" s="2186" t="s">
        <v>149</v>
      </c>
      <c r="L4" s="2200" t="s">
        <v>150</v>
      </c>
      <c r="M4" s="2186" t="s">
        <v>302</v>
      </c>
    </row>
    <row r="5" spans="1:17" s="51" customFormat="1" ht="15.75" customHeight="1">
      <c r="A5" s="2186"/>
      <c r="B5" s="2186"/>
      <c r="C5" s="2186"/>
      <c r="D5" s="2186"/>
      <c r="E5" s="2186"/>
      <c r="F5" s="49" t="s">
        <v>429</v>
      </c>
      <c r="G5" s="49" t="s">
        <v>145</v>
      </c>
      <c r="H5" s="49" t="s">
        <v>498</v>
      </c>
      <c r="I5" s="2186"/>
      <c r="J5" s="2186"/>
      <c r="K5" s="2186"/>
      <c r="L5" s="2200"/>
      <c r="M5" s="2186"/>
      <c r="Q5" s="51" t="s">
        <v>522</v>
      </c>
    </row>
    <row r="6" spans="1:17" s="51" customFormat="1" ht="15.75" customHeight="1">
      <c r="A6" s="49">
        <v>1</v>
      </c>
      <c r="B6" s="49">
        <v>2</v>
      </c>
      <c r="C6" s="2186">
        <v>3</v>
      </c>
      <c r="D6" s="2186"/>
      <c r="E6" s="2186"/>
      <c r="F6" s="49">
        <v>4</v>
      </c>
      <c r="G6" s="49">
        <v>5</v>
      </c>
      <c r="H6" s="49">
        <v>6</v>
      </c>
      <c r="I6" s="49">
        <v>7</v>
      </c>
      <c r="J6" s="49">
        <v>8</v>
      </c>
      <c r="K6" s="49">
        <v>9</v>
      </c>
      <c r="L6" s="50">
        <v>10</v>
      </c>
      <c r="M6" s="49">
        <v>11</v>
      </c>
    </row>
    <row r="7" spans="1:17" s="56" customFormat="1" ht="115.5" hidden="1" customHeight="1">
      <c r="A7" s="52">
        <v>1</v>
      </c>
      <c r="B7" s="2145" t="s">
        <v>670</v>
      </c>
      <c r="C7" s="2146"/>
      <c r="D7" s="2146"/>
      <c r="E7" s="2146"/>
      <c r="F7" s="2146"/>
      <c r="G7" s="2146"/>
      <c r="H7" s="2147"/>
      <c r="I7" s="53"/>
      <c r="J7" s="53"/>
      <c r="K7" s="53"/>
      <c r="L7" s="54"/>
      <c r="M7" s="55"/>
    </row>
    <row r="8" spans="1:17" s="66" customFormat="1" ht="17.25" hidden="1" customHeight="1">
      <c r="A8" s="57"/>
      <c r="B8" s="58" t="s">
        <v>671</v>
      </c>
      <c r="C8" s="59">
        <v>1</v>
      </c>
      <c r="D8" s="59" t="s">
        <v>672</v>
      </c>
      <c r="E8" s="59">
        <v>1</v>
      </c>
      <c r="F8" s="60">
        <v>6</v>
      </c>
      <c r="G8" s="60">
        <v>0.45</v>
      </c>
      <c r="H8" s="60">
        <v>0.45</v>
      </c>
      <c r="I8" s="61">
        <f>ROUND((H8*G8*F8*E8),2)</f>
        <v>1.22</v>
      </c>
      <c r="J8" s="62"/>
      <c r="K8" s="63"/>
      <c r="L8" s="64"/>
      <c r="M8" s="65"/>
    </row>
    <row r="9" spans="1:17" s="66" customFormat="1" ht="17.25" hidden="1" customHeight="1" thickBot="1">
      <c r="A9" s="57"/>
      <c r="B9" s="58" t="s">
        <v>673</v>
      </c>
      <c r="C9" s="58"/>
      <c r="D9" s="58"/>
      <c r="E9" s="59"/>
      <c r="F9" s="60"/>
      <c r="G9" s="60"/>
      <c r="H9" s="60"/>
      <c r="I9" s="61">
        <v>3.21</v>
      </c>
      <c r="J9" s="62"/>
      <c r="K9" s="63"/>
      <c r="L9" s="64"/>
      <c r="M9" s="65"/>
    </row>
    <row r="10" spans="1:17" ht="17.25" hidden="1" customHeight="1" thickBot="1">
      <c r="A10" s="57"/>
      <c r="B10" s="67"/>
      <c r="C10" s="67"/>
      <c r="D10" s="67"/>
      <c r="E10" s="68"/>
      <c r="F10" s="68"/>
      <c r="G10" s="68"/>
      <c r="H10" s="69"/>
      <c r="I10" s="70"/>
      <c r="J10" s="71" t="s">
        <v>181</v>
      </c>
      <c r="K10" s="72">
        <v>120.71</v>
      </c>
      <c r="L10" s="73" t="s">
        <v>143</v>
      </c>
      <c r="M10" s="74"/>
      <c r="N10" s="47">
        <f>(I10*K10)/194</f>
        <v>0</v>
      </c>
    </row>
    <row r="11" spans="1:17" ht="17.25" hidden="1" customHeight="1">
      <c r="A11" s="75"/>
      <c r="B11" s="76"/>
      <c r="C11" s="77"/>
      <c r="D11" s="77"/>
      <c r="E11" s="77"/>
      <c r="F11" s="77"/>
      <c r="G11" s="77"/>
      <c r="H11" s="77"/>
      <c r="I11" s="78">
        <f>ROUND(N10,0)</f>
        <v>0</v>
      </c>
      <c r="J11" s="47" t="s">
        <v>119</v>
      </c>
      <c r="K11" s="47">
        <v>205</v>
      </c>
      <c r="L11" s="79" t="s">
        <v>119</v>
      </c>
      <c r="M11" s="74">
        <f>ROUND(I11*K11,0)</f>
        <v>0</v>
      </c>
    </row>
    <row r="12" spans="1:17" s="56" customFormat="1" ht="27.75" customHeight="1">
      <c r="A12" s="75">
        <v>1</v>
      </c>
      <c r="B12" s="2145" t="s">
        <v>674</v>
      </c>
      <c r="C12" s="2146"/>
      <c r="D12" s="2146"/>
      <c r="E12" s="2146"/>
      <c r="F12" s="2146"/>
      <c r="G12" s="2146"/>
      <c r="H12" s="2147"/>
      <c r="I12" s="55"/>
      <c r="J12" s="83"/>
      <c r="K12" s="83"/>
      <c r="L12" s="84"/>
      <c r="M12" s="85"/>
    </row>
    <row r="13" spans="1:17" ht="20.25" customHeight="1">
      <c r="A13" s="75"/>
      <c r="B13" s="67"/>
      <c r="C13" s="59">
        <v>1</v>
      </c>
      <c r="D13" s="59" t="s">
        <v>672</v>
      </c>
      <c r="E13" s="59">
        <v>1</v>
      </c>
      <c r="F13" s="60">
        <v>10</v>
      </c>
      <c r="G13" s="60">
        <v>12</v>
      </c>
      <c r="H13" s="60"/>
      <c r="I13" s="61">
        <f>ROUND((C13*G13*F13*E13),2)</f>
        <v>120</v>
      </c>
      <c r="J13" s="71"/>
      <c r="K13" s="81"/>
      <c r="L13" s="73"/>
      <c r="M13" s="74"/>
    </row>
    <row r="14" spans="1:17" ht="15" customHeight="1">
      <c r="A14" s="75"/>
      <c r="B14" s="86" t="s">
        <v>677</v>
      </c>
      <c r="C14" s="87"/>
      <c r="D14" s="87"/>
      <c r="E14" s="87"/>
      <c r="F14" s="88"/>
      <c r="G14" s="88"/>
      <c r="H14" s="89"/>
      <c r="I14" s="90">
        <f>-ROUND(I13*40%,2)</f>
        <v>-48</v>
      </c>
      <c r="J14" s="71"/>
      <c r="K14" s="81"/>
      <c r="L14" s="73"/>
      <c r="M14" s="74"/>
    </row>
    <row r="15" spans="1:17" ht="30" customHeight="1">
      <c r="A15" s="75"/>
      <c r="B15" s="2204"/>
      <c r="C15" s="2204"/>
      <c r="D15" s="2204"/>
      <c r="E15" s="2204"/>
      <c r="F15" s="2204"/>
      <c r="G15" s="2204"/>
      <c r="H15" s="2204"/>
      <c r="I15" s="78">
        <f>SUM(I12:I14)</f>
        <v>72</v>
      </c>
      <c r="J15" s="71" t="s">
        <v>184</v>
      </c>
      <c r="K15" s="81">
        <v>5.07</v>
      </c>
      <c r="L15" s="73" t="s">
        <v>536</v>
      </c>
      <c r="M15" s="74"/>
      <c r="N15" s="47">
        <f>(I15*K15)/205</f>
        <v>1.7806829268292683</v>
      </c>
    </row>
    <row r="16" spans="1:17" ht="17.25" customHeight="1">
      <c r="A16" s="75"/>
      <c r="B16" s="76"/>
      <c r="C16" s="77"/>
      <c r="D16" s="77"/>
      <c r="E16" s="77"/>
      <c r="F16" s="77"/>
      <c r="G16" s="77"/>
      <c r="H16" s="77"/>
      <c r="I16" s="78">
        <f>ROUND(N15,0)</f>
        <v>2</v>
      </c>
      <c r="J16" s="47" t="s">
        <v>119</v>
      </c>
      <c r="K16" s="47">
        <v>205</v>
      </c>
      <c r="L16" s="79" t="s">
        <v>119</v>
      </c>
      <c r="M16" s="74">
        <f>ROUND(I16*K16,0)</f>
        <v>410</v>
      </c>
    </row>
    <row r="17" spans="1:14" ht="17.25" customHeight="1">
      <c r="A17" s="75">
        <v>2</v>
      </c>
      <c r="B17" s="2204" t="s">
        <v>675</v>
      </c>
      <c r="C17" s="2204"/>
      <c r="D17" s="2204"/>
      <c r="E17" s="2204"/>
      <c r="F17" s="2204"/>
      <c r="G17" s="2204"/>
      <c r="H17" s="2204"/>
      <c r="I17" s="78">
        <f>I32</f>
        <v>31.759999999999998</v>
      </c>
      <c r="J17" s="71" t="s">
        <v>117</v>
      </c>
      <c r="K17" s="81">
        <v>24.86</v>
      </c>
      <c r="L17" s="73" t="s">
        <v>676</v>
      </c>
      <c r="M17" s="74"/>
      <c r="N17" s="47">
        <f>(I17*K17)/194</f>
        <v>4.0698639175257734</v>
      </c>
    </row>
    <row r="18" spans="1:14" ht="17.25" customHeight="1">
      <c r="A18" s="75"/>
      <c r="B18" s="76"/>
      <c r="C18" s="77"/>
      <c r="D18" s="77"/>
      <c r="E18" s="77"/>
      <c r="F18" s="77"/>
      <c r="G18" s="77"/>
      <c r="H18" s="77"/>
      <c r="I18" s="78">
        <f>ROUND(N17,0)</f>
        <v>4</v>
      </c>
      <c r="J18" s="47" t="s">
        <v>119</v>
      </c>
      <c r="K18" s="47">
        <v>205</v>
      </c>
      <c r="L18" s="79" t="s">
        <v>119</v>
      </c>
      <c r="M18" s="74">
        <f>ROUND(I18*K18,0)</f>
        <v>820</v>
      </c>
    </row>
    <row r="19" spans="1:14" ht="17.25" customHeight="1">
      <c r="A19" s="75"/>
      <c r="B19" s="76"/>
      <c r="C19" s="77"/>
      <c r="D19" s="77"/>
      <c r="E19" s="77"/>
      <c r="F19" s="77"/>
      <c r="G19" s="77"/>
      <c r="H19" s="77"/>
      <c r="I19" s="78">
        <f>I11+I18+I16</f>
        <v>6</v>
      </c>
      <c r="K19" s="82">
        <v>205</v>
      </c>
      <c r="L19" s="79" t="s">
        <v>119</v>
      </c>
      <c r="M19" s="74">
        <f>SUM(M11:M18)</f>
        <v>1230</v>
      </c>
    </row>
    <row r="20" spans="1:14" s="56" customFormat="1" ht="90" customHeight="1">
      <c r="A20" s="75">
        <v>3</v>
      </c>
      <c r="B20" s="2145" t="s">
        <v>678</v>
      </c>
      <c r="C20" s="2146"/>
      <c r="D20" s="2146"/>
      <c r="E20" s="2146"/>
      <c r="F20" s="2146"/>
      <c r="G20" s="2146"/>
      <c r="H20" s="2147"/>
      <c r="I20" s="55"/>
      <c r="J20" s="83"/>
      <c r="K20" s="83"/>
      <c r="L20" s="84"/>
      <c r="M20" s="85"/>
    </row>
    <row r="21" spans="1:14" s="66" customFormat="1" ht="15.75" customHeight="1">
      <c r="A21" s="75"/>
      <c r="B21" s="58" t="s">
        <v>679</v>
      </c>
      <c r="C21" s="59"/>
      <c r="D21" s="59"/>
      <c r="E21" s="59"/>
      <c r="F21" s="60"/>
      <c r="G21" s="60"/>
      <c r="H21" s="60"/>
      <c r="I21" s="61"/>
      <c r="J21" s="91"/>
      <c r="K21" s="65"/>
      <c r="L21" s="92"/>
      <c r="M21" s="93"/>
    </row>
    <row r="22" spans="1:14" s="66" customFormat="1" ht="15.75" customHeight="1">
      <c r="A22" s="75"/>
      <c r="B22" s="58" t="s">
        <v>680</v>
      </c>
      <c r="C22" s="59">
        <v>1</v>
      </c>
      <c r="D22" s="59" t="s">
        <v>672</v>
      </c>
      <c r="E22" s="59">
        <v>1</v>
      </c>
      <c r="F22" s="60">
        <v>6.1</v>
      </c>
      <c r="G22" s="60">
        <v>4.88</v>
      </c>
      <c r="H22" s="60">
        <v>0.6</v>
      </c>
      <c r="I22" s="61">
        <f t="shared" ref="I22:I28" si="0">ROUND((H22*G22*F22*E22),2)</f>
        <v>17.86</v>
      </c>
      <c r="J22" s="91"/>
      <c r="K22" s="65"/>
      <c r="L22" s="92"/>
      <c r="M22" s="93"/>
    </row>
    <row r="23" spans="1:14" s="66" customFormat="1" ht="15.75" customHeight="1">
      <c r="A23" s="75"/>
      <c r="B23" s="58" t="s">
        <v>681</v>
      </c>
      <c r="C23" s="59">
        <v>1</v>
      </c>
      <c r="D23" s="59" t="s">
        <v>672</v>
      </c>
      <c r="E23" s="59">
        <v>1</v>
      </c>
      <c r="F23" s="60">
        <v>1.83</v>
      </c>
      <c r="G23" s="60">
        <v>1.22</v>
      </c>
      <c r="H23" s="60">
        <v>0.6</v>
      </c>
      <c r="I23" s="61">
        <f t="shared" si="0"/>
        <v>1.34</v>
      </c>
      <c r="J23" s="91"/>
      <c r="K23" s="65"/>
      <c r="L23" s="92"/>
      <c r="M23" s="93"/>
    </row>
    <row r="24" spans="1:14" s="66" customFormat="1" ht="15.75" customHeight="1">
      <c r="A24" s="75"/>
      <c r="B24" s="58" t="s">
        <v>682</v>
      </c>
      <c r="C24" s="59">
        <v>1</v>
      </c>
      <c r="D24" s="59" t="s">
        <v>672</v>
      </c>
      <c r="E24" s="59">
        <v>1</v>
      </c>
      <c r="F24" s="60">
        <v>1.83</v>
      </c>
      <c r="G24" s="60">
        <v>1.63</v>
      </c>
      <c r="H24" s="60">
        <v>0.6</v>
      </c>
      <c r="I24" s="61">
        <f t="shared" si="0"/>
        <v>1.79</v>
      </c>
      <c r="J24" s="91"/>
      <c r="K24" s="65"/>
      <c r="L24" s="92"/>
      <c r="M24" s="93"/>
    </row>
    <row r="25" spans="1:14" s="66" customFormat="1" ht="15.75" customHeight="1">
      <c r="A25" s="75"/>
      <c r="B25" s="58" t="s">
        <v>683</v>
      </c>
      <c r="C25" s="59">
        <v>1</v>
      </c>
      <c r="D25" s="59" t="s">
        <v>672</v>
      </c>
      <c r="E25" s="59">
        <v>1</v>
      </c>
      <c r="F25" s="60">
        <v>1.83</v>
      </c>
      <c r="G25" s="60">
        <v>1.52</v>
      </c>
      <c r="H25" s="60">
        <v>0.6</v>
      </c>
      <c r="I25" s="61">
        <f t="shared" si="0"/>
        <v>1.67</v>
      </c>
      <c r="J25" s="91"/>
      <c r="K25" s="65"/>
      <c r="L25" s="92"/>
      <c r="M25" s="93"/>
    </row>
    <row r="26" spans="1:14" s="66" customFormat="1" ht="15.75" customHeight="1">
      <c r="A26" s="75"/>
      <c r="B26" s="58" t="s">
        <v>684</v>
      </c>
      <c r="C26" s="59">
        <v>1</v>
      </c>
      <c r="D26" s="59" t="s">
        <v>672</v>
      </c>
      <c r="E26" s="59">
        <v>1</v>
      </c>
      <c r="F26" s="60">
        <v>8.16</v>
      </c>
      <c r="G26" s="60">
        <v>1.45</v>
      </c>
      <c r="H26" s="60">
        <v>0.6</v>
      </c>
      <c r="I26" s="61">
        <f>ROUND((H26*G26*F26*E26),2)</f>
        <v>7.1</v>
      </c>
      <c r="J26" s="91"/>
      <c r="K26" s="65"/>
      <c r="L26" s="92"/>
      <c r="M26" s="93"/>
    </row>
    <row r="27" spans="1:14" s="66" customFormat="1" ht="15.75" customHeight="1" thickBot="1">
      <c r="A27" s="75"/>
      <c r="B27" s="58" t="s">
        <v>685</v>
      </c>
      <c r="C27" s="59"/>
      <c r="D27" s="59"/>
      <c r="E27" s="59"/>
      <c r="F27" s="60"/>
      <c r="G27" s="60"/>
      <c r="H27" s="60"/>
      <c r="I27" s="61">
        <v>2</v>
      </c>
      <c r="J27" s="91"/>
      <c r="K27" s="65"/>
      <c r="L27" s="92"/>
      <c r="M27" s="93"/>
    </row>
    <row r="28" spans="1:14" s="66" customFormat="1" ht="15.75" hidden="1" customHeight="1">
      <c r="A28" s="75"/>
      <c r="B28" s="58" t="s">
        <v>686</v>
      </c>
      <c r="C28" s="59">
        <v>0</v>
      </c>
      <c r="D28" s="59" t="s">
        <v>672</v>
      </c>
      <c r="E28" s="59">
        <v>0</v>
      </c>
      <c r="F28" s="60">
        <v>1.8</v>
      </c>
      <c r="G28" s="60">
        <v>0.77</v>
      </c>
      <c r="H28" s="60">
        <v>0.45</v>
      </c>
      <c r="I28" s="61">
        <f t="shared" si="0"/>
        <v>0</v>
      </c>
      <c r="J28" s="62"/>
      <c r="K28" s="65"/>
      <c r="L28" s="92"/>
      <c r="M28" s="93"/>
    </row>
    <row r="29" spans="1:14" s="66" customFormat="1" ht="15.75" hidden="1" customHeight="1">
      <c r="A29" s="75"/>
      <c r="B29" s="58" t="s">
        <v>671</v>
      </c>
      <c r="C29" s="59">
        <v>0</v>
      </c>
      <c r="D29" s="59" t="s">
        <v>672</v>
      </c>
      <c r="E29" s="59">
        <v>0</v>
      </c>
      <c r="F29" s="60">
        <v>5.54</v>
      </c>
      <c r="G29" s="60">
        <v>0.45</v>
      </c>
      <c r="H29" s="60">
        <v>0.75</v>
      </c>
      <c r="I29" s="61">
        <f>ROUND((H29*G29*F29*E29),2)</f>
        <v>0</v>
      </c>
      <c r="J29" s="62"/>
      <c r="K29" s="65"/>
      <c r="L29" s="92"/>
      <c r="M29" s="93"/>
    </row>
    <row r="30" spans="1:14" s="66" customFormat="1" ht="15.75" hidden="1" customHeight="1" thickBot="1">
      <c r="A30" s="75"/>
      <c r="B30" s="58" t="s">
        <v>687</v>
      </c>
      <c r="C30" s="59">
        <v>0</v>
      </c>
      <c r="D30" s="59" t="s">
        <v>672</v>
      </c>
      <c r="E30" s="59">
        <v>0</v>
      </c>
      <c r="F30" s="60">
        <v>2.5499999999999998</v>
      </c>
      <c r="G30" s="60">
        <v>1.27</v>
      </c>
      <c r="H30" s="60">
        <v>0.75</v>
      </c>
      <c r="I30" s="62">
        <f>ROUND((H30*G30*F30*E30),2)</f>
        <v>0</v>
      </c>
      <c r="J30" s="62"/>
      <c r="K30" s="65"/>
      <c r="L30" s="92"/>
      <c r="M30" s="93"/>
    </row>
    <row r="31" spans="1:14" s="66" customFormat="1" ht="15.75" hidden="1" customHeight="1" thickBot="1">
      <c r="A31" s="75"/>
      <c r="B31" s="58"/>
      <c r="C31" s="58"/>
      <c r="D31" s="58"/>
      <c r="E31" s="59"/>
      <c r="F31" s="60"/>
      <c r="G31" s="60"/>
      <c r="H31" s="62"/>
      <c r="I31" s="62"/>
      <c r="J31" s="62"/>
      <c r="K31" s="65"/>
      <c r="L31" s="92"/>
      <c r="M31" s="93"/>
    </row>
    <row r="32" spans="1:14" ht="20.25" customHeight="1" thickBot="1">
      <c r="A32" s="75"/>
      <c r="B32" s="2170"/>
      <c r="C32" s="2171"/>
      <c r="D32" s="2171"/>
      <c r="E32" s="2171"/>
      <c r="F32" s="2171"/>
      <c r="G32" s="2171"/>
      <c r="H32" s="2172"/>
      <c r="I32" s="70">
        <f>SUM(I21:I31)</f>
        <v>31.759999999999998</v>
      </c>
      <c r="J32" s="71" t="s">
        <v>181</v>
      </c>
      <c r="K32" s="117" t="e">
        <f>#REF!</f>
        <v>#REF!</v>
      </c>
      <c r="L32" s="73" t="s">
        <v>676</v>
      </c>
      <c r="M32" s="74" t="e">
        <f>ROUND(I32*K32,0)</f>
        <v>#REF!</v>
      </c>
    </row>
    <row r="33" spans="1:16" s="56" customFormat="1" ht="318.75" customHeight="1">
      <c r="A33" s="75">
        <v>4</v>
      </c>
      <c r="B33" s="2145" t="s">
        <v>690</v>
      </c>
      <c r="C33" s="2146"/>
      <c r="D33" s="2146"/>
      <c r="E33" s="2146"/>
      <c r="F33" s="2146"/>
      <c r="G33" s="2146"/>
      <c r="H33" s="2147"/>
      <c r="I33" s="94"/>
      <c r="J33" s="95"/>
      <c r="K33" s="95"/>
      <c r="L33" s="96"/>
      <c r="M33" s="85"/>
      <c r="N33" s="111" t="s">
        <v>522</v>
      </c>
      <c r="O33" s="111" t="s">
        <v>522</v>
      </c>
      <c r="P33" s="97"/>
    </row>
    <row r="34" spans="1:16" s="56" customFormat="1" ht="21.75" customHeight="1" thickBot="1">
      <c r="A34" s="57"/>
      <c r="B34" s="140" t="s">
        <v>691</v>
      </c>
      <c r="C34" s="278">
        <v>1</v>
      </c>
      <c r="D34" s="278" t="s">
        <v>672</v>
      </c>
      <c r="E34" s="278">
        <v>7</v>
      </c>
      <c r="F34" s="279">
        <v>1</v>
      </c>
      <c r="G34" s="279">
        <v>1</v>
      </c>
      <c r="H34" s="279">
        <v>1</v>
      </c>
      <c r="I34" s="114">
        <f>ROUND((H34*G34*F34*E34),2)</f>
        <v>7</v>
      </c>
      <c r="J34" s="115"/>
      <c r="K34" s="57"/>
      <c r="L34" s="116"/>
      <c r="M34" s="83"/>
    </row>
    <row r="35" spans="1:16" ht="15.75" customHeight="1" thickBot="1">
      <c r="A35" s="75"/>
      <c r="B35" s="280"/>
      <c r="C35" s="280"/>
      <c r="D35" s="280"/>
      <c r="E35" s="280"/>
      <c r="F35" s="280"/>
      <c r="G35" s="280"/>
      <c r="H35" s="281"/>
      <c r="I35" s="70">
        <f>SUM(I34:I34)</f>
        <v>7</v>
      </c>
      <c r="J35" s="71" t="s">
        <v>692</v>
      </c>
      <c r="K35" s="117" t="e">
        <f>#REF!</f>
        <v>#REF!</v>
      </c>
      <c r="L35" s="73" t="s">
        <v>692</v>
      </c>
      <c r="M35" s="74" t="e">
        <f>ROUND(I35*K35,0)</f>
        <v>#REF!</v>
      </c>
      <c r="P35" s="107"/>
    </row>
    <row r="36" spans="1:16" s="56" customFormat="1" ht="24.75" customHeight="1" thickBot="1">
      <c r="A36" s="57"/>
      <c r="B36" s="140" t="s">
        <v>693</v>
      </c>
      <c r="C36" s="278">
        <v>1</v>
      </c>
      <c r="D36" s="278" t="s">
        <v>672</v>
      </c>
      <c r="E36" s="278">
        <v>3</v>
      </c>
      <c r="F36" s="279">
        <v>1</v>
      </c>
      <c r="G36" s="279">
        <v>1</v>
      </c>
      <c r="H36" s="279">
        <v>1</v>
      </c>
      <c r="I36" s="114">
        <f>ROUND((H36*G36*F36*E36),2)</f>
        <v>3</v>
      </c>
      <c r="J36" s="115"/>
      <c r="K36" s="57"/>
      <c r="L36" s="116"/>
      <c r="M36" s="83"/>
    </row>
    <row r="37" spans="1:16" ht="16.5" customHeight="1" thickBot="1">
      <c r="A37" s="75"/>
      <c r="B37" s="280"/>
      <c r="C37" s="280"/>
      <c r="D37" s="280"/>
      <c r="E37" s="280"/>
      <c r="F37" s="280"/>
      <c r="G37" s="280"/>
      <c r="H37" s="281"/>
      <c r="I37" s="70">
        <f>SUM(I36:I36)</f>
        <v>3</v>
      </c>
      <c r="J37" s="71" t="s">
        <v>692</v>
      </c>
      <c r="K37" s="117" t="e">
        <f>#REF!</f>
        <v>#REF!</v>
      </c>
      <c r="L37" s="118" t="s">
        <v>692</v>
      </c>
      <c r="M37" s="74" t="e">
        <f>ROUND(I37*K37,0)</f>
        <v>#REF!</v>
      </c>
      <c r="P37" s="107"/>
    </row>
    <row r="38" spans="1:16" s="56" customFormat="1" ht="299.25" hidden="1" customHeight="1">
      <c r="A38" s="57"/>
      <c r="B38" s="2187" t="s">
        <v>690</v>
      </c>
      <c r="C38" s="2188"/>
      <c r="D38" s="2188"/>
      <c r="E38" s="2188"/>
      <c r="F38" s="2188"/>
      <c r="G38" s="2188"/>
      <c r="H38" s="2189"/>
      <c r="I38" s="114"/>
      <c r="J38" s="115"/>
      <c r="K38" s="57"/>
      <c r="L38" s="116"/>
      <c r="M38" s="83"/>
    </row>
    <row r="39" spans="1:16" s="56" customFormat="1" ht="22.5" customHeight="1">
      <c r="A39" s="57"/>
      <c r="B39" s="282" t="s">
        <v>447</v>
      </c>
      <c r="C39" s="283">
        <v>1</v>
      </c>
      <c r="D39" s="283" t="s">
        <v>694</v>
      </c>
      <c r="E39" s="284">
        <v>2</v>
      </c>
      <c r="F39" s="285">
        <v>1</v>
      </c>
      <c r="G39" s="285">
        <v>1</v>
      </c>
      <c r="H39" s="286">
        <v>1</v>
      </c>
      <c r="I39" s="123">
        <f>ROUND(C39*E39*F39*G39*H39,2)</f>
        <v>2</v>
      </c>
      <c r="J39" s="71" t="s">
        <v>689</v>
      </c>
      <c r="K39" s="117" t="e">
        <f>#REF!</f>
        <v>#REF!</v>
      </c>
      <c r="L39" s="116" t="s">
        <v>692</v>
      </c>
      <c r="M39" s="74" t="e">
        <f>ROUND(I39*K39,0)</f>
        <v>#REF!</v>
      </c>
    </row>
    <row r="40" spans="1:16" s="56" customFormat="1" ht="8.25" customHeight="1">
      <c r="A40" s="57"/>
      <c r="B40" s="2164"/>
      <c r="C40" s="2165"/>
      <c r="D40" s="2165"/>
      <c r="E40" s="2165"/>
      <c r="F40" s="2165"/>
      <c r="G40" s="2165"/>
      <c r="H40" s="2166"/>
      <c r="I40" s="123"/>
      <c r="J40" s="115"/>
      <c r="K40" s="57"/>
      <c r="L40" s="116"/>
      <c r="M40" s="83"/>
    </row>
    <row r="41" spans="1:16" s="56" customFormat="1" ht="15.75" hidden="1" customHeight="1">
      <c r="A41" s="57"/>
      <c r="B41" s="124"/>
      <c r="C41" s="119"/>
      <c r="D41" s="119"/>
      <c r="E41" s="120"/>
      <c r="F41" s="121"/>
      <c r="G41" s="121"/>
      <c r="H41" s="122"/>
      <c r="I41" s="123"/>
      <c r="J41" s="115"/>
      <c r="K41" s="57"/>
      <c r="L41" s="116"/>
      <c r="M41" s="83"/>
    </row>
    <row r="42" spans="1:16" s="56" customFormat="1" ht="22.5" hidden="1" customHeight="1">
      <c r="A42" s="57"/>
      <c r="B42" s="124"/>
      <c r="C42" s="119"/>
      <c r="D42" s="119"/>
      <c r="E42" s="120"/>
      <c r="F42" s="121"/>
      <c r="G42" s="121"/>
      <c r="H42" s="122"/>
      <c r="I42" s="123"/>
      <c r="J42" s="115"/>
      <c r="K42" s="57"/>
      <c r="L42" s="116"/>
      <c r="M42" s="83"/>
    </row>
    <row r="43" spans="1:16" ht="30.75" customHeight="1">
      <c r="A43" s="75">
        <v>5</v>
      </c>
      <c r="B43" s="2197" t="s">
        <v>695</v>
      </c>
      <c r="C43" s="2198"/>
      <c r="D43" s="2198"/>
      <c r="E43" s="2198"/>
      <c r="F43" s="2198"/>
      <c r="G43" s="2198"/>
      <c r="H43" s="2199"/>
      <c r="I43" s="104"/>
      <c r="J43" s="100"/>
      <c r="K43" s="81"/>
      <c r="L43" s="105"/>
      <c r="M43" s="106"/>
      <c r="P43" s="107"/>
    </row>
    <row r="44" spans="1:16" ht="16.5" customHeight="1">
      <c r="A44" s="75"/>
      <c r="B44" s="58" t="s">
        <v>696</v>
      </c>
      <c r="C44" s="59">
        <v>1</v>
      </c>
      <c r="D44" s="59" t="s">
        <v>672</v>
      </c>
      <c r="E44" s="59">
        <v>2</v>
      </c>
      <c r="F44" s="60">
        <v>8.6199999999999992</v>
      </c>
      <c r="G44" s="60">
        <v>0.23</v>
      </c>
      <c r="H44" s="60">
        <v>0.3</v>
      </c>
      <c r="I44" s="61">
        <f>ROUND((H44*G44*F44*E44),2)</f>
        <v>1.19</v>
      </c>
      <c r="J44" s="100"/>
      <c r="K44" s="81"/>
      <c r="L44" s="105"/>
      <c r="M44" s="106"/>
      <c r="P44" s="107"/>
    </row>
    <row r="45" spans="1:16" ht="16.5" customHeight="1">
      <c r="A45" s="75"/>
      <c r="B45" s="58"/>
      <c r="C45" s="59">
        <v>1</v>
      </c>
      <c r="D45" s="59" t="s">
        <v>672</v>
      </c>
      <c r="E45" s="59">
        <v>1</v>
      </c>
      <c r="F45" s="60">
        <v>8.6199999999999992</v>
      </c>
      <c r="G45" s="60">
        <v>0.23</v>
      </c>
      <c r="H45" s="60">
        <v>0.23</v>
      </c>
      <c r="I45" s="61">
        <f>ROUND((H45*G45*F45*E45),2)</f>
        <v>0.46</v>
      </c>
      <c r="J45" s="100"/>
      <c r="K45" s="81"/>
      <c r="L45" s="105"/>
      <c r="M45" s="106"/>
      <c r="P45" s="107"/>
    </row>
    <row r="46" spans="1:16" ht="16.5" customHeight="1">
      <c r="A46" s="75"/>
      <c r="B46" s="58" t="s">
        <v>697</v>
      </c>
      <c r="C46" s="59">
        <v>1</v>
      </c>
      <c r="D46" s="59" t="s">
        <v>672</v>
      </c>
      <c r="E46" s="59">
        <v>2</v>
      </c>
      <c r="F46" s="60">
        <v>1.83</v>
      </c>
      <c r="G46" s="60">
        <v>0.23</v>
      </c>
      <c r="H46" s="60">
        <v>0.23</v>
      </c>
      <c r="I46" s="61">
        <f>ROUND((H46*G46*F46*E46),2)</f>
        <v>0.19</v>
      </c>
      <c r="J46" s="100"/>
      <c r="K46" s="81"/>
      <c r="L46" s="105"/>
      <c r="M46" s="106"/>
      <c r="P46" s="107"/>
    </row>
    <row r="47" spans="1:16" ht="16.5" customHeight="1" thickBot="1">
      <c r="A47" s="75"/>
      <c r="B47" s="58" t="s">
        <v>698</v>
      </c>
      <c r="C47" s="59">
        <v>1</v>
      </c>
      <c r="D47" s="59" t="s">
        <v>672</v>
      </c>
      <c r="E47" s="59">
        <v>3</v>
      </c>
      <c r="F47" s="60">
        <v>6.33</v>
      </c>
      <c r="G47" s="60">
        <v>0.23</v>
      </c>
      <c r="H47" s="60">
        <v>0.3</v>
      </c>
      <c r="I47" s="61">
        <f>ROUND((H47*G47*F47*E47),2)</f>
        <v>1.31</v>
      </c>
      <c r="J47" s="100"/>
      <c r="K47" s="81"/>
      <c r="L47" s="105"/>
      <c r="M47" s="106"/>
      <c r="P47" s="107"/>
    </row>
    <row r="48" spans="1:16" ht="17.25" hidden="1" customHeight="1" thickBot="1">
      <c r="A48" s="75"/>
      <c r="B48" s="67"/>
      <c r="C48" s="59"/>
      <c r="D48" s="59"/>
      <c r="E48" s="59"/>
      <c r="F48" s="60"/>
      <c r="G48" s="60"/>
      <c r="H48" s="125"/>
      <c r="I48" s="126"/>
      <c r="J48" s="71"/>
      <c r="K48" s="81"/>
      <c r="L48" s="105"/>
      <c r="M48" s="106"/>
      <c r="P48" s="107"/>
    </row>
    <row r="49" spans="1:17" ht="15" thickBot="1">
      <c r="A49" s="75"/>
      <c r="B49" s="2164"/>
      <c r="C49" s="2165"/>
      <c r="D49" s="2165"/>
      <c r="E49" s="2165"/>
      <c r="F49" s="2165"/>
      <c r="G49" s="2165"/>
      <c r="H49" s="2166"/>
      <c r="I49" s="70">
        <f>SUM(I44:I48)</f>
        <v>3.15</v>
      </c>
      <c r="J49" s="71" t="s">
        <v>181</v>
      </c>
      <c r="K49" s="117" t="e">
        <f>#REF!</f>
        <v>#REF!</v>
      </c>
      <c r="L49" s="73" t="s">
        <v>676</v>
      </c>
      <c r="M49" s="74" t="e">
        <f>ROUND(I49*K49,0)</f>
        <v>#REF!</v>
      </c>
      <c r="P49" s="107"/>
    </row>
    <row r="50" spans="1:17" s="56" customFormat="1" ht="28.5" customHeight="1">
      <c r="A50" s="75">
        <v>6</v>
      </c>
      <c r="B50" s="2190" t="s">
        <v>699</v>
      </c>
      <c r="C50" s="2191"/>
      <c r="D50" s="2191"/>
      <c r="E50" s="2191"/>
      <c r="F50" s="2191"/>
      <c r="G50" s="2191"/>
      <c r="H50" s="2192"/>
      <c r="I50" s="127"/>
      <c r="J50" s="115"/>
      <c r="K50" s="95"/>
      <c r="L50" s="96"/>
      <c r="M50" s="85"/>
      <c r="P50" s="97"/>
    </row>
    <row r="51" spans="1:17" ht="18.75" customHeight="1">
      <c r="A51" s="75"/>
      <c r="B51" s="58" t="s">
        <v>700</v>
      </c>
      <c r="C51" s="59">
        <v>1</v>
      </c>
      <c r="D51" s="59" t="s">
        <v>672</v>
      </c>
      <c r="E51" s="59">
        <v>8</v>
      </c>
      <c r="F51" s="60">
        <v>0.23</v>
      </c>
      <c r="G51" s="60">
        <v>0.3</v>
      </c>
      <c r="H51" s="60">
        <v>3.6</v>
      </c>
      <c r="I51" s="61">
        <f>ROUND((H51*G51*F51*E51),2)</f>
        <v>1.99</v>
      </c>
      <c r="J51" s="71"/>
      <c r="K51" s="81"/>
      <c r="L51" s="105"/>
      <c r="M51" s="106"/>
      <c r="P51" s="107"/>
    </row>
    <row r="52" spans="1:17" ht="15" thickBot="1">
      <c r="A52" s="75"/>
      <c r="B52" s="58" t="s">
        <v>700</v>
      </c>
      <c r="C52" s="59">
        <v>1</v>
      </c>
      <c r="D52" s="59" t="s">
        <v>672</v>
      </c>
      <c r="E52" s="59">
        <v>2</v>
      </c>
      <c r="F52" s="60">
        <v>0.23</v>
      </c>
      <c r="G52" s="60">
        <v>0.23</v>
      </c>
      <c r="H52" s="60">
        <v>3.6</v>
      </c>
      <c r="I52" s="61">
        <f>ROUND((H52*G52*F52*E52),2)</f>
        <v>0.38</v>
      </c>
      <c r="J52" s="71"/>
      <c r="K52" s="81"/>
      <c r="L52" s="105"/>
      <c r="M52" s="106"/>
      <c r="P52" s="107"/>
    </row>
    <row r="53" spans="1:17" ht="15" thickBot="1">
      <c r="A53" s="75"/>
      <c r="B53" s="2164"/>
      <c r="C53" s="2165"/>
      <c r="D53" s="2165"/>
      <c r="E53" s="2165"/>
      <c r="F53" s="2165"/>
      <c r="G53" s="2165"/>
      <c r="H53" s="2166"/>
      <c r="I53" s="70">
        <f>SUM(I51:I52)</f>
        <v>2.37</v>
      </c>
      <c r="J53" s="71" t="s">
        <v>181</v>
      </c>
      <c r="K53" s="117" t="e">
        <f>#REF!</f>
        <v>#REF!</v>
      </c>
      <c r="L53" s="73" t="s">
        <v>701</v>
      </c>
      <c r="M53" s="74" t="e">
        <f>ROUND(I53*K53,0)</f>
        <v>#REF!</v>
      </c>
      <c r="P53" s="107"/>
    </row>
    <row r="54" spans="1:17" s="56" customFormat="1" ht="31.5" customHeight="1">
      <c r="A54" s="75">
        <v>7</v>
      </c>
      <c r="B54" s="2190" t="s">
        <v>702</v>
      </c>
      <c r="C54" s="2191"/>
      <c r="D54" s="2191"/>
      <c r="E54" s="2191"/>
      <c r="F54" s="2191"/>
      <c r="G54" s="2191"/>
      <c r="H54" s="2192"/>
      <c r="I54" s="127"/>
      <c r="J54" s="115"/>
      <c r="K54" s="95"/>
      <c r="L54" s="96"/>
      <c r="M54" s="85"/>
      <c r="P54" s="97"/>
    </row>
    <row r="55" spans="1:17" ht="18" customHeight="1">
      <c r="A55" s="75"/>
      <c r="B55" s="58" t="s">
        <v>703</v>
      </c>
      <c r="C55" s="59">
        <v>1</v>
      </c>
      <c r="D55" s="59" t="s">
        <v>672</v>
      </c>
      <c r="E55" s="59">
        <v>1</v>
      </c>
      <c r="F55" s="60">
        <v>1.3</v>
      </c>
      <c r="G55" s="60">
        <v>0.2</v>
      </c>
      <c r="H55" s="60">
        <v>0.15</v>
      </c>
      <c r="I55" s="61">
        <f t="shared" ref="I55:I60" si="1">ROUND((H55*G55*F55*E55),2)</f>
        <v>0.04</v>
      </c>
      <c r="J55" s="100"/>
      <c r="K55" s="81"/>
      <c r="L55" s="105"/>
      <c r="M55" s="106"/>
      <c r="N55" s="47">
        <f>0.75+2.81</f>
        <v>3.56</v>
      </c>
      <c r="P55" s="107"/>
    </row>
    <row r="56" spans="1:17" ht="18" customHeight="1">
      <c r="A56" s="75"/>
      <c r="B56" s="58" t="s">
        <v>704</v>
      </c>
      <c r="C56" s="59">
        <v>1</v>
      </c>
      <c r="D56" s="59" t="s">
        <v>672</v>
      </c>
      <c r="E56" s="59">
        <v>1</v>
      </c>
      <c r="F56" s="60">
        <v>1.05</v>
      </c>
      <c r="G56" s="60">
        <v>0.2</v>
      </c>
      <c r="H56" s="60">
        <v>0.15</v>
      </c>
      <c r="I56" s="61">
        <f t="shared" si="1"/>
        <v>0.03</v>
      </c>
      <c r="J56" s="100"/>
      <c r="K56" s="81"/>
      <c r="L56" s="105"/>
      <c r="M56" s="106"/>
      <c r="P56" s="107"/>
    </row>
    <row r="57" spans="1:17" ht="18" customHeight="1">
      <c r="A57" s="75"/>
      <c r="B57" s="58" t="s">
        <v>705</v>
      </c>
      <c r="C57" s="59">
        <v>1</v>
      </c>
      <c r="D57" s="59" t="s">
        <v>672</v>
      </c>
      <c r="E57" s="59">
        <v>2</v>
      </c>
      <c r="F57" s="60">
        <v>1.05</v>
      </c>
      <c r="G57" s="60">
        <v>0.2</v>
      </c>
      <c r="H57" s="60">
        <v>0.15</v>
      </c>
      <c r="I57" s="61">
        <f>ROUND((H57*G57*F57*E57),2)</f>
        <v>0.06</v>
      </c>
      <c r="J57" s="100"/>
      <c r="K57" s="81"/>
      <c r="L57" s="105"/>
      <c r="M57" s="106"/>
      <c r="P57" s="107"/>
    </row>
    <row r="58" spans="1:17" ht="18" customHeight="1">
      <c r="A58" s="75"/>
      <c r="B58" s="58" t="s">
        <v>706</v>
      </c>
      <c r="C58" s="59">
        <v>1</v>
      </c>
      <c r="D58" s="59" t="s">
        <v>672</v>
      </c>
      <c r="E58" s="59">
        <v>1</v>
      </c>
      <c r="F58" s="60">
        <v>1.05</v>
      </c>
      <c r="G58" s="60">
        <v>0.2</v>
      </c>
      <c r="H58" s="60">
        <v>0.15</v>
      </c>
      <c r="I58" s="61">
        <f>ROUND((H58*G58*F58*E58),2)</f>
        <v>0.03</v>
      </c>
      <c r="J58" s="100"/>
      <c r="K58" s="81"/>
      <c r="L58" s="105"/>
      <c r="M58" s="106"/>
      <c r="P58" s="107"/>
    </row>
    <row r="59" spans="1:17" ht="18" customHeight="1">
      <c r="A59" s="75"/>
      <c r="B59" s="58" t="s">
        <v>707</v>
      </c>
      <c r="C59" s="59">
        <v>1</v>
      </c>
      <c r="D59" s="59" t="s">
        <v>672</v>
      </c>
      <c r="E59" s="59">
        <v>6</v>
      </c>
      <c r="F59" s="60">
        <v>1.52</v>
      </c>
      <c r="G59" s="60">
        <v>0.2</v>
      </c>
      <c r="H59" s="60">
        <v>0.15</v>
      </c>
      <c r="I59" s="61">
        <f t="shared" si="1"/>
        <v>0.27</v>
      </c>
      <c r="J59" s="100"/>
      <c r="K59" s="81"/>
      <c r="L59" s="105"/>
      <c r="M59" s="106"/>
      <c r="P59" s="107"/>
    </row>
    <row r="60" spans="1:17" ht="18" customHeight="1" thickBot="1">
      <c r="A60" s="75"/>
      <c r="B60" s="58" t="s">
        <v>708</v>
      </c>
      <c r="C60" s="59">
        <v>1</v>
      </c>
      <c r="D60" s="59" t="s">
        <v>672</v>
      </c>
      <c r="E60" s="59">
        <v>2</v>
      </c>
      <c r="F60" s="60">
        <v>1.05</v>
      </c>
      <c r="G60" s="60">
        <v>0.2</v>
      </c>
      <c r="H60" s="60">
        <v>0.15</v>
      </c>
      <c r="I60" s="61">
        <f t="shared" si="1"/>
        <v>0.06</v>
      </c>
      <c r="J60" s="100"/>
      <c r="K60" s="81"/>
      <c r="L60" s="105"/>
      <c r="M60" s="106"/>
      <c r="O60" s="47" t="s">
        <v>522</v>
      </c>
      <c r="P60" s="107"/>
    </row>
    <row r="61" spans="1:17" ht="18" hidden="1" customHeight="1" thickBot="1">
      <c r="A61" s="75"/>
      <c r="B61" s="67"/>
      <c r="C61" s="59"/>
      <c r="D61" s="59"/>
      <c r="E61" s="59"/>
      <c r="F61" s="60"/>
      <c r="G61" s="60"/>
      <c r="H61" s="60"/>
      <c r="I61" s="61"/>
      <c r="J61" s="71"/>
      <c r="K61" s="81"/>
      <c r="L61" s="105"/>
      <c r="M61" s="106"/>
      <c r="P61" s="107"/>
    </row>
    <row r="62" spans="1:17" ht="15" thickBot="1">
      <c r="A62" s="75"/>
      <c r="B62" s="67"/>
      <c r="C62" s="67"/>
      <c r="D62" s="67"/>
      <c r="E62" s="67"/>
      <c r="F62" s="67"/>
      <c r="G62" s="67"/>
      <c r="H62" s="76"/>
      <c r="I62" s="70">
        <f>SUM(I55:I61)</f>
        <v>0.49000000000000005</v>
      </c>
      <c r="J62" s="71" t="s">
        <v>181</v>
      </c>
      <c r="K62" s="117" t="e">
        <f>#REF!</f>
        <v>#REF!</v>
      </c>
      <c r="L62" s="73" t="s">
        <v>676</v>
      </c>
      <c r="M62" s="74" t="e">
        <f>ROUND(I62*K62,0)</f>
        <v>#REF!</v>
      </c>
      <c r="P62" s="107"/>
    </row>
    <row r="63" spans="1:17" s="56" customFormat="1" ht="55.5" customHeight="1">
      <c r="A63" s="75">
        <v>8</v>
      </c>
      <c r="B63" s="2201" t="s">
        <v>709</v>
      </c>
      <c r="C63" s="2202"/>
      <c r="D63" s="2202"/>
      <c r="E63" s="2202"/>
      <c r="F63" s="2202"/>
      <c r="G63" s="2202"/>
      <c r="H63" s="2202"/>
      <c r="I63" s="2203"/>
      <c r="J63" s="115"/>
      <c r="K63" s="95"/>
      <c r="L63" s="96"/>
      <c r="M63" s="85"/>
      <c r="P63" s="97"/>
    </row>
    <row r="64" spans="1:17" ht="18.75" customHeight="1">
      <c r="A64" s="75"/>
      <c r="B64" s="58" t="s">
        <v>710</v>
      </c>
      <c r="C64" s="59">
        <v>1</v>
      </c>
      <c r="D64" s="59" t="s">
        <v>672</v>
      </c>
      <c r="E64" s="59">
        <v>1</v>
      </c>
      <c r="F64" s="60">
        <v>1.05</v>
      </c>
      <c r="G64" s="60">
        <v>0.6</v>
      </c>
      <c r="H64" s="128">
        <v>6.25E-2</v>
      </c>
      <c r="I64" s="61">
        <f>ROUND(C64*E64*F64*G64*H64,2)</f>
        <v>0.04</v>
      </c>
      <c r="J64" s="100"/>
      <c r="K64" s="81"/>
      <c r="L64" s="105"/>
      <c r="M64" s="106"/>
      <c r="P64" s="107"/>
      <c r="Q64" s="47" t="s">
        <v>522</v>
      </c>
    </row>
    <row r="65" spans="1:20" ht="18.75" customHeight="1">
      <c r="A65" s="75"/>
      <c r="B65" s="58" t="s">
        <v>707</v>
      </c>
      <c r="C65" s="59">
        <v>1</v>
      </c>
      <c r="D65" s="59" t="s">
        <v>672</v>
      </c>
      <c r="E65" s="59">
        <v>4</v>
      </c>
      <c r="F65" s="60">
        <v>1.52</v>
      </c>
      <c r="G65" s="60">
        <v>0.6</v>
      </c>
      <c r="H65" s="128">
        <v>6.25E-2</v>
      </c>
      <c r="I65" s="61">
        <f>ROUND(C65*E65*F65*G65*H65,2)</f>
        <v>0.23</v>
      </c>
      <c r="J65" s="100"/>
      <c r="K65" s="81"/>
      <c r="L65" s="105"/>
      <c r="M65" s="106"/>
      <c r="P65" s="107"/>
    </row>
    <row r="66" spans="1:20" ht="18.75" customHeight="1">
      <c r="A66" s="75"/>
      <c r="B66" s="58" t="s">
        <v>708</v>
      </c>
      <c r="C66" s="59">
        <v>1</v>
      </c>
      <c r="D66" s="59" t="s">
        <v>672</v>
      </c>
      <c r="E66" s="59">
        <v>2</v>
      </c>
      <c r="F66" s="60">
        <v>1.05</v>
      </c>
      <c r="G66" s="60">
        <v>0.6</v>
      </c>
      <c r="H66" s="128">
        <v>6.25E-2</v>
      </c>
      <c r="I66" s="61">
        <f>ROUND(C66*E66*F66*G66*H66,2)</f>
        <v>0.08</v>
      </c>
      <c r="J66" s="100"/>
      <c r="K66" s="81"/>
      <c r="L66" s="105"/>
      <c r="M66" s="106"/>
      <c r="P66" s="107"/>
    </row>
    <row r="67" spans="1:20" ht="19.5" customHeight="1">
      <c r="A67" s="75"/>
      <c r="B67" s="67"/>
      <c r="C67" s="59"/>
      <c r="D67" s="59"/>
      <c r="E67" s="59"/>
      <c r="F67" s="60"/>
      <c r="G67" s="60"/>
      <c r="H67" s="60"/>
      <c r="I67" s="61">
        <f>SUM(I64:I66)</f>
        <v>0.35000000000000003</v>
      </c>
      <c r="J67" s="129" t="s">
        <v>113</v>
      </c>
      <c r="K67" s="117" t="e">
        <f>#REF!</f>
        <v>#REF!</v>
      </c>
      <c r="L67" s="73" t="s">
        <v>711</v>
      </c>
      <c r="M67" s="74" t="e">
        <f>ROUND(I67*K67,0)</f>
        <v>#REF!</v>
      </c>
      <c r="N67" s="130"/>
      <c r="P67" s="107"/>
    </row>
    <row r="68" spans="1:20" s="56" customFormat="1" ht="31.5" customHeight="1">
      <c r="A68" s="75">
        <v>9</v>
      </c>
      <c r="B68" s="2201" t="s">
        <v>712</v>
      </c>
      <c r="C68" s="2202"/>
      <c r="D68" s="2202"/>
      <c r="E68" s="2202"/>
      <c r="F68" s="2202"/>
      <c r="G68" s="2202"/>
      <c r="H68" s="2202"/>
      <c r="I68" s="2203"/>
      <c r="J68" s="115"/>
      <c r="K68" s="95"/>
      <c r="L68" s="96"/>
      <c r="M68" s="85"/>
      <c r="P68" s="97"/>
    </row>
    <row r="69" spans="1:20" s="231" customFormat="1" ht="17.25" customHeight="1">
      <c r="A69" s="223"/>
      <c r="B69" s="259"/>
      <c r="C69" s="260">
        <v>1</v>
      </c>
      <c r="D69" s="260" t="s">
        <v>672</v>
      </c>
      <c r="E69" s="260">
        <v>3</v>
      </c>
      <c r="F69" s="261">
        <v>8.6199999999999992</v>
      </c>
      <c r="G69" s="261">
        <v>0.23</v>
      </c>
      <c r="H69" s="261">
        <v>0.3</v>
      </c>
      <c r="I69" s="258">
        <f>ROUND((H69*G69*F69*E69),2)</f>
        <v>1.78</v>
      </c>
      <c r="J69" s="225"/>
      <c r="K69" s="227"/>
      <c r="L69" s="262"/>
      <c r="M69" s="226"/>
      <c r="P69" s="257"/>
    </row>
    <row r="70" spans="1:20" s="231" customFormat="1" ht="17.25" customHeight="1">
      <c r="A70" s="223"/>
      <c r="B70" s="259"/>
      <c r="C70" s="260">
        <v>1</v>
      </c>
      <c r="D70" s="260" t="s">
        <v>672</v>
      </c>
      <c r="E70" s="260">
        <v>4</v>
      </c>
      <c r="F70" s="261">
        <v>4.88</v>
      </c>
      <c r="G70" s="261">
        <v>0.23</v>
      </c>
      <c r="H70" s="261">
        <v>0.3</v>
      </c>
      <c r="I70" s="258">
        <f>ROUND((H70*G70*F70*E70),2)</f>
        <v>1.35</v>
      </c>
      <c r="J70" s="225"/>
      <c r="K70" s="227"/>
      <c r="L70" s="262"/>
      <c r="M70" s="226"/>
      <c r="P70" s="257"/>
    </row>
    <row r="71" spans="1:20" s="231" customFormat="1" ht="17.25" customHeight="1" thickBot="1">
      <c r="A71" s="223"/>
      <c r="B71" s="235"/>
      <c r="C71" s="240">
        <v>1</v>
      </c>
      <c r="D71" s="240" t="s">
        <v>672</v>
      </c>
      <c r="E71" s="240">
        <v>2</v>
      </c>
      <c r="F71" s="255">
        <v>1.45</v>
      </c>
      <c r="G71" s="255">
        <v>0.23</v>
      </c>
      <c r="H71" s="255">
        <v>0.3</v>
      </c>
      <c r="I71" s="256">
        <f>ROUND((H71*G71*F71*E71),2)</f>
        <v>0.2</v>
      </c>
      <c r="J71" s="263"/>
      <c r="K71" s="227"/>
      <c r="L71" s="262"/>
      <c r="M71" s="226"/>
      <c r="O71" s="264"/>
      <c r="P71" s="257"/>
    </row>
    <row r="72" spans="1:20" ht="13.5" hidden="1" customHeight="1" thickBot="1">
      <c r="A72" s="75"/>
      <c r="B72" s="80"/>
      <c r="C72" s="112"/>
      <c r="D72" s="112"/>
      <c r="E72" s="112"/>
      <c r="F72" s="113"/>
      <c r="G72" s="113"/>
      <c r="H72" s="132"/>
      <c r="I72" s="133"/>
      <c r="J72" s="71"/>
      <c r="K72" s="81"/>
      <c r="L72" s="105"/>
      <c r="M72" s="106"/>
      <c r="O72" s="130"/>
      <c r="P72" s="107"/>
    </row>
    <row r="73" spans="1:20" ht="18.75" customHeight="1" thickBot="1">
      <c r="A73" s="75"/>
      <c r="B73" s="2164"/>
      <c r="C73" s="2165"/>
      <c r="D73" s="2165"/>
      <c r="E73" s="2165"/>
      <c r="F73" s="2165"/>
      <c r="G73" s="2165"/>
      <c r="H73" s="2166"/>
      <c r="I73" s="70">
        <f>SUM(I69:I72)</f>
        <v>3.33</v>
      </c>
      <c r="J73" s="71" t="s">
        <v>181</v>
      </c>
      <c r="K73" s="117" t="e">
        <f>#REF!</f>
        <v>#REF!</v>
      </c>
      <c r="L73" s="73" t="s">
        <v>676</v>
      </c>
      <c r="M73" s="74" t="e">
        <f>ROUND(I73*K73,0)</f>
        <v>#REF!</v>
      </c>
      <c r="P73" s="107"/>
      <c r="R73" s="2193"/>
      <c r="S73" s="2193"/>
      <c r="T73" s="2193"/>
    </row>
    <row r="74" spans="1:20" s="56" customFormat="1" ht="30" customHeight="1">
      <c r="A74" s="75">
        <v>10</v>
      </c>
      <c r="B74" s="2194" t="s">
        <v>787</v>
      </c>
      <c r="C74" s="2195"/>
      <c r="D74" s="2195"/>
      <c r="E74" s="2195"/>
      <c r="F74" s="2195"/>
      <c r="G74" s="2195"/>
      <c r="H74" s="2195"/>
      <c r="I74" s="2196"/>
      <c r="J74" s="115"/>
      <c r="K74" s="95"/>
      <c r="L74" s="96"/>
      <c r="M74" s="85"/>
      <c r="P74" s="97"/>
    </row>
    <row r="75" spans="1:20" ht="14.5">
      <c r="A75" s="75"/>
      <c r="B75" s="265"/>
      <c r="C75" s="240">
        <v>1</v>
      </c>
      <c r="D75" s="240" t="s">
        <v>672</v>
      </c>
      <c r="E75" s="240">
        <v>1</v>
      </c>
      <c r="F75" s="255">
        <v>9.4</v>
      </c>
      <c r="G75" s="255">
        <v>7.6</v>
      </c>
      <c r="H75" s="255">
        <v>0.115</v>
      </c>
      <c r="I75" s="61">
        <f>ROUND((H75*G75*F75*E75),2)</f>
        <v>8.2200000000000006</v>
      </c>
      <c r="J75" s="100"/>
      <c r="K75" s="81"/>
      <c r="L75" s="105"/>
      <c r="M75" s="106"/>
      <c r="P75" s="107"/>
    </row>
    <row r="76" spans="1:20" ht="14.5">
      <c r="A76" s="75"/>
      <c r="B76" s="2164"/>
      <c r="C76" s="2165"/>
      <c r="D76" s="2165"/>
      <c r="E76" s="2165"/>
      <c r="F76" s="2165"/>
      <c r="G76" s="2165"/>
      <c r="H76" s="2166"/>
      <c r="I76" s="134">
        <f>SUM(I75:I75)</f>
        <v>8.2200000000000006</v>
      </c>
      <c r="J76" s="71" t="s">
        <v>181</v>
      </c>
      <c r="K76" s="117" t="e">
        <f>#REF!</f>
        <v>#REF!</v>
      </c>
      <c r="L76" s="73" t="s">
        <v>676</v>
      </c>
      <c r="M76" s="74" t="e">
        <f>ROUND(I76*K76,0)</f>
        <v>#REF!</v>
      </c>
      <c r="P76" s="107"/>
    </row>
    <row r="77" spans="1:20" s="56" customFormat="1" ht="46.5" customHeight="1">
      <c r="A77" s="75">
        <v>11</v>
      </c>
      <c r="B77" s="2194" t="s">
        <v>713</v>
      </c>
      <c r="C77" s="2195"/>
      <c r="D77" s="2195"/>
      <c r="E77" s="2195"/>
      <c r="F77" s="2195"/>
      <c r="G77" s="2195"/>
      <c r="H77" s="2195"/>
      <c r="I77" s="2196"/>
      <c r="J77" s="115"/>
      <c r="K77" s="95"/>
      <c r="L77" s="96"/>
      <c r="M77" s="85"/>
      <c r="P77" s="97"/>
    </row>
    <row r="78" spans="1:20" ht="14.5">
      <c r="A78" s="75"/>
      <c r="B78" s="265"/>
      <c r="C78" s="240">
        <v>1</v>
      </c>
      <c r="D78" s="240" t="s">
        <v>672</v>
      </c>
      <c r="E78" s="240">
        <v>1</v>
      </c>
      <c r="F78" s="255">
        <v>10.85</v>
      </c>
      <c r="G78" s="255">
        <v>0.62</v>
      </c>
      <c r="H78" s="255">
        <v>0.05</v>
      </c>
      <c r="I78" s="61">
        <f>ROUND((H78*G78*F78*E78),2)</f>
        <v>0.34</v>
      </c>
      <c r="J78" s="100"/>
      <c r="K78" s="81"/>
      <c r="L78" s="105"/>
      <c r="M78" s="106"/>
      <c r="P78" s="107"/>
    </row>
    <row r="79" spans="1:20" ht="14.5">
      <c r="A79" s="75"/>
      <c r="B79" s="2164"/>
      <c r="C79" s="2165"/>
      <c r="D79" s="2165"/>
      <c r="E79" s="2165"/>
      <c r="F79" s="2165"/>
      <c r="G79" s="2165"/>
      <c r="H79" s="2166"/>
      <c r="I79" s="134">
        <f>SUM(I78:I78)</f>
        <v>0.34</v>
      </c>
      <c r="J79" s="71" t="s">
        <v>181</v>
      </c>
      <c r="K79" s="117" t="e">
        <f>#REF!</f>
        <v>#REF!</v>
      </c>
      <c r="L79" s="73" t="s">
        <v>676</v>
      </c>
      <c r="M79" s="74" t="e">
        <f>ROUND(I79*K79,0)</f>
        <v>#REF!</v>
      </c>
      <c r="P79" s="107"/>
    </row>
    <row r="80" spans="1:20" s="56" customFormat="1" ht="30" hidden="1" customHeight="1">
      <c r="A80" s="75">
        <v>11</v>
      </c>
      <c r="B80" s="2194" t="s">
        <v>714</v>
      </c>
      <c r="C80" s="2195"/>
      <c r="D80" s="2195"/>
      <c r="E80" s="2195"/>
      <c r="F80" s="2195"/>
      <c r="G80" s="2195"/>
      <c r="H80" s="2195"/>
      <c r="I80" s="2196"/>
      <c r="J80" s="135"/>
      <c r="K80" s="95"/>
      <c r="L80" s="116"/>
      <c r="M80" s="136"/>
      <c r="P80" s="97"/>
    </row>
    <row r="81" spans="1:17" ht="13.5" hidden="1" customHeight="1">
      <c r="A81" s="75"/>
      <c r="B81" s="80" t="s">
        <v>715</v>
      </c>
      <c r="C81" s="112">
        <v>1</v>
      </c>
      <c r="D81" s="112" t="s">
        <v>672</v>
      </c>
      <c r="E81" s="112">
        <v>1</v>
      </c>
      <c r="F81" s="113">
        <v>2</v>
      </c>
      <c r="G81" s="113">
        <v>0.75</v>
      </c>
      <c r="H81" s="131">
        <v>2.5000000000000001E-2</v>
      </c>
      <c r="I81" s="114">
        <f>ROUND((C81*H81*G81*F81*E81),2)</f>
        <v>0.04</v>
      </c>
      <c r="J81" s="100"/>
      <c r="K81" s="81"/>
      <c r="L81" s="73"/>
      <c r="M81" s="74"/>
      <c r="P81" s="107"/>
    </row>
    <row r="82" spans="1:17" ht="13.5" hidden="1" customHeight="1">
      <c r="A82" s="75"/>
      <c r="B82" s="80" t="s">
        <v>680</v>
      </c>
      <c r="C82" s="112">
        <v>2</v>
      </c>
      <c r="D82" s="112" t="s">
        <v>672</v>
      </c>
      <c r="E82" s="112">
        <v>4</v>
      </c>
      <c r="F82" s="113">
        <v>1.5</v>
      </c>
      <c r="G82" s="113">
        <v>0.6</v>
      </c>
      <c r="H82" s="131">
        <v>2.5000000000000001E-2</v>
      </c>
      <c r="I82" s="114">
        <f>ROUND((C82*H82*G82*F82*E82),2)</f>
        <v>0.18</v>
      </c>
      <c r="J82" s="100"/>
      <c r="K82" s="81"/>
      <c r="L82" s="73"/>
      <c r="M82" s="74"/>
      <c r="P82" s="107"/>
    </row>
    <row r="83" spans="1:17" s="138" customFormat="1" ht="13.5" hidden="1" customHeight="1">
      <c r="A83" s="75"/>
      <c r="B83" s="80" t="s">
        <v>682</v>
      </c>
      <c r="C83" s="112">
        <v>1</v>
      </c>
      <c r="D83" s="112" t="s">
        <v>672</v>
      </c>
      <c r="E83" s="112">
        <v>1</v>
      </c>
      <c r="F83" s="113">
        <v>1.9</v>
      </c>
      <c r="G83" s="113">
        <v>0.6</v>
      </c>
      <c r="H83" s="131">
        <v>2.5000000000000001E-2</v>
      </c>
      <c r="I83" s="114">
        <f>ROUND((C83*H83*G83*F83*E83),2)</f>
        <v>0.03</v>
      </c>
      <c r="J83" s="100"/>
      <c r="K83" s="100"/>
      <c r="L83" s="73"/>
      <c r="M83" s="137"/>
      <c r="P83" s="139"/>
    </row>
    <row r="84" spans="1:17" ht="13.5" hidden="1" customHeight="1">
      <c r="A84" s="75"/>
      <c r="B84" s="80" t="s">
        <v>683</v>
      </c>
      <c r="C84" s="112">
        <v>1</v>
      </c>
      <c r="D84" s="112" t="s">
        <v>672</v>
      </c>
      <c r="E84" s="112">
        <v>4</v>
      </c>
      <c r="F84" s="113">
        <v>2.06</v>
      </c>
      <c r="G84" s="113">
        <v>0.6</v>
      </c>
      <c r="H84" s="131">
        <v>2.5000000000000001E-2</v>
      </c>
      <c r="I84" s="114">
        <f>ROUND((C84*H84*G84*F84*E84),2)</f>
        <v>0.12</v>
      </c>
      <c r="J84" s="100"/>
      <c r="K84" s="81"/>
      <c r="L84" s="73"/>
      <c r="M84" s="74"/>
      <c r="O84" s="48" t="s">
        <v>522</v>
      </c>
      <c r="P84" s="107" t="s">
        <v>522</v>
      </c>
    </row>
    <row r="85" spans="1:17" ht="24.75" hidden="1" customHeight="1">
      <c r="A85" s="75"/>
      <c r="B85" s="140" t="s">
        <v>716</v>
      </c>
      <c r="C85" s="112">
        <v>1</v>
      </c>
      <c r="D85" s="112" t="s">
        <v>672</v>
      </c>
      <c r="E85" s="112">
        <v>1</v>
      </c>
      <c r="F85" s="113">
        <f>8.38+1.7+1.7</f>
        <v>11.78</v>
      </c>
      <c r="G85" s="113">
        <v>0.6</v>
      </c>
      <c r="H85" s="131">
        <v>2.5000000000000001E-2</v>
      </c>
      <c r="I85" s="114">
        <f>ROUND((C85*H85*G85*F85*E85),2)</f>
        <v>0.18</v>
      </c>
      <c r="J85" s="71"/>
      <c r="K85" s="81"/>
      <c r="L85" s="73"/>
      <c r="M85" s="74"/>
      <c r="O85" s="48"/>
      <c r="P85" s="107"/>
    </row>
    <row r="86" spans="1:17" ht="15" hidden="1" thickBot="1">
      <c r="A86" s="75"/>
      <c r="B86" s="80"/>
      <c r="C86" s="112"/>
      <c r="D86" s="112"/>
      <c r="E86" s="112"/>
      <c r="F86" s="113"/>
      <c r="G86" s="113"/>
      <c r="H86" s="132"/>
      <c r="I86" s="100">
        <v>0.15</v>
      </c>
      <c r="J86" s="71"/>
      <c r="K86" s="81"/>
      <c r="L86" s="73"/>
      <c r="M86" s="74"/>
      <c r="O86" s="48"/>
      <c r="P86" s="107"/>
    </row>
    <row r="87" spans="1:17" ht="15" hidden="1" thickBot="1">
      <c r="A87" s="75"/>
      <c r="B87" s="103"/>
      <c r="C87" s="103"/>
      <c r="D87" s="103"/>
      <c r="E87" s="67"/>
      <c r="F87" s="67"/>
      <c r="G87" s="67"/>
      <c r="H87" s="76"/>
      <c r="I87" s="70">
        <v>0</v>
      </c>
      <c r="J87" s="129" t="s">
        <v>117</v>
      </c>
      <c r="K87" s="81">
        <v>5127.46</v>
      </c>
      <c r="L87" s="118" t="s">
        <v>717</v>
      </c>
      <c r="M87" s="74">
        <f>ROUND(I87*K87,0)</f>
        <v>0</v>
      </c>
      <c r="P87" s="107"/>
    </row>
    <row r="88" spans="1:17" s="56" customFormat="1" ht="119.25" customHeight="1">
      <c r="A88" s="75">
        <v>12</v>
      </c>
      <c r="B88" s="2145" t="s">
        <v>718</v>
      </c>
      <c r="C88" s="2146"/>
      <c r="D88" s="2146"/>
      <c r="E88" s="2146"/>
      <c r="F88" s="2146"/>
      <c r="G88" s="2146"/>
      <c r="H88" s="2147"/>
      <c r="I88" s="127"/>
      <c r="J88" s="115"/>
      <c r="K88" s="95"/>
      <c r="L88" s="96"/>
      <c r="M88" s="85"/>
      <c r="Q88" s="97"/>
    </row>
    <row r="89" spans="1:17" ht="16.5" customHeight="1">
      <c r="A89" s="75"/>
      <c r="B89" s="141" t="s">
        <v>679</v>
      </c>
      <c r="C89" s="142"/>
      <c r="D89" s="142"/>
      <c r="E89" s="142"/>
      <c r="F89" s="142"/>
      <c r="G89" s="142"/>
      <c r="H89" s="143"/>
      <c r="I89" s="142"/>
      <c r="J89" s="100"/>
      <c r="K89" s="81"/>
      <c r="L89" s="105"/>
      <c r="M89" s="106"/>
      <c r="Q89" s="107"/>
    </row>
    <row r="90" spans="1:17" s="66" customFormat="1" ht="16.5" customHeight="1">
      <c r="A90" s="75"/>
      <c r="B90" s="80" t="s">
        <v>719</v>
      </c>
      <c r="C90" s="112">
        <v>1</v>
      </c>
      <c r="D90" s="112" t="s">
        <v>672</v>
      </c>
      <c r="E90" s="112">
        <v>1</v>
      </c>
      <c r="F90" s="113">
        <v>30.36</v>
      </c>
      <c r="G90" s="113">
        <v>0.2</v>
      </c>
      <c r="H90" s="113">
        <v>0.6</v>
      </c>
      <c r="I90" s="114">
        <f t="shared" ref="I90:I95" si="2">ROUND((H90*G90*F90*E90),2)</f>
        <v>3.64</v>
      </c>
      <c r="J90" s="91"/>
      <c r="K90" s="144"/>
      <c r="L90" s="145"/>
      <c r="M90" s="93"/>
      <c r="P90" s="146"/>
    </row>
    <row r="91" spans="1:17" ht="16.5" customHeight="1">
      <c r="A91" s="75"/>
      <c r="B91" s="80" t="s">
        <v>720</v>
      </c>
      <c r="C91" s="112">
        <v>1</v>
      </c>
      <c r="D91" s="112" t="s">
        <v>672</v>
      </c>
      <c r="E91" s="112">
        <v>-8</v>
      </c>
      <c r="F91" s="113">
        <v>0.22500000000000001</v>
      </c>
      <c r="G91" s="113">
        <v>0.2</v>
      </c>
      <c r="H91" s="113">
        <v>0.6</v>
      </c>
      <c r="I91" s="114">
        <f t="shared" si="2"/>
        <v>-0.22</v>
      </c>
      <c r="J91" s="100"/>
      <c r="K91" s="81"/>
      <c r="L91" s="105"/>
      <c r="M91" s="106"/>
      <c r="Q91" s="107"/>
    </row>
    <row r="92" spans="1:17" ht="16.5" customHeight="1">
      <c r="A92" s="75"/>
      <c r="B92" s="80"/>
      <c r="C92" s="112">
        <v>1</v>
      </c>
      <c r="D92" s="112" t="s">
        <v>672</v>
      </c>
      <c r="E92" s="112">
        <v>1</v>
      </c>
      <c r="F92" s="113">
        <v>8.42</v>
      </c>
      <c r="G92" s="113">
        <v>0.2</v>
      </c>
      <c r="H92" s="113">
        <v>0.6</v>
      </c>
      <c r="I92" s="114">
        <f t="shared" si="2"/>
        <v>1.01</v>
      </c>
      <c r="J92" s="100"/>
      <c r="K92" s="81"/>
      <c r="L92" s="105"/>
      <c r="M92" s="106"/>
      <c r="P92" s="107"/>
    </row>
    <row r="93" spans="1:17" ht="16.5" customHeight="1">
      <c r="A93" s="75"/>
      <c r="B93" s="80" t="s">
        <v>720</v>
      </c>
      <c r="C93" s="112">
        <v>1</v>
      </c>
      <c r="D93" s="112" t="s">
        <v>672</v>
      </c>
      <c r="E93" s="112">
        <v>-2</v>
      </c>
      <c r="F93" s="113">
        <v>0.22500000000000001</v>
      </c>
      <c r="G93" s="113">
        <v>0.2</v>
      </c>
      <c r="H93" s="113">
        <v>0.6</v>
      </c>
      <c r="I93" s="114">
        <f t="shared" si="2"/>
        <v>-0.05</v>
      </c>
      <c r="J93" s="100"/>
      <c r="K93" s="81"/>
      <c r="L93" s="105"/>
      <c r="M93" s="106"/>
      <c r="Q93" s="107"/>
    </row>
    <row r="94" spans="1:17" ht="16.5" customHeight="1">
      <c r="A94" s="75"/>
      <c r="B94" s="80" t="s">
        <v>721</v>
      </c>
      <c r="C94" s="112">
        <v>1</v>
      </c>
      <c r="D94" s="112" t="s">
        <v>672</v>
      </c>
      <c r="E94" s="112">
        <v>1</v>
      </c>
      <c r="F94" s="113">
        <v>6.33</v>
      </c>
      <c r="G94" s="113">
        <v>0.2</v>
      </c>
      <c r="H94" s="113">
        <v>0.6</v>
      </c>
      <c r="I94" s="114">
        <f t="shared" si="2"/>
        <v>0.76</v>
      </c>
      <c r="J94" s="100"/>
      <c r="K94" s="81"/>
      <c r="L94" s="105"/>
      <c r="M94" s="106"/>
      <c r="P94" s="107"/>
    </row>
    <row r="95" spans="1:17" ht="16.5" customHeight="1">
      <c r="A95" s="75"/>
      <c r="B95" s="80"/>
      <c r="C95" s="112">
        <v>1</v>
      </c>
      <c r="D95" s="112" t="s">
        <v>672</v>
      </c>
      <c r="E95" s="112">
        <v>2</v>
      </c>
      <c r="F95" s="113">
        <v>1.83</v>
      </c>
      <c r="G95" s="113">
        <v>0.2</v>
      </c>
      <c r="H95" s="113">
        <v>0.6</v>
      </c>
      <c r="I95" s="114">
        <f t="shared" si="2"/>
        <v>0.44</v>
      </c>
      <c r="J95" s="100"/>
      <c r="K95" s="81"/>
      <c r="L95" s="105"/>
      <c r="M95" s="106"/>
      <c r="P95" s="107"/>
    </row>
    <row r="96" spans="1:17" ht="30.75" hidden="1" customHeight="1">
      <c r="A96" s="75"/>
      <c r="B96" s="80" t="s">
        <v>722</v>
      </c>
      <c r="C96" s="112">
        <v>0</v>
      </c>
      <c r="D96" s="112" t="s">
        <v>672</v>
      </c>
      <c r="E96" s="112">
        <v>0</v>
      </c>
      <c r="F96" s="113">
        <v>5.54</v>
      </c>
      <c r="G96" s="113">
        <v>0.2</v>
      </c>
      <c r="H96" s="113" t="s">
        <v>723</v>
      </c>
      <c r="I96" s="114">
        <f>ROUND((0.9*G96*F96*E96),2)</f>
        <v>0</v>
      </c>
      <c r="J96" s="100"/>
      <c r="K96" s="81"/>
      <c r="L96" s="105"/>
      <c r="M96" s="106"/>
      <c r="Q96" s="107"/>
    </row>
    <row r="97" spans="1:17" ht="14.5" hidden="1">
      <c r="A97" s="75"/>
      <c r="B97" s="80"/>
      <c r="C97" s="112"/>
      <c r="D97" s="112"/>
      <c r="E97" s="112"/>
      <c r="F97" s="113"/>
      <c r="G97" s="113"/>
      <c r="H97" s="113"/>
      <c r="I97" s="114"/>
      <c r="J97" s="100"/>
      <c r="K97" s="81"/>
      <c r="L97" s="105"/>
      <c r="M97" s="106"/>
      <c r="Q97" s="107"/>
    </row>
    <row r="98" spans="1:17" ht="16.5" customHeight="1">
      <c r="A98" s="75"/>
      <c r="B98" s="2164"/>
      <c r="C98" s="2165"/>
      <c r="D98" s="2165"/>
      <c r="E98" s="2165"/>
      <c r="F98" s="2165"/>
      <c r="G98" s="2165"/>
      <c r="H98" s="2166"/>
      <c r="I98" s="147">
        <f>SUM(I89:I97)</f>
        <v>5.58</v>
      </c>
      <c r="J98" s="129" t="s">
        <v>117</v>
      </c>
      <c r="K98" s="117" t="e">
        <f>#REF!</f>
        <v>#REF!</v>
      </c>
      <c r="L98" s="118" t="s">
        <v>717</v>
      </c>
      <c r="M98" s="74" t="e">
        <f>ROUND(I98*K98,0)</f>
        <v>#REF!</v>
      </c>
      <c r="P98" s="107"/>
    </row>
    <row r="99" spans="1:17" s="56" customFormat="1" ht="121.5" customHeight="1">
      <c r="A99" s="75">
        <v>13</v>
      </c>
      <c r="B99" s="2145" t="s">
        <v>783</v>
      </c>
      <c r="C99" s="2146"/>
      <c r="D99" s="2146"/>
      <c r="E99" s="2146"/>
      <c r="F99" s="2146"/>
      <c r="G99" s="2146"/>
      <c r="H99" s="2147"/>
      <c r="I99" s="150"/>
      <c r="J99" s="151"/>
      <c r="K99" s="151"/>
      <c r="L99" s="152"/>
      <c r="M99" s="85"/>
      <c r="Q99" s="97"/>
    </row>
    <row r="100" spans="1:17" ht="15.75" customHeight="1">
      <c r="A100" s="75"/>
      <c r="B100" s="2167" t="s">
        <v>724</v>
      </c>
      <c r="C100" s="2168"/>
      <c r="D100" s="2169"/>
      <c r="E100" s="142"/>
      <c r="F100" s="153"/>
      <c r="G100" s="143"/>
      <c r="H100" s="143"/>
      <c r="I100" s="154"/>
      <c r="J100" s="155"/>
      <c r="K100" s="155"/>
      <c r="L100" s="156"/>
      <c r="M100" s="106"/>
      <c r="Q100" s="107"/>
    </row>
    <row r="101" spans="1:17" s="231" customFormat="1" ht="17.25" customHeight="1">
      <c r="A101" s="223"/>
      <c r="B101" s="235" t="s">
        <v>805</v>
      </c>
      <c r="C101" s="240">
        <v>1</v>
      </c>
      <c r="D101" s="240" t="s">
        <v>672</v>
      </c>
      <c r="E101" s="240">
        <v>1</v>
      </c>
      <c r="F101" s="255">
        <v>27</v>
      </c>
      <c r="G101" s="255">
        <v>0.2</v>
      </c>
      <c r="H101" s="255">
        <v>2.85</v>
      </c>
      <c r="I101" s="256">
        <f>ROUND((H101*G101*F101*E101),2)</f>
        <v>15.39</v>
      </c>
      <c r="J101" s="247"/>
      <c r="K101" s="247"/>
      <c r="L101" s="247"/>
      <c r="M101" s="226"/>
      <c r="Q101" s="257"/>
    </row>
    <row r="102" spans="1:17" s="231" customFormat="1" ht="17.25" customHeight="1">
      <c r="A102" s="223"/>
      <c r="B102" s="235" t="s">
        <v>807</v>
      </c>
      <c r="C102" s="240">
        <v>1</v>
      </c>
      <c r="D102" s="240" t="s">
        <v>672</v>
      </c>
      <c r="E102" s="240">
        <v>1</v>
      </c>
      <c r="F102" s="255">
        <v>4.88</v>
      </c>
      <c r="G102" s="255">
        <v>0.2</v>
      </c>
      <c r="H102" s="255">
        <v>2.85</v>
      </c>
      <c r="I102" s="256">
        <f>ROUND((H102*G102*F102*E102),2)</f>
        <v>2.78</v>
      </c>
      <c r="J102" s="247"/>
      <c r="K102" s="247"/>
      <c r="L102" s="247"/>
      <c r="M102" s="226"/>
      <c r="Q102" s="257"/>
    </row>
    <row r="103" spans="1:17" s="231" customFormat="1" ht="17.25" customHeight="1">
      <c r="A103" s="223" t="s">
        <v>522</v>
      </c>
      <c r="B103" s="235" t="s">
        <v>809</v>
      </c>
      <c r="C103" s="240">
        <v>1</v>
      </c>
      <c r="D103" s="240" t="s">
        <v>672</v>
      </c>
      <c r="E103" s="240">
        <v>2</v>
      </c>
      <c r="F103" s="255">
        <v>1.83</v>
      </c>
      <c r="G103" s="255">
        <v>0.2</v>
      </c>
      <c r="H103" s="255">
        <v>2.85</v>
      </c>
      <c r="I103" s="256">
        <f>ROUND((H103*G103*F103*E103),2)</f>
        <v>2.09</v>
      </c>
      <c r="J103" s="247"/>
      <c r="K103" s="247"/>
      <c r="L103" s="247"/>
      <c r="M103" s="226"/>
      <c r="Q103" s="257"/>
    </row>
    <row r="104" spans="1:17" s="231" customFormat="1" ht="16.5" customHeight="1">
      <c r="A104" s="223"/>
      <c r="B104" s="235" t="s">
        <v>720</v>
      </c>
      <c r="C104" s="240">
        <v>1</v>
      </c>
      <c r="D104" s="240" t="s">
        <v>672</v>
      </c>
      <c r="E104" s="240">
        <v>10</v>
      </c>
      <c r="F104" s="255">
        <v>0.23</v>
      </c>
      <c r="G104" s="255">
        <v>0.2</v>
      </c>
      <c r="H104" s="255">
        <v>2.85</v>
      </c>
      <c r="I104" s="258">
        <f t="shared" ref="I104:I110" si="3">-ROUND((H104*G104*F104*E104*C104),2)</f>
        <v>-1.31</v>
      </c>
      <c r="J104" s="225"/>
      <c r="K104" s="227"/>
      <c r="L104" s="227"/>
      <c r="M104" s="226"/>
      <c r="Q104" s="257"/>
    </row>
    <row r="105" spans="1:17" s="231" customFormat="1" ht="16.5" customHeight="1">
      <c r="A105" s="223"/>
      <c r="B105" s="235" t="s">
        <v>806</v>
      </c>
      <c r="C105" s="240">
        <v>1</v>
      </c>
      <c r="D105" s="240" t="s">
        <v>672</v>
      </c>
      <c r="E105" s="240">
        <v>1</v>
      </c>
      <c r="F105" s="255">
        <v>1</v>
      </c>
      <c r="G105" s="255">
        <v>0.2</v>
      </c>
      <c r="H105" s="255">
        <v>2.06</v>
      </c>
      <c r="I105" s="258">
        <f t="shared" si="3"/>
        <v>-0.41</v>
      </c>
      <c r="J105" s="225"/>
      <c r="K105" s="227"/>
      <c r="L105" s="227"/>
      <c r="M105" s="226"/>
      <c r="Q105" s="257"/>
    </row>
    <row r="106" spans="1:17" s="231" customFormat="1" ht="16.5" customHeight="1">
      <c r="A106" s="223"/>
      <c r="B106" s="235" t="s">
        <v>1007</v>
      </c>
      <c r="C106" s="240">
        <v>1</v>
      </c>
      <c r="D106" s="240" t="s">
        <v>672</v>
      </c>
      <c r="E106" s="240">
        <v>3</v>
      </c>
      <c r="F106" s="255">
        <v>0.75</v>
      </c>
      <c r="G106" s="255">
        <v>0.2</v>
      </c>
      <c r="H106" s="255">
        <v>2.06</v>
      </c>
      <c r="I106" s="258">
        <f t="shared" si="3"/>
        <v>-0.93</v>
      </c>
      <c r="J106" s="225"/>
      <c r="K106" s="227"/>
      <c r="L106" s="227"/>
      <c r="M106" s="226"/>
      <c r="Q106" s="257"/>
    </row>
    <row r="107" spans="1:17" s="231" customFormat="1" ht="16.5" customHeight="1">
      <c r="A107" s="223"/>
      <c r="B107" s="235" t="s">
        <v>1005</v>
      </c>
      <c r="C107" s="240">
        <v>1</v>
      </c>
      <c r="D107" s="240" t="s">
        <v>672</v>
      </c>
      <c r="E107" s="240">
        <v>6</v>
      </c>
      <c r="F107" s="255">
        <v>1.22</v>
      </c>
      <c r="G107" s="255">
        <v>0.2</v>
      </c>
      <c r="H107" s="255">
        <v>1.39</v>
      </c>
      <c r="I107" s="258">
        <f t="shared" si="3"/>
        <v>-2.0299999999999998</v>
      </c>
      <c r="J107" s="225"/>
      <c r="K107" s="227"/>
      <c r="L107" s="227"/>
      <c r="M107" s="226"/>
      <c r="Q107" s="257"/>
    </row>
    <row r="108" spans="1:17" s="231" customFormat="1" ht="16.5" customHeight="1">
      <c r="A108" s="223"/>
      <c r="B108" s="235" t="s">
        <v>1006</v>
      </c>
      <c r="C108" s="240">
        <v>1</v>
      </c>
      <c r="D108" s="240" t="s">
        <v>672</v>
      </c>
      <c r="E108" s="240">
        <v>2</v>
      </c>
      <c r="F108" s="255">
        <v>0.95</v>
      </c>
      <c r="G108" s="255">
        <v>0.2</v>
      </c>
      <c r="H108" s="255">
        <v>1.22</v>
      </c>
      <c r="I108" s="258">
        <f t="shared" si="3"/>
        <v>-0.46</v>
      </c>
      <c r="J108" s="225"/>
      <c r="K108" s="227"/>
      <c r="L108" s="227"/>
      <c r="M108" s="226"/>
      <c r="Q108" s="257"/>
    </row>
    <row r="109" spans="1:17" s="231" customFormat="1" ht="16.5" customHeight="1">
      <c r="A109" s="223"/>
      <c r="B109" s="235" t="s">
        <v>808</v>
      </c>
      <c r="C109" s="240">
        <v>1</v>
      </c>
      <c r="D109" s="240" t="s">
        <v>672</v>
      </c>
      <c r="E109" s="240">
        <v>1</v>
      </c>
      <c r="F109" s="255">
        <v>0.75</v>
      </c>
      <c r="G109" s="255">
        <v>0.2</v>
      </c>
      <c r="H109" s="255">
        <v>2.06</v>
      </c>
      <c r="I109" s="258">
        <f t="shared" si="3"/>
        <v>-0.31</v>
      </c>
      <c r="J109" s="225"/>
      <c r="K109" s="227"/>
      <c r="L109" s="227"/>
      <c r="M109" s="226"/>
      <c r="Q109" s="257"/>
    </row>
    <row r="110" spans="1:17" s="231" customFormat="1" ht="23.25" customHeight="1">
      <c r="A110" s="223"/>
      <c r="B110" s="343" t="s">
        <v>1008</v>
      </c>
      <c r="C110" s="240">
        <v>1</v>
      </c>
      <c r="D110" s="240" t="s">
        <v>672</v>
      </c>
      <c r="E110" s="240">
        <v>1</v>
      </c>
      <c r="F110" s="255">
        <v>0.6</v>
      </c>
      <c r="G110" s="255">
        <v>0.2</v>
      </c>
      <c r="H110" s="255">
        <v>0.15</v>
      </c>
      <c r="I110" s="258">
        <f t="shared" si="3"/>
        <v>-0.02</v>
      </c>
      <c r="J110" s="225"/>
      <c r="K110" s="227"/>
      <c r="L110" s="227"/>
      <c r="M110" s="226"/>
      <c r="Q110" s="257"/>
    </row>
    <row r="111" spans="1:17" ht="12.75" hidden="1" customHeight="1" thickBot="1">
      <c r="A111" s="75"/>
      <c r="B111" s="80" t="s">
        <v>728</v>
      </c>
      <c r="C111" s="112"/>
      <c r="D111" s="112"/>
      <c r="E111" s="112"/>
      <c r="F111" s="113"/>
      <c r="G111" s="113"/>
      <c r="H111" s="113"/>
      <c r="I111" s="157"/>
      <c r="J111" s="100"/>
      <c r="K111" s="81"/>
      <c r="L111" s="105"/>
      <c r="M111" s="106"/>
      <c r="Q111" s="107"/>
    </row>
    <row r="112" spans="1:17" ht="12.75" customHeight="1" thickBot="1">
      <c r="A112" s="75"/>
      <c r="B112" s="80" t="s">
        <v>1009</v>
      </c>
      <c r="C112" s="112"/>
      <c r="D112" s="112"/>
      <c r="E112" s="112"/>
      <c r="F112" s="113"/>
      <c r="G112" s="113"/>
      <c r="H112" s="132"/>
      <c r="I112" s="133">
        <v>0.21</v>
      </c>
      <c r="J112" s="71"/>
      <c r="K112" s="81"/>
      <c r="L112" s="105"/>
      <c r="M112" s="106"/>
      <c r="Q112" s="107"/>
    </row>
    <row r="113" spans="1:17" ht="15" thickBot="1">
      <c r="A113" s="75"/>
      <c r="B113" s="102"/>
      <c r="C113" s="102"/>
      <c r="D113" s="102"/>
      <c r="E113" s="102"/>
      <c r="F113" s="102"/>
      <c r="G113" s="102"/>
      <c r="H113" s="148"/>
      <c r="I113" s="149">
        <f>SUM(I101:I112)</f>
        <v>15.000000000000004</v>
      </c>
      <c r="J113" s="71" t="s">
        <v>181</v>
      </c>
      <c r="K113" s="117" t="e">
        <f>#REF!</f>
        <v>#REF!</v>
      </c>
      <c r="L113" s="105" t="s">
        <v>701</v>
      </c>
      <c r="M113" s="74" t="e">
        <f>ROUND(I113*K113,0)</f>
        <v>#REF!</v>
      </c>
      <c r="Q113" s="107"/>
    </row>
    <row r="114" spans="1:17" ht="150" customHeight="1">
      <c r="A114" s="75">
        <v>14</v>
      </c>
      <c r="B114" s="2145" t="s">
        <v>729</v>
      </c>
      <c r="C114" s="2146"/>
      <c r="D114" s="2146"/>
      <c r="E114" s="2146"/>
      <c r="F114" s="2146"/>
      <c r="G114" s="2146"/>
      <c r="H114" s="2147"/>
      <c r="I114" s="104"/>
      <c r="J114" s="100"/>
      <c r="K114" s="81"/>
      <c r="L114" s="105"/>
      <c r="M114" s="106"/>
      <c r="Q114" s="107"/>
    </row>
    <row r="115" spans="1:17" ht="16.5" customHeight="1">
      <c r="A115" s="75"/>
      <c r="B115" s="67" t="s">
        <v>730</v>
      </c>
      <c r="C115" s="142">
        <v>1</v>
      </c>
      <c r="D115" s="142" t="s">
        <v>731</v>
      </c>
      <c r="E115" s="142">
        <v>1</v>
      </c>
      <c r="F115" s="143">
        <v>9.4</v>
      </c>
      <c r="G115" s="142" t="s">
        <v>672</v>
      </c>
      <c r="H115" s="143">
        <v>7.6</v>
      </c>
      <c r="I115" s="158">
        <f>ROUND((E115*F115*H115),2)</f>
        <v>71.44</v>
      </c>
      <c r="J115" s="100" t="s">
        <v>113</v>
      </c>
      <c r="K115" s="117" t="e">
        <f>#REF!</f>
        <v>#REF!</v>
      </c>
      <c r="L115" s="118" t="s">
        <v>711</v>
      </c>
      <c r="M115" s="74" t="e">
        <f>ROUND(I115*K115,0)</f>
        <v>#REF!</v>
      </c>
      <c r="Q115" s="107"/>
    </row>
    <row r="116" spans="1:17" ht="16.5" hidden="1" customHeight="1">
      <c r="A116" s="75"/>
      <c r="B116" s="2164"/>
      <c r="C116" s="2165"/>
      <c r="D116" s="2165"/>
      <c r="E116" s="2165"/>
      <c r="F116" s="2165"/>
      <c r="G116" s="2165"/>
      <c r="H116" s="2166"/>
      <c r="I116" s="159"/>
      <c r="J116" s="100"/>
      <c r="K116" s="81"/>
      <c r="L116" s="118"/>
      <c r="M116" s="74"/>
      <c r="Q116" s="107"/>
    </row>
    <row r="117" spans="1:17" s="56" customFormat="1" ht="73.5" customHeight="1">
      <c r="A117" s="75">
        <v>15</v>
      </c>
      <c r="B117" s="2145" t="s">
        <v>732</v>
      </c>
      <c r="C117" s="2146"/>
      <c r="D117" s="2146"/>
      <c r="E117" s="2146"/>
      <c r="F117" s="2146"/>
      <c r="G117" s="2146"/>
      <c r="H117" s="2147"/>
      <c r="I117" s="94" t="s">
        <v>522</v>
      </c>
      <c r="J117" s="95"/>
      <c r="K117" s="95"/>
      <c r="L117" s="96"/>
      <c r="M117" s="85"/>
      <c r="Q117" s="97"/>
    </row>
    <row r="118" spans="1:17" s="66" customFormat="1" ht="21.75" customHeight="1">
      <c r="A118" s="160"/>
      <c r="B118" s="161"/>
      <c r="C118" s="161">
        <v>1</v>
      </c>
      <c r="D118" s="161" t="s">
        <v>672</v>
      </c>
      <c r="E118" s="161">
        <v>1</v>
      </c>
      <c r="F118" s="161" t="s">
        <v>733</v>
      </c>
      <c r="G118" s="161" t="s">
        <v>733</v>
      </c>
      <c r="H118" s="161" t="s">
        <v>733</v>
      </c>
      <c r="I118" s="144">
        <v>2140</v>
      </c>
      <c r="J118" s="144" t="s">
        <v>182</v>
      </c>
      <c r="K118" s="222" t="e">
        <f>#REF!</f>
        <v>#REF!</v>
      </c>
      <c r="L118" s="145" t="s">
        <v>182</v>
      </c>
      <c r="M118" s="162" t="e">
        <f>ROUND(I118*K118,0)</f>
        <v>#REF!</v>
      </c>
      <c r="O118" s="66" t="s">
        <v>522</v>
      </c>
      <c r="Q118" s="146"/>
    </row>
    <row r="119" spans="1:17" s="66" customFormat="1" ht="45" hidden="1" customHeight="1">
      <c r="A119" s="160"/>
      <c r="B119" s="2145" t="s">
        <v>734</v>
      </c>
      <c r="C119" s="2146"/>
      <c r="D119" s="2146"/>
      <c r="E119" s="2146"/>
      <c r="F119" s="2146"/>
      <c r="G119" s="2146"/>
      <c r="H119" s="2147"/>
      <c r="I119" s="163"/>
      <c r="J119" s="164"/>
      <c r="K119" s="144"/>
      <c r="L119" s="145"/>
      <c r="M119" s="162"/>
      <c r="Q119" s="146"/>
    </row>
    <row r="120" spans="1:17" s="66" customFormat="1" ht="15" hidden="1" customHeight="1">
      <c r="A120" s="160"/>
      <c r="B120" s="165" t="s">
        <v>735</v>
      </c>
      <c r="C120" s="166"/>
      <c r="D120" s="166"/>
      <c r="E120" s="166"/>
      <c r="F120" s="166"/>
      <c r="G120" s="166"/>
      <c r="H120" s="166"/>
      <c r="I120" s="166"/>
      <c r="J120" s="164"/>
      <c r="K120" s="144"/>
      <c r="L120" s="145"/>
      <c r="M120" s="162"/>
      <c r="Q120" s="146"/>
    </row>
    <row r="121" spans="1:17" s="66" customFormat="1" ht="15" hidden="1" customHeight="1">
      <c r="A121" s="160"/>
      <c r="B121" s="80" t="s">
        <v>680</v>
      </c>
      <c r="C121" s="112">
        <v>1</v>
      </c>
      <c r="D121" s="112" t="s">
        <v>672</v>
      </c>
      <c r="E121" s="112"/>
      <c r="F121" s="113">
        <v>21.92</v>
      </c>
      <c r="G121" s="113" t="s">
        <v>731</v>
      </c>
      <c r="H121" s="113">
        <v>2.8</v>
      </c>
      <c r="I121" s="114">
        <f>ROUND((E121*F121*H121),2)</f>
        <v>0</v>
      </c>
      <c r="J121" s="164"/>
      <c r="K121" s="144"/>
      <c r="L121" s="145"/>
      <c r="M121" s="162"/>
      <c r="Q121" s="146"/>
    </row>
    <row r="122" spans="1:17" s="66" customFormat="1" ht="15" hidden="1" customHeight="1">
      <c r="A122" s="160"/>
      <c r="B122" s="80" t="s">
        <v>736</v>
      </c>
      <c r="C122" s="112">
        <v>1</v>
      </c>
      <c r="D122" s="112" t="s">
        <v>672</v>
      </c>
      <c r="E122" s="112"/>
      <c r="F122" s="113">
        <v>7</v>
      </c>
      <c r="G122" s="113" t="s">
        <v>731</v>
      </c>
      <c r="H122" s="113">
        <v>2.8</v>
      </c>
      <c r="I122" s="114">
        <f>ROUND((E122*F122*H122),2)</f>
        <v>0</v>
      </c>
      <c r="J122" s="164"/>
      <c r="K122" s="144"/>
      <c r="L122" s="145"/>
      <c r="M122" s="162"/>
      <c r="Q122" s="146"/>
    </row>
    <row r="123" spans="1:17" s="66" customFormat="1" ht="15" hidden="1" customHeight="1">
      <c r="A123" s="160"/>
      <c r="B123" s="80" t="s">
        <v>737</v>
      </c>
      <c r="C123" s="112">
        <v>1</v>
      </c>
      <c r="D123" s="112" t="s">
        <v>672</v>
      </c>
      <c r="E123" s="112"/>
      <c r="F123" s="113">
        <v>6.7</v>
      </c>
      <c r="G123" s="113" t="s">
        <v>731</v>
      </c>
      <c r="H123" s="113">
        <v>2.8</v>
      </c>
      <c r="I123" s="114">
        <f>ROUND((E123*F123*H123),2)</f>
        <v>0</v>
      </c>
      <c r="J123" s="164"/>
      <c r="K123" s="144"/>
      <c r="L123" s="145"/>
      <c r="M123" s="162"/>
      <c r="Q123" s="146"/>
    </row>
    <row r="124" spans="1:17" s="66" customFormat="1" ht="15" hidden="1" customHeight="1">
      <c r="A124" s="160"/>
      <c r="B124" s="80" t="s">
        <v>681</v>
      </c>
      <c r="C124" s="112">
        <v>1</v>
      </c>
      <c r="D124" s="112" t="s">
        <v>672</v>
      </c>
      <c r="E124" s="112"/>
      <c r="F124" s="113">
        <v>6.1</v>
      </c>
      <c r="G124" s="113" t="s">
        <v>731</v>
      </c>
      <c r="H124" s="113">
        <v>2.8</v>
      </c>
      <c r="I124" s="114">
        <f>ROUND((E124*F124*H124),2)</f>
        <v>0</v>
      </c>
      <c r="J124" s="164"/>
      <c r="K124" s="144"/>
      <c r="L124" s="145"/>
      <c r="M124" s="162"/>
      <c r="Q124" s="146"/>
    </row>
    <row r="125" spans="1:17" s="66" customFormat="1" ht="15" hidden="1" customHeight="1">
      <c r="A125" s="160"/>
      <c r="B125" s="80" t="s">
        <v>738</v>
      </c>
      <c r="C125" s="112">
        <v>0</v>
      </c>
      <c r="D125" s="112"/>
      <c r="E125" s="112"/>
      <c r="F125" s="113"/>
      <c r="G125" s="113"/>
      <c r="H125" s="113"/>
      <c r="I125" s="114"/>
      <c r="J125" s="164"/>
      <c r="K125" s="144"/>
      <c r="L125" s="145"/>
      <c r="M125" s="162"/>
      <c r="Q125" s="146"/>
    </row>
    <row r="126" spans="1:17" s="66" customFormat="1" ht="15" hidden="1" customHeight="1">
      <c r="A126" s="160"/>
      <c r="B126" s="80" t="s">
        <v>739</v>
      </c>
      <c r="C126" s="112">
        <v>0</v>
      </c>
      <c r="D126" s="112" t="s">
        <v>672</v>
      </c>
      <c r="E126" s="112">
        <v>1</v>
      </c>
      <c r="F126" s="113">
        <v>27.88</v>
      </c>
      <c r="G126" s="113" t="s">
        <v>731</v>
      </c>
      <c r="H126" s="113">
        <v>3.56</v>
      </c>
      <c r="I126" s="114">
        <f>ROUND(C126*(E126*F126*H126),2)</f>
        <v>0</v>
      </c>
      <c r="J126" s="164"/>
      <c r="K126" s="144"/>
      <c r="L126" s="145"/>
      <c r="M126" s="162"/>
      <c r="Q126" s="146"/>
    </row>
    <row r="127" spans="1:17" s="66" customFormat="1" ht="15" hidden="1" customHeight="1">
      <c r="A127" s="160"/>
      <c r="B127" s="141" t="s">
        <v>725</v>
      </c>
      <c r="C127" s="142"/>
      <c r="D127" s="142"/>
      <c r="E127" s="142"/>
      <c r="F127" s="143"/>
      <c r="G127" s="143"/>
      <c r="H127" s="143"/>
      <c r="I127" s="167"/>
      <c r="J127" s="164"/>
      <c r="K127" s="144"/>
      <c r="L127" s="145"/>
      <c r="M127" s="162"/>
      <c r="Q127" s="146"/>
    </row>
    <row r="128" spans="1:17" s="66" customFormat="1" ht="15" hidden="1" customHeight="1">
      <c r="A128" s="160"/>
      <c r="B128" s="80" t="s">
        <v>703</v>
      </c>
      <c r="C128" s="112">
        <v>0</v>
      </c>
      <c r="D128" s="112" t="s">
        <v>672</v>
      </c>
      <c r="E128" s="112">
        <v>-1</v>
      </c>
      <c r="F128" s="113">
        <v>1.05</v>
      </c>
      <c r="G128" s="113" t="s">
        <v>731</v>
      </c>
      <c r="H128" s="113">
        <v>2.1</v>
      </c>
      <c r="I128" s="114">
        <f>ROUND((E128*F128*H128*C128),2)</f>
        <v>0</v>
      </c>
      <c r="J128" s="164"/>
      <c r="K128" s="144"/>
      <c r="L128" s="145"/>
      <c r="M128" s="162"/>
      <c r="Q128" s="146"/>
    </row>
    <row r="129" spans="1:17" s="66" customFormat="1" ht="15" hidden="1" customHeight="1">
      <c r="A129" s="160"/>
      <c r="B129" s="80" t="s">
        <v>726</v>
      </c>
      <c r="C129" s="112">
        <v>0</v>
      </c>
      <c r="D129" s="112" t="s">
        <v>672</v>
      </c>
      <c r="E129" s="112">
        <v>-3</v>
      </c>
      <c r="F129" s="113">
        <v>0.9</v>
      </c>
      <c r="G129" s="113" t="s">
        <v>731</v>
      </c>
      <c r="H129" s="113">
        <v>2.1</v>
      </c>
      <c r="I129" s="114">
        <f>ROUND((E129*F129*H129*C129),2)</f>
        <v>0</v>
      </c>
      <c r="J129" s="164"/>
      <c r="K129" s="144"/>
      <c r="L129" s="145"/>
      <c r="M129" s="162"/>
      <c r="Q129" s="146"/>
    </row>
    <row r="130" spans="1:17" s="66" customFormat="1" ht="15" hidden="1" customHeight="1">
      <c r="A130" s="160"/>
      <c r="B130" s="80" t="s">
        <v>706</v>
      </c>
      <c r="C130" s="112">
        <v>0</v>
      </c>
      <c r="D130" s="112" t="s">
        <v>672</v>
      </c>
      <c r="E130" s="112">
        <v>-1</v>
      </c>
      <c r="F130" s="113">
        <v>0.75</v>
      </c>
      <c r="G130" s="113" t="s">
        <v>731</v>
      </c>
      <c r="H130" s="113">
        <v>2.1</v>
      </c>
      <c r="I130" s="114">
        <f>ROUND((E130*F130*H130*C130),2)</f>
        <v>0</v>
      </c>
      <c r="J130" s="164"/>
      <c r="K130" s="144"/>
      <c r="L130" s="145"/>
      <c r="M130" s="162"/>
      <c r="Q130" s="146"/>
    </row>
    <row r="131" spans="1:17" s="66" customFormat="1" ht="15" hidden="1" customHeight="1">
      <c r="A131" s="160"/>
      <c r="B131" s="80" t="s">
        <v>740</v>
      </c>
      <c r="C131" s="112">
        <v>0</v>
      </c>
      <c r="D131" s="112" t="s">
        <v>672</v>
      </c>
      <c r="E131" s="112">
        <v>-6</v>
      </c>
      <c r="F131" s="113">
        <v>1.22</v>
      </c>
      <c r="G131" s="113" t="s">
        <v>731</v>
      </c>
      <c r="H131" s="113">
        <v>1.37</v>
      </c>
      <c r="I131" s="114">
        <f>ROUND((E131*F131*H131*C131),2)</f>
        <v>0</v>
      </c>
      <c r="J131" s="164"/>
      <c r="K131" s="144"/>
      <c r="L131" s="145"/>
      <c r="M131" s="162"/>
      <c r="Q131" s="146"/>
    </row>
    <row r="132" spans="1:17" s="66" customFormat="1" ht="15" hidden="1" customHeight="1">
      <c r="A132" s="160"/>
      <c r="B132" s="80" t="s">
        <v>727</v>
      </c>
      <c r="C132" s="112">
        <v>0</v>
      </c>
      <c r="D132" s="112" t="s">
        <v>672</v>
      </c>
      <c r="E132" s="112">
        <v>-2</v>
      </c>
      <c r="F132" s="113">
        <v>0.75</v>
      </c>
      <c r="G132" s="113" t="s">
        <v>731</v>
      </c>
      <c r="H132" s="113">
        <v>0.91</v>
      </c>
      <c r="I132" s="114">
        <f>ROUND((E132*F132*H132*C132),2)</f>
        <v>0</v>
      </c>
      <c r="J132" s="164"/>
      <c r="K132" s="144"/>
      <c r="L132" s="145"/>
      <c r="M132" s="162"/>
      <c r="Q132" s="146"/>
    </row>
    <row r="133" spans="1:17" s="66" customFormat="1" ht="32.25" hidden="1" customHeight="1">
      <c r="A133" s="160"/>
      <c r="B133" s="80" t="s">
        <v>741</v>
      </c>
      <c r="C133" s="112">
        <v>0</v>
      </c>
      <c r="D133" s="112" t="s">
        <v>672</v>
      </c>
      <c r="E133" s="112">
        <v>0</v>
      </c>
      <c r="F133" s="113">
        <v>5</v>
      </c>
      <c r="G133" s="113" t="s">
        <v>731</v>
      </c>
      <c r="H133" s="113" t="s">
        <v>742</v>
      </c>
      <c r="I133" s="114">
        <f>ROUND((E133*F133*0.65),2)</f>
        <v>0</v>
      </c>
      <c r="J133" s="164"/>
      <c r="K133" s="144"/>
      <c r="L133" s="145"/>
      <c r="M133" s="162"/>
      <c r="Q133" s="146"/>
    </row>
    <row r="134" spans="1:17" s="66" customFormat="1" ht="18" hidden="1" customHeight="1" thickBot="1">
      <c r="A134" s="160"/>
      <c r="B134" s="80" t="s">
        <v>728</v>
      </c>
      <c r="C134" s="112"/>
      <c r="D134" s="112"/>
      <c r="E134" s="112"/>
      <c r="F134" s="113"/>
      <c r="G134" s="113"/>
      <c r="H134" s="113"/>
      <c r="I134" s="114">
        <v>0</v>
      </c>
      <c r="J134" s="164"/>
      <c r="K134" s="144"/>
      <c r="L134" s="145"/>
      <c r="M134" s="162"/>
      <c r="Q134" s="146"/>
    </row>
    <row r="135" spans="1:17" s="66" customFormat="1" ht="18" hidden="1" customHeight="1" thickBot="1">
      <c r="A135" s="160"/>
      <c r="B135" s="67"/>
      <c r="C135" s="67"/>
      <c r="D135" s="67"/>
      <c r="E135" s="67"/>
      <c r="F135" s="67"/>
      <c r="G135" s="67"/>
      <c r="H135" s="76"/>
      <c r="I135" s="149">
        <f>SUM(I120:I134)</f>
        <v>0</v>
      </c>
      <c r="J135" s="71" t="s">
        <v>113</v>
      </c>
      <c r="K135" s="117" t="e">
        <f>#REF!</f>
        <v>#REF!</v>
      </c>
      <c r="L135" s="118" t="s">
        <v>711</v>
      </c>
      <c r="M135" s="74" t="e">
        <f>ROUND(I135*K135,0)</f>
        <v>#REF!</v>
      </c>
      <c r="Q135" s="146"/>
    </row>
    <row r="136" spans="1:17" s="66" customFormat="1" ht="18" customHeight="1">
      <c r="A136" s="160"/>
      <c r="B136" s="161"/>
      <c r="C136" s="161"/>
      <c r="D136" s="161"/>
      <c r="E136" s="161"/>
      <c r="F136" s="161"/>
      <c r="G136" s="161"/>
      <c r="I136" s="163"/>
      <c r="J136" s="164"/>
      <c r="K136" s="144"/>
      <c r="L136" s="145" t="s">
        <v>743</v>
      </c>
      <c r="M136" s="162" t="e">
        <f>SUM(M32:M118)</f>
        <v>#REF!</v>
      </c>
      <c r="Q136" s="146"/>
    </row>
    <row r="137" spans="1:17" s="66" customFormat="1" ht="18" customHeight="1">
      <c r="A137" s="160"/>
      <c r="B137" s="161"/>
      <c r="C137" s="161"/>
      <c r="D137" s="161"/>
      <c r="E137" s="161"/>
      <c r="F137" s="161"/>
      <c r="G137" s="161"/>
      <c r="I137" s="163"/>
      <c r="J137" s="164"/>
      <c r="K137" s="144"/>
      <c r="L137" s="145" t="s">
        <v>744</v>
      </c>
      <c r="M137" s="162">
        <f>M19</f>
        <v>1230</v>
      </c>
      <c r="Q137" s="146"/>
    </row>
    <row r="138" spans="1:17" s="66" customFormat="1" ht="18" customHeight="1">
      <c r="A138" s="160">
        <v>16</v>
      </c>
      <c r="B138" s="2158" t="s">
        <v>941</v>
      </c>
      <c r="C138" s="2159"/>
      <c r="D138" s="2159"/>
      <c r="E138" s="2159"/>
      <c r="F138" s="2159"/>
      <c r="G138" s="2160"/>
      <c r="I138" s="163"/>
      <c r="J138" s="164"/>
      <c r="K138" s="144"/>
      <c r="L138" s="145" t="s">
        <v>746</v>
      </c>
      <c r="M138" s="162" t="e">
        <f>ROUND((M136+M137)*0.5%,0)</f>
        <v>#REF!</v>
      </c>
      <c r="Q138" s="146"/>
    </row>
    <row r="139" spans="1:17" s="66" customFormat="1" ht="18" customHeight="1">
      <c r="A139" s="160">
        <v>17</v>
      </c>
      <c r="B139" s="2158" t="s">
        <v>942</v>
      </c>
      <c r="C139" s="2159"/>
      <c r="D139" s="2159"/>
      <c r="E139" s="2159"/>
      <c r="F139" s="2159"/>
      <c r="G139" s="2160"/>
      <c r="I139" s="163"/>
      <c r="J139" s="164"/>
      <c r="K139" s="144"/>
      <c r="L139" s="145" t="s">
        <v>747</v>
      </c>
      <c r="M139" s="162">
        <f>ROUND(Seigniorage!G21,0)</f>
        <v>3964</v>
      </c>
      <c r="Q139" s="146"/>
    </row>
    <row r="140" spans="1:17" s="66" customFormat="1" ht="18" customHeight="1">
      <c r="A140" s="160">
        <v>18</v>
      </c>
      <c r="B140" s="161" t="s">
        <v>1014</v>
      </c>
      <c r="C140" s="161"/>
      <c r="D140" s="161"/>
      <c r="E140" s="161"/>
      <c r="F140" s="161"/>
      <c r="G140" s="161"/>
      <c r="H140" s="161"/>
      <c r="I140" s="163"/>
      <c r="J140" s="164"/>
      <c r="K140" s="144"/>
      <c r="L140" s="145"/>
      <c r="M140" s="162">
        <v>10180</v>
      </c>
      <c r="N140" s="168" t="e">
        <f>500000-M141</f>
        <v>#REF!</v>
      </c>
      <c r="Q140" s="146"/>
    </row>
    <row r="141" spans="1:17" s="66" customFormat="1" ht="18" customHeight="1">
      <c r="A141" s="160"/>
      <c r="B141" s="161"/>
      <c r="C141" s="161"/>
      <c r="D141" s="161"/>
      <c r="E141" s="161"/>
      <c r="F141" s="161"/>
      <c r="G141" s="161"/>
      <c r="H141" s="161"/>
      <c r="I141" s="163"/>
      <c r="J141" s="164"/>
      <c r="K141" s="144"/>
      <c r="L141" s="145"/>
      <c r="M141" s="162" t="e">
        <f>SUM(M136:M140)</f>
        <v>#REF!</v>
      </c>
      <c r="Q141" s="146"/>
    </row>
    <row r="142" spans="1:17" s="66" customFormat="1" ht="21.75" customHeight="1">
      <c r="A142" s="160"/>
      <c r="B142" s="2173" t="s">
        <v>748</v>
      </c>
      <c r="C142" s="2174"/>
      <c r="D142" s="2174"/>
      <c r="E142" s="2174"/>
      <c r="F142" s="2174"/>
      <c r="G142" s="2174"/>
      <c r="H142" s="2174"/>
      <c r="I142" s="2174"/>
      <c r="J142" s="2174"/>
      <c r="K142" s="2174"/>
      <c r="L142" s="2174"/>
      <c r="M142" s="2175"/>
      <c r="Q142" s="146"/>
    </row>
    <row r="143" spans="1:17" s="66" customFormat="1" ht="21.75" customHeight="1">
      <c r="A143" s="160"/>
      <c r="B143" s="161"/>
      <c r="C143" s="161"/>
      <c r="D143" s="161"/>
      <c r="E143" s="161"/>
      <c r="F143" s="161"/>
      <c r="G143" s="161"/>
      <c r="H143" s="161"/>
      <c r="I143" s="163"/>
      <c r="J143" s="164" t="s">
        <v>749</v>
      </c>
      <c r="K143" s="144"/>
      <c r="L143" s="145" t="s">
        <v>750</v>
      </c>
      <c r="M143" s="162"/>
      <c r="Q143" s="146"/>
    </row>
    <row r="144" spans="1:17" s="66" customFormat="1" ht="77.25" hidden="1" customHeight="1">
      <c r="A144" s="75">
        <v>28</v>
      </c>
      <c r="B144" s="2145" t="s">
        <v>751</v>
      </c>
      <c r="C144" s="2146"/>
      <c r="D144" s="2146"/>
      <c r="E144" s="2146"/>
      <c r="F144" s="2146"/>
      <c r="G144" s="2146"/>
      <c r="H144" s="2147"/>
      <c r="J144" s="104"/>
      <c r="K144" s="100"/>
      <c r="L144" s="105"/>
      <c r="M144" s="81"/>
      <c r="N144" s="106"/>
      <c r="Q144" s="146"/>
    </row>
    <row r="145" spans="1:17" s="66" customFormat="1" ht="14.5" hidden="1">
      <c r="A145" s="160"/>
      <c r="B145" s="67" t="s">
        <v>752</v>
      </c>
      <c r="C145" s="67">
        <v>1</v>
      </c>
      <c r="D145" s="161" t="s">
        <v>672</v>
      </c>
      <c r="E145" s="169">
        <v>2.25</v>
      </c>
      <c r="F145" s="170">
        <v>1.05</v>
      </c>
      <c r="G145" s="60" t="s">
        <v>753</v>
      </c>
      <c r="H145" s="60">
        <v>2.1</v>
      </c>
      <c r="I145" s="91">
        <f>H145*F145*E145*C145</f>
        <v>4.9612499999999997</v>
      </c>
      <c r="K145" s="100"/>
      <c r="L145" s="105"/>
      <c r="M145" s="81"/>
      <c r="N145" s="106"/>
      <c r="Q145" s="146"/>
    </row>
    <row r="146" spans="1:17" s="66" customFormat="1" ht="14.5" hidden="1">
      <c r="A146" s="160"/>
      <c r="B146" s="67" t="s">
        <v>754</v>
      </c>
      <c r="C146" s="67">
        <v>3</v>
      </c>
      <c r="D146" s="161" t="s">
        <v>672</v>
      </c>
      <c r="E146" s="169">
        <v>2.25</v>
      </c>
      <c r="F146" s="170">
        <v>0.9</v>
      </c>
      <c r="G146" s="60" t="s">
        <v>753</v>
      </c>
      <c r="H146" s="60">
        <v>2.1</v>
      </c>
      <c r="I146" s="91">
        <f>H146*F146*E146*C146</f>
        <v>12.7575</v>
      </c>
      <c r="K146" s="100"/>
      <c r="L146" s="105"/>
      <c r="M146" s="81"/>
      <c r="N146" s="106"/>
      <c r="Q146" s="146"/>
    </row>
    <row r="147" spans="1:17" s="66" customFormat="1" ht="14.5" hidden="1">
      <c r="A147" s="160"/>
      <c r="B147" s="67" t="s">
        <v>755</v>
      </c>
      <c r="C147" s="67">
        <v>6</v>
      </c>
      <c r="D147" s="161" t="s">
        <v>672</v>
      </c>
      <c r="E147" s="169">
        <v>2.75</v>
      </c>
      <c r="F147" s="170">
        <v>1.2</v>
      </c>
      <c r="G147" s="60" t="s">
        <v>753</v>
      </c>
      <c r="H147" s="60">
        <v>1.37</v>
      </c>
      <c r="I147" s="91">
        <f>H147*F147*E147*C147</f>
        <v>27.126000000000005</v>
      </c>
      <c r="K147" s="100"/>
      <c r="L147" s="105"/>
      <c r="M147" s="81"/>
      <c r="N147" s="106"/>
      <c r="Q147" s="146"/>
    </row>
    <row r="148" spans="1:17" s="66" customFormat="1" ht="15" hidden="1" thickBot="1">
      <c r="A148" s="160"/>
      <c r="B148" s="67" t="s">
        <v>756</v>
      </c>
      <c r="C148" s="67">
        <v>2</v>
      </c>
      <c r="D148" s="161" t="s">
        <v>672</v>
      </c>
      <c r="E148" s="169">
        <v>2.75</v>
      </c>
      <c r="F148" s="170">
        <v>0.9</v>
      </c>
      <c r="G148" s="60" t="s">
        <v>753</v>
      </c>
      <c r="H148" s="60">
        <v>1.2</v>
      </c>
      <c r="I148" s="91">
        <f>H148*F148*E148*C148</f>
        <v>5.94</v>
      </c>
      <c r="K148" s="100"/>
      <c r="L148" s="105"/>
      <c r="M148" s="81"/>
      <c r="N148" s="106"/>
      <c r="Q148" s="146"/>
    </row>
    <row r="149" spans="1:17" s="66" customFormat="1" ht="15" hidden="1" thickBot="1">
      <c r="A149" s="160"/>
      <c r="B149" s="75"/>
      <c r="C149" s="67"/>
      <c r="D149" s="67"/>
      <c r="E149" s="67"/>
      <c r="F149" s="67"/>
      <c r="G149" s="67"/>
      <c r="H149" s="67"/>
      <c r="I149" s="149">
        <f>SUM(I145:I148)</f>
        <v>50.784750000000003</v>
      </c>
      <c r="J149" s="71" t="s">
        <v>113</v>
      </c>
      <c r="K149" s="117" t="e">
        <f>#REF!</f>
        <v>#REF!</v>
      </c>
      <c r="L149" s="118" t="s">
        <v>757</v>
      </c>
      <c r="M149" s="74" t="e">
        <f>ROUND(I149*K149,0)*0</f>
        <v>#REF!</v>
      </c>
      <c r="Q149" s="146"/>
    </row>
    <row r="150" spans="1:17" s="66" customFormat="1" ht="14.5" hidden="1">
      <c r="A150" s="160"/>
      <c r="B150" s="161"/>
      <c r="C150" s="161"/>
      <c r="D150" s="161"/>
      <c r="E150" s="161"/>
      <c r="F150" s="161"/>
      <c r="G150" s="161"/>
      <c r="H150" s="161"/>
      <c r="I150" s="144"/>
      <c r="J150" s="144"/>
      <c r="K150" s="144"/>
      <c r="L150" s="145"/>
      <c r="M150" s="162"/>
      <c r="Q150" s="146"/>
    </row>
    <row r="151" spans="1:17" s="56" customFormat="1" ht="86.25" customHeight="1">
      <c r="A151" s="75">
        <v>19</v>
      </c>
      <c r="B151" s="2145" t="s">
        <v>688</v>
      </c>
      <c r="C151" s="2146"/>
      <c r="D151" s="2146"/>
      <c r="E151" s="2146"/>
      <c r="F151" s="2146"/>
      <c r="G151" s="2146"/>
      <c r="H151" s="2147"/>
      <c r="I151" s="94"/>
      <c r="J151" s="95"/>
      <c r="K151" s="95"/>
      <c r="L151" s="96"/>
      <c r="M151" s="85"/>
      <c r="P151" s="97"/>
    </row>
    <row r="152" spans="1:17" s="66" customFormat="1" ht="15.75" customHeight="1">
      <c r="A152" s="75"/>
      <c r="B152" s="58" t="s">
        <v>679</v>
      </c>
      <c r="C152" s="59"/>
      <c r="D152" s="59"/>
      <c r="E152" s="59"/>
      <c r="F152" s="60"/>
      <c r="G152" s="60"/>
      <c r="H152" s="60"/>
      <c r="I152" s="61"/>
      <c r="J152" s="91"/>
      <c r="K152" s="65"/>
      <c r="L152" s="92"/>
      <c r="M152" s="93"/>
    </row>
    <row r="153" spans="1:17" s="66" customFormat="1" ht="15.75" customHeight="1">
      <c r="A153" s="75"/>
      <c r="B153" s="58" t="s">
        <v>680</v>
      </c>
      <c r="C153" s="59">
        <v>1</v>
      </c>
      <c r="D153" s="59" t="s">
        <v>672</v>
      </c>
      <c r="E153" s="59">
        <v>1</v>
      </c>
      <c r="F153" s="60">
        <v>6.1</v>
      </c>
      <c r="G153" s="60">
        <v>4.88</v>
      </c>
      <c r="H153" s="60">
        <v>0.1</v>
      </c>
      <c r="I153" s="61">
        <f t="shared" ref="I153:I158" si="4">ROUND((H153*G153*F153*E153),2)</f>
        <v>2.98</v>
      </c>
      <c r="J153" s="91"/>
      <c r="K153" s="65"/>
      <c r="L153" s="92"/>
      <c r="M153" s="93"/>
    </row>
    <row r="154" spans="1:17" s="66" customFormat="1" ht="15.75" customHeight="1">
      <c r="A154" s="75"/>
      <c r="B154" s="58" t="s">
        <v>681</v>
      </c>
      <c r="C154" s="59">
        <v>1</v>
      </c>
      <c r="D154" s="59" t="s">
        <v>672</v>
      </c>
      <c r="E154" s="59">
        <v>1</v>
      </c>
      <c r="F154" s="60">
        <v>1.83</v>
      </c>
      <c r="G154" s="60">
        <v>1.22</v>
      </c>
      <c r="H154" s="60">
        <v>0.1</v>
      </c>
      <c r="I154" s="61">
        <f t="shared" si="4"/>
        <v>0.22</v>
      </c>
      <c r="J154" s="91"/>
      <c r="K154" s="65"/>
      <c r="L154" s="92"/>
      <c r="M154" s="93"/>
    </row>
    <row r="155" spans="1:17" s="66" customFormat="1" ht="15.75" customHeight="1">
      <c r="A155" s="75"/>
      <c r="B155" s="58" t="s">
        <v>682</v>
      </c>
      <c r="C155" s="59">
        <v>1</v>
      </c>
      <c r="D155" s="59" t="s">
        <v>672</v>
      </c>
      <c r="E155" s="59">
        <v>1</v>
      </c>
      <c r="F155" s="60">
        <v>1.83</v>
      </c>
      <c r="G155" s="60">
        <v>1.63</v>
      </c>
      <c r="H155" s="60">
        <v>0.1</v>
      </c>
      <c r="I155" s="61">
        <f t="shared" si="4"/>
        <v>0.3</v>
      </c>
      <c r="J155" s="91"/>
      <c r="K155" s="65"/>
      <c r="L155" s="92"/>
      <c r="M155" s="93"/>
    </row>
    <row r="156" spans="1:17" s="66" customFormat="1" ht="15.75" customHeight="1">
      <c r="A156" s="75"/>
      <c r="B156" s="58" t="s">
        <v>683</v>
      </c>
      <c r="C156" s="59">
        <v>1</v>
      </c>
      <c r="D156" s="59" t="s">
        <v>672</v>
      </c>
      <c r="E156" s="59">
        <v>1</v>
      </c>
      <c r="F156" s="60">
        <v>1.83</v>
      </c>
      <c r="G156" s="60">
        <v>1.52</v>
      </c>
      <c r="H156" s="60">
        <v>0.1</v>
      </c>
      <c r="I156" s="61">
        <f t="shared" si="4"/>
        <v>0.28000000000000003</v>
      </c>
      <c r="J156" s="91"/>
      <c r="K156" s="65"/>
      <c r="L156" s="92"/>
      <c r="M156" s="93"/>
    </row>
    <row r="157" spans="1:17" s="66" customFormat="1" ht="15.75" customHeight="1">
      <c r="A157" s="75"/>
      <c r="B157" s="58" t="s">
        <v>684</v>
      </c>
      <c r="C157" s="59">
        <v>1</v>
      </c>
      <c r="D157" s="59" t="s">
        <v>672</v>
      </c>
      <c r="E157" s="59">
        <v>1</v>
      </c>
      <c r="F157" s="60">
        <v>8.16</v>
      </c>
      <c r="G157" s="60">
        <v>1.45</v>
      </c>
      <c r="H157" s="60">
        <v>0.1</v>
      </c>
      <c r="I157" s="61">
        <f t="shared" si="4"/>
        <v>1.18</v>
      </c>
      <c r="J157" s="91"/>
      <c r="K157" s="65"/>
      <c r="L157" s="92"/>
      <c r="M157" s="93"/>
    </row>
    <row r="158" spans="1:17" s="66" customFormat="1" ht="15.75" customHeight="1">
      <c r="A158" s="75"/>
      <c r="B158" s="58" t="s">
        <v>685</v>
      </c>
      <c r="C158" s="59">
        <v>1</v>
      </c>
      <c r="D158" s="59" t="s">
        <v>672</v>
      </c>
      <c r="E158" s="59">
        <v>1</v>
      </c>
      <c r="F158" s="60">
        <v>1.9</v>
      </c>
      <c r="G158" s="60">
        <v>1.48</v>
      </c>
      <c r="H158" s="60">
        <v>0.1</v>
      </c>
      <c r="I158" s="61">
        <f t="shared" si="4"/>
        <v>0.28000000000000003</v>
      </c>
      <c r="J158" s="91"/>
      <c r="K158" s="65"/>
      <c r="L158" s="92"/>
      <c r="M158" s="93"/>
    </row>
    <row r="159" spans="1:17" ht="17.25" customHeight="1" thickBot="1">
      <c r="A159" s="57"/>
      <c r="B159" s="67" t="s">
        <v>1010</v>
      </c>
      <c r="C159" s="67"/>
      <c r="D159" s="67"/>
      <c r="E159" s="59"/>
      <c r="F159" s="98"/>
      <c r="G159" s="98"/>
      <c r="H159" s="98"/>
      <c r="I159" s="99">
        <v>0.3</v>
      </c>
      <c r="J159" s="100"/>
      <c r="K159" s="101"/>
      <c r="L159" s="73"/>
      <c r="M159" s="102"/>
    </row>
    <row r="160" spans="1:17" s="66" customFormat="1" ht="15.75" customHeight="1">
      <c r="A160" s="75"/>
      <c r="B160" s="2170"/>
      <c r="C160" s="2171"/>
      <c r="D160" s="2171"/>
      <c r="E160" s="2171"/>
      <c r="F160" s="2171"/>
      <c r="G160" s="2171"/>
      <c r="H160" s="2172"/>
      <c r="I160" s="61">
        <f>SUM(I152:I159)</f>
        <v>5.54</v>
      </c>
      <c r="J160" s="71" t="s">
        <v>181</v>
      </c>
      <c r="K160" s="117" t="e">
        <f>#REF!</f>
        <v>#REF!</v>
      </c>
      <c r="L160" s="73" t="s">
        <v>676</v>
      </c>
      <c r="M160" s="74" t="e">
        <f>ROUND(I160*K160,0)</f>
        <v>#REF!</v>
      </c>
      <c r="N160" s="47"/>
    </row>
    <row r="161" spans="1:17" ht="135.75" customHeight="1">
      <c r="A161" s="75">
        <v>20</v>
      </c>
      <c r="B161" s="2161" t="s">
        <v>758</v>
      </c>
      <c r="C161" s="2162"/>
      <c r="D161" s="2162"/>
      <c r="E161" s="2162"/>
      <c r="F161" s="2162"/>
      <c r="G161" s="2162"/>
      <c r="H161" s="2163"/>
      <c r="I161" s="100"/>
      <c r="J161" s="100"/>
      <c r="K161" s="81"/>
      <c r="L161" s="105"/>
      <c r="M161" s="106"/>
      <c r="Q161" s="107"/>
    </row>
    <row r="162" spans="1:17" s="231" customFormat="1" ht="12.75" customHeight="1">
      <c r="A162" s="223"/>
      <c r="B162" s="266" t="s">
        <v>680</v>
      </c>
      <c r="C162" s="267">
        <v>1</v>
      </c>
      <c r="D162" s="268" t="s">
        <v>672</v>
      </c>
      <c r="E162" s="268">
        <v>1</v>
      </c>
      <c r="F162" s="269">
        <v>6.1</v>
      </c>
      <c r="G162" s="269">
        <v>4.88</v>
      </c>
      <c r="H162" s="270">
        <v>1</v>
      </c>
      <c r="I162" s="271">
        <f t="shared" ref="I162:I169" si="5">ROUND(C162*E162*F162*G162*H162,2)</f>
        <v>29.77</v>
      </c>
      <c r="J162" s="225"/>
      <c r="K162" s="272"/>
      <c r="L162" s="272"/>
      <c r="M162" s="226"/>
    </row>
    <row r="163" spans="1:17" s="231" customFormat="1" ht="12.75" customHeight="1">
      <c r="A163" s="223"/>
      <c r="B163" s="266" t="s">
        <v>795</v>
      </c>
      <c r="C163" s="267">
        <v>1</v>
      </c>
      <c r="D163" s="268" t="s">
        <v>672</v>
      </c>
      <c r="E163" s="268">
        <v>1</v>
      </c>
      <c r="F163" s="269">
        <v>1.83</v>
      </c>
      <c r="G163" s="269">
        <v>1.22</v>
      </c>
      <c r="H163" s="270">
        <v>1</v>
      </c>
      <c r="I163" s="271">
        <f t="shared" si="5"/>
        <v>2.23</v>
      </c>
      <c r="J163" s="225"/>
      <c r="K163" s="272"/>
      <c r="L163" s="272"/>
      <c r="M163" s="226"/>
    </row>
    <row r="164" spans="1:17" s="231" customFormat="1" ht="12.75" customHeight="1">
      <c r="A164" s="223"/>
      <c r="B164" s="266" t="s">
        <v>683</v>
      </c>
      <c r="C164" s="267">
        <v>1</v>
      </c>
      <c r="D164" s="268" t="s">
        <v>672</v>
      </c>
      <c r="E164" s="268">
        <v>1</v>
      </c>
      <c r="F164" s="269">
        <v>1.83</v>
      </c>
      <c r="G164" s="269">
        <v>1.52</v>
      </c>
      <c r="H164" s="270">
        <v>1</v>
      </c>
      <c r="I164" s="271">
        <f t="shared" si="5"/>
        <v>2.78</v>
      </c>
      <c r="J164" s="263"/>
      <c r="K164" s="272"/>
      <c r="L164" s="272"/>
      <c r="M164" s="226"/>
    </row>
    <row r="165" spans="1:17" s="231" customFormat="1" ht="12.75" customHeight="1">
      <c r="A165" s="223"/>
      <c r="B165" s="266" t="s">
        <v>815</v>
      </c>
      <c r="C165" s="267">
        <v>1</v>
      </c>
      <c r="D165" s="268" t="s">
        <v>672</v>
      </c>
      <c r="E165" s="268">
        <v>1</v>
      </c>
      <c r="F165" s="269">
        <v>1.86</v>
      </c>
      <c r="G165" s="269">
        <v>0.5</v>
      </c>
      <c r="H165" s="270">
        <v>1</v>
      </c>
      <c r="I165" s="271">
        <f t="shared" si="5"/>
        <v>0.93</v>
      </c>
      <c r="J165" s="263"/>
      <c r="K165" s="272"/>
      <c r="L165" s="272"/>
      <c r="M165" s="226"/>
    </row>
    <row r="166" spans="1:17" s="231" customFormat="1" ht="12.75" customHeight="1">
      <c r="A166" s="223"/>
      <c r="B166" s="266" t="s">
        <v>682</v>
      </c>
      <c r="C166" s="267">
        <v>1</v>
      </c>
      <c r="D166" s="268" t="s">
        <v>672</v>
      </c>
      <c r="E166" s="268">
        <v>1</v>
      </c>
      <c r="F166" s="269">
        <v>1.83</v>
      </c>
      <c r="G166" s="269">
        <v>1.63</v>
      </c>
      <c r="H166" s="270">
        <v>1</v>
      </c>
      <c r="I166" s="271">
        <f t="shared" si="5"/>
        <v>2.98</v>
      </c>
      <c r="J166" s="263"/>
      <c r="K166" s="272"/>
      <c r="L166" s="272"/>
      <c r="M166" s="226"/>
    </row>
    <row r="167" spans="1:17" s="231" customFormat="1" ht="12.75" customHeight="1">
      <c r="A167" s="223"/>
      <c r="B167" s="266" t="s">
        <v>815</v>
      </c>
      <c r="C167" s="267">
        <v>1</v>
      </c>
      <c r="D167" s="268" t="s">
        <v>672</v>
      </c>
      <c r="E167" s="268">
        <v>1</v>
      </c>
      <c r="F167" s="269">
        <v>1.78</v>
      </c>
      <c r="G167" s="269">
        <v>0.5</v>
      </c>
      <c r="H167" s="270">
        <v>1</v>
      </c>
      <c r="I167" s="271">
        <f t="shared" si="5"/>
        <v>0.89</v>
      </c>
      <c r="J167" s="263"/>
      <c r="K167" s="272"/>
      <c r="L167" s="272"/>
      <c r="M167" s="226"/>
    </row>
    <row r="168" spans="1:17" s="231" customFormat="1" ht="12.75" customHeight="1">
      <c r="A168" s="223"/>
      <c r="B168" s="266" t="s">
        <v>684</v>
      </c>
      <c r="C168" s="267">
        <v>1</v>
      </c>
      <c r="D168" s="268" t="s">
        <v>672</v>
      </c>
      <c r="E168" s="268">
        <v>1</v>
      </c>
      <c r="F168" s="269">
        <v>8.16</v>
      </c>
      <c r="G168" s="269">
        <v>1.68</v>
      </c>
      <c r="H168" s="270">
        <v>1</v>
      </c>
      <c r="I168" s="271">
        <f t="shared" si="5"/>
        <v>13.71</v>
      </c>
      <c r="J168" s="263"/>
      <c r="K168" s="272"/>
      <c r="L168" s="272"/>
      <c r="M168" s="226"/>
    </row>
    <row r="169" spans="1:17" s="231" customFormat="1" ht="17.25" customHeight="1" thickBot="1">
      <c r="A169" s="223"/>
      <c r="B169" s="266" t="s">
        <v>816</v>
      </c>
      <c r="C169" s="267">
        <v>1</v>
      </c>
      <c r="D169" s="268" t="s">
        <v>672</v>
      </c>
      <c r="E169" s="268">
        <v>1</v>
      </c>
      <c r="F169" s="269">
        <v>1.35</v>
      </c>
      <c r="G169" s="269">
        <v>1.52</v>
      </c>
      <c r="H169" s="270">
        <v>1</v>
      </c>
      <c r="I169" s="271">
        <f t="shared" si="5"/>
        <v>2.0499999999999998</v>
      </c>
      <c r="J169" s="263"/>
      <c r="K169" s="272"/>
      <c r="L169" s="272"/>
      <c r="M169" s="226"/>
    </row>
    <row r="170" spans="1:17" ht="13.5" hidden="1" customHeight="1" thickBot="1">
      <c r="A170" s="75"/>
      <c r="B170" s="171"/>
      <c r="C170" s="142"/>
      <c r="D170" s="142"/>
      <c r="E170" s="142"/>
      <c r="F170" s="143"/>
      <c r="G170" s="143"/>
      <c r="H170" s="108"/>
      <c r="I170" s="172"/>
      <c r="J170" s="71"/>
      <c r="K170" s="102"/>
      <c r="L170" s="110"/>
      <c r="M170" s="106"/>
    </row>
    <row r="171" spans="1:17" ht="15" thickBot="1">
      <c r="A171" s="75"/>
      <c r="B171" s="67"/>
      <c r="C171" s="67"/>
      <c r="D171" s="67"/>
      <c r="E171" s="67"/>
      <c r="F171" s="67"/>
      <c r="G171" s="67"/>
      <c r="H171" s="76"/>
      <c r="I171" s="149">
        <f>SUM(I162:I170)</f>
        <v>55.339999999999996</v>
      </c>
      <c r="J171" s="71" t="s">
        <v>113</v>
      </c>
      <c r="K171" s="117" t="e">
        <f>#REF!</f>
        <v>#REF!</v>
      </c>
      <c r="L171" s="105" t="s">
        <v>757</v>
      </c>
      <c r="M171" s="74" t="e">
        <f>ROUND(I171*K171,0)</f>
        <v>#REF!</v>
      </c>
      <c r="Q171" s="107"/>
    </row>
    <row r="172" spans="1:17" ht="132.75" customHeight="1">
      <c r="A172" s="75">
        <v>21</v>
      </c>
      <c r="B172" s="2161" t="s">
        <v>601</v>
      </c>
      <c r="C172" s="2162"/>
      <c r="D172" s="2162"/>
      <c r="E172" s="2162"/>
      <c r="F172" s="2162"/>
      <c r="G172" s="2162"/>
      <c r="H172" s="2163"/>
      <c r="I172" s="100"/>
      <c r="J172" s="100"/>
      <c r="K172" s="81"/>
      <c r="L172" s="105"/>
      <c r="M172" s="106"/>
      <c r="Q172" s="107"/>
    </row>
    <row r="173" spans="1:17" s="231" customFormat="1" ht="12.75" customHeight="1">
      <c r="A173" s="223"/>
      <c r="B173" s="266" t="s">
        <v>810</v>
      </c>
      <c r="C173" s="267">
        <v>1</v>
      </c>
      <c r="D173" s="268" t="s">
        <v>672</v>
      </c>
      <c r="E173" s="268">
        <v>1</v>
      </c>
      <c r="F173" s="374">
        <f>(F162+G162)*2</f>
        <v>21.96</v>
      </c>
      <c r="G173" s="270">
        <v>1</v>
      </c>
      <c r="H173" s="269">
        <v>0.1</v>
      </c>
      <c r="I173" s="271">
        <f>ROUND(C173*E173*F173*G173*H173,2)</f>
        <v>2.2000000000000002</v>
      </c>
      <c r="J173" s="225"/>
      <c r="K173" s="272"/>
      <c r="L173" s="272"/>
      <c r="M173" s="226"/>
    </row>
    <row r="174" spans="1:17" s="231" customFormat="1" ht="12.75" customHeight="1">
      <c r="A174" s="223"/>
      <c r="B174" s="266" t="s">
        <v>811</v>
      </c>
      <c r="C174" s="267">
        <v>1</v>
      </c>
      <c r="D174" s="268" t="s">
        <v>672</v>
      </c>
      <c r="E174" s="268">
        <v>1</v>
      </c>
      <c r="F174" s="374">
        <v>1</v>
      </c>
      <c r="G174" s="270">
        <v>1</v>
      </c>
      <c r="H174" s="269">
        <v>0.1</v>
      </c>
      <c r="I174" s="271">
        <f>-ROUND(C174*E174*F174*G174*H174,2)</f>
        <v>-0.1</v>
      </c>
      <c r="J174" s="225"/>
      <c r="K174" s="272"/>
      <c r="L174" s="272"/>
      <c r="M174" s="226"/>
    </row>
    <row r="175" spans="1:17" s="231" customFormat="1" ht="12.75" customHeight="1">
      <c r="A175" s="223"/>
      <c r="B175" s="266" t="s">
        <v>812</v>
      </c>
      <c r="C175" s="267">
        <v>1</v>
      </c>
      <c r="D175" s="268" t="s">
        <v>672</v>
      </c>
      <c r="E175" s="268">
        <v>1</v>
      </c>
      <c r="F175" s="374">
        <v>0.75</v>
      </c>
      <c r="G175" s="270">
        <v>1</v>
      </c>
      <c r="H175" s="269">
        <v>0.1</v>
      </c>
      <c r="I175" s="271">
        <f>-ROUND(C175*E175*F175*G175*H175,2)</f>
        <v>-0.08</v>
      </c>
      <c r="J175" s="225"/>
      <c r="K175" s="272"/>
      <c r="L175" s="272"/>
      <c r="M175" s="226"/>
    </row>
    <row r="176" spans="1:17" s="231" customFormat="1" ht="12.75" customHeight="1">
      <c r="A176" s="223"/>
      <c r="B176" s="266" t="s">
        <v>810</v>
      </c>
      <c r="C176" s="267">
        <v>1</v>
      </c>
      <c r="D176" s="268" t="s">
        <v>672</v>
      </c>
      <c r="E176" s="268">
        <v>1</v>
      </c>
      <c r="F176" s="374">
        <f>(F163+G163)*2</f>
        <v>6.1</v>
      </c>
      <c r="G176" s="270">
        <v>1</v>
      </c>
      <c r="H176" s="269">
        <v>0.1</v>
      </c>
      <c r="I176" s="271">
        <f>ROUND(C176*E176*F176*G176*H176,2)</f>
        <v>0.61</v>
      </c>
      <c r="J176" s="263"/>
      <c r="K176" s="272"/>
      <c r="L176" s="272"/>
      <c r="M176" s="226"/>
    </row>
    <row r="177" spans="1:17" s="231" customFormat="1" ht="12.75" customHeight="1">
      <c r="A177" s="223"/>
      <c r="B177" s="266" t="s">
        <v>813</v>
      </c>
      <c r="C177" s="267">
        <v>1</v>
      </c>
      <c r="D177" s="268" t="s">
        <v>672</v>
      </c>
      <c r="E177" s="268">
        <v>1</v>
      </c>
      <c r="F177" s="374">
        <v>0.75</v>
      </c>
      <c r="G177" s="270">
        <v>1</v>
      </c>
      <c r="H177" s="269">
        <v>0.1</v>
      </c>
      <c r="I177" s="271">
        <f>-ROUND(C177*E177*F177*G177*H177,2)</f>
        <v>-0.08</v>
      </c>
      <c r="J177" s="263"/>
      <c r="K177" s="272"/>
      <c r="L177" s="272"/>
      <c r="M177" s="226"/>
    </row>
    <row r="178" spans="1:17" s="231" customFormat="1" ht="12.75" customHeight="1">
      <c r="A178" s="223"/>
      <c r="B178" s="266" t="s">
        <v>810</v>
      </c>
      <c r="C178" s="267">
        <v>1</v>
      </c>
      <c r="D178" s="268" t="s">
        <v>672</v>
      </c>
      <c r="E178" s="268">
        <v>1</v>
      </c>
      <c r="F178" s="374">
        <f>(F164+G164)*2</f>
        <v>6.7</v>
      </c>
      <c r="G178" s="270">
        <v>1</v>
      </c>
      <c r="H178" s="269">
        <v>0.1</v>
      </c>
      <c r="I178" s="271">
        <f>ROUND(C178*E178*F178*G178*H178,2)</f>
        <v>0.67</v>
      </c>
      <c r="J178" s="263"/>
      <c r="K178" s="272"/>
      <c r="L178" s="272"/>
      <c r="M178" s="226"/>
    </row>
    <row r="179" spans="1:17" s="231" customFormat="1" ht="12.75" customHeight="1">
      <c r="A179" s="223"/>
      <c r="B179" s="266" t="s">
        <v>814</v>
      </c>
      <c r="C179" s="267">
        <v>1</v>
      </c>
      <c r="D179" s="268" t="s">
        <v>672</v>
      </c>
      <c r="E179" s="268">
        <v>1</v>
      </c>
      <c r="F179" s="374">
        <v>0.75</v>
      </c>
      <c r="G179" s="270">
        <v>1</v>
      </c>
      <c r="H179" s="269">
        <v>0.1</v>
      </c>
      <c r="I179" s="271">
        <f>-ROUND(C179*E179*F179*G179*H179,2)</f>
        <v>-0.08</v>
      </c>
      <c r="J179" s="263"/>
      <c r="K179" s="272"/>
      <c r="L179" s="272"/>
      <c r="M179" s="226"/>
    </row>
    <row r="180" spans="1:17" s="231" customFormat="1" ht="12.75" customHeight="1">
      <c r="A180" s="223"/>
      <c r="B180" s="266" t="s">
        <v>810</v>
      </c>
      <c r="C180" s="267">
        <v>1</v>
      </c>
      <c r="D180" s="268" t="s">
        <v>672</v>
      </c>
      <c r="E180" s="268">
        <v>1</v>
      </c>
      <c r="F180" s="374">
        <f>(F166+G166)*2</f>
        <v>6.92</v>
      </c>
      <c r="G180" s="270">
        <v>1</v>
      </c>
      <c r="H180" s="269">
        <v>0.1</v>
      </c>
      <c r="I180" s="271">
        <f>ROUND(C180*E180*F180*G180*H180,2)</f>
        <v>0.69</v>
      </c>
      <c r="J180" s="263"/>
      <c r="K180" s="272"/>
      <c r="L180" s="272"/>
      <c r="M180" s="226"/>
    </row>
    <row r="181" spans="1:17" s="231" customFormat="1" ht="12.75" customHeight="1" thickBot="1">
      <c r="A181" s="223"/>
      <c r="B181" s="266" t="s">
        <v>814</v>
      </c>
      <c r="C181" s="267">
        <v>1</v>
      </c>
      <c r="D181" s="268" t="s">
        <v>672</v>
      </c>
      <c r="E181" s="268">
        <v>1</v>
      </c>
      <c r="F181" s="374">
        <v>0.76</v>
      </c>
      <c r="G181" s="270">
        <v>1</v>
      </c>
      <c r="H181" s="269">
        <v>0.1</v>
      </c>
      <c r="I181" s="271">
        <f>-ROUND(C181*E181*F181*G181*H181,2)</f>
        <v>-0.08</v>
      </c>
      <c r="J181" s="263"/>
      <c r="K181" s="272"/>
      <c r="L181" s="272"/>
      <c r="M181" s="226"/>
    </row>
    <row r="182" spans="1:17" ht="25.5" hidden="1" customHeight="1" thickBot="1">
      <c r="A182" s="75"/>
      <c r="B182" s="67"/>
      <c r="C182" s="67"/>
      <c r="D182" s="67"/>
      <c r="E182" s="67"/>
      <c r="F182" s="67"/>
      <c r="G182" s="67"/>
      <c r="H182" s="76"/>
      <c r="I182" s="109"/>
      <c r="J182" s="71"/>
      <c r="K182" s="81"/>
      <c r="L182" s="105"/>
      <c r="M182" s="74"/>
      <c r="Q182" s="107"/>
    </row>
    <row r="183" spans="1:17" ht="15" thickBot="1">
      <c r="A183" s="75"/>
      <c r="B183" s="67"/>
      <c r="C183" s="67"/>
      <c r="D183" s="67"/>
      <c r="E183" s="67"/>
      <c r="F183" s="67"/>
      <c r="G183" s="67"/>
      <c r="H183" s="76"/>
      <c r="I183" s="149">
        <f>SUM(I173:I182)</f>
        <v>3.7499999999999996</v>
      </c>
      <c r="J183" s="71" t="s">
        <v>113</v>
      </c>
      <c r="K183" s="117" t="e">
        <f>#REF!</f>
        <v>#REF!</v>
      </c>
      <c r="L183" s="105" t="s">
        <v>757</v>
      </c>
      <c r="M183" s="74" t="e">
        <f>ROUND(I183*K183,0)</f>
        <v>#REF!</v>
      </c>
      <c r="Q183" s="107"/>
    </row>
    <row r="184" spans="1:17" ht="45.75" customHeight="1">
      <c r="A184" s="75">
        <v>22</v>
      </c>
      <c r="B184" s="2145" t="s">
        <v>734</v>
      </c>
      <c r="C184" s="2146"/>
      <c r="D184" s="2146"/>
      <c r="E184" s="2146"/>
      <c r="F184" s="2146"/>
      <c r="G184" s="2146"/>
      <c r="H184" s="2147"/>
      <c r="I184" s="104"/>
      <c r="J184" s="100"/>
      <c r="K184" s="81"/>
      <c r="L184" s="105"/>
      <c r="M184" s="106"/>
      <c r="O184" s="173"/>
      <c r="Q184" s="107"/>
    </row>
    <row r="185" spans="1:17" s="229" customFormat="1" ht="15" customHeight="1">
      <c r="A185" s="245"/>
      <c r="B185" s="319" t="s">
        <v>926</v>
      </c>
      <c r="C185" s="320">
        <v>1</v>
      </c>
      <c r="D185" s="320" t="s">
        <v>672</v>
      </c>
      <c r="E185" s="320">
        <v>1</v>
      </c>
      <c r="F185" s="321">
        <v>21.96</v>
      </c>
      <c r="G185" s="322">
        <v>1</v>
      </c>
      <c r="H185" s="323">
        <v>3.2</v>
      </c>
      <c r="I185" s="376">
        <f>ROUND(C185*E185*F185*G185*H185,2)</f>
        <v>70.27</v>
      </c>
      <c r="J185" s="324"/>
      <c r="K185" s="254"/>
      <c r="L185" s="254"/>
      <c r="M185" s="325"/>
      <c r="Q185" s="326"/>
    </row>
    <row r="186" spans="1:17" s="229" customFormat="1" ht="15" customHeight="1">
      <c r="A186" s="245"/>
      <c r="B186" s="319" t="s">
        <v>930</v>
      </c>
      <c r="C186" s="320">
        <v>1</v>
      </c>
      <c r="D186" s="320" t="s">
        <v>672</v>
      </c>
      <c r="E186" s="320">
        <v>1</v>
      </c>
      <c r="F186" s="321">
        <f>(1.18+1.86)*2</f>
        <v>6.08</v>
      </c>
      <c r="G186" s="322">
        <v>1</v>
      </c>
      <c r="H186" s="323">
        <v>3.2</v>
      </c>
      <c r="I186" s="376">
        <f>ROUND(C186*E186*F186*G186*H186,2)</f>
        <v>19.46</v>
      </c>
      <c r="J186" s="324"/>
      <c r="K186" s="254"/>
      <c r="L186" s="254"/>
      <c r="M186" s="325"/>
      <c r="Q186" s="326"/>
    </row>
    <row r="187" spans="1:17" s="229" customFormat="1" ht="15" customHeight="1">
      <c r="A187" s="245"/>
      <c r="B187" s="319" t="s">
        <v>932</v>
      </c>
      <c r="C187" s="320">
        <v>1</v>
      </c>
      <c r="D187" s="320" t="s">
        <v>672</v>
      </c>
      <c r="E187" s="320">
        <v>1</v>
      </c>
      <c r="F187" s="321">
        <f>(1.5+1.86)*2</f>
        <v>6.7200000000000006</v>
      </c>
      <c r="G187" s="322">
        <v>1</v>
      </c>
      <c r="H187" s="323">
        <v>3.2</v>
      </c>
      <c r="I187" s="376">
        <f>ROUND(C187*E187*F187*G187*H187,2)</f>
        <v>21.5</v>
      </c>
      <c r="J187" s="324"/>
      <c r="K187" s="254"/>
      <c r="L187" s="254"/>
      <c r="M187" s="325"/>
      <c r="Q187" s="326"/>
    </row>
    <row r="188" spans="1:17" s="229" customFormat="1" ht="15" customHeight="1">
      <c r="A188" s="245"/>
      <c r="B188" s="319" t="s">
        <v>933</v>
      </c>
      <c r="C188" s="320">
        <v>1</v>
      </c>
      <c r="D188" s="320" t="s">
        <v>672</v>
      </c>
      <c r="E188" s="320">
        <v>1</v>
      </c>
      <c r="F188" s="321">
        <f>(1.78+1.86)*2</f>
        <v>7.28</v>
      </c>
      <c r="G188" s="322">
        <v>1</v>
      </c>
      <c r="H188" s="323">
        <v>3.2</v>
      </c>
      <c r="I188" s="376">
        <f>ROUND(C188*E188*F188*G188*H188,2)</f>
        <v>23.3</v>
      </c>
      <c r="J188" s="324"/>
      <c r="K188" s="254"/>
      <c r="L188" s="254"/>
      <c r="M188" s="325"/>
      <c r="Q188" s="326"/>
    </row>
    <row r="189" spans="1:17" s="229" customFormat="1" ht="15" customHeight="1">
      <c r="A189" s="245"/>
      <c r="B189" s="273" t="s">
        <v>927</v>
      </c>
      <c r="C189" s="320">
        <v>1</v>
      </c>
      <c r="D189" s="320" t="s">
        <v>672</v>
      </c>
      <c r="E189" s="320">
        <v>1</v>
      </c>
      <c r="F189" s="375">
        <v>1</v>
      </c>
      <c r="G189" s="322">
        <v>1</v>
      </c>
      <c r="H189" s="323">
        <v>2.0499999999999998</v>
      </c>
      <c r="I189" s="376">
        <f>-ROUND(C189*E189*F189*G189*H189,2)</f>
        <v>-2.0499999999999998</v>
      </c>
      <c r="J189" s="324"/>
      <c r="K189" s="254"/>
      <c r="L189" s="254"/>
      <c r="M189" s="325"/>
      <c r="Q189" s="326"/>
    </row>
    <row r="190" spans="1:17" s="229" customFormat="1" ht="15" customHeight="1">
      <c r="A190" s="245"/>
      <c r="B190" s="273" t="s">
        <v>928</v>
      </c>
      <c r="C190" s="320">
        <v>1</v>
      </c>
      <c r="D190" s="320" t="s">
        <v>672</v>
      </c>
      <c r="E190" s="320">
        <v>3</v>
      </c>
      <c r="F190" s="321">
        <v>0.75</v>
      </c>
      <c r="G190" s="322">
        <v>1</v>
      </c>
      <c r="H190" s="323">
        <v>2.0499999999999998</v>
      </c>
      <c r="I190" s="376">
        <f>-ROUND(C190*E190*F190*G190*H190,2)</f>
        <v>-4.6100000000000003</v>
      </c>
      <c r="J190" s="324"/>
      <c r="K190" s="254"/>
      <c r="L190" s="254"/>
      <c r="M190" s="325"/>
      <c r="Q190" s="326"/>
    </row>
    <row r="191" spans="1:17" s="229" customFormat="1" ht="15" customHeight="1">
      <c r="A191" s="245"/>
      <c r="B191" s="273" t="s">
        <v>813</v>
      </c>
      <c r="C191" s="320">
        <v>1</v>
      </c>
      <c r="D191" s="320" t="s">
        <v>672</v>
      </c>
      <c r="E191" s="320">
        <v>1</v>
      </c>
      <c r="F191" s="321">
        <v>0.75</v>
      </c>
      <c r="G191" s="322">
        <v>1</v>
      </c>
      <c r="H191" s="323">
        <v>3.2</v>
      </c>
      <c r="I191" s="376">
        <f>-ROUND(C191*E191*F191*G191*H191,2)</f>
        <v>-2.4</v>
      </c>
      <c r="J191" s="324"/>
      <c r="K191" s="254"/>
      <c r="L191" s="254"/>
      <c r="M191" s="325"/>
      <c r="Q191" s="326"/>
    </row>
    <row r="192" spans="1:17" s="229" customFormat="1" ht="15" customHeight="1">
      <c r="A192" s="245"/>
      <c r="B192" s="273" t="s">
        <v>929</v>
      </c>
      <c r="C192" s="320">
        <v>1</v>
      </c>
      <c r="D192" s="320" t="s">
        <v>672</v>
      </c>
      <c r="E192" s="320">
        <v>6</v>
      </c>
      <c r="F192" s="321">
        <v>1.22</v>
      </c>
      <c r="G192" s="322">
        <v>1</v>
      </c>
      <c r="H192" s="323">
        <v>1.39</v>
      </c>
      <c r="I192" s="376">
        <f>-ROUND(C192*E192*F192*G192*H192,2)</f>
        <v>-10.17</v>
      </c>
      <c r="J192" s="324"/>
      <c r="K192" s="254"/>
      <c r="L192" s="254"/>
      <c r="M192" s="325"/>
      <c r="Q192" s="326"/>
    </row>
    <row r="193" spans="1:17" s="229" customFormat="1" ht="15" customHeight="1">
      <c r="A193" s="245"/>
      <c r="B193" s="319" t="s">
        <v>931</v>
      </c>
      <c r="C193" s="320">
        <v>1</v>
      </c>
      <c r="D193" s="320" t="s">
        <v>672</v>
      </c>
      <c r="E193" s="320">
        <v>2</v>
      </c>
      <c r="F193" s="321">
        <v>0.95</v>
      </c>
      <c r="G193" s="322">
        <v>1</v>
      </c>
      <c r="H193" s="323">
        <v>1.22</v>
      </c>
      <c r="I193" s="376">
        <f>-ROUND(C193*E193*F193*G193*H193,2)</f>
        <v>-2.3199999999999998</v>
      </c>
      <c r="J193" s="324"/>
      <c r="K193" s="254"/>
      <c r="L193" s="254"/>
      <c r="M193" s="325"/>
      <c r="Q193" s="326"/>
    </row>
    <row r="194" spans="1:17" s="229" customFormat="1" ht="28.5" customHeight="1">
      <c r="A194" s="245"/>
      <c r="B194" s="273" t="s">
        <v>1011</v>
      </c>
      <c r="C194" s="327"/>
      <c r="D194" s="327"/>
      <c r="E194" s="327"/>
      <c r="F194" s="276"/>
      <c r="G194" s="328"/>
      <c r="H194" s="328"/>
      <c r="I194" s="376">
        <v>7</v>
      </c>
      <c r="J194" s="324"/>
      <c r="K194" s="254"/>
      <c r="L194" s="254"/>
      <c r="M194" s="325"/>
      <c r="Q194" s="326"/>
    </row>
    <row r="195" spans="1:17" s="229" customFormat="1" ht="15" customHeight="1">
      <c r="A195" s="245"/>
      <c r="B195" s="329" t="s">
        <v>934</v>
      </c>
      <c r="C195" s="166"/>
      <c r="D195" s="166"/>
      <c r="E195" s="166"/>
      <c r="F195" s="166"/>
      <c r="G195" s="166"/>
      <c r="H195" s="166"/>
      <c r="I195" s="271"/>
      <c r="J195" s="324"/>
      <c r="K195" s="254"/>
      <c r="L195" s="254"/>
      <c r="M195" s="325"/>
      <c r="Q195" s="326"/>
    </row>
    <row r="196" spans="1:17" s="229" customFormat="1" ht="15" customHeight="1">
      <c r="A196" s="245"/>
      <c r="B196" s="319" t="s">
        <v>935</v>
      </c>
      <c r="C196" s="320">
        <v>1</v>
      </c>
      <c r="D196" s="320" t="s">
        <v>672</v>
      </c>
      <c r="E196" s="320">
        <v>1</v>
      </c>
      <c r="F196" s="321">
        <v>31.28</v>
      </c>
      <c r="G196" s="322">
        <v>1</v>
      </c>
      <c r="H196" s="323">
        <v>0.6</v>
      </c>
      <c r="I196" s="271">
        <f t="shared" ref="I196:I202" si="6">ROUND(C196*E196*F196*G196*H196,2)</f>
        <v>18.77</v>
      </c>
      <c r="J196" s="324"/>
      <c r="K196" s="254"/>
      <c r="L196" s="254"/>
      <c r="M196" s="325"/>
      <c r="Q196" s="326"/>
    </row>
    <row r="197" spans="1:17" s="229" customFormat="1" ht="15" customHeight="1">
      <c r="A197" s="245"/>
      <c r="B197" s="319" t="s">
        <v>936</v>
      </c>
      <c r="C197" s="320">
        <v>1</v>
      </c>
      <c r="D197" s="320" t="s">
        <v>672</v>
      </c>
      <c r="E197" s="320">
        <v>1</v>
      </c>
      <c r="F197" s="321">
        <f>(8.69+5.27)*2</f>
        <v>27.919999999999998</v>
      </c>
      <c r="G197" s="322">
        <v>1</v>
      </c>
      <c r="H197" s="323">
        <v>3.2</v>
      </c>
      <c r="I197" s="271">
        <f t="shared" si="6"/>
        <v>89.34</v>
      </c>
      <c r="J197" s="324"/>
      <c r="K197" s="254"/>
      <c r="L197" s="254"/>
      <c r="M197" s="325"/>
      <c r="Q197" s="326"/>
    </row>
    <row r="198" spans="1:17" s="229" customFormat="1" ht="31.5" customHeight="1">
      <c r="A198" s="245"/>
      <c r="B198" s="319" t="s">
        <v>1012</v>
      </c>
      <c r="C198" s="320"/>
      <c r="D198" s="320"/>
      <c r="E198" s="320"/>
      <c r="F198" s="321"/>
      <c r="G198" s="323"/>
      <c r="H198" s="322">
        <v>1</v>
      </c>
      <c r="I198" s="271">
        <v>8.15</v>
      </c>
      <c r="J198" s="324"/>
      <c r="K198" s="254"/>
      <c r="L198" s="254"/>
      <c r="M198" s="325"/>
      <c r="Q198" s="326"/>
    </row>
    <row r="199" spans="1:17" s="229" customFormat="1" ht="15" customHeight="1">
      <c r="A199" s="245"/>
      <c r="B199" s="319" t="s">
        <v>937</v>
      </c>
      <c r="C199" s="320">
        <v>1</v>
      </c>
      <c r="D199" s="320" t="s">
        <v>672</v>
      </c>
      <c r="E199" s="320">
        <v>2</v>
      </c>
      <c r="F199" s="321">
        <v>0.9</v>
      </c>
      <c r="G199" s="322">
        <v>1</v>
      </c>
      <c r="H199" s="323">
        <v>0.15</v>
      </c>
      <c r="I199" s="271">
        <f t="shared" si="6"/>
        <v>0.27</v>
      </c>
      <c r="J199" s="324"/>
      <c r="K199" s="254"/>
      <c r="L199" s="254"/>
      <c r="M199" s="325"/>
      <c r="Q199" s="326"/>
    </row>
    <row r="200" spans="1:17" s="229" customFormat="1" ht="15" customHeight="1">
      <c r="A200" s="245"/>
      <c r="B200" s="319" t="s">
        <v>938</v>
      </c>
      <c r="C200" s="320">
        <v>1</v>
      </c>
      <c r="D200" s="320" t="s">
        <v>672</v>
      </c>
      <c r="E200" s="320">
        <v>2</v>
      </c>
      <c r="F200" s="321">
        <v>0.6</v>
      </c>
      <c r="G200" s="322">
        <v>1</v>
      </c>
      <c r="H200" s="323">
        <v>0.15</v>
      </c>
      <c r="I200" s="271">
        <f t="shared" si="6"/>
        <v>0.18</v>
      </c>
      <c r="J200" s="324"/>
      <c r="K200" s="254"/>
      <c r="L200" s="254"/>
      <c r="M200" s="325"/>
      <c r="Q200" s="326"/>
    </row>
    <row r="201" spans="1:17" s="229" customFormat="1" ht="15" customHeight="1">
      <c r="A201" s="245"/>
      <c r="B201" s="319" t="s">
        <v>939</v>
      </c>
      <c r="C201" s="320">
        <v>1</v>
      </c>
      <c r="D201" s="320" t="s">
        <v>672</v>
      </c>
      <c r="E201" s="320">
        <v>2</v>
      </c>
      <c r="F201" s="321">
        <v>0.3</v>
      </c>
      <c r="G201" s="322">
        <v>1</v>
      </c>
      <c r="H201" s="323">
        <v>0.15</v>
      </c>
      <c r="I201" s="271">
        <f t="shared" si="6"/>
        <v>0.09</v>
      </c>
      <c r="J201" s="324"/>
      <c r="K201" s="254"/>
      <c r="L201" s="254"/>
      <c r="M201" s="325"/>
      <c r="Q201" s="326"/>
    </row>
    <row r="202" spans="1:17" s="229" customFormat="1" ht="15" customHeight="1" thickBot="1">
      <c r="A202" s="245"/>
      <c r="B202" s="319" t="s">
        <v>940</v>
      </c>
      <c r="C202" s="320">
        <v>1</v>
      </c>
      <c r="D202" s="320" t="s">
        <v>672</v>
      </c>
      <c r="E202" s="320">
        <v>3</v>
      </c>
      <c r="F202" s="321">
        <v>1.35</v>
      </c>
      <c r="G202" s="323">
        <v>0.3</v>
      </c>
      <c r="H202" s="322">
        <v>1</v>
      </c>
      <c r="I202" s="271">
        <f t="shared" si="6"/>
        <v>1.22</v>
      </c>
      <c r="J202" s="324"/>
      <c r="K202" s="254"/>
      <c r="L202" s="254"/>
      <c r="M202" s="325"/>
      <c r="Q202" s="326"/>
    </row>
    <row r="203" spans="1:17" s="66" customFormat="1" ht="32.25" hidden="1" customHeight="1">
      <c r="A203" s="160"/>
      <c r="B203" s="80" t="s">
        <v>741</v>
      </c>
      <c r="C203" s="112">
        <v>1</v>
      </c>
      <c r="D203" s="112" t="s">
        <v>672</v>
      </c>
      <c r="E203" s="112">
        <v>0</v>
      </c>
      <c r="F203" s="113">
        <v>5</v>
      </c>
      <c r="G203" s="113" t="s">
        <v>731</v>
      </c>
      <c r="H203" s="113" t="s">
        <v>742</v>
      </c>
      <c r="I203" s="114">
        <f>ROUND((E203*F203*0.65),2)</f>
        <v>0</v>
      </c>
      <c r="J203" s="164"/>
      <c r="K203" s="144"/>
      <c r="L203" s="145"/>
      <c r="M203" s="162"/>
      <c r="Q203" s="146"/>
    </row>
    <row r="204" spans="1:17" s="66" customFormat="1" ht="18" hidden="1" customHeight="1">
      <c r="A204" s="160"/>
      <c r="B204" s="80" t="s">
        <v>728</v>
      </c>
      <c r="C204" s="112"/>
      <c r="D204" s="112"/>
      <c r="E204" s="112"/>
      <c r="F204" s="113"/>
      <c r="G204" s="113"/>
      <c r="H204" s="113"/>
      <c r="I204" s="114">
        <v>0</v>
      </c>
      <c r="J204" s="164"/>
      <c r="K204" s="144"/>
      <c r="L204" s="145"/>
      <c r="M204" s="162"/>
      <c r="Q204" s="146"/>
    </row>
    <row r="205" spans="1:17" ht="15" hidden="1" thickBot="1">
      <c r="A205" s="75"/>
      <c r="B205" s="80" t="s">
        <v>728</v>
      </c>
      <c r="C205" s="112"/>
      <c r="D205" s="112"/>
      <c r="E205" s="112"/>
      <c r="F205" s="113"/>
      <c r="G205" s="113"/>
      <c r="H205" s="113"/>
      <c r="I205" s="114"/>
      <c r="J205" s="100"/>
      <c r="K205" s="81"/>
      <c r="L205" s="105"/>
      <c r="M205" s="106"/>
      <c r="Q205" s="107"/>
    </row>
    <row r="206" spans="1:17" ht="20.25" customHeight="1" thickBot="1">
      <c r="A206" s="75"/>
      <c r="B206" s="67"/>
      <c r="C206" s="67"/>
      <c r="D206" s="67"/>
      <c r="E206" s="67"/>
      <c r="F206" s="67"/>
      <c r="G206" s="67"/>
      <c r="H206" s="76"/>
      <c r="I206" s="149">
        <f>SUM(I185:I205)</f>
        <v>238.00000000000003</v>
      </c>
      <c r="J206" s="71" t="s">
        <v>113</v>
      </c>
      <c r="K206" s="117" t="e">
        <f>#REF!</f>
        <v>#REF!</v>
      </c>
      <c r="L206" s="118" t="s">
        <v>711</v>
      </c>
      <c r="M206" s="74" t="e">
        <f>ROUND(I206*K206,0)</f>
        <v>#REF!</v>
      </c>
      <c r="Q206" s="107"/>
    </row>
    <row r="207" spans="1:17" ht="20.25" customHeight="1">
      <c r="A207" s="75"/>
      <c r="B207" s="67"/>
      <c r="C207" s="67"/>
      <c r="D207" s="67"/>
      <c r="E207" s="67"/>
      <c r="F207" s="67"/>
      <c r="G207" s="67"/>
      <c r="H207" s="76"/>
      <c r="I207" s="109"/>
      <c r="J207" s="71"/>
      <c r="K207" s="81"/>
      <c r="L207" s="118"/>
      <c r="M207" s="74"/>
      <c r="Q207" s="107"/>
    </row>
    <row r="208" spans="1:17" ht="102" hidden="1" customHeight="1" thickBot="1">
      <c r="A208" s="75">
        <v>17</v>
      </c>
      <c r="B208" s="2145" t="s">
        <v>759</v>
      </c>
      <c r="C208" s="2146"/>
      <c r="D208" s="2146"/>
      <c r="E208" s="2146"/>
      <c r="F208" s="2146"/>
      <c r="G208" s="2146"/>
      <c r="H208" s="2147"/>
      <c r="I208" s="104"/>
      <c r="J208" s="100"/>
      <c r="K208" s="81"/>
      <c r="L208" s="105"/>
      <c r="M208" s="106"/>
      <c r="O208" s="173"/>
      <c r="Q208" s="107"/>
    </row>
    <row r="209" spans="1:17" ht="20.25" hidden="1" customHeight="1" thickBot="1">
      <c r="A209" s="75"/>
      <c r="B209" s="67" t="s">
        <v>760</v>
      </c>
      <c r="C209" s="67"/>
      <c r="D209" s="67"/>
      <c r="E209" s="67"/>
      <c r="F209" s="67"/>
      <c r="G209" s="67"/>
      <c r="H209" s="76"/>
      <c r="I209" s="149">
        <f>I135+I206</f>
        <v>238.00000000000003</v>
      </c>
      <c r="J209" s="71" t="s">
        <v>113</v>
      </c>
      <c r="K209" s="117" t="e">
        <f>#REF!</f>
        <v>#REF!</v>
      </c>
      <c r="L209" s="118" t="s">
        <v>761</v>
      </c>
      <c r="M209" s="74" t="e">
        <f>ROUND(I209*K209,0)*0</f>
        <v>#REF!</v>
      </c>
      <c r="Q209" s="107"/>
    </row>
    <row r="210" spans="1:17" ht="165" hidden="1" customHeight="1">
      <c r="A210" s="75">
        <v>18</v>
      </c>
      <c r="B210" s="2145" t="s">
        <v>762</v>
      </c>
      <c r="C210" s="2146"/>
      <c r="D210" s="2146"/>
      <c r="E210" s="2146"/>
      <c r="F210" s="2146"/>
      <c r="G210" s="2146"/>
      <c r="H210" s="2147"/>
      <c r="I210" s="104"/>
      <c r="J210" s="100"/>
      <c r="K210" s="81"/>
      <c r="L210" s="105"/>
      <c r="M210" s="106"/>
      <c r="O210" s="173" t="e">
        <f>O209-M209</f>
        <v>#REF!</v>
      </c>
      <c r="Q210" s="107"/>
    </row>
    <row r="211" spans="1:17" s="66" customFormat="1" ht="28.5" hidden="1" customHeight="1">
      <c r="A211" s="75"/>
      <c r="B211" s="174" t="s">
        <v>763</v>
      </c>
      <c r="C211" s="161">
        <v>0</v>
      </c>
      <c r="D211" s="161" t="s">
        <v>672</v>
      </c>
      <c r="E211" s="174">
        <v>1</v>
      </c>
      <c r="F211" s="174">
        <v>0</v>
      </c>
      <c r="G211" s="60" t="s">
        <v>753</v>
      </c>
      <c r="H211" s="59">
        <v>0.45</v>
      </c>
      <c r="I211" s="91">
        <f>H211*F211</f>
        <v>0</v>
      </c>
      <c r="J211" s="91"/>
      <c r="K211" s="144"/>
      <c r="L211" s="145"/>
      <c r="M211" s="93"/>
      <c r="O211" s="168"/>
      <c r="Q211" s="146"/>
    </row>
    <row r="212" spans="1:17" ht="27" hidden="1">
      <c r="A212" s="75"/>
      <c r="B212" s="67" t="s">
        <v>764</v>
      </c>
      <c r="C212" s="161">
        <v>0</v>
      </c>
      <c r="D212" s="161" t="s">
        <v>672</v>
      </c>
      <c r="E212" s="58">
        <v>0</v>
      </c>
      <c r="F212" s="175">
        <v>30</v>
      </c>
      <c r="G212" s="60" t="s">
        <v>753</v>
      </c>
      <c r="H212" s="60">
        <v>3.05</v>
      </c>
      <c r="I212" s="91">
        <f>H212*F212*E212*C212</f>
        <v>0</v>
      </c>
      <c r="J212" s="100"/>
      <c r="K212" s="81"/>
      <c r="L212" s="105"/>
      <c r="M212" s="106"/>
      <c r="Q212" s="107"/>
    </row>
    <row r="213" spans="1:17" ht="27.5" hidden="1" thickBot="1">
      <c r="A213" s="75"/>
      <c r="B213" s="67" t="s">
        <v>765</v>
      </c>
      <c r="C213" s="161">
        <v>0</v>
      </c>
      <c r="D213" s="161" t="s">
        <v>672</v>
      </c>
      <c r="E213" s="58">
        <v>2</v>
      </c>
      <c r="F213" s="175">
        <v>0</v>
      </c>
      <c r="G213" s="60" t="s">
        <v>753</v>
      </c>
      <c r="H213" s="60">
        <v>0.65</v>
      </c>
      <c r="I213" s="91">
        <f>H213*F213*E213</f>
        <v>0</v>
      </c>
      <c r="J213" s="100"/>
      <c r="K213" s="81"/>
      <c r="L213" s="105"/>
      <c r="M213" s="106"/>
      <c r="N213" s="48" t="s">
        <v>522</v>
      </c>
      <c r="Q213" s="107"/>
    </row>
    <row r="214" spans="1:17" ht="20.25" hidden="1" customHeight="1" thickBot="1">
      <c r="A214" s="75"/>
      <c r="B214" s="67"/>
      <c r="C214" s="67"/>
      <c r="D214" s="67"/>
      <c r="E214" s="67"/>
      <c r="F214" s="67"/>
      <c r="G214" s="67"/>
      <c r="H214" s="76"/>
      <c r="I214" s="149">
        <f>SUM(I211:I213)</f>
        <v>0</v>
      </c>
      <c r="J214" s="71" t="s">
        <v>113</v>
      </c>
      <c r="K214" s="117"/>
      <c r="L214" s="287" t="s">
        <v>757</v>
      </c>
      <c r="M214" s="74">
        <f>ROUND((I214*K214),0)</f>
        <v>0</v>
      </c>
      <c r="Q214" s="107"/>
    </row>
    <row r="215" spans="1:17" ht="104.25" hidden="1" customHeight="1">
      <c r="A215" s="75">
        <v>19</v>
      </c>
      <c r="B215" s="2145" t="s">
        <v>767</v>
      </c>
      <c r="C215" s="2146"/>
      <c r="D215" s="2146"/>
      <c r="E215" s="2146"/>
      <c r="F215" s="2146"/>
      <c r="G215" s="2146"/>
      <c r="H215" s="2147"/>
      <c r="I215" s="109"/>
      <c r="J215" s="71"/>
      <c r="K215" s="81"/>
      <c r="L215" s="118"/>
      <c r="M215" s="74"/>
      <c r="Q215" s="107"/>
    </row>
    <row r="216" spans="1:17" ht="20.25" hidden="1" customHeight="1">
      <c r="A216" s="75"/>
      <c r="B216" s="67"/>
      <c r="C216" s="161">
        <v>1</v>
      </c>
      <c r="D216" s="161" t="s">
        <v>672</v>
      </c>
      <c r="E216" s="67">
        <v>0</v>
      </c>
      <c r="F216" s="170">
        <v>1.8</v>
      </c>
      <c r="G216" s="60" t="s">
        <v>753</v>
      </c>
      <c r="H216" s="60">
        <v>1.2</v>
      </c>
      <c r="I216" s="61">
        <f>H216*F216*E216</f>
        <v>0</v>
      </c>
      <c r="J216" s="71" t="s">
        <v>113</v>
      </c>
      <c r="K216" s="81">
        <v>2119.2399999999998</v>
      </c>
      <c r="L216" s="118" t="s">
        <v>766</v>
      </c>
      <c r="M216" s="74">
        <f>ROUND((I216*K216)/10,0)</f>
        <v>0</v>
      </c>
      <c r="Q216" s="107"/>
    </row>
    <row r="217" spans="1:17" s="180" customFormat="1" ht="158.25" customHeight="1">
      <c r="A217" s="176">
        <v>23</v>
      </c>
      <c r="B217" s="2145" t="s">
        <v>768</v>
      </c>
      <c r="C217" s="2146"/>
      <c r="D217" s="2146"/>
      <c r="E217" s="2146"/>
      <c r="F217" s="2146"/>
      <c r="G217" s="2146"/>
      <c r="H217" s="2147"/>
      <c r="I217" s="177"/>
      <c r="J217" s="177"/>
      <c r="K217" s="178"/>
      <c r="L217" s="179"/>
    </row>
    <row r="218" spans="1:17" s="231" customFormat="1" ht="18" customHeight="1">
      <c r="A218" s="223"/>
      <c r="B218" s="273" t="s">
        <v>817</v>
      </c>
      <c r="C218" s="268">
        <v>1</v>
      </c>
      <c r="D218" s="268" t="s">
        <v>672</v>
      </c>
      <c r="E218" s="268">
        <v>1</v>
      </c>
      <c r="F218" s="274">
        <v>6.1</v>
      </c>
      <c r="G218" s="275">
        <v>4.88</v>
      </c>
      <c r="H218" s="276">
        <v>1</v>
      </c>
      <c r="I218" s="271">
        <f t="shared" ref="I218:I226" si="7">ROUND(C218*E218*F218*G218*H218,2)</f>
        <v>29.77</v>
      </c>
      <c r="J218" s="225"/>
      <c r="K218" s="272"/>
      <c r="L218" s="272"/>
      <c r="M218" s="226"/>
    </row>
    <row r="219" spans="1:17" s="231" customFormat="1" ht="18" customHeight="1">
      <c r="A219" s="223"/>
      <c r="B219" s="273" t="s">
        <v>818</v>
      </c>
      <c r="C219" s="268">
        <v>1</v>
      </c>
      <c r="D219" s="268" t="s">
        <v>672</v>
      </c>
      <c r="E219" s="268">
        <v>2</v>
      </c>
      <c r="F219" s="274">
        <v>4.88</v>
      </c>
      <c r="G219" s="276">
        <v>1</v>
      </c>
      <c r="H219" s="275">
        <v>0.3</v>
      </c>
      <c r="I219" s="271">
        <f t="shared" si="7"/>
        <v>2.93</v>
      </c>
      <c r="J219" s="225"/>
      <c r="K219" s="272"/>
      <c r="L219" s="272"/>
      <c r="M219" s="226"/>
    </row>
    <row r="220" spans="1:17" s="231" customFormat="1" ht="18" customHeight="1">
      <c r="A220" s="223"/>
      <c r="B220" s="273" t="s">
        <v>819</v>
      </c>
      <c r="C220" s="268">
        <v>1</v>
      </c>
      <c r="D220" s="268" t="s">
        <v>672</v>
      </c>
      <c r="E220" s="268">
        <v>1</v>
      </c>
      <c r="F220" s="274">
        <v>1.83</v>
      </c>
      <c r="G220" s="275">
        <v>1.22</v>
      </c>
      <c r="H220" s="276">
        <v>1</v>
      </c>
      <c r="I220" s="271">
        <f t="shared" si="7"/>
        <v>2.23</v>
      </c>
      <c r="J220" s="225"/>
      <c r="K220" s="272"/>
      <c r="L220" s="272"/>
      <c r="M220" s="226"/>
    </row>
    <row r="221" spans="1:17" s="231" customFormat="1" ht="18" customHeight="1">
      <c r="A221" s="223"/>
      <c r="B221" s="273" t="s">
        <v>820</v>
      </c>
      <c r="C221" s="268">
        <v>1</v>
      </c>
      <c r="D221" s="268" t="s">
        <v>672</v>
      </c>
      <c r="E221" s="268">
        <v>1</v>
      </c>
      <c r="F221" s="274">
        <v>1.83</v>
      </c>
      <c r="G221" s="275">
        <v>1.52</v>
      </c>
      <c r="H221" s="276">
        <v>1</v>
      </c>
      <c r="I221" s="271">
        <f t="shared" si="7"/>
        <v>2.78</v>
      </c>
      <c r="J221" s="225"/>
      <c r="K221" s="272"/>
      <c r="L221" s="272"/>
      <c r="M221" s="226"/>
    </row>
    <row r="222" spans="1:17" s="231" customFormat="1" ht="18" customHeight="1">
      <c r="A222" s="223"/>
      <c r="B222" s="273" t="s">
        <v>821</v>
      </c>
      <c r="C222" s="268">
        <v>1</v>
      </c>
      <c r="D222" s="268" t="s">
        <v>672</v>
      </c>
      <c r="E222" s="268">
        <v>1</v>
      </c>
      <c r="F222" s="274">
        <v>1.83</v>
      </c>
      <c r="G222" s="275">
        <v>1.63</v>
      </c>
      <c r="H222" s="276">
        <v>1</v>
      </c>
      <c r="I222" s="271">
        <f t="shared" si="7"/>
        <v>2.98</v>
      </c>
      <c r="J222" s="225"/>
      <c r="K222" s="272"/>
      <c r="L222" s="272"/>
      <c r="M222" s="226"/>
    </row>
    <row r="223" spans="1:17" s="231" customFormat="1" ht="18" customHeight="1">
      <c r="A223" s="223"/>
      <c r="B223" s="273" t="s">
        <v>822</v>
      </c>
      <c r="C223" s="268">
        <v>1</v>
      </c>
      <c r="D223" s="268" t="s">
        <v>672</v>
      </c>
      <c r="E223" s="268">
        <v>1</v>
      </c>
      <c r="F223" s="274">
        <v>8.16</v>
      </c>
      <c r="G223" s="275">
        <v>1.45</v>
      </c>
      <c r="H223" s="276">
        <v>1</v>
      </c>
      <c r="I223" s="271">
        <f t="shared" si="7"/>
        <v>11.83</v>
      </c>
      <c r="J223" s="263"/>
      <c r="K223" s="272"/>
      <c r="L223" s="272"/>
      <c r="M223" s="226"/>
    </row>
    <row r="224" spans="1:17" s="231" customFormat="1" ht="18" customHeight="1">
      <c r="A224" s="223"/>
      <c r="B224" s="273" t="s">
        <v>823</v>
      </c>
      <c r="C224" s="268"/>
      <c r="D224" s="268"/>
      <c r="E224" s="268"/>
      <c r="F224" s="274"/>
      <c r="G224" s="276"/>
      <c r="H224" s="275"/>
      <c r="I224" s="376">
        <v>2</v>
      </c>
      <c r="J224" s="263"/>
      <c r="K224" s="272"/>
      <c r="L224" s="272"/>
      <c r="M224" s="226"/>
    </row>
    <row r="225" spans="1:18" s="231" customFormat="1" ht="18" customHeight="1">
      <c r="A225" s="223"/>
      <c r="B225" s="273" t="s">
        <v>824</v>
      </c>
      <c r="C225" s="268">
        <v>1</v>
      </c>
      <c r="D225" s="268" t="s">
        <v>672</v>
      </c>
      <c r="E225" s="268">
        <v>1</v>
      </c>
      <c r="F225" s="269">
        <f>(8.69+5.27+1.78+0.6)*2</f>
        <v>32.68</v>
      </c>
      <c r="G225" s="275">
        <v>0.3</v>
      </c>
      <c r="H225" s="276">
        <v>1</v>
      </c>
      <c r="I225" s="271">
        <f t="shared" si="7"/>
        <v>9.8000000000000007</v>
      </c>
      <c r="J225" s="263"/>
      <c r="K225" s="272"/>
      <c r="L225" s="272"/>
      <c r="M225" s="226"/>
    </row>
    <row r="226" spans="1:18" s="231" customFormat="1" ht="24.75" customHeight="1" thickBot="1">
      <c r="A226" s="223"/>
      <c r="B226" s="273" t="s">
        <v>825</v>
      </c>
      <c r="C226" s="268">
        <v>1</v>
      </c>
      <c r="D226" s="268" t="s">
        <v>672</v>
      </c>
      <c r="E226" s="268">
        <v>2</v>
      </c>
      <c r="F226" s="269">
        <f>8.69+1.78+1.78</f>
        <v>12.249999999999998</v>
      </c>
      <c r="G226" s="275">
        <v>0.6</v>
      </c>
      <c r="H226" s="276">
        <v>1</v>
      </c>
      <c r="I226" s="271">
        <f t="shared" si="7"/>
        <v>14.7</v>
      </c>
      <c r="J226" s="263"/>
      <c r="K226" s="272"/>
      <c r="L226" s="272"/>
      <c r="M226" s="226"/>
    </row>
    <row r="227" spans="1:18" ht="14.25" customHeight="1" thickBot="1">
      <c r="A227" s="75"/>
      <c r="B227" s="67"/>
      <c r="C227" s="67"/>
      <c r="D227" s="67"/>
      <c r="E227" s="67"/>
      <c r="F227" s="67"/>
      <c r="G227" s="67"/>
      <c r="H227" s="76"/>
      <c r="I227" s="149">
        <f>SUM(I218:I226)</f>
        <v>79.02</v>
      </c>
      <c r="J227" s="71" t="s">
        <v>113</v>
      </c>
      <c r="K227" s="117" t="e">
        <f>#REF!</f>
        <v>#REF!</v>
      </c>
      <c r="L227" s="118" t="s">
        <v>711</v>
      </c>
      <c r="M227" s="74" t="e">
        <f>ROUND((I227*K227),0)</f>
        <v>#REF!</v>
      </c>
      <c r="Q227" s="107"/>
      <c r="R227" s="48" t="s">
        <v>522</v>
      </c>
    </row>
    <row r="228" spans="1:18" s="231" customFormat="1" ht="81" customHeight="1">
      <c r="A228" s="223">
        <v>24</v>
      </c>
      <c r="B228" s="2151" t="s">
        <v>983</v>
      </c>
      <c r="C228" s="2152"/>
      <c r="D228" s="2152"/>
      <c r="E228" s="2152"/>
      <c r="F228" s="2152"/>
      <c r="G228" s="2152"/>
      <c r="H228" s="2153"/>
      <c r="I228" s="224"/>
      <c r="J228" s="225"/>
      <c r="K228" s="226"/>
      <c r="L228" s="227"/>
      <c r="M228" s="228"/>
      <c r="N228" s="229"/>
      <c r="O228" s="229"/>
      <c r="P228" s="229"/>
      <c r="Q228" s="230"/>
    </row>
    <row r="229" spans="1:18" s="231" customFormat="1" ht="19.5" customHeight="1">
      <c r="A229" s="223"/>
      <c r="B229" s="232" t="s">
        <v>769</v>
      </c>
      <c r="C229" s="233">
        <v>1</v>
      </c>
      <c r="D229" s="234" t="s">
        <v>672</v>
      </c>
      <c r="E229" s="235">
        <v>1</v>
      </c>
      <c r="F229" s="232" t="s">
        <v>770</v>
      </c>
      <c r="G229" s="232" t="s">
        <v>770</v>
      </c>
      <c r="H229" s="232" t="s">
        <v>770</v>
      </c>
      <c r="I229" s="236">
        <f>ROUND(E229*C229,0)</f>
        <v>1</v>
      </c>
      <c r="J229" s="236" t="s">
        <v>771</v>
      </c>
      <c r="K229" s="277" t="e">
        <f>#REF!</f>
        <v>#REF!</v>
      </c>
      <c r="L229" s="237" t="s">
        <v>772</v>
      </c>
      <c r="M229" s="238" t="e">
        <f>ROUND(I229*K229,0)</f>
        <v>#REF!</v>
      </c>
      <c r="N229" s="229"/>
      <c r="O229" s="229"/>
      <c r="P229" s="229"/>
      <c r="Q229" s="230"/>
    </row>
    <row r="230" spans="1:18" s="231" customFormat="1" ht="81" customHeight="1">
      <c r="A230" s="223">
        <v>25</v>
      </c>
      <c r="B230" s="2151" t="s">
        <v>987</v>
      </c>
      <c r="C230" s="2152"/>
      <c r="D230" s="2152"/>
      <c r="E230" s="2152"/>
      <c r="F230" s="2152"/>
      <c r="G230" s="2152"/>
      <c r="H230" s="2153"/>
      <c r="I230" s="225"/>
      <c r="J230" s="225"/>
      <c r="K230" s="226"/>
      <c r="L230" s="227"/>
      <c r="M230" s="228"/>
      <c r="N230" s="229"/>
      <c r="O230" s="229"/>
      <c r="P230" s="229"/>
      <c r="Q230" s="230"/>
    </row>
    <row r="231" spans="1:18" s="244" customFormat="1" ht="18" customHeight="1">
      <c r="A231" s="223"/>
      <c r="B231" s="239" t="s">
        <v>990</v>
      </c>
      <c r="C231" s="240">
        <v>1</v>
      </c>
      <c r="D231" s="240" t="s">
        <v>672</v>
      </c>
      <c r="E231" s="240">
        <v>3</v>
      </c>
      <c r="F231" s="241" t="s">
        <v>770</v>
      </c>
      <c r="G231" s="241" t="s">
        <v>770</v>
      </c>
      <c r="H231" s="241" t="s">
        <v>770</v>
      </c>
      <c r="I231" s="236">
        <f>ROUND(E231*C231,0)</f>
        <v>3</v>
      </c>
      <c r="J231" s="236" t="s">
        <v>771</v>
      </c>
      <c r="K231" s="377" t="e">
        <f>#REF!</f>
        <v>#REF!</v>
      </c>
      <c r="L231" s="242" t="s">
        <v>772</v>
      </c>
      <c r="M231" s="243" t="e">
        <f>ROUND(I231*K231,0)</f>
        <v>#REF!</v>
      </c>
      <c r="N231" s="229"/>
      <c r="O231" s="229"/>
      <c r="P231" s="229"/>
      <c r="Q231" s="230"/>
    </row>
    <row r="232" spans="1:18" s="231" customFormat="1" ht="76.5" hidden="1" customHeight="1">
      <c r="A232" s="223">
        <v>24</v>
      </c>
      <c r="B232" s="2151" t="s">
        <v>802</v>
      </c>
      <c r="C232" s="2152"/>
      <c r="D232" s="2152"/>
      <c r="E232" s="2152"/>
      <c r="F232" s="2152"/>
      <c r="G232" s="2152"/>
      <c r="H232" s="2153"/>
      <c r="I232" s="225"/>
      <c r="J232" s="225"/>
      <c r="K232" s="227"/>
      <c r="L232" s="227"/>
      <c r="M232" s="228"/>
      <c r="N232" s="229"/>
      <c r="O232" s="229"/>
      <c r="P232" s="229"/>
      <c r="Q232" s="230"/>
    </row>
    <row r="233" spans="1:18" s="231" customFormat="1" ht="27.75" hidden="1" customHeight="1">
      <c r="A233" s="245"/>
      <c r="B233" s="246" t="s">
        <v>803</v>
      </c>
      <c r="C233" s="247">
        <v>0</v>
      </c>
      <c r="D233" s="247" t="s">
        <v>672</v>
      </c>
      <c r="E233" s="247">
        <v>6</v>
      </c>
      <c r="F233" s="246" t="s">
        <v>770</v>
      </c>
      <c r="G233" s="246" t="s">
        <v>770</v>
      </c>
      <c r="H233" s="246" t="s">
        <v>770</v>
      </c>
      <c r="I233" s="227">
        <v>0</v>
      </c>
      <c r="J233" s="227" t="s">
        <v>771</v>
      </c>
      <c r="K233" s="227">
        <v>2254.1</v>
      </c>
      <c r="L233" s="227" t="s">
        <v>772</v>
      </c>
      <c r="M233" s="228">
        <f>ROUND(I233*K233,0)</f>
        <v>0</v>
      </c>
      <c r="N233" s="229"/>
      <c r="O233" s="229"/>
      <c r="P233" s="229"/>
      <c r="Q233" s="230"/>
    </row>
    <row r="234" spans="1:18" s="231" customFormat="1" ht="95.25" customHeight="1">
      <c r="A234" s="223">
        <v>26</v>
      </c>
      <c r="B234" s="2151" t="s">
        <v>1013</v>
      </c>
      <c r="C234" s="2152"/>
      <c r="D234" s="2152"/>
      <c r="E234" s="2152"/>
      <c r="F234" s="2152"/>
      <c r="G234" s="2152"/>
      <c r="H234" s="2153"/>
      <c r="I234" s="225"/>
      <c r="J234" s="225"/>
      <c r="K234" s="227"/>
      <c r="L234" s="248"/>
      <c r="M234" s="228"/>
      <c r="N234" s="229"/>
      <c r="O234" s="229"/>
      <c r="P234" s="229"/>
      <c r="Q234" s="230"/>
    </row>
    <row r="235" spans="1:18" s="231" customFormat="1" ht="28.5" customHeight="1">
      <c r="A235" s="223"/>
      <c r="B235" s="232" t="s">
        <v>989</v>
      </c>
      <c r="C235" s="234">
        <v>1</v>
      </c>
      <c r="D235" s="234" t="s">
        <v>672</v>
      </c>
      <c r="E235" s="234">
        <v>6</v>
      </c>
      <c r="F235" s="249" t="s">
        <v>770</v>
      </c>
      <c r="G235" s="249" t="s">
        <v>770</v>
      </c>
      <c r="H235" s="249" t="s">
        <v>770</v>
      </c>
      <c r="I235" s="227">
        <f>ROUND(C235*E235,2)</f>
        <v>6</v>
      </c>
      <c r="J235" s="236" t="s">
        <v>771</v>
      </c>
      <c r="K235" s="288" t="e">
        <f>#REF!</f>
        <v>#REF!</v>
      </c>
      <c r="L235" s="250" t="s">
        <v>772</v>
      </c>
      <c r="M235" s="251" t="e">
        <f>ROUND(I235*K235,0)</f>
        <v>#REF!</v>
      </c>
      <c r="N235" s="229"/>
      <c r="O235" s="229"/>
      <c r="P235" s="229"/>
      <c r="Q235" s="252"/>
    </row>
    <row r="236" spans="1:18" s="231" customFormat="1" ht="95.25" customHeight="1">
      <c r="A236" s="223">
        <v>27</v>
      </c>
      <c r="B236" s="2151" t="s">
        <v>988</v>
      </c>
      <c r="C236" s="2152"/>
      <c r="D236" s="2152"/>
      <c r="E236" s="2152"/>
      <c r="F236" s="2152"/>
      <c r="G236" s="2152"/>
      <c r="H236" s="2153"/>
      <c r="I236" s="225"/>
      <c r="J236" s="225"/>
      <c r="K236" s="227"/>
      <c r="L236" s="248"/>
      <c r="M236" s="228"/>
      <c r="N236" s="229"/>
      <c r="O236" s="229"/>
      <c r="P236" s="229"/>
      <c r="Q236" s="230"/>
    </row>
    <row r="237" spans="1:18" s="231" customFormat="1" ht="28.5" customHeight="1">
      <c r="A237" s="223"/>
      <c r="B237" s="232" t="s">
        <v>989</v>
      </c>
      <c r="C237" s="234">
        <v>1</v>
      </c>
      <c r="D237" s="234" t="s">
        <v>672</v>
      </c>
      <c r="E237" s="234">
        <v>2</v>
      </c>
      <c r="F237" s="249" t="s">
        <v>770</v>
      </c>
      <c r="G237" s="249" t="s">
        <v>770</v>
      </c>
      <c r="H237" s="249" t="s">
        <v>770</v>
      </c>
      <c r="I237" s="227">
        <f>ROUND(C237*E237,2)</f>
        <v>2</v>
      </c>
      <c r="J237" s="236" t="s">
        <v>771</v>
      </c>
      <c r="K237" s="288" t="e">
        <f>#REF!</f>
        <v>#REF!</v>
      </c>
      <c r="L237" s="250" t="s">
        <v>772</v>
      </c>
      <c r="M237" s="251" t="e">
        <f>ROUND(I237*K237,0)</f>
        <v>#REF!</v>
      </c>
      <c r="N237" s="229"/>
      <c r="O237" s="229"/>
      <c r="P237" s="229"/>
      <c r="Q237" s="252"/>
    </row>
    <row r="238" spans="1:18" s="231" customFormat="1" ht="21" hidden="1" customHeight="1">
      <c r="A238" s="223">
        <v>26</v>
      </c>
      <c r="B238" s="2155" t="s">
        <v>773</v>
      </c>
      <c r="C238" s="2156"/>
      <c r="D238" s="2156"/>
      <c r="E238" s="2156"/>
      <c r="F238" s="2156"/>
      <c r="G238" s="2156"/>
      <c r="H238" s="2157"/>
      <c r="I238" s="225"/>
      <c r="J238" s="225"/>
      <c r="K238" s="227"/>
      <c r="L238" s="227"/>
      <c r="M238" s="228"/>
    </row>
    <row r="239" spans="1:18" s="229" customFormat="1" ht="33.75" hidden="1" customHeight="1">
      <c r="A239" s="245"/>
      <c r="B239" s="253" t="s">
        <v>804</v>
      </c>
      <c r="C239" s="233">
        <v>1</v>
      </c>
      <c r="D239" s="233" t="s">
        <v>672</v>
      </c>
      <c r="E239" s="233">
        <f>E237</f>
        <v>2</v>
      </c>
      <c r="F239" s="253" t="s">
        <v>770</v>
      </c>
      <c r="G239" s="253" t="s">
        <v>770</v>
      </c>
      <c r="H239" s="253" t="s">
        <v>770</v>
      </c>
      <c r="I239" s="254">
        <v>0</v>
      </c>
      <c r="J239" s="236" t="s">
        <v>771</v>
      </c>
      <c r="K239" s="254">
        <v>925</v>
      </c>
      <c r="L239" s="250" t="s">
        <v>772</v>
      </c>
      <c r="M239" s="251">
        <f>ROUND(I239*K239,0)</f>
        <v>0</v>
      </c>
      <c r="Q239" s="230"/>
    </row>
    <row r="240" spans="1:18" ht="64.5" hidden="1" customHeight="1">
      <c r="A240" s="75">
        <v>27</v>
      </c>
      <c r="B240" s="2145" t="s">
        <v>774</v>
      </c>
      <c r="C240" s="2146"/>
      <c r="D240" s="2146"/>
      <c r="E240" s="2146"/>
      <c r="F240" s="2146"/>
      <c r="G240" s="2146"/>
      <c r="H240" s="2147"/>
      <c r="I240" s="109"/>
      <c r="J240" s="71"/>
      <c r="K240" s="81"/>
      <c r="L240" s="118"/>
      <c r="M240" s="181"/>
      <c r="O240" s="48" t="s">
        <v>522</v>
      </c>
      <c r="P240" s="48" t="s">
        <v>522</v>
      </c>
      <c r="Q240" s="107"/>
    </row>
    <row r="241" spans="1:21" ht="16" customHeight="1">
      <c r="A241" s="75"/>
      <c r="B241" s="155" t="s">
        <v>775</v>
      </c>
      <c r="C241" s="182">
        <v>0</v>
      </c>
      <c r="D241" s="59" t="s">
        <v>672</v>
      </c>
      <c r="E241" s="183">
        <v>12</v>
      </c>
      <c r="F241" s="184">
        <v>0.6</v>
      </c>
      <c r="G241" s="184" t="s">
        <v>776</v>
      </c>
      <c r="H241" s="184">
        <v>0.23</v>
      </c>
      <c r="I241" s="61">
        <f>ROUND((C241*E241*F241*H241),2)</f>
        <v>0</v>
      </c>
      <c r="J241" s="71" t="s">
        <v>113</v>
      </c>
      <c r="K241" s="81">
        <v>226</v>
      </c>
      <c r="L241" s="118" t="s">
        <v>757</v>
      </c>
      <c r="M241" s="185">
        <f>ROUND(I241*K241,0)</f>
        <v>0</v>
      </c>
    </row>
    <row r="242" spans="1:21" ht="21" customHeight="1">
      <c r="A242" s="186">
        <v>28</v>
      </c>
      <c r="B242" s="81" t="s">
        <v>1015</v>
      </c>
      <c r="C242" s="81"/>
      <c r="D242" s="81"/>
      <c r="E242" s="81"/>
      <c r="F242" s="81"/>
      <c r="G242" s="81"/>
      <c r="H242" s="81"/>
      <c r="I242" s="81"/>
      <c r="J242" s="81"/>
      <c r="K242" s="81"/>
      <c r="L242" s="105"/>
      <c r="M242" s="74">
        <v>13000</v>
      </c>
    </row>
    <row r="243" spans="1:21" ht="18" customHeight="1">
      <c r="A243" s="186">
        <v>29</v>
      </c>
      <c r="B243" s="81" t="s">
        <v>1016</v>
      </c>
      <c r="C243" s="81"/>
      <c r="D243" s="81"/>
      <c r="E243" s="81"/>
      <c r="F243" s="81"/>
      <c r="G243" s="81"/>
      <c r="H243" s="81"/>
      <c r="I243" s="81"/>
      <c r="J243" s="81"/>
      <c r="K243" s="81"/>
      <c r="L243" s="105" t="s">
        <v>743</v>
      </c>
      <c r="M243" s="74">
        <v>10000</v>
      </c>
      <c r="N243" s="173" t="e">
        <f>M243+M136</f>
        <v>#REF!</v>
      </c>
    </row>
    <row r="244" spans="1:21" ht="18" customHeight="1">
      <c r="A244" s="186"/>
      <c r="B244" s="378"/>
      <c r="C244" s="379"/>
      <c r="D244" s="379"/>
      <c r="E244" s="379"/>
      <c r="F244" s="379"/>
      <c r="G244" s="380"/>
      <c r="H244" s="187"/>
      <c r="I244" s="188"/>
      <c r="J244" s="188"/>
      <c r="K244" s="188"/>
      <c r="L244" s="105"/>
      <c r="M244" s="181" t="e">
        <f>SUM(M160:M243)</f>
        <v>#REF!</v>
      </c>
      <c r="N244" s="173"/>
    </row>
    <row r="245" spans="1:21" ht="18" customHeight="1">
      <c r="A245" s="186"/>
      <c r="B245" s="2158" t="s">
        <v>941</v>
      </c>
      <c r="C245" s="2159"/>
      <c r="D245" s="2159"/>
      <c r="E245" s="2159"/>
      <c r="F245" s="2159"/>
      <c r="G245" s="2160"/>
      <c r="H245" s="187"/>
      <c r="I245" s="188"/>
      <c r="J245" s="188"/>
      <c r="K245" s="188"/>
      <c r="L245" s="105" t="s">
        <v>746</v>
      </c>
      <c r="M245" s="181" t="e">
        <f>ROUND(M244*0.5%,0)</f>
        <v>#REF!</v>
      </c>
      <c r="N245" s="173" t="e">
        <f>M245+M138</f>
        <v>#REF!</v>
      </c>
    </row>
    <row r="246" spans="1:21" s="192" customFormat="1" ht="30" customHeight="1">
      <c r="A246" s="75">
        <v>29</v>
      </c>
      <c r="B246" s="2148" t="s">
        <v>777</v>
      </c>
      <c r="C246" s="2149"/>
      <c r="D246" s="2149"/>
      <c r="E246" s="2149"/>
      <c r="F246" s="2149"/>
      <c r="G246" s="2149"/>
      <c r="H246" s="2150"/>
      <c r="I246" s="189"/>
      <c r="J246" s="189"/>
      <c r="K246" s="189"/>
      <c r="L246" s="105" t="s">
        <v>747</v>
      </c>
      <c r="M246" s="190">
        <f>ROUND(Seigniorage!N21,0)</f>
        <v>763</v>
      </c>
      <c r="N246" s="191">
        <f>M246+M139</f>
        <v>4727</v>
      </c>
      <c r="O246" s="191"/>
    </row>
    <row r="247" spans="1:21" s="192" customFormat="1" ht="18.75" customHeight="1" thickBot="1">
      <c r="A247" s="75"/>
      <c r="B247" s="2158" t="s">
        <v>778</v>
      </c>
      <c r="C247" s="2159"/>
      <c r="D247" s="2159"/>
      <c r="E247" s="2159"/>
      <c r="F247" s="2159"/>
      <c r="G247" s="2160"/>
      <c r="H247" s="330"/>
      <c r="I247" s="189"/>
      <c r="J247" s="189"/>
      <c r="K247" s="189"/>
      <c r="L247" s="193"/>
      <c r="M247" s="194">
        <v>1569</v>
      </c>
      <c r="N247" s="191" t="e">
        <f>200000-M248</f>
        <v>#REF!</v>
      </c>
      <c r="O247" s="191">
        <f>M247+M140</f>
        <v>11749</v>
      </c>
    </row>
    <row r="248" spans="1:21" ht="22.5" customHeight="1" thickBot="1">
      <c r="A248" s="75"/>
      <c r="B248" s="102"/>
      <c r="C248" s="102"/>
      <c r="D248" s="102"/>
      <c r="E248" s="102"/>
      <c r="F248" s="102"/>
      <c r="G248" s="102"/>
      <c r="H248" s="102"/>
      <c r="I248" s="102"/>
      <c r="J248" s="102"/>
      <c r="K248" s="195" t="s">
        <v>142</v>
      </c>
      <c r="L248" s="196"/>
      <c r="M248" s="197" t="e">
        <f>SUM(M244:M247)</f>
        <v>#REF!</v>
      </c>
    </row>
    <row r="249" spans="1:21" ht="22.5" customHeight="1">
      <c r="A249" s="198"/>
      <c r="B249" s="47"/>
      <c r="C249" s="47"/>
      <c r="D249" s="47"/>
      <c r="P249" s="2158" t="s">
        <v>942</v>
      </c>
      <c r="Q249" s="2159"/>
      <c r="R249" s="2159"/>
      <c r="S249" s="2159"/>
      <c r="T249" s="2159"/>
      <c r="U249" s="2160"/>
    </row>
    <row r="250" spans="1:21" ht="22.5" customHeight="1">
      <c r="A250" s="199"/>
      <c r="B250" s="200"/>
      <c r="C250" s="200"/>
      <c r="D250" s="200"/>
      <c r="E250" s="200"/>
      <c r="F250" s="200"/>
      <c r="G250" s="200"/>
      <c r="H250" s="200"/>
      <c r="I250" s="200"/>
      <c r="J250" s="200"/>
      <c r="K250" s="201"/>
      <c r="L250" s="202"/>
      <c r="M250" s="203"/>
    </row>
    <row r="251" spans="1:21" s="206" customFormat="1" ht="15.75" customHeight="1">
      <c r="A251" s="204"/>
      <c r="B251" s="205" t="s">
        <v>779</v>
      </c>
      <c r="C251" s="205"/>
      <c r="D251" s="205"/>
      <c r="F251" s="207"/>
      <c r="G251" s="207"/>
      <c r="H251" s="207"/>
      <c r="I251" s="208" t="s">
        <v>780</v>
      </c>
      <c r="J251" s="208"/>
      <c r="K251" s="208"/>
      <c r="L251" s="209"/>
      <c r="M251" s="2144"/>
      <c r="N251" s="2144"/>
      <c r="O251" s="2144"/>
      <c r="P251" s="210"/>
    </row>
    <row r="252" spans="1:21" s="206" customFormat="1" ht="14.25" customHeight="1">
      <c r="A252" s="204"/>
      <c r="B252" s="211" t="s">
        <v>781</v>
      </c>
      <c r="C252" s="211"/>
      <c r="D252" s="211"/>
      <c r="F252" s="212"/>
      <c r="G252" s="212"/>
      <c r="H252" s="212"/>
      <c r="I252" s="2154" t="s">
        <v>782</v>
      </c>
      <c r="J252" s="2154"/>
      <c r="K252" s="2154"/>
      <c r="L252" s="209"/>
      <c r="M252" s="2144"/>
      <c r="N252" s="2144"/>
      <c r="O252" s="2144"/>
      <c r="P252" s="210"/>
    </row>
    <row r="253" spans="1:21" s="214" customFormat="1" ht="12" customHeight="1">
      <c r="A253" s="213"/>
      <c r="D253" s="215"/>
      <c r="E253" s="216"/>
      <c r="F253" s="2144"/>
      <c r="G253" s="2144"/>
      <c r="H253" s="2144"/>
      <c r="I253" s="204"/>
      <c r="J253" s="2144"/>
      <c r="K253" s="2144"/>
      <c r="L253" s="2144"/>
      <c r="M253" s="217"/>
      <c r="N253" s="217"/>
      <c r="O253" s="217"/>
    </row>
    <row r="254" spans="1:21" ht="22.5" customHeight="1">
      <c r="A254" s="199"/>
      <c r="B254" s="200"/>
      <c r="C254" s="200"/>
      <c r="D254" s="200"/>
      <c r="E254" s="200"/>
      <c r="F254" s="200"/>
      <c r="G254" s="200"/>
      <c r="H254" s="200"/>
      <c r="I254" s="200"/>
      <c r="J254" s="200"/>
      <c r="K254" s="201"/>
      <c r="L254" s="202"/>
      <c r="M254" s="203"/>
      <c r="N254" s="218"/>
      <c r="O254" s="218"/>
    </row>
    <row r="255" spans="1:21" ht="14.5">
      <c r="A255" s="199"/>
      <c r="B255" s="200"/>
      <c r="C255" s="200"/>
      <c r="D255" s="200"/>
      <c r="E255" s="200"/>
      <c r="F255" s="200"/>
      <c r="G255" s="200"/>
      <c r="H255" s="200"/>
      <c r="I255" s="219"/>
      <c r="J255" s="219"/>
      <c r="K255" s="200"/>
      <c r="L255" s="202"/>
      <c r="M255" s="200"/>
      <c r="N255" s="218"/>
      <c r="O255" s="218"/>
    </row>
    <row r="256" spans="1:21">
      <c r="I256" s="138"/>
      <c r="J256" s="138"/>
    </row>
  </sheetData>
  <mergeCells count="73">
    <mergeCell ref="B12:H12"/>
    <mergeCell ref="B234:H234"/>
    <mergeCell ref="B43:H43"/>
    <mergeCell ref="B20:H20"/>
    <mergeCell ref="L4:L5"/>
    <mergeCell ref="B32:H32"/>
    <mergeCell ref="B54:H54"/>
    <mergeCell ref="B63:I63"/>
    <mergeCell ref="B68:I68"/>
    <mergeCell ref="B73:H73"/>
    <mergeCell ref="C6:E6"/>
    <mergeCell ref="B7:H7"/>
    <mergeCell ref="B15:H15"/>
    <mergeCell ref="B17:H17"/>
    <mergeCell ref="C4:E5"/>
    <mergeCell ref="F4:H4"/>
    <mergeCell ref="P249:U249"/>
    <mergeCell ref="B247:G247"/>
    <mergeCell ref="B33:H33"/>
    <mergeCell ref="B38:H38"/>
    <mergeCell ref="B49:H49"/>
    <mergeCell ref="B50:H50"/>
    <mergeCell ref="B53:H53"/>
    <mergeCell ref="B40:H40"/>
    <mergeCell ref="B117:H117"/>
    <mergeCell ref="B119:H119"/>
    <mergeCell ref="R73:T73"/>
    <mergeCell ref="B74:I74"/>
    <mergeCell ref="B76:H76"/>
    <mergeCell ref="B77:I77"/>
    <mergeCell ref="B79:H79"/>
    <mergeCell ref="B80:I80"/>
    <mergeCell ref="A1:M1"/>
    <mergeCell ref="A2:M2"/>
    <mergeCell ref="A3:M3"/>
    <mergeCell ref="A4:A5"/>
    <mergeCell ref="B4:B5"/>
    <mergeCell ref="K4:K5"/>
    <mergeCell ref="M4:M5"/>
    <mergeCell ref="I4:I5"/>
    <mergeCell ref="J4:J5"/>
    <mergeCell ref="B116:H116"/>
    <mergeCell ref="B160:H160"/>
    <mergeCell ref="B142:M142"/>
    <mergeCell ref="B144:H144"/>
    <mergeCell ref="B161:H161"/>
    <mergeCell ref="B138:G138"/>
    <mergeCell ref="B139:G139"/>
    <mergeCell ref="B88:H88"/>
    <mergeCell ref="B98:H98"/>
    <mergeCell ref="B99:H99"/>
    <mergeCell ref="B100:D100"/>
    <mergeCell ref="B114:H114"/>
    <mergeCell ref="M252:O252"/>
    <mergeCell ref="B238:H238"/>
    <mergeCell ref="B230:H230"/>
    <mergeCell ref="B245:G245"/>
    <mergeCell ref="B151:H151"/>
    <mergeCell ref="B172:H172"/>
    <mergeCell ref="B217:H217"/>
    <mergeCell ref="B228:H228"/>
    <mergeCell ref="M251:O251"/>
    <mergeCell ref="B208:H208"/>
    <mergeCell ref="B210:H210"/>
    <mergeCell ref="B215:H215"/>
    <mergeCell ref="B184:H184"/>
    <mergeCell ref="F253:H253"/>
    <mergeCell ref="J253:L253"/>
    <mergeCell ref="B240:H240"/>
    <mergeCell ref="B246:H246"/>
    <mergeCell ref="B232:H232"/>
    <mergeCell ref="B236:H236"/>
    <mergeCell ref="I252:K252"/>
  </mergeCells>
  <pageMargins left="0.70866141732283472" right="0.27" top="0.35" bottom="0.41" header="0.31496062992125984" footer="0.31496062992125984"/>
  <pageSetup paperSize="9" orientation="portrait" verticalDpi="300" r:id="rId1"/>
</worksheet>
</file>

<file path=xl/worksheets/sheet19.xml><?xml version="1.0" encoding="utf-8"?>
<worksheet xmlns="http://schemas.openxmlformats.org/spreadsheetml/2006/main" xmlns:r="http://schemas.openxmlformats.org/officeDocument/2006/relationships">
  <sheetPr>
    <tabColor rgb="FFFFFF00"/>
  </sheetPr>
  <dimension ref="A1:N27"/>
  <sheetViews>
    <sheetView topLeftCell="A4" zoomScale="115" zoomScaleNormal="115" workbookViewId="0">
      <selection activeCell="E31" sqref="E31"/>
    </sheetView>
  </sheetViews>
  <sheetFormatPr defaultColWidth="9.1796875" defaultRowHeight="12.5"/>
  <cols>
    <col min="1" max="1" width="6.453125" style="308" customWidth="1"/>
    <col min="2" max="2" width="19" style="308" customWidth="1"/>
    <col min="3" max="3" width="9" style="308" customWidth="1"/>
    <col min="4" max="4" width="11.81640625" style="308" customWidth="1"/>
    <col min="5" max="6" width="11.7265625" style="308" customWidth="1"/>
    <col min="7" max="7" width="11.81640625" style="308" customWidth="1"/>
    <col min="8" max="8" width="4.453125" style="308" customWidth="1"/>
    <col min="9" max="16384" width="9.1796875" style="308"/>
  </cols>
  <sheetData>
    <row r="1" spans="1:14" ht="24.75" customHeight="1">
      <c r="A1" s="2205" t="s">
        <v>389</v>
      </c>
      <c r="B1" s="2205"/>
      <c r="C1" s="2205"/>
      <c r="D1" s="2205"/>
      <c r="E1" s="2205"/>
      <c r="F1" s="2205"/>
      <c r="G1" s="2206"/>
    </row>
    <row r="2" spans="1:14" ht="33.75" customHeight="1">
      <c r="A2" s="2207" t="s">
        <v>613</v>
      </c>
      <c r="B2" s="2207"/>
      <c r="C2" s="2207"/>
      <c r="D2" s="2207"/>
      <c r="E2" s="2207"/>
      <c r="F2" s="2207"/>
      <c r="G2" s="2207"/>
      <c r="K2" s="591" t="s">
        <v>1085</v>
      </c>
    </row>
    <row r="3" spans="1:14" ht="21" customHeight="1">
      <c r="A3" s="2208" t="s">
        <v>1718</v>
      </c>
      <c r="B3" s="2208"/>
      <c r="C3" s="2208"/>
      <c r="D3" s="2208"/>
      <c r="E3" s="2208"/>
      <c r="F3" s="2208"/>
      <c r="G3" s="2208"/>
    </row>
    <row r="4" spans="1:14" ht="13">
      <c r="A4" s="309" t="s">
        <v>907</v>
      </c>
      <c r="B4" s="309" t="s">
        <v>908</v>
      </c>
      <c r="C4" s="309" t="s">
        <v>797</v>
      </c>
      <c r="D4" s="309" t="s">
        <v>313</v>
      </c>
      <c r="E4" s="309" t="s">
        <v>277</v>
      </c>
      <c r="F4" s="309"/>
      <c r="G4" s="309" t="s">
        <v>302</v>
      </c>
      <c r="I4" s="309" t="s">
        <v>907</v>
      </c>
      <c r="J4" s="309" t="s">
        <v>908</v>
      </c>
      <c r="K4" s="309" t="s">
        <v>797</v>
      </c>
      <c r="L4" s="309" t="s">
        <v>313</v>
      </c>
      <c r="M4" s="309" t="s">
        <v>277</v>
      </c>
      <c r="N4" s="309" t="s">
        <v>302</v>
      </c>
    </row>
    <row r="5" spans="1:14">
      <c r="A5" s="310"/>
      <c r="G5" s="311"/>
      <c r="I5" s="310"/>
      <c r="N5" s="311"/>
    </row>
    <row r="6" spans="1:14">
      <c r="A6" s="310">
        <v>1</v>
      </c>
      <c r="B6" s="310" t="s">
        <v>909</v>
      </c>
      <c r="C6" s="312"/>
      <c r="D6" s="313"/>
      <c r="E6" s="312"/>
      <c r="F6" s="312"/>
      <c r="G6" s="310"/>
      <c r="I6" s="310">
        <v>1</v>
      </c>
      <c r="J6" s="310"/>
      <c r="K6" s="312"/>
      <c r="L6" s="313"/>
      <c r="M6" s="312"/>
      <c r="N6" s="310"/>
    </row>
    <row r="7" spans="1:14">
      <c r="A7" s="310"/>
      <c r="B7" s="314" t="s">
        <v>910</v>
      </c>
      <c r="C7" s="312">
        <v>0</v>
      </c>
      <c r="D7" s="313">
        <f>ROUND(C7*1.36*0.9,2)</f>
        <v>0</v>
      </c>
      <c r="E7" s="312">
        <f>C7*1.36*0.45</f>
        <v>0</v>
      </c>
      <c r="F7" s="312"/>
      <c r="G7" s="310"/>
      <c r="H7" s="315"/>
      <c r="I7" s="310"/>
      <c r="J7" s="314"/>
      <c r="K7" s="312"/>
      <c r="L7" s="313"/>
      <c r="M7" s="312"/>
      <c r="N7" s="310"/>
    </row>
    <row r="8" spans="1:14">
      <c r="A8" s="310"/>
      <c r="B8" s="314" t="s">
        <v>911</v>
      </c>
      <c r="C8" s="312" t="e">
        <f>#REF!*#REF!</f>
        <v>#REF!</v>
      </c>
      <c r="D8" s="313" t="e">
        <f>ROUND(C8*0.787*0.9,2)</f>
        <v>#REF!</v>
      </c>
      <c r="E8" s="312" t="e">
        <f>C8*0.787*0.45</f>
        <v>#REF!</v>
      </c>
      <c r="F8" s="312"/>
      <c r="G8" s="310"/>
      <c r="I8" s="310"/>
      <c r="J8" s="314"/>
      <c r="K8" s="312"/>
      <c r="L8" s="313"/>
      <c r="M8" s="312"/>
      <c r="N8" s="310"/>
    </row>
    <row r="9" spans="1:14">
      <c r="A9" s="310"/>
      <c r="B9" s="314" t="s">
        <v>913</v>
      </c>
      <c r="C9" s="312" t="e">
        <f>#REF!*#REF!</f>
        <v>#REF!</v>
      </c>
      <c r="D9" s="313" t="e">
        <f>C9*0.282*0.9</f>
        <v>#REF!</v>
      </c>
      <c r="E9" s="312" t="e">
        <f>C9*0.282*0.45</f>
        <v>#REF!</v>
      </c>
      <c r="F9" s="312"/>
      <c r="G9" s="310"/>
      <c r="I9" s="310"/>
      <c r="J9" s="314"/>
      <c r="K9" s="312"/>
      <c r="L9" s="313"/>
      <c r="M9" s="312"/>
      <c r="N9" s="310"/>
    </row>
    <row r="10" spans="1:14" ht="19.5" customHeight="1">
      <c r="A10" s="316">
        <v>2</v>
      </c>
      <c r="B10" s="310" t="s">
        <v>914</v>
      </c>
      <c r="C10" s="312" t="e">
        <f>#REF!</f>
        <v>#REF!</v>
      </c>
      <c r="D10" s="310"/>
      <c r="E10" s="312" t="e">
        <f>C10</f>
        <v>#REF!</v>
      </c>
      <c r="F10" s="312"/>
      <c r="G10" s="310"/>
      <c r="I10" s="316">
        <v>2</v>
      </c>
      <c r="J10" s="310"/>
      <c r="K10" s="312"/>
      <c r="L10" s="310"/>
      <c r="M10" s="312"/>
      <c r="N10" s="310"/>
    </row>
    <row r="11" spans="1:14" ht="19.5" customHeight="1">
      <c r="B11" s="308" t="s">
        <v>1017</v>
      </c>
      <c r="C11" s="308">
        <v>0</v>
      </c>
      <c r="D11" s="308">
        <v>0</v>
      </c>
      <c r="E11" s="308">
        <v>0.16</v>
      </c>
      <c r="F11" s="312"/>
      <c r="G11" s="310"/>
      <c r="I11" s="316">
        <v>2</v>
      </c>
      <c r="J11" s="310" t="s">
        <v>915</v>
      </c>
      <c r="K11" s="312">
        <v>0</v>
      </c>
      <c r="L11" s="313">
        <f>K11*0.9</f>
        <v>0</v>
      </c>
      <c r="M11" s="312">
        <f>K11*0.45</f>
        <v>0</v>
      </c>
      <c r="N11" s="310"/>
    </row>
    <row r="12" spans="1:14" ht="19.5" customHeight="1">
      <c r="A12" s="316">
        <v>3</v>
      </c>
      <c r="B12" s="310" t="s">
        <v>915</v>
      </c>
      <c r="C12" s="312" t="e">
        <f>#REF!</f>
        <v>#REF!</v>
      </c>
      <c r="D12" s="313" t="e">
        <f>C12*0.9</f>
        <v>#REF!</v>
      </c>
      <c r="E12" s="312" t="e">
        <f>C12*0.45</f>
        <v>#REF!</v>
      </c>
      <c r="F12" s="312"/>
      <c r="G12" s="310"/>
      <c r="I12" s="316">
        <v>3</v>
      </c>
      <c r="J12" s="310" t="s">
        <v>917</v>
      </c>
      <c r="K12" s="312" t="e">
        <f>#REF!+#REF!+#REF!+#REF!+#REF!+#REF!+#REF!+#REF!+#REF!+#REF!+#REF!</f>
        <v>#REF!</v>
      </c>
      <c r="L12" s="313" t="e">
        <f>K12*0.9</f>
        <v>#REF!</v>
      </c>
      <c r="M12" s="312" t="e">
        <f>K12*0.45</f>
        <v>#REF!</v>
      </c>
      <c r="N12" s="310"/>
    </row>
    <row r="13" spans="1:14" ht="19.5" customHeight="1">
      <c r="A13" s="316">
        <v>4</v>
      </c>
      <c r="B13" s="310" t="s">
        <v>917</v>
      </c>
      <c r="C13" s="312" t="e">
        <f>#REF!+#REF!+#REF!+#REF!+#REF!+#REF!+#REF!</f>
        <v>#REF!</v>
      </c>
      <c r="D13" s="313" t="e">
        <f>C13*0.9</f>
        <v>#REF!</v>
      </c>
      <c r="E13" s="312" t="e">
        <f>C13*0.45</f>
        <v>#REF!</v>
      </c>
      <c r="F13" s="312"/>
      <c r="G13" s="310"/>
      <c r="I13" s="316">
        <v>4</v>
      </c>
      <c r="J13" s="314" t="s">
        <v>922</v>
      </c>
      <c r="K13" s="312" t="e">
        <f>#REF!+#REF!</f>
        <v>#REF!</v>
      </c>
      <c r="L13" s="313"/>
      <c r="M13" s="312" t="e">
        <f>K13*0.21*1.05/10</f>
        <v>#REF!</v>
      </c>
      <c r="N13" s="310"/>
    </row>
    <row r="14" spans="1:14" ht="19.5" customHeight="1">
      <c r="A14" s="316">
        <v>5</v>
      </c>
      <c r="B14" s="310" t="s">
        <v>918</v>
      </c>
      <c r="C14" s="312" t="e">
        <f>#REF!+#REF!</f>
        <v>#REF!</v>
      </c>
      <c r="D14" s="313">
        <v>0</v>
      </c>
      <c r="E14" s="312" t="e">
        <f>(C14*0.2*1.05)</f>
        <v>#REF!</v>
      </c>
      <c r="F14" s="312"/>
      <c r="G14" s="310"/>
      <c r="I14" s="316">
        <v>5</v>
      </c>
      <c r="J14" s="310" t="s">
        <v>919</v>
      </c>
      <c r="K14" s="312" t="e">
        <f>#REF!+#REF!+#REF!+#REF!</f>
        <v>#REF!</v>
      </c>
      <c r="L14" s="313"/>
      <c r="M14" s="312" t="e">
        <f>(K14*0.14)/10</f>
        <v>#REF!</v>
      </c>
      <c r="N14" s="310"/>
    </row>
    <row r="15" spans="1:14" ht="27.75" customHeight="1">
      <c r="A15" s="316">
        <v>6</v>
      </c>
      <c r="B15" s="310" t="s">
        <v>920</v>
      </c>
      <c r="C15" s="312" t="e">
        <f>#REF!</f>
        <v>#REF!</v>
      </c>
      <c r="D15" s="313"/>
      <c r="E15" s="312" t="e">
        <f>(C15*0.1*1.05)/10</f>
        <v>#REF!</v>
      </c>
      <c r="F15" s="312"/>
      <c r="G15" s="310"/>
      <c r="I15" s="316">
        <v>6</v>
      </c>
      <c r="J15" s="317" t="s">
        <v>920</v>
      </c>
      <c r="K15" s="312" t="e">
        <f>#REF!+#REF!</f>
        <v>#REF!</v>
      </c>
      <c r="L15" s="313"/>
      <c r="M15" s="312" t="e">
        <f>(K15*0.1*1.05)/10</f>
        <v>#REF!</v>
      </c>
      <c r="N15" s="310"/>
    </row>
    <row r="16" spans="1:14" ht="19.5" customHeight="1">
      <c r="A16" s="316">
        <v>7</v>
      </c>
      <c r="B16" s="310" t="s">
        <v>921</v>
      </c>
      <c r="C16" s="313" t="e">
        <f>#REF!</f>
        <v>#REF!</v>
      </c>
      <c r="D16" s="313"/>
      <c r="E16" s="312" t="e">
        <f>(C16*0.15*1.05)/10</f>
        <v>#REF!</v>
      </c>
      <c r="F16" s="312"/>
      <c r="G16" s="310"/>
      <c r="I16" s="316">
        <v>7</v>
      </c>
      <c r="J16" s="310" t="s">
        <v>921</v>
      </c>
      <c r="K16" s="313" t="e">
        <f>#REF!+#REF!</f>
        <v>#REF!</v>
      </c>
      <c r="L16" s="313"/>
      <c r="M16" s="312" t="e">
        <f>(K16*0.15*1.05)/10</f>
        <v>#REF!</v>
      </c>
      <c r="N16" s="312"/>
    </row>
    <row r="17" spans="1:14" ht="19.5" customHeight="1">
      <c r="A17" s="316">
        <v>10</v>
      </c>
      <c r="B17" s="310" t="s">
        <v>919</v>
      </c>
      <c r="C17" s="312" t="e">
        <f>#REF!+#REF!+#REF!+#REF!</f>
        <v>#REF!</v>
      </c>
      <c r="D17" s="313"/>
      <c r="E17" s="312" t="e">
        <f>(C17*0.12)/10</f>
        <v>#REF!</v>
      </c>
      <c r="F17" s="312"/>
      <c r="G17" s="310"/>
      <c r="I17" s="316">
        <v>10</v>
      </c>
      <c r="J17" s="310" t="s">
        <v>918</v>
      </c>
      <c r="K17" s="312" t="e">
        <f>#REF!+#REF!</f>
        <v>#REF!</v>
      </c>
      <c r="L17" s="313">
        <v>0</v>
      </c>
      <c r="M17" s="312" t="e">
        <f>(K17*0.2*1.05)</f>
        <v>#REF!</v>
      </c>
      <c r="N17" s="310"/>
    </row>
    <row r="18" spans="1:14" ht="19.5" customHeight="1">
      <c r="A18" s="316"/>
      <c r="B18" s="314" t="s">
        <v>922</v>
      </c>
      <c r="C18" s="312">
        <v>0</v>
      </c>
      <c r="D18" s="313"/>
      <c r="E18" s="312">
        <f>C18*0.22/10</f>
        <v>0</v>
      </c>
      <c r="F18" s="312"/>
      <c r="G18" s="310"/>
      <c r="I18" s="316"/>
      <c r="N18" s="310"/>
    </row>
    <row r="19" spans="1:14" ht="19.5" customHeight="1">
      <c r="A19" s="310"/>
      <c r="B19" s="310"/>
      <c r="C19" s="310"/>
      <c r="D19" s="313" t="e">
        <f>SUM(D6:D17)</f>
        <v>#REF!</v>
      </c>
      <c r="E19" s="313" t="e">
        <f>SUM(E6:E18)</f>
        <v>#REF!</v>
      </c>
      <c r="F19" s="313"/>
      <c r="G19" s="310"/>
      <c r="I19" s="310"/>
      <c r="J19" s="310"/>
      <c r="K19" s="310"/>
      <c r="L19" s="313" t="e">
        <f>SUM(L6:L17)</f>
        <v>#REF!</v>
      </c>
      <c r="M19" s="313" t="e">
        <f>SUM(M11:M18)</f>
        <v>#REF!</v>
      </c>
      <c r="N19" s="310"/>
    </row>
    <row r="20" spans="1:14">
      <c r="A20" s="310"/>
      <c r="B20" s="310"/>
      <c r="C20" s="310"/>
      <c r="D20" s="310" t="e">
        <f>ROUND(D19*75,2)</f>
        <v>#REF!</v>
      </c>
      <c r="E20" s="313" t="e">
        <f>ROUND(E19*50,2)</f>
        <v>#REF!</v>
      </c>
      <c r="F20" s="313"/>
      <c r="G20" s="313" t="e">
        <f>ROUNDUP(D20+E20,0)</f>
        <v>#REF!</v>
      </c>
      <c r="I20" s="310"/>
      <c r="J20" s="310"/>
      <c r="K20" s="310"/>
      <c r="L20" s="310" t="e">
        <f>ROUND(L19*75,2)</f>
        <v>#REF!</v>
      </c>
      <c r="M20" s="313" t="e">
        <f>M19*50</f>
        <v>#REF!</v>
      </c>
      <c r="N20" s="313" t="e">
        <f>ROUNDUP(L20+M20,0)</f>
        <v>#REF!</v>
      </c>
    </row>
    <row r="22" spans="1:14" ht="13">
      <c r="G22" s="610" t="e">
        <f>G20+N20</f>
        <v>#REF!</v>
      </c>
    </row>
    <row r="26" spans="1:14">
      <c r="C26" s="395" t="s">
        <v>1101</v>
      </c>
      <c r="F26" s="381" t="s">
        <v>861</v>
      </c>
      <c r="J26" s="2209" t="s">
        <v>793</v>
      </c>
      <c r="K26" s="2209"/>
      <c r="L26" s="2209"/>
      <c r="M26" s="2209"/>
    </row>
    <row r="27" spans="1:14">
      <c r="C27" s="457" t="s">
        <v>1102</v>
      </c>
      <c r="F27" s="589" t="s">
        <v>1098</v>
      </c>
      <c r="J27" s="2210" t="s">
        <v>1097</v>
      </c>
      <c r="K27" s="2210"/>
      <c r="L27" s="2210"/>
      <c r="M27" s="2210"/>
    </row>
  </sheetData>
  <mergeCells count="5">
    <mergeCell ref="A1:G1"/>
    <mergeCell ref="A2:G2"/>
    <mergeCell ref="A3:G3"/>
    <mergeCell ref="J26:M26"/>
    <mergeCell ref="J27:M27"/>
  </mergeCells>
  <pageMargins left="0.31" right="0.43307086614173229" top="0.39" bottom="0.74803149606299213" header="0.31496062992125984" footer="0.31496062992125984"/>
  <pageSetup paperSize="9" orientation="landscape" verticalDpi="0" r:id="rId1"/>
</worksheet>
</file>

<file path=xl/worksheets/sheet2.xml><?xml version="1.0" encoding="utf-8"?>
<worksheet xmlns="http://schemas.openxmlformats.org/spreadsheetml/2006/main" xmlns:r="http://schemas.openxmlformats.org/officeDocument/2006/relationships">
  <sheetPr>
    <tabColor rgb="FFFF0000"/>
  </sheetPr>
  <dimension ref="A1:J18"/>
  <sheetViews>
    <sheetView topLeftCell="A7" zoomScale="125" zoomScaleNormal="125" zoomScaleSheetLayoutView="100" workbookViewId="0">
      <selection sqref="A1:J1"/>
    </sheetView>
  </sheetViews>
  <sheetFormatPr defaultColWidth="9.1796875" defaultRowHeight="25"/>
  <cols>
    <col min="1" max="1" width="6.1796875" style="1467" customWidth="1"/>
    <col min="2" max="2" width="12.1796875" style="1465" customWidth="1"/>
    <col min="3" max="3" width="5" style="1465" customWidth="1"/>
    <col min="4" max="4" width="3.453125" style="1465" customWidth="1"/>
    <col min="5" max="5" width="4.7265625" style="1465" customWidth="1"/>
    <col min="6" max="6" width="9.453125" style="1465" bestFit="1" customWidth="1"/>
    <col min="7" max="7" width="11.81640625" style="1465" customWidth="1"/>
    <col min="8" max="8" width="9.81640625" style="1465" customWidth="1"/>
    <col min="9" max="9" width="14.26953125" style="1465" customWidth="1"/>
    <col min="10" max="10" width="14" style="1468" customWidth="1"/>
    <col min="11" max="16384" width="9.1796875" style="1465"/>
  </cols>
  <sheetData>
    <row r="1" spans="1:10" ht="29.25" customHeight="1">
      <c r="A1" s="1955" t="s">
        <v>1973</v>
      </c>
      <c r="B1" s="1955"/>
      <c r="C1" s="1955"/>
      <c r="D1" s="1955"/>
      <c r="E1" s="1955"/>
      <c r="F1" s="1955"/>
      <c r="G1" s="1955"/>
      <c r="H1" s="1955"/>
      <c r="I1" s="1955"/>
      <c r="J1" s="1955"/>
    </row>
    <row r="2" spans="1:10" ht="46.5" customHeight="1">
      <c r="A2" s="1925" t="str">
        <f>'Lead statement (2)'!A2:J2</f>
        <v>Name of work :: Construction of Function Hall at Kadapanatham Of Baireddipalle Mandal</v>
      </c>
      <c r="B2" s="1926"/>
      <c r="C2" s="1926"/>
      <c r="D2" s="1926"/>
      <c r="E2" s="1926"/>
      <c r="F2" s="1926"/>
      <c r="G2" s="1926"/>
      <c r="H2" s="1926"/>
      <c r="I2" s="1926"/>
      <c r="J2" s="1926"/>
    </row>
    <row r="3" spans="1:10" ht="21" customHeight="1">
      <c r="A3" s="1927"/>
      <c r="B3" s="1928"/>
      <c r="C3" s="1928"/>
      <c r="D3" s="1928"/>
      <c r="E3" s="1928"/>
      <c r="F3" s="1928"/>
      <c r="G3" s="1928"/>
      <c r="H3" s="1928"/>
      <c r="I3" s="1928"/>
      <c r="J3" s="1927" t="str">
        <f>'Lead statement (2)'!J3</f>
        <v>Est. Rs.79.30 Lakhs</v>
      </c>
    </row>
    <row r="4" spans="1:10" ht="67" customHeight="1">
      <c r="A4" s="1923" t="s">
        <v>1020</v>
      </c>
      <c r="B4" s="1956" t="s">
        <v>1021</v>
      </c>
      <c r="C4" s="1956"/>
      <c r="D4" s="1956"/>
      <c r="E4" s="1956"/>
      <c r="F4" s="1956"/>
      <c r="G4" s="1956"/>
      <c r="H4" s="1885" t="s">
        <v>235</v>
      </c>
      <c r="I4" s="1923" t="s">
        <v>1022</v>
      </c>
      <c r="J4" s="1923" t="s">
        <v>302</v>
      </c>
    </row>
    <row r="5" spans="1:10" ht="22.5" customHeight="1">
      <c r="A5" s="1923">
        <v>1</v>
      </c>
      <c r="B5" s="1957">
        <v>2</v>
      </c>
      <c r="C5" s="1957"/>
      <c r="D5" s="1957"/>
      <c r="E5" s="1957"/>
      <c r="F5" s="1957"/>
      <c r="G5" s="1957"/>
      <c r="H5" s="1886">
        <v>3</v>
      </c>
      <c r="I5" s="1924">
        <v>4</v>
      </c>
      <c r="J5" s="1924">
        <v>6</v>
      </c>
    </row>
    <row r="6" spans="1:10" ht="45.75" customHeight="1">
      <c r="A6" s="1923">
        <v>1</v>
      </c>
      <c r="B6" s="1954" t="s">
        <v>1968</v>
      </c>
      <c r="C6" s="1954"/>
      <c r="D6" s="1954"/>
      <c r="E6" s="1954"/>
      <c r="F6" s="1954"/>
      <c r="G6" s="1954"/>
      <c r="H6" s="1887" t="s">
        <v>692</v>
      </c>
      <c r="I6" s="1888">
        <v>4000000</v>
      </c>
      <c r="J6" s="1887">
        <f>I6</f>
        <v>4000000</v>
      </c>
    </row>
    <row r="7" spans="1:10" ht="45" customHeight="1">
      <c r="A7" s="1923">
        <v>2</v>
      </c>
      <c r="B7" s="1954" t="s">
        <v>1969</v>
      </c>
      <c r="C7" s="1954"/>
      <c r="D7" s="1954"/>
      <c r="E7" s="1954"/>
      <c r="F7" s="1954"/>
      <c r="G7" s="1954"/>
      <c r="H7" s="1887"/>
      <c r="I7" s="1888"/>
      <c r="J7" s="1923"/>
    </row>
    <row r="8" spans="1:10" ht="37" customHeight="1">
      <c r="A8" s="1923"/>
      <c r="B8" s="1960" t="s">
        <v>1970</v>
      </c>
      <c r="C8" s="1960"/>
      <c r="D8" s="1960"/>
      <c r="E8" s="1960"/>
      <c r="F8" s="1960"/>
      <c r="G8" s="1960"/>
      <c r="H8" s="1887" t="s">
        <v>692</v>
      </c>
      <c r="I8" s="1888">
        <v>1962000</v>
      </c>
      <c r="J8" s="1888">
        <f>I8</f>
        <v>1962000</v>
      </c>
    </row>
    <row r="9" spans="1:10" ht="37" customHeight="1">
      <c r="A9" s="1923"/>
      <c r="B9" s="1960" t="s">
        <v>1971</v>
      </c>
      <c r="C9" s="1960"/>
      <c r="D9" s="1960"/>
      <c r="E9" s="1960"/>
      <c r="F9" s="1960"/>
      <c r="G9" s="1960"/>
      <c r="H9" s="1887" t="s">
        <v>692</v>
      </c>
      <c r="I9" s="1888">
        <v>218000</v>
      </c>
      <c r="J9" s="1923">
        <f>I9</f>
        <v>218000</v>
      </c>
    </row>
    <row r="10" spans="1:10" ht="37" customHeight="1">
      <c r="A10" s="1923">
        <v>3</v>
      </c>
      <c r="B10" s="1954" t="s">
        <v>1972</v>
      </c>
      <c r="C10" s="1954"/>
      <c r="D10" s="1954"/>
      <c r="E10" s="1954"/>
      <c r="F10" s="1954"/>
      <c r="G10" s="1954"/>
      <c r="H10" s="1887"/>
      <c r="I10" s="1888"/>
      <c r="J10" s="1887"/>
    </row>
    <row r="11" spans="1:10" ht="37" customHeight="1">
      <c r="A11" s="1889"/>
      <c r="B11" s="1959" t="s">
        <v>1970</v>
      </c>
      <c r="C11" s="1959"/>
      <c r="D11" s="1959"/>
      <c r="E11" s="1959"/>
      <c r="F11" s="1959"/>
      <c r="G11" s="1959"/>
      <c r="H11" s="1886" t="s">
        <v>791</v>
      </c>
      <c r="I11" s="1890">
        <v>875000</v>
      </c>
      <c r="J11" s="1891">
        <f>I11</f>
        <v>875000</v>
      </c>
    </row>
    <row r="12" spans="1:10" ht="37" customHeight="1">
      <c r="A12" s="1889"/>
      <c r="B12" s="1959" t="s">
        <v>1971</v>
      </c>
      <c r="C12" s="1959"/>
      <c r="D12" s="1959"/>
      <c r="E12" s="1959"/>
      <c r="F12" s="1959"/>
      <c r="G12" s="1959"/>
      <c r="H12" s="1886" t="s">
        <v>791</v>
      </c>
      <c r="I12" s="1890">
        <v>875000</v>
      </c>
      <c r="J12" s="1892">
        <f>I12</f>
        <v>875000</v>
      </c>
    </row>
    <row r="13" spans="1:10" ht="26.15" customHeight="1">
      <c r="A13" s="1889"/>
      <c r="B13" s="1958"/>
      <c r="C13" s="1958"/>
      <c r="D13" s="1958"/>
      <c r="E13" s="1958"/>
      <c r="F13" s="1958"/>
      <c r="G13" s="1958"/>
      <c r="H13" s="1953" t="s">
        <v>1967</v>
      </c>
      <c r="I13" s="1953"/>
      <c r="J13" s="1891">
        <f>SUM(J6:J12)</f>
        <v>7930000</v>
      </c>
    </row>
    <row r="14" spans="1:10" s="1466" customFormat="1">
      <c r="A14" s="1929"/>
      <c r="B14" s="1930"/>
      <c r="C14" s="1930"/>
      <c r="D14" s="1931"/>
      <c r="E14" s="1931"/>
      <c r="F14" s="1931"/>
      <c r="G14" s="1931"/>
      <c r="H14" s="1931"/>
      <c r="I14" s="1931"/>
      <c r="J14" s="1932"/>
    </row>
    <row r="15" spans="1:10" s="1468" customFormat="1">
      <c r="A15" s="1933"/>
      <c r="B15" s="1934"/>
      <c r="C15" s="1934"/>
      <c r="D15" s="1934"/>
      <c r="E15" s="1934"/>
      <c r="F15" s="1934"/>
      <c r="G15" s="1934"/>
      <c r="H15" s="1934"/>
      <c r="I15" s="1934"/>
      <c r="J15" s="1935"/>
    </row>
    <row r="16" spans="1:10" ht="20.25" customHeight="1">
      <c r="A16" s="1933"/>
      <c r="B16" s="1934"/>
      <c r="C16" s="1934"/>
      <c r="D16" s="1934"/>
      <c r="E16" s="1934"/>
      <c r="F16" s="1934"/>
      <c r="G16" s="1936" t="str">
        <f>'Specification (3)'!E35</f>
        <v>Dy.Exe.Engineer</v>
      </c>
      <c r="H16" s="1934"/>
      <c r="I16" s="1939" t="s">
        <v>2188</v>
      </c>
      <c r="J16" s="1935"/>
    </row>
    <row r="17" spans="1:10" ht="20.25" customHeight="1">
      <c r="A17" s="1933"/>
      <c r="B17" s="1934"/>
      <c r="C17" s="1934"/>
      <c r="D17" s="1934"/>
      <c r="E17" s="1934"/>
      <c r="F17" s="1934"/>
      <c r="G17" s="1936" t="str">
        <f>'Specification (3)'!E36</f>
        <v>PRI, Baireddipalle</v>
      </c>
      <c r="H17" s="1934"/>
      <c r="I17" s="1939" t="s">
        <v>2192</v>
      </c>
      <c r="J17" s="1935"/>
    </row>
    <row r="18" spans="1:10">
      <c r="A18" s="1933"/>
      <c r="B18" s="1934"/>
      <c r="C18" s="1934"/>
      <c r="D18" s="1934"/>
      <c r="E18" s="1934"/>
      <c r="F18" s="1934"/>
      <c r="G18" s="1934"/>
      <c r="H18" s="1934"/>
      <c r="I18" s="1934"/>
      <c r="J18" s="1935"/>
    </row>
  </sheetData>
  <mergeCells count="12">
    <mergeCell ref="H13:I13"/>
    <mergeCell ref="B6:G6"/>
    <mergeCell ref="A1:J1"/>
    <mergeCell ref="B4:G4"/>
    <mergeCell ref="B5:G5"/>
    <mergeCell ref="B13:G13"/>
    <mergeCell ref="B12:G12"/>
    <mergeCell ref="B11:G11"/>
    <mergeCell ref="B7:G7"/>
    <mergeCell ref="B8:G8"/>
    <mergeCell ref="B9:G9"/>
    <mergeCell ref="B10:G10"/>
  </mergeCells>
  <pageMargins left="0.55118110236220497" right="0.15748031496063" top="0.62" bottom="0.74803149606299202" header="0.33" footer="0.31496062992126"/>
  <pageSetup paperSize="9" orientation="portrait" r:id="rId1"/>
</worksheet>
</file>

<file path=xl/worksheets/sheet20.xml><?xml version="1.0" encoding="utf-8"?>
<worksheet xmlns="http://schemas.openxmlformats.org/spreadsheetml/2006/main" xmlns:r="http://schemas.openxmlformats.org/officeDocument/2006/relationships">
  <sheetPr>
    <tabColor rgb="FFFFFF00"/>
  </sheetPr>
  <dimension ref="A1:N28"/>
  <sheetViews>
    <sheetView zoomScale="115" zoomScaleNormal="115" workbookViewId="0">
      <selection activeCell="D14" sqref="D14"/>
    </sheetView>
  </sheetViews>
  <sheetFormatPr defaultColWidth="9.1796875" defaultRowHeight="12.5"/>
  <cols>
    <col min="1" max="1" width="6.453125" style="308" customWidth="1"/>
    <col min="2" max="2" width="19" style="308" customWidth="1"/>
    <col min="3" max="3" width="9" style="308" customWidth="1"/>
    <col min="4" max="4" width="11.81640625" style="308" customWidth="1"/>
    <col min="5" max="6" width="11.7265625" style="308" customWidth="1"/>
    <col min="7" max="7" width="11.81640625" style="308" customWidth="1"/>
    <col min="8" max="8" width="4.453125" style="308" customWidth="1"/>
    <col min="9" max="16384" width="9.1796875" style="308"/>
  </cols>
  <sheetData>
    <row r="1" spans="1:14" ht="24.75" customHeight="1">
      <c r="A1" s="2205" t="s">
        <v>389</v>
      </c>
      <c r="B1" s="2205"/>
      <c r="C1" s="2205"/>
      <c r="D1" s="2205"/>
      <c r="E1" s="2205"/>
      <c r="F1" s="2205"/>
      <c r="G1" s="2206"/>
    </row>
    <row r="2" spans="1:14" ht="33.75" customHeight="1">
      <c r="A2" s="2207" t="e">
        <f>#REF!</f>
        <v>#REF!</v>
      </c>
      <c r="B2" s="2207"/>
      <c r="C2" s="2207"/>
      <c r="D2" s="2207"/>
      <c r="E2" s="2207"/>
      <c r="F2" s="2207"/>
      <c r="G2" s="2207"/>
    </row>
    <row r="3" spans="1:14" ht="21" customHeight="1">
      <c r="A3" s="2208" t="s">
        <v>1718</v>
      </c>
      <c r="B3" s="2208"/>
      <c r="C3" s="2208"/>
      <c r="D3" s="2208"/>
      <c r="E3" s="2208"/>
      <c r="F3" s="2208"/>
      <c r="G3" s="2208"/>
    </row>
    <row r="4" spans="1:14" ht="13">
      <c r="A4" s="309" t="s">
        <v>907</v>
      </c>
      <c r="B4" s="309" t="s">
        <v>908</v>
      </c>
      <c r="C4" s="309" t="s">
        <v>797</v>
      </c>
      <c r="D4" s="309" t="s">
        <v>313</v>
      </c>
      <c r="E4" s="309" t="s">
        <v>277</v>
      </c>
      <c r="F4" s="309"/>
      <c r="G4" s="309" t="s">
        <v>302</v>
      </c>
      <c r="I4" s="309" t="s">
        <v>907</v>
      </c>
      <c r="J4" s="309" t="s">
        <v>908</v>
      </c>
      <c r="K4" s="309" t="s">
        <v>797</v>
      </c>
      <c r="L4" s="309" t="s">
        <v>313</v>
      </c>
      <c r="M4" s="309" t="s">
        <v>277</v>
      </c>
      <c r="N4" s="309" t="s">
        <v>302</v>
      </c>
    </row>
    <row r="5" spans="1:14">
      <c r="A5" s="310"/>
      <c r="G5" s="311"/>
      <c r="I5" s="310"/>
      <c r="N5" s="311"/>
    </row>
    <row r="6" spans="1:14">
      <c r="A6" s="310">
        <v>1</v>
      </c>
      <c r="B6" s="310" t="s">
        <v>909</v>
      </c>
      <c r="C6" s="312"/>
      <c r="D6" s="313"/>
      <c r="E6" s="312"/>
      <c r="F6" s="312"/>
      <c r="G6" s="310"/>
      <c r="I6" s="310">
        <v>1</v>
      </c>
      <c r="J6" s="310"/>
      <c r="K6" s="312"/>
      <c r="L6" s="313"/>
      <c r="M6" s="312"/>
      <c r="N6" s="310"/>
    </row>
    <row r="7" spans="1:14">
      <c r="A7" s="310"/>
      <c r="B7" s="314" t="s">
        <v>910</v>
      </c>
      <c r="C7" s="312">
        <v>0</v>
      </c>
      <c r="D7" s="313">
        <f>ROUND(C7*1.36*0.9,2)</f>
        <v>0</v>
      </c>
      <c r="E7" s="312">
        <f>C7*1.36*0.45</f>
        <v>0</v>
      </c>
      <c r="F7" s="312"/>
      <c r="G7" s="310"/>
      <c r="H7" s="315"/>
      <c r="I7" s="310"/>
      <c r="J7" s="314"/>
      <c r="K7" s="312"/>
      <c r="L7" s="313"/>
      <c r="M7" s="312"/>
      <c r="N7" s="310"/>
    </row>
    <row r="8" spans="1:14">
      <c r="A8" s="310"/>
      <c r="B8" s="314" t="s">
        <v>911</v>
      </c>
      <c r="C8" s="312">
        <f>'AW 7.00 pile (2)'!I35</f>
        <v>7</v>
      </c>
      <c r="D8" s="313">
        <f>ROUND(C8*0.787*0.9,2)</f>
        <v>4.96</v>
      </c>
      <c r="E8" s="312">
        <f>C8*0.787*0.45</f>
        <v>2.4790500000000004</v>
      </c>
      <c r="F8" s="312"/>
      <c r="G8" s="310"/>
      <c r="I8" s="310"/>
      <c r="J8" s="314"/>
      <c r="K8" s="312"/>
      <c r="L8" s="313"/>
      <c r="M8" s="312"/>
      <c r="N8" s="310"/>
    </row>
    <row r="9" spans="1:14">
      <c r="A9" s="310"/>
      <c r="B9" s="314" t="s">
        <v>912</v>
      </c>
      <c r="C9" s="312"/>
      <c r="D9" s="313">
        <f>C9*0.456*0.9</f>
        <v>0</v>
      </c>
      <c r="E9" s="312">
        <f>C9*0.456*0.45</f>
        <v>0</v>
      </c>
      <c r="F9" s="312"/>
      <c r="G9" s="310"/>
      <c r="I9" s="310"/>
      <c r="J9" s="314"/>
      <c r="K9" s="312"/>
      <c r="L9" s="313"/>
      <c r="M9" s="312"/>
      <c r="N9" s="310"/>
    </row>
    <row r="10" spans="1:14">
      <c r="A10" s="310"/>
      <c r="B10" s="314" t="s">
        <v>913</v>
      </c>
      <c r="C10" s="312">
        <f>'AW 7.00 pile (2)'!I39</f>
        <v>2</v>
      </c>
      <c r="D10" s="313">
        <f>C10*0.282*0.9</f>
        <v>0.50759999999999994</v>
      </c>
      <c r="E10" s="312">
        <f>C10*0.282*0.45</f>
        <v>0.25379999999999997</v>
      </c>
      <c r="F10" s="312"/>
      <c r="G10" s="310"/>
      <c r="I10" s="310"/>
      <c r="J10" s="314"/>
      <c r="K10" s="312"/>
      <c r="L10" s="313"/>
      <c r="M10" s="312"/>
      <c r="N10" s="310"/>
    </row>
    <row r="11" spans="1:14" ht="19.5" customHeight="1">
      <c r="A11" s="316">
        <v>2</v>
      </c>
      <c r="B11" s="310" t="s">
        <v>914</v>
      </c>
      <c r="C11" s="312">
        <f>'AW 7.00 pile (2)'!I32</f>
        <v>31.759999999999998</v>
      </c>
      <c r="D11" s="310"/>
      <c r="E11" s="312">
        <f>C11</f>
        <v>31.759999999999998</v>
      </c>
      <c r="F11" s="312"/>
      <c r="G11" s="310"/>
      <c r="I11" s="316">
        <v>2</v>
      </c>
      <c r="J11" s="310"/>
      <c r="K11" s="312"/>
      <c r="L11" s="310"/>
      <c r="M11" s="312"/>
      <c r="N11" s="310"/>
    </row>
    <row r="12" spans="1:14" ht="19.5" customHeight="1">
      <c r="F12" s="312"/>
      <c r="G12" s="310"/>
      <c r="I12" s="316">
        <v>2</v>
      </c>
      <c r="J12" s="310" t="s">
        <v>915</v>
      </c>
      <c r="K12" s="312">
        <f>'AW 7.00 pile (2)'!I160</f>
        <v>5.54</v>
      </c>
      <c r="L12" s="313">
        <f>K12*0.9</f>
        <v>4.9859999999999998</v>
      </c>
      <c r="M12" s="312">
        <f>K12*0.45</f>
        <v>2.4929999999999999</v>
      </c>
      <c r="N12" s="310"/>
    </row>
    <row r="13" spans="1:14" ht="19.5" customHeight="1">
      <c r="A13" s="316">
        <v>3</v>
      </c>
      <c r="B13" s="310" t="s">
        <v>916</v>
      </c>
      <c r="C13" s="312"/>
      <c r="D13" s="313">
        <f>C13*0.9</f>
        <v>0</v>
      </c>
      <c r="E13" s="312">
        <f>C13*0.45</f>
        <v>0</v>
      </c>
      <c r="F13" s="312"/>
      <c r="G13" s="310"/>
      <c r="I13" s="316">
        <v>3</v>
      </c>
      <c r="J13" s="310"/>
      <c r="K13" s="312"/>
      <c r="L13" s="313"/>
      <c r="M13" s="312"/>
      <c r="N13" s="310"/>
    </row>
    <row r="14" spans="1:14" ht="19.5" customHeight="1">
      <c r="A14" s="316">
        <v>4</v>
      </c>
      <c r="B14" s="310" t="s">
        <v>917</v>
      </c>
      <c r="C14" s="312">
        <f>ROUND('AW 7.00 pile (2)'!I49+'AW 7.00 pile (2)'!I53+'AW 7.00 pile (2)'!I62+'AW 7.00 pile (2)'!I67+'AW 7.00 pile (2)'!I73+'AW 7.00 pile (2)'!I76+'AW 7.00 pile (2)'!I79,2)</f>
        <v>18.25</v>
      </c>
      <c r="D14" s="313">
        <f>C14*0.9</f>
        <v>16.425000000000001</v>
      </c>
      <c r="E14" s="312">
        <f>C14*0.45</f>
        <v>8.2125000000000004</v>
      </c>
      <c r="F14" s="312"/>
      <c r="G14" s="310"/>
      <c r="I14" s="316">
        <v>4</v>
      </c>
      <c r="J14" s="310"/>
      <c r="K14" s="312"/>
      <c r="L14" s="313"/>
      <c r="M14" s="312"/>
      <c r="N14" s="310"/>
    </row>
    <row r="15" spans="1:14" ht="19.5" customHeight="1">
      <c r="A15" s="316">
        <v>5</v>
      </c>
      <c r="B15" s="310" t="s">
        <v>918</v>
      </c>
      <c r="C15" s="312">
        <f>ROUND('AW 7.00 pile (2)'!I98+'AW 7.00 pile (2)'!I113,2)</f>
        <v>20.58</v>
      </c>
      <c r="D15" s="313"/>
      <c r="E15" s="312">
        <f>(C15*0.1*1.05)</f>
        <v>2.1608999999999998</v>
      </c>
      <c r="F15" s="312"/>
      <c r="G15" s="310"/>
      <c r="I15" s="316">
        <v>5</v>
      </c>
      <c r="J15" s="310" t="s">
        <v>919</v>
      </c>
      <c r="K15" s="312"/>
      <c r="L15" s="313"/>
      <c r="M15" s="312">
        <f>(K15*0.12)/10</f>
        <v>0</v>
      </c>
      <c r="N15" s="310"/>
    </row>
    <row r="16" spans="1:14" ht="27.75" customHeight="1">
      <c r="A16" s="316">
        <v>6</v>
      </c>
      <c r="B16" s="310" t="s">
        <v>920</v>
      </c>
      <c r="C16" s="312"/>
      <c r="D16" s="313"/>
      <c r="E16" s="312">
        <f>(C16*0.1*1.05)/10</f>
        <v>0</v>
      </c>
      <c r="F16" s="312"/>
      <c r="G16" s="310"/>
      <c r="I16" s="316">
        <v>6</v>
      </c>
      <c r="J16" s="317" t="s">
        <v>920</v>
      </c>
      <c r="K16" s="312">
        <f>'AW 7.00 pile (2)'!I227</f>
        <v>79.02</v>
      </c>
      <c r="L16" s="313"/>
      <c r="M16" s="312">
        <f>(K16*0.1*1.05)/10</f>
        <v>0.82971000000000006</v>
      </c>
      <c r="N16" s="310"/>
    </row>
    <row r="17" spans="1:14" ht="19.5" customHeight="1">
      <c r="A17" s="316">
        <v>7</v>
      </c>
      <c r="B17" s="310" t="s">
        <v>921</v>
      </c>
      <c r="C17" s="313"/>
      <c r="D17" s="313"/>
      <c r="E17" s="312">
        <f>(C17*0.15*1.05)/10</f>
        <v>0</v>
      </c>
      <c r="F17" s="312"/>
      <c r="G17" s="310"/>
      <c r="I17" s="316">
        <v>7</v>
      </c>
      <c r="J17" s="310" t="s">
        <v>921</v>
      </c>
      <c r="K17" s="313">
        <f>'AW 7.00 pile (2)'!I206</f>
        <v>238.00000000000003</v>
      </c>
      <c r="L17" s="313"/>
      <c r="M17" s="312">
        <f>(K17*0.15*1.05)/10</f>
        <v>3.7485000000000008</v>
      </c>
      <c r="N17" s="310"/>
    </row>
    <row r="18" spans="1:14" ht="19.5" customHeight="1">
      <c r="A18" s="316">
        <v>10</v>
      </c>
      <c r="B18" s="310" t="s">
        <v>919</v>
      </c>
      <c r="C18" s="312"/>
      <c r="D18" s="313"/>
      <c r="E18" s="312">
        <f>(C18*0.12)/10</f>
        <v>0</v>
      </c>
      <c r="F18" s="312"/>
      <c r="G18" s="310"/>
      <c r="I18" s="316">
        <v>10</v>
      </c>
      <c r="J18" s="310" t="s">
        <v>919</v>
      </c>
      <c r="K18" s="312">
        <f>ROUND('AW 7.00 pile (2)'!I183+'AW 7.00 pile (2)'!I171,2)</f>
        <v>59.09</v>
      </c>
      <c r="L18" s="313"/>
      <c r="M18" s="312">
        <f>(K18*0.12)/10</f>
        <v>0.70907999999999993</v>
      </c>
      <c r="N18" s="310"/>
    </row>
    <row r="19" spans="1:14" ht="19.5" customHeight="1">
      <c r="A19" s="316"/>
      <c r="B19" s="314" t="s">
        <v>922</v>
      </c>
      <c r="C19" s="312">
        <f>'AW 7.00 pile (2)'!I115</f>
        <v>71.44</v>
      </c>
      <c r="D19" s="313"/>
      <c r="E19" s="312">
        <f>C19*0.22/10</f>
        <v>1.57168</v>
      </c>
      <c r="F19" s="312"/>
      <c r="G19" s="310"/>
      <c r="I19" s="316"/>
      <c r="J19" s="314" t="s">
        <v>922</v>
      </c>
      <c r="K19" s="312"/>
      <c r="L19" s="313"/>
      <c r="M19" s="312">
        <f>K19*0.22/10</f>
        <v>0</v>
      </c>
      <c r="N19" s="310"/>
    </row>
    <row r="20" spans="1:14" ht="19.5" customHeight="1">
      <c r="A20" s="310"/>
      <c r="B20" s="310"/>
      <c r="C20" s="310"/>
      <c r="D20" s="313">
        <f>SUM(D6:D18)</f>
        <v>21.892600000000002</v>
      </c>
      <c r="E20" s="313">
        <f>SUM(E6:E19)</f>
        <v>46.437929999999994</v>
      </c>
      <c r="F20" s="313"/>
      <c r="G20" s="310"/>
      <c r="I20" s="310"/>
      <c r="J20" s="310"/>
      <c r="K20" s="310"/>
      <c r="L20" s="313">
        <f>SUM(L6:L18)</f>
        <v>4.9859999999999998</v>
      </c>
      <c r="M20" s="313">
        <f>SUM(M6:M19)</f>
        <v>7.7802900000000008</v>
      </c>
      <c r="N20" s="310"/>
    </row>
    <row r="21" spans="1:14">
      <c r="A21" s="310"/>
      <c r="B21" s="310"/>
      <c r="C21" s="310"/>
      <c r="D21" s="310">
        <f>ROUND(D20*75,2)</f>
        <v>1641.95</v>
      </c>
      <c r="E21" s="313">
        <f>ROUND(E20*50,2)</f>
        <v>2321.9</v>
      </c>
      <c r="F21" s="313"/>
      <c r="G21" s="313">
        <f>ROUNDUP(D21+E21,0)</f>
        <v>3964</v>
      </c>
      <c r="I21" s="310"/>
      <c r="J21" s="310"/>
      <c r="K21" s="310"/>
      <c r="L21" s="310">
        <f>ROUND(L20*75,2)</f>
        <v>373.95</v>
      </c>
      <c r="M21" s="313">
        <f>M20*50</f>
        <v>389.01450000000006</v>
      </c>
      <c r="N21" s="313">
        <f>ROUNDUP(L21+M21,0)</f>
        <v>763</v>
      </c>
    </row>
    <row r="27" spans="1:14">
      <c r="F27" s="318" t="s">
        <v>861</v>
      </c>
      <c r="J27" s="2209" t="s">
        <v>793</v>
      </c>
      <c r="K27" s="2209"/>
      <c r="L27" s="2209"/>
      <c r="M27" s="2209"/>
    </row>
    <row r="28" spans="1:14">
      <c r="F28" s="318" t="s">
        <v>862</v>
      </c>
      <c r="J28" s="2210" t="s">
        <v>923</v>
      </c>
      <c r="K28" s="2210"/>
      <c r="L28" s="2210"/>
      <c r="M28" s="2210"/>
    </row>
  </sheetData>
  <mergeCells count="5">
    <mergeCell ref="A1:G1"/>
    <mergeCell ref="A2:G2"/>
    <mergeCell ref="A3:G3"/>
    <mergeCell ref="J27:M27"/>
    <mergeCell ref="J28:M28"/>
  </mergeCells>
  <pageMargins left="0.31" right="0.43307086614173229" top="0.39" bottom="0.74803149606299213" header="0.31496062992125984" footer="0.31496062992125984"/>
  <pageSetup paperSize="9" orientation="landscape" verticalDpi="0" r:id="rId1"/>
</worksheet>
</file>

<file path=xl/worksheets/sheet21.xml><?xml version="1.0" encoding="utf-8"?>
<worksheet xmlns="http://schemas.openxmlformats.org/spreadsheetml/2006/main" xmlns:r="http://schemas.openxmlformats.org/officeDocument/2006/relationships">
  <dimension ref="A1:T1236"/>
  <sheetViews>
    <sheetView view="pageBreakPreview" topLeftCell="A918" zoomScale="115" workbookViewId="0">
      <selection activeCell="C842" sqref="C842"/>
    </sheetView>
  </sheetViews>
  <sheetFormatPr defaultColWidth="9.1796875" defaultRowHeight="12.5"/>
  <cols>
    <col min="1" max="1" width="12.1796875" style="382" customWidth="1"/>
    <col min="2" max="2" width="3.453125" style="457" customWidth="1"/>
    <col min="3" max="3" width="40.1796875" style="382" customWidth="1"/>
    <col min="4" max="4" width="7.26953125" style="457" customWidth="1"/>
    <col min="5" max="5" width="7.7265625" style="457" customWidth="1"/>
    <col min="6" max="6" width="11.81640625" style="457" customWidth="1"/>
    <col min="7" max="7" width="15.453125" style="457" customWidth="1"/>
    <col min="8" max="8" width="12.1796875" style="382" customWidth="1"/>
    <col min="9" max="9" width="11.1796875" style="382" customWidth="1"/>
    <col min="10" max="10" width="11.81640625" style="382" customWidth="1"/>
    <col min="11" max="11" width="24" style="382" customWidth="1"/>
    <col min="12" max="12" width="10.26953125" style="382" customWidth="1"/>
    <col min="13" max="13" width="14.1796875" style="382" customWidth="1"/>
    <col min="14" max="14" width="10.26953125" style="382" customWidth="1"/>
    <col min="15" max="16384" width="9.1796875" style="382"/>
  </cols>
  <sheetData>
    <row r="1" spans="1:12" ht="9.75" customHeight="1">
      <c r="B1" s="382"/>
      <c r="D1" s="408">
        <v>0.4</v>
      </c>
      <c r="E1" s="382"/>
      <c r="F1" s="382"/>
      <c r="G1" s="382"/>
    </row>
    <row r="2" spans="1:12" ht="24.75" customHeight="1">
      <c r="A2" s="2212" t="s">
        <v>231</v>
      </c>
      <c r="B2" s="2212"/>
      <c r="C2" s="2212"/>
      <c r="D2" s="2212"/>
      <c r="E2" s="2212"/>
      <c r="F2" s="2212"/>
      <c r="G2" s="2212"/>
      <c r="H2" s="2212"/>
      <c r="I2" s="409"/>
      <c r="J2" s="409"/>
      <c r="K2" s="409"/>
      <c r="L2" s="409"/>
    </row>
    <row r="3" spans="1:12" ht="24.75" customHeight="1">
      <c r="A3" s="2213" t="s">
        <v>1019</v>
      </c>
      <c r="B3" s="2212"/>
      <c r="C3" s="2212"/>
      <c r="D3" s="2212"/>
      <c r="E3" s="2212"/>
      <c r="F3" s="2212"/>
      <c r="G3" s="2212"/>
      <c r="H3" s="2212"/>
      <c r="I3" s="409"/>
      <c r="J3" s="409"/>
      <c r="K3" s="409"/>
      <c r="L3" s="409"/>
    </row>
    <row r="4" spans="1:12" ht="24.75" customHeight="1">
      <c r="A4" s="2214" t="s">
        <v>1045</v>
      </c>
      <c r="B4" s="2215"/>
      <c r="C4" s="2215"/>
      <c r="D4" s="2215"/>
      <c r="E4" s="2215"/>
      <c r="F4" s="2215"/>
      <c r="G4" s="2215"/>
      <c r="H4" s="2215"/>
      <c r="I4" s="409"/>
      <c r="J4" s="409"/>
      <c r="K4" s="409"/>
      <c r="L4" s="409"/>
    </row>
    <row r="5" spans="1:12" ht="37.5">
      <c r="A5" s="410" t="s">
        <v>232</v>
      </c>
      <c r="B5" s="411" t="s">
        <v>233</v>
      </c>
      <c r="C5" s="411" t="s">
        <v>234</v>
      </c>
      <c r="D5" s="411" t="s">
        <v>141</v>
      </c>
      <c r="E5" s="412" t="s">
        <v>235</v>
      </c>
      <c r="F5" s="412" t="s">
        <v>236</v>
      </c>
      <c r="G5" s="412" t="s">
        <v>237</v>
      </c>
      <c r="H5" s="409"/>
      <c r="I5" s="409"/>
      <c r="J5" s="409"/>
      <c r="K5" s="409"/>
      <c r="L5" s="409"/>
    </row>
    <row r="6" spans="1:12" ht="12.75" customHeight="1">
      <c r="A6" s="413"/>
      <c r="B6" s="413">
        <v>1</v>
      </c>
      <c r="C6" s="413">
        <v>2</v>
      </c>
      <c r="D6" s="413">
        <v>3</v>
      </c>
      <c r="E6" s="413">
        <v>4</v>
      </c>
      <c r="F6" s="413">
        <v>5</v>
      </c>
      <c r="G6" s="413">
        <v>6</v>
      </c>
      <c r="H6" s="409"/>
      <c r="I6" s="409"/>
      <c r="J6" s="409"/>
      <c r="K6" s="409"/>
      <c r="L6" s="409"/>
    </row>
    <row r="7" spans="1:12" ht="13.5" customHeight="1">
      <c r="A7" s="414"/>
      <c r="B7" s="415"/>
      <c r="C7" s="416"/>
      <c r="D7" s="417"/>
      <c r="E7" s="418"/>
      <c r="F7" s="419"/>
      <c r="G7" s="419"/>
      <c r="H7" s="409"/>
      <c r="I7" s="409"/>
      <c r="J7" s="409"/>
      <c r="K7" s="409"/>
      <c r="L7" s="409"/>
    </row>
    <row r="8" spans="1:12" ht="63" customHeight="1">
      <c r="A8" s="420" t="s">
        <v>238</v>
      </c>
      <c r="B8" s="421">
        <v>1</v>
      </c>
      <c r="C8" s="2216" t="s">
        <v>323</v>
      </c>
      <c r="D8" s="2216"/>
      <c r="E8" s="2216"/>
      <c r="F8" s="2216"/>
      <c r="G8" s="422"/>
      <c r="H8" s="409"/>
      <c r="I8" s="409"/>
      <c r="J8" s="409"/>
      <c r="K8" s="409"/>
      <c r="L8" s="409"/>
    </row>
    <row r="9" spans="1:12" ht="21" customHeight="1">
      <c r="A9" s="423"/>
      <c r="B9" s="421"/>
      <c r="C9" s="424" t="s">
        <v>324</v>
      </c>
      <c r="D9" s="420"/>
      <c r="E9" s="415"/>
      <c r="F9" s="425"/>
      <c r="G9" s="422"/>
      <c r="H9" s="409"/>
      <c r="I9" s="409"/>
      <c r="J9" s="409"/>
      <c r="K9" s="409"/>
      <c r="L9" s="409"/>
    </row>
    <row r="10" spans="1:12" ht="13.5" customHeight="1">
      <c r="A10" s="423"/>
      <c r="B10" s="421"/>
      <c r="C10" s="424" t="s">
        <v>239</v>
      </c>
      <c r="D10" s="420"/>
      <c r="E10" s="415"/>
      <c r="F10" s="425"/>
      <c r="G10" s="422"/>
      <c r="H10" s="409"/>
      <c r="I10" s="409"/>
      <c r="J10" s="409"/>
      <c r="K10" s="409"/>
      <c r="L10" s="409"/>
    </row>
    <row r="11" spans="1:12" ht="13.5" customHeight="1">
      <c r="A11" s="423"/>
      <c r="B11" s="421"/>
      <c r="C11" s="424" t="s">
        <v>240</v>
      </c>
      <c r="D11" s="420"/>
      <c r="E11" s="415"/>
      <c r="F11" s="425"/>
      <c r="G11" s="422"/>
      <c r="H11" s="409"/>
      <c r="I11" s="409"/>
      <c r="J11" s="409"/>
      <c r="K11" s="409"/>
      <c r="L11" s="409"/>
    </row>
    <row r="12" spans="1:12" ht="13.5" customHeight="1">
      <c r="A12" s="423"/>
      <c r="B12" s="421"/>
      <c r="C12" s="424" t="s">
        <v>241</v>
      </c>
      <c r="D12" s="420" t="s">
        <v>119</v>
      </c>
      <c r="E12" s="415"/>
      <c r="F12" s="425"/>
      <c r="G12" s="422"/>
      <c r="H12" s="409"/>
      <c r="I12" s="409"/>
      <c r="J12" s="409"/>
      <c r="K12" s="409"/>
      <c r="L12" s="409"/>
    </row>
    <row r="13" spans="1:12" ht="13.5" customHeight="1">
      <c r="A13" s="423"/>
      <c r="B13" s="421"/>
      <c r="C13" s="424" t="s">
        <v>242</v>
      </c>
      <c r="D13" s="420" t="s">
        <v>119</v>
      </c>
      <c r="E13" s="420">
        <v>3.64</v>
      </c>
      <c r="F13" s="425">
        <v>400</v>
      </c>
      <c r="G13" s="426">
        <f>E13*F13</f>
        <v>1456</v>
      </c>
      <c r="H13" s="409"/>
      <c r="I13" s="409"/>
      <c r="J13" s="409"/>
      <c r="K13" s="409"/>
      <c r="L13" s="409"/>
    </row>
    <row r="14" spans="1:12" ht="13.5" customHeight="1">
      <c r="A14" s="423"/>
      <c r="B14" s="421"/>
      <c r="C14" s="424" t="s">
        <v>592</v>
      </c>
      <c r="D14" s="427">
        <f>D1</f>
        <v>0.4</v>
      </c>
      <c r="E14" s="415"/>
      <c r="F14" s="425"/>
      <c r="G14" s="426">
        <f>G13*D14</f>
        <v>582.4</v>
      </c>
      <c r="H14" s="409"/>
      <c r="I14" s="409"/>
      <c r="J14" s="409"/>
      <c r="K14" s="409"/>
      <c r="L14" s="409"/>
    </row>
    <row r="15" spans="1:12" ht="13.5" customHeight="1">
      <c r="A15" s="423"/>
      <c r="B15" s="421"/>
      <c r="C15" s="424" t="s">
        <v>325</v>
      </c>
      <c r="D15" s="420"/>
      <c r="E15" s="415"/>
      <c r="F15" s="425"/>
      <c r="G15" s="422">
        <f>G13+G14</f>
        <v>2038.4</v>
      </c>
      <c r="H15" s="409"/>
      <c r="I15" s="409"/>
      <c r="J15" s="409"/>
      <c r="K15" s="409"/>
      <c r="L15" s="409"/>
    </row>
    <row r="16" spans="1:12" ht="13.5" customHeight="1">
      <c r="A16" s="423"/>
      <c r="B16" s="421"/>
      <c r="C16" s="424" t="s">
        <v>243</v>
      </c>
      <c r="D16" s="420"/>
      <c r="E16" s="415"/>
      <c r="F16" s="425"/>
      <c r="G16" s="428">
        <f>G15/10</f>
        <v>203.84</v>
      </c>
      <c r="H16" s="409"/>
      <c r="I16" s="409"/>
      <c r="J16" s="409"/>
      <c r="K16" s="409"/>
      <c r="L16" s="409"/>
    </row>
    <row r="17" spans="1:12" ht="27" customHeight="1">
      <c r="A17" s="423"/>
      <c r="B17" s="421"/>
      <c r="C17" s="424" t="s">
        <v>578</v>
      </c>
      <c r="D17" s="420"/>
      <c r="E17" s="415"/>
      <c r="F17" s="425"/>
      <c r="G17" s="422">
        <f>G16*13.615/100</f>
        <v>27.752816000000003</v>
      </c>
      <c r="H17" s="409"/>
      <c r="I17" s="409"/>
      <c r="J17" s="409"/>
      <c r="K17" s="409"/>
      <c r="L17" s="409"/>
    </row>
    <row r="18" spans="1:12" ht="13.5" customHeight="1">
      <c r="A18" s="423"/>
      <c r="B18" s="421"/>
      <c r="C18" s="424"/>
      <c r="D18" s="420"/>
      <c r="E18" s="415"/>
      <c r="F18" s="425"/>
      <c r="G18" s="422">
        <f>SUM(G16:G17)</f>
        <v>231.592816</v>
      </c>
      <c r="H18" s="409"/>
      <c r="I18" s="409"/>
      <c r="J18" s="409"/>
      <c r="K18" s="409"/>
      <c r="L18" s="409"/>
    </row>
    <row r="19" spans="1:12" ht="25.5" customHeight="1">
      <c r="A19" s="423"/>
      <c r="B19" s="421"/>
      <c r="C19" s="2217" t="s">
        <v>326</v>
      </c>
      <c r="D19" s="2217"/>
      <c r="E19" s="2217"/>
      <c r="F19" s="2217"/>
      <c r="G19" s="422"/>
      <c r="H19" s="409"/>
      <c r="I19" s="409"/>
      <c r="J19" s="409"/>
      <c r="K19" s="409"/>
      <c r="L19" s="409"/>
    </row>
    <row r="20" spans="1:12" ht="39.75" customHeight="1">
      <c r="A20" s="420" t="s">
        <v>244</v>
      </c>
      <c r="B20" s="421">
        <v>2</v>
      </c>
      <c r="C20" s="2211" t="s">
        <v>245</v>
      </c>
      <c r="D20" s="2211"/>
      <c r="E20" s="2211"/>
      <c r="F20" s="2211"/>
      <c r="G20" s="425"/>
      <c r="H20" s="409"/>
      <c r="I20" s="409"/>
      <c r="J20" s="409"/>
      <c r="K20" s="409"/>
      <c r="L20" s="409"/>
    </row>
    <row r="21" spans="1:12">
      <c r="A21" s="414"/>
      <c r="B21" s="429"/>
      <c r="C21" s="414" t="s">
        <v>246</v>
      </c>
      <c r="D21" s="415"/>
      <c r="E21" s="415"/>
      <c r="F21" s="425"/>
      <c r="G21" s="425"/>
      <c r="H21" s="409"/>
      <c r="I21" s="409"/>
      <c r="J21" s="409"/>
      <c r="K21" s="409"/>
      <c r="L21" s="409"/>
    </row>
    <row r="22" spans="1:12">
      <c r="A22" s="414"/>
      <c r="B22" s="429"/>
      <c r="C22" s="414" t="s">
        <v>569</v>
      </c>
      <c r="D22" s="415"/>
      <c r="E22" s="415"/>
      <c r="F22" s="425"/>
      <c r="G22" s="425"/>
      <c r="H22" s="409"/>
      <c r="I22" s="409"/>
      <c r="J22" s="409"/>
      <c r="K22" s="409"/>
      <c r="L22" s="409"/>
    </row>
    <row r="23" spans="1:12" ht="13">
      <c r="A23" s="414"/>
      <c r="B23" s="429"/>
      <c r="C23" s="416" t="s">
        <v>1046</v>
      </c>
      <c r="D23" s="415"/>
      <c r="E23" s="415"/>
      <c r="F23" s="425"/>
      <c r="G23" s="425"/>
      <c r="H23" s="409"/>
      <c r="I23" s="409"/>
      <c r="J23" s="409"/>
      <c r="K23" s="409"/>
      <c r="L23" s="409"/>
    </row>
    <row r="24" spans="1:12">
      <c r="A24" s="414"/>
      <c r="B24" s="429"/>
      <c r="C24" s="414" t="s">
        <v>241</v>
      </c>
      <c r="D24" s="415" t="s">
        <v>119</v>
      </c>
      <c r="E24" s="430">
        <v>0</v>
      </c>
      <c r="F24" s="425">
        <v>0</v>
      </c>
      <c r="G24" s="425">
        <f>ROUND(E24*F24,2)</f>
        <v>0</v>
      </c>
      <c r="H24" s="409"/>
      <c r="I24" s="409"/>
      <c r="J24" s="409"/>
      <c r="K24" s="409"/>
      <c r="L24" s="409"/>
    </row>
    <row r="25" spans="1:12">
      <c r="A25" s="414"/>
      <c r="B25" s="429"/>
      <c r="C25" s="414" t="s">
        <v>473</v>
      </c>
      <c r="D25" s="415" t="s">
        <v>119</v>
      </c>
      <c r="E25" s="431">
        <v>0.31</v>
      </c>
      <c r="F25" s="425">
        <f>F13</f>
        <v>400</v>
      </c>
      <c r="G25" s="425">
        <f>ROUND(E25*F25,2)</f>
        <v>124</v>
      </c>
      <c r="H25" s="409"/>
      <c r="I25" s="409"/>
      <c r="J25" s="409"/>
      <c r="K25" s="409"/>
      <c r="L25" s="409"/>
    </row>
    <row r="26" spans="1:12" ht="13.5" customHeight="1">
      <c r="A26" s="423"/>
      <c r="B26" s="421"/>
      <c r="C26" s="424" t="s">
        <v>592</v>
      </c>
      <c r="D26" s="427">
        <f>D14</f>
        <v>0.4</v>
      </c>
      <c r="E26" s="415"/>
      <c r="F26" s="425"/>
      <c r="G26" s="426">
        <f>G25*D26</f>
        <v>49.6</v>
      </c>
      <c r="H26" s="409"/>
      <c r="I26" s="409"/>
      <c r="J26" s="409"/>
      <c r="K26" s="409"/>
      <c r="L26" s="409"/>
    </row>
    <row r="27" spans="1:12">
      <c r="A27" s="414"/>
      <c r="B27" s="429"/>
      <c r="C27" s="414" t="s">
        <v>247</v>
      </c>
      <c r="D27" s="415"/>
      <c r="E27" s="430"/>
      <c r="F27" s="425"/>
      <c r="G27" s="425"/>
      <c r="H27" s="409"/>
      <c r="I27" s="409"/>
      <c r="J27" s="409"/>
      <c r="K27" s="409"/>
      <c r="L27" s="409"/>
    </row>
    <row r="28" spans="1:12">
      <c r="A28" s="414"/>
      <c r="B28" s="429"/>
      <c r="C28" s="414" t="s">
        <v>248</v>
      </c>
      <c r="D28" s="415" t="s">
        <v>117</v>
      </c>
      <c r="E28" s="430">
        <v>1</v>
      </c>
      <c r="F28" s="432">
        <v>267.58</v>
      </c>
      <c r="G28" s="425">
        <f>ROUND(E28*F28,2)</f>
        <v>267.58</v>
      </c>
      <c r="H28" s="433"/>
      <c r="I28" s="409"/>
      <c r="J28" s="409"/>
      <c r="K28" s="409"/>
      <c r="L28" s="409"/>
    </row>
    <row r="29" spans="1:12">
      <c r="A29" s="414"/>
      <c r="B29" s="429"/>
      <c r="C29" s="414" t="s">
        <v>570</v>
      </c>
      <c r="D29" s="415"/>
      <c r="E29" s="430"/>
      <c r="F29" s="425"/>
      <c r="G29" s="425">
        <f>SUM(G24:G28,0)</f>
        <v>441.17999999999995</v>
      </c>
      <c r="H29" s="433"/>
      <c r="I29" s="409"/>
      <c r="J29" s="409"/>
      <c r="K29" s="409"/>
      <c r="L29" s="409"/>
    </row>
    <row r="30" spans="1:12" ht="34.5" customHeight="1">
      <c r="A30" s="409"/>
      <c r="B30" s="428"/>
      <c r="C30" s="424" t="s">
        <v>578</v>
      </c>
      <c r="D30" s="428"/>
      <c r="E30" s="428"/>
      <c r="F30" s="434"/>
      <c r="G30" s="422">
        <f>G29*13.615/100</f>
        <v>60.066656999999992</v>
      </c>
      <c r="H30" s="409"/>
      <c r="I30" s="409"/>
      <c r="J30" s="409"/>
      <c r="K30" s="409"/>
      <c r="L30" s="409"/>
    </row>
    <row r="31" spans="1:12" ht="15" customHeight="1">
      <c r="A31" s="409"/>
      <c r="B31" s="428"/>
      <c r="C31" s="414"/>
      <c r="D31" s="428"/>
      <c r="E31" s="428"/>
      <c r="F31" s="434"/>
      <c r="G31" s="422">
        <f>SUM(G29:G30)</f>
        <v>501.24665699999991</v>
      </c>
      <c r="H31" s="409"/>
      <c r="I31" s="409"/>
      <c r="J31" s="409"/>
      <c r="K31" s="409"/>
      <c r="L31" s="409"/>
    </row>
    <row r="32" spans="1:12">
      <c r="A32" s="414" t="s">
        <v>256</v>
      </c>
      <c r="B32" s="415">
        <v>3</v>
      </c>
      <c r="C32" s="416" t="s">
        <v>97</v>
      </c>
      <c r="D32" s="416"/>
      <c r="E32" s="416"/>
      <c r="F32" s="416"/>
      <c r="G32" s="416"/>
      <c r="H32" s="409"/>
      <c r="I32" s="409"/>
      <c r="J32" s="409"/>
      <c r="K32" s="409"/>
      <c r="L32" s="409"/>
    </row>
    <row r="33" spans="1:12">
      <c r="A33" s="435" t="s">
        <v>257</v>
      </c>
      <c r="B33" s="415"/>
      <c r="C33" s="416" t="s">
        <v>250</v>
      </c>
      <c r="D33" s="416"/>
      <c r="E33" s="416"/>
      <c r="F33" s="416"/>
      <c r="G33" s="416"/>
      <c r="H33" s="409"/>
      <c r="I33" s="409"/>
      <c r="J33" s="409"/>
      <c r="K33" s="409"/>
      <c r="L33" s="409"/>
    </row>
    <row r="34" spans="1:12">
      <c r="A34" s="414"/>
      <c r="B34" s="415"/>
      <c r="C34" s="416" t="s">
        <v>24</v>
      </c>
      <c r="D34" s="416"/>
      <c r="E34" s="416"/>
      <c r="F34" s="416"/>
      <c r="G34" s="416"/>
      <c r="H34" s="409"/>
      <c r="I34" s="409"/>
      <c r="J34" s="409"/>
      <c r="K34" s="409"/>
      <c r="L34" s="409"/>
    </row>
    <row r="35" spans="1:12">
      <c r="A35" s="414"/>
      <c r="B35" s="415"/>
      <c r="C35" s="416" t="s">
        <v>218</v>
      </c>
      <c r="D35" s="416" t="s">
        <v>115</v>
      </c>
      <c r="E35" s="416">
        <v>288</v>
      </c>
      <c r="F35" s="416">
        <v>4.8</v>
      </c>
      <c r="G35" s="425">
        <f>ROUND(E35*F35,2)</f>
        <v>1382.4</v>
      </c>
      <c r="H35" s="409"/>
      <c r="I35" s="409"/>
      <c r="J35" s="409"/>
      <c r="K35" s="409"/>
      <c r="L35" s="409"/>
    </row>
    <row r="36" spans="1:12">
      <c r="A36" s="414"/>
      <c r="B36" s="415"/>
      <c r="C36" s="416" t="s">
        <v>251</v>
      </c>
      <c r="D36" s="416" t="s">
        <v>117</v>
      </c>
      <c r="E36" s="416">
        <v>1.05</v>
      </c>
      <c r="F36" s="416">
        <v>349.58</v>
      </c>
      <c r="G36" s="425">
        <f>ROUND(E36*F36,2)</f>
        <v>367.06</v>
      </c>
      <c r="H36" s="409"/>
      <c r="I36" s="409"/>
      <c r="J36" s="409"/>
      <c r="K36" s="409"/>
      <c r="L36" s="409"/>
    </row>
    <row r="37" spans="1:12">
      <c r="A37" s="414"/>
      <c r="B37" s="415"/>
      <c r="C37" s="416" t="s">
        <v>252</v>
      </c>
      <c r="D37" s="416"/>
      <c r="E37" s="416"/>
      <c r="F37" s="416"/>
      <c r="G37" s="416"/>
      <c r="H37" s="409"/>
      <c r="I37" s="409"/>
      <c r="J37" s="409"/>
      <c r="K37" s="409"/>
      <c r="L37" s="409"/>
    </row>
    <row r="38" spans="1:12">
      <c r="A38" s="414"/>
      <c r="B38" s="415"/>
      <c r="C38" s="416" t="s">
        <v>253</v>
      </c>
      <c r="D38" s="416"/>
      <c r="E38" s="416"/>
      <c r="F38" s="416"/>
      <c r="G38" s="416"/>
      <c r="H38" s="409"/>
      <c r="I38" s="409"/>
      <c r="J38" s="409"/>
      <c r="K38" s="409"/>
      <c r="L38" s="409"/>
    </row>
    <row r="39" spans="1:12">
      <c r="A39" s="414"/>
      <c r="B39" s="415"/>
      <c r="C39" s="416" t="s">
        <v>254</v>
      </c>
      <c r="D39" s="416"/>
      <c r="E39" s="416"/>
      <c r="F39" s="416"/>
      <c r="G39" s="416"/>
      <c r="H39" s="409"/>
      <c r="I39" s="409"/>
      <c r="J39" s="409"/>
      <c r="K39" s="409"/>
      <c r="L39" s="409"/>
    </row>
    <row r="40" spans="1:12">
      <c r="A40" s="414"/>
      <c r="B40" s="415"/>
      <c r="C40" s="416" t="s">
        <v>255</v>
      </c>
      <c r="D40" s="416" t="s">
        <v>119</v>
      </c>
      <c r="E40" s="416">
        <v>0.2</v>
      </c>
      <c r="F40" s="416">
        <v>400</v>
      </c>
      <c r="G40" s="425">
        <f>ROUND(E40*F40,2)</f>
        <v>80</v>
      </c>
      <c r="H40" s="409"/>
      <c r="I40" s="409"/>
      <c r="J40" s="409"/>
      <c r="K40" s="409"/>
      <c r="L40" s="409"/>
    </row>
    <row r="41" spans="1:12" ht="13.5" customHeight="1">
      <c r="A41" s="423"/>
      <c r="B41" s="421"/>
      <c r="C41" s="424" t="s">
        <v>592</v>
      </c>
      <c r="D41" s="427">
        <f>D26</f>
        <v>0.4</v>
      </c>
      <c r="E41" s="415"/>
      <c r="F41" s="425"/>
      <c r="G41" s="426">
        <f>G40*D41</f>
        <v>32</v>
      </c>
      <c r="H41" s="409"/>
      <c r="I41" s="409"/>
      <c r="J41" s="409"/>
      <c r="K41" s="409"/>
      <c r="L41" s="409"/>
    </row>
    <row r="42" spans="1:12" ht="15.5">
      <c r="A42" s="414"/>
      <c r="B42" s="415"/>
      <c r="C42" s="416" t="s">
        <v>120</v>
      </c>
      <c r="D42" s="416"/>
      <c r="E42" s="416"/>
      <c r="F42" s="416"/>
      <c r="G42" s="422">
        <f>SUM(G35:G41,0)</f>
        <v>1861.46</v>
      </c>
      <c r="H42" s="409"/>
      <c r="I42" s="409"/>
      <c r="J42" s="409"/>
      <c r="K42" s="409"/>
      <c r="L42" s="409"/>
    </row>
    <row r="43" spans="1:12">
      <c r="A43" s="414" t="s">
        <v>256</v>
      </c>
      <c r="B43" s="415">
        <v>3</v>
      </c>
      <c r="C43" s="416" t="s">
        <v>610</v>
      </c>
      <c r="D43" s="425"/>
      <c r="E43" s="425"/>
      <c r="F43" s="425"/>
      <c r="G43" s="425"/>
      <c r="H43" s="409"/>
      <c r="I43" s="409"/>
      <c r="J43" s="409"/>
      <c r="K43" s="409"/>
      <c r="L43" s="409"/>
    </row>
    <row r="44" spans="1:12">
      <c r="A44" s="435" t="s">
        <v>257</v>
      </c>
      <c r="B44" s="415"/>
      <c r="C44" s="416" t="s">
        <v>250</v>
      </c>
      <c r="D44" s="425"/>
      <c r="E44" s="425"/>
      <c r="F44" s="425"/>
      <c r="G44" s="425"/>
      <c r="H44" s="409"/>
      <c r="I44" s="409"/>
      <c r="J44" s="409"/>
      <c r="K44" s="409"/>
      <c r="L44" s="409"/>
    </row>
    <row r="45" spans="1:12">
      <c r="A45" s="414"/>
      <c r="B45" s="415"/>
      <c r="C45" s="416" t="s">
        <v>24</v>
      </c>
      <c r="D45" s="425"/>
      <c r="E45" s="425"/>
      <c r="F45" s="425"/>
      <c r="G45" s="425"/>
      <c r="H45" s="409"/>
      <c r="I45" s="409"/>
      <c r="J45" s="409"/>
      <c r="K45" s="409"/>
      <c r="L45" s="409"/>
    </row>
    <row r="46" spans="1:12">
      <c r="A46" s="414"/>
      <c r="B46" s="415"/>
      <c r="C46" s="416" t="s">
        <v>218</v>
      </c>
      <c r="D46" s="425" t="s">
        <v>115</v>
      </c>
      <c r="E46" s="425">
        <v>360</v>
      </c>
      <c r="F46" s="425">
        <f>F35</f>
        <v>4.8</v>
      </c>
      <c r="G46" s="425">
        <f>ROUND(E46*F46,2)</f>
        <v>1728</v>
      </c>
      <c r="H46" s="409"/>
      <c r="I46" s="409"/>
      <c r="J46" s="409"/>
      <c r="K46" s="409"/>
      <c r="L46" s="409"/>
    </row>
    <row r="47" spans="1:12">
      <c r="A47" s="414"/>
      <c r="B47" s="415"/>
      <c r="C47" s="416" t="s">
        <v>251</v>
      </c>
      <c r="D47" s="425" t="s">
        <v>117</v>
      </c>
      <c r="E47" s="425">
        <v>1.05</v>
      </c>
      <c r="F47" s="425">
        <f>F36</f>
        <v>349.58</v>
      </c>
      <c r="G47" s="425">
        <f>ROUND(E47*F47,2)</f>
        <v>367.06</v>
      </c>
      <c r="H47" s="409"/>
      <c r="I47" s="409"/>
      <c r="J47" s="409"/>
      <c r="K47" s="409"/>
      <c r="L47" s="409"/>
    </row>
    <row r="48" spans="1:12">
      <c r="A48" s="414"/>
      <c r="B48" s="415"/>
      <c r="C48" s="416" t="s">
        <v>252</v>
      </c>
      <c r="D48" s="425"/>
      <c r="E48" s="425"/>
      <c r="F48" s="425"/>
      <c r="G48" s="425"/>
      <c r="H48" s="409"/>
      <c r="I48" s="409"/>
      <c r="J48" s="409"/>
      <c r="K48" s="409"/>
      <c r="L48" s="409"/>
    </row>
    <row r="49" spans="1:12">
      <c r="A49" s="414"/>
      <c r="B49" s="415"/>
      <c r="C49" s="416" t="s">
        <v>253</v>
      </c>
      <c r="D49" s="425"/>
      <c r="E49" s="425"/>
      <c r="F49" s="425"/>
      <c r="G49" s="425"/>
      <c r="H49" s="409"/>
      <c r="I49" s="409"/>
      <c r="J49" s="409"/>
      <c r="K49" s="409"/>
      <c r="L49" s="409"/>
    </row>
    <row r="50" spans="1:12">
      <c r="A50" s="414"/>
      <c r="B50" s="415"/>
      <c r="C50" s="416" t="s">
        <v>254</v>
      </c>
      <c r="D50" s="425"/>
      <c r="E50" s="425"/>
      <c r="F50" s="425"/>
      <c r="G50" s="425"/>
      <c r="H50" s="409"/>
      <c r="I50" s="409"/>
      <c r="J50" s="409"/>
      <c r="K50" s="409"/>
      <c r="L50" s="409"/>
    </row>
    <row r="51" spans="1:12">
      <c r="A51" s="414"/>
      <c r="B51" s="415"/>
      <c r="C51" s="416" t="s">
        <v>255</v>
      </c>
      <c r="D51" s="425" t="s">
        <v>119</v>
      </c>
      <c r="E51" s="425">
        <v>0.2</v>
      </c>
      <c r="F51" s="425">
        <f>F40</f>
        <v>400</v>
      </c>
      <c r="G51" s="425">
        <f>ROUND(E51*F51,2)</f>
        <v>80</v>
      </c>
      <c r="H51" s="409"/>
      <c r="I51" s="409"/>
      <c r="J51" s="409"/>
      <c r="K51" s="409"/>
      <c r="L51" s="409"/>
    </row>
    <row r="52" spans="1:12">
      <c r="A52" s="423"/>
      <c r="B52" s="421"/>
      <c r="C52" s="424" t="s">
        <v>592</v>
      </c>
      <c r="D52" s="427">
        <f>D41</f>
        <v>0.4</v>
      </c>
      <c r="E52" s="415"/>
      <c r="F52" s="425"/>
      <c r="G52" s="426">
        <f>G51*D52</f>
        <v>32</v>
      </c>
      <c r="H52" s="409"/>
      <c r="I52" s="409"/>
      <c r="J52" s="409"/>
      <c r="K52" s="409"/>
      <c r="L52" s="409"/>
    </row>
    <row r="53" spans="1:12" ht="15.5">
      <c r="A53" s="414"/>
      <c r="B53" s="415"/>
      <c r="C53" s="416" t="s">
        <v>120</v>
      </c>
      <c r="D53" s="425"/>
      <c r="E53" s="425"/>
      <c r="F53" s="425"/>
      <c r="G53" s="422">
        <f>SUM(G46:G52,0)</f>
        <v>2207.06</v>
      </c>
      <c r="H53" s="409"/>
      <c r="I53" s="409"/>
      <c r="J53" s="409"/>
      <c r="K53" s="409"/>
      <c r="L53" s="409"/>
    </row>
    <row r="54" spans="1:12" ht="23.25" customHeight="1">
      <c r="A54" s="414" t="s">
        <v>249</v>
      </c>
      <c r="B54" s="415">
        <v>4</v>
      </c>
      <c r="C54" s="414" t="s">
        <v>606</v>
      </c>
      <c r="D54" s="415"/>
      <c r="E54" s="425"/>
      <c r="F54" s="425"/>
      <c r="G54" s="425"/>
      <c r="H54" s="409"/>
      <c r="I54" s="409"/>
      <c r="J54" s="409"/>
      <c r="K54" s="409"/>
      <c r="L54" s="409"/>
    </row>
    <row r="55" spans="1:12">
      <c r="A55" s="435"/>
      <c r="B55" s="415"/>
      <c r="C55" s="416" t="s">
        <v>250</v>
      </c>
      <c r="D55" s="425"/>
      <c r="E55" s="425"/>
      <c r="F55" s="425"/>
      <c r="G55" s="425"/>
      <c r="H55" s="409"/>
      <c r="I55" s="409"/>
      <c r="J55" s="409"/>
      <c r="K55" s="409"/>
      <c r="L55" s="409"/>
    </row>
    <row r="56" spans="1:12">
      <c r="A56" s="414"/>
      <c r="B56" s="415"/>
      <c r="C56" s="416" t="s">
        <v>24</v>
      </c>
      <c r="D56" s="425"/>
      <c r="E56" s="425"/>
      <c r="F56" s="425"/>
      <c r="G56" s="425"/>
      <c r="H56" s="409"/>
      <c r="I56" s="409"/>
      <c r="J56" s="409"/>
      <c r="K56" s="409"/>
      <c r="L56" s="409"/>
    </row>
    <row r="57" spans="1:12">
      <c r="A57" s="414"/>
      <c r="B57" s="415"/>
      <c r="C57" s="416" t="s">
        <v>218</v>
      </c>
      <c r="D57" s="425" t="s">
        <v>115</v>
      </c>
      <c r="E57" s="425">
        <v>480</v>
      </c>
      <c r="F57" s="425">
        <v>4.8</v>
      </c>
      <c r="G57" s="425">
        <f>ROUND(E57*F57,2)</f>
        <v>2304</v>
      </c>
      <c r="H57" s="436"/>
      <c r="I57" s="409"/>
      <c r="J57" s="409"/>
      <c r="K57" s="409"/>
      <c r="L57" s="409"/>
    </row>
    <row r="58" spans="1:12">
      <c r="A58" s="414"/>
      <c r="B58" s="415"/>
      <c r="C58" s="416" t="s">
        <v>251</v>
      </c>
      <c r="D58" s="425" t="s">
        <v>117</v>
      </c>
      <c r="E58" s="425">
        <v>1.05</v>
      </c>
      <c r="F58" s="425">
        <f>F36</f>
        <v>349.58</v>
      </c>
      <c r="G58" s="425">
        <f>ROUND(E58*F58,2)</f>
        <v>367.06</v>
      </c>
      <c r="H58" s="436"/>
      <c r="I58" s="409"/>
      <c r="J58" s="409"/>
      <c r="K58" s="409"/>
      <c r="L58" s="409"/>
    </row>
    <row r="59" spans="1:12">
      <c r="A59" s="414"/>
      <c r="B59" s="415"/>
      <c r="C59" s="416" t="s">
        <v>252</v>
      </c>
      <c r="D59" s="425"/>
      <c r="E59" s="425"/>
      <c r="F59" s="425"/>
      <c r="G59" s="425"/>
      <c r="H59" s="436"/>
      <c r="I59" s="409"/>
      <c r="J59" s="409"/>
      <c r="K59" s="409"/>
      <c r="L59" s="409"/>
    </row>
    <row r="60" spans="1:12">
      <c r="A60" s="414"/>
      <c r="B60" s="415"/>
      <c r="C60" s="416" t="s">
        <v>253</v>
      </c>
      <c r="D60" s="425"/>
      <c r="E60" s="425"/>
      <c r="F60" s="425"/>
      <c r="G60" s="425"/>
      <c r="H60" s="436"/>
      <c r="I60" s="409"/>
      <c r="J60" s="409"/>
      <c r="K60" s="409"/>
      <c r="L60" s="409"/>
    </row>
    <row r="61" spans="1:12">
      <c r="A61" s="414"/>
      <c r="B61" s="415"/>
      <c r="C61" s="416" t="s">
        <v>254</v>
      </c>
      <c r="D61" s="425"/>
      <c r="E61" s="425"/>
      <c r="F61" s="425"/>
      <c r="G61" s="425"/>
      <c r="H61" s="436"/>
      <c r="I61" s="409"/>
      <c r="J61" s="409"/>
      <c r="K61" s="409"/>
      <c r="L61" s="409"/>
    </row>
    <row r="62" spans="1:12">
      <c r="A62" s="414"/>
      <c r="B62" s="415"/>
      <c r="C62" s="416" t="s">
        <v>255</v>
      </c>
      <c r="D62" s="425" t="s">
        <v>119</v>
      </c>
      <c r="E62" s="425">
        <v>0.2</v>
      </c>
      <c r="F62" s="425">
        <f>F25</f>
        <v>400</v>
      </c>
      <c r="G62" s="425">
        <f>ROUND(E62*F62,2)</f>
        <v>80</v>
      </c>
      <c r="H62" s="436"/>
      <c r="I62" s="409"/>
      <c r="J62" s="409"/>
      <c r="K62" s="409"/>
      <c r="L62" s="409"/>
    </row>
    <row r="63" spans="1:12" ht="13.5" customHeight="1">
      <c r="A63" s="423"/>
      <c r="B63" s="421"/>
      <c r="C63" s="424" t="s">
        <v>592</v>
      </c>
      <c r="D63" s="427">
        <f>D41</f>
        <v>0.4</v>
      </c>
      <c r="E63" s="415"/>
      <c r="F63" s="425"/>
      <c r="G63" s="426">
        <f>G62*D63</f>
        <v>32</v>
      </c>
      <c r="H63" s="409"/>
      <c r="I63" s="409"/>
      <c r="J63" s="409"/>
      <c r="K63" s="409"/>
      <c r="L63" s="409"/>
    </row>
    <row r="64" spans="1:12" ht="15.5">
      <c r="A64" s="414"/>
      <c r="B64" s="415"/>
      <c r="C64" s="416" t="s">
        <v>120</v>
      </c>
      <c r="D64" s="416"/>
      <c r="E64" s="416"/>
      <c r="F64" s="416"/>
      <c r="G64" s="422">
        <f>SUM(G57:G63,0)</f>
        <v>2783.06</v>
      </c>
      <c r="H64" s="409"/>
      <c r="I64" s="409"/>
      <c r="J64" s="409"/>
      <c r="K64" s="409"/>
      <c r="L64" s="409"/>
    </row>
    <row r="65" spans="1:12" s="439" customFormat="1">
      <c r="A65" s="414" t="s">
        <v>256</v>
      </c>
      <c r="B65" s="411">
        <v>6</v>
      </c>
      <c r="C65" s="437" t="s">
        <v>209</v>
      </c>
      <c r="D65" s="438"/>
      <c r="E65" s="438"/>
      <c r="F65" s="411"/>
      <c r="G65" s="438"/>
      <c r="H65" s="411"/>
      <c r="I65" s="411"/>
      <c r="J65" s="411"/>
      <c r="K65" s="411"/>
      <c r="L65" s="411"/>
    </row>
    <row r="66" spans="1:12">
      <c r="A66" s="435" t="s">
        <v>472</v>
      </c>
      <c r="B66" s="415"/>
      <c r="C66" s="416" t="s">
        <v>250</v>
      </c>
      <c r="D66" s="425"/>
      <c r="E66" s="425"/>
      <c r="F66" s="425"/>
      <c r="G66" s="425"/>
      <c r="H66" s="409"/>
      <c r="I66" s="409"/>
      <c r="J66" s="409"/>
      <c r="K66" s="409"/>
      <c r="L66" s="409"/>
    </row>
    <row r="67" spans="1:12">
      <c r="A67" s="414"/>
      <c r="B67" s="415"/>
      <c r="C67" s="416" t="s">
        <v>24</v>
      </c>
      <c r="D67" s="425"/>
      <c r="E67" s="425"/>
      <c r="F67" s="425"/>
      <c r="G67" s="425"/>
      <c r="H67" s="409"/>
      <c r="I67" s="409"/>
      <c r="J67" s="409"/>
      <c r="K67" s="409"/>
      <c r="L67" s="409"/>
    </row>
    <row r="68" spans="1:12">
      <c r="A68" s="414"/>
      <c r="B68" s="415"/>
      <c r="C68" s="416" t="s">
        <v>218</v>
      </c>
      <c r="D68" s="425" t="s">
        <v>115</v>
      </c>
      <c r="E68" s="425">
        <v>240</v>
      </c>
      <c r="F68" s="425">
        <f>F57</f>
        <v>4.8</v>
      </c>
      <c r="G68" s="425">
        <f>ROUND(E68*F68,2)</f>
        <v>1152</v>
      </c>
      <c r="H68" s="409"/>
      <c r="I68" s="409"/>
      <c r="J68" s="409"/>
      <c r="K68" s="409"/>
      <c r="L68" s="409"/>
    </row>
    <row r="69" spans="1:12">
      <c r="A69" s="414"/>
      <c r="B69" s="415"/>
      <c r="C69" s="416" t="s">
        <v>251</v>
      </c>
      <c r="D69" s="425" t="s">
        <v>117</v>
      </c>
      <c r="E69" s="425">
        <v>1.05</v>
      </c>
      <c r="F69" s="425">
        <f>F58</f>
        <v>349.58</v>
      </c>
      <c r="G69" s="425">
        <f>ROUND(E69*F69,2)</f>
        <v>367.06</v>
      </c>
      <c r="H69" s="409"/>
      <c r="I69" s="409"/>
      <c r="J69" s="409"/>
      <c r="K69" s="409"/>
      <c r="L69" s="409"/>
    </row>
    <row r="70" spans="1:12">
      <c r="A70" s="414"/>
      <c r="B70" s="415"/>
      <c r="C70" s="416" t="s">
        <v>252</v>
      </c>
      <c r="D70" s="425"/>
      <c r="E70" s="425"/>
      <c r="F70" s="425"/>
      <c r="G70" s="425"/>
      <c r="H70" s="409"/>
      <c r="I70" s="409"/>
      <c r="J70" s="409"/>
      <c r="K70" s="409"/>
      <c r="L70" s="409"/>
    </row>
    <row r="71" spans="1:12">
      <c r="A71" s="414"/>
      <c r="B71" s="415"/>
      <c r="C71" s="416" t="s">
        <v>253</v>
      </c>
      <c r="D71" s="425"/>
      <c r="E71" s="425"/>
      <c r="F71" s="425"/>
      <c r="G71" s="425"/>
      <c r="H71" s="409"/>
      <c r="I71" s="409"/>
      <c r="J71" s="409"/>
      <c r="K71" s="409"/>
      <c r="L71" s="409"/>
    </row>
    <row r="72" spans="1:12">
      <c r="A72" s="414"/>
      <c r="B72" s="415"/>
      <c r="C72" s="416" t="s">
        <v>254</v>
      </c>
      <c r="D72" s="425"/>
      <c r="E72" s="425"/>
      <c r="F72" s="425"/>
      <c r="G72" s="425"/>
      <c r="H72" s="409"/>
      <c r="I72" s="409"/>
      <c r="J72" s="409"/>
      <c r="K72" s="409"/>
      <c r="L72" s="409"/>
    </row>
    <row r="73" spans="1:12">
      <c r="A73" s="414"/>
      <c r="B73" s="415"/>
      <c r="C73" s="416" t="s">
        <v>255</v>
      </c>
      <c r="D73" s="425" t="s">
        <v>119</v>
      </c>
      <c r="E73" s="425">
        <v>0.2</v>
      </c>
      <c r="F73" s="425">
        <f>F62</f>
        <v>400</v>
      </c>
      <c r="G73" s="425">
        <f>ROUND(E73*F73,2)</f>
        <v>80</v>
      </c>
      <c r="H73" s="409"/>
      <c r="I73" s="409"/>
      <c r="J73" s="409"/>
      <c r="K73" s="409"/>
      <c r="L73" s="409"/>
    </row>
    <row r="74" spans="1:12" ht="13.5" customHeight="1">
      <c r="A74" s="423"/>
      <c r="B74" s="421"/>
      <c r="C74" s="424" t="s">
        <v>592</v>
      </c>
      <c r="D74" s="427">
        <f>D63</f>
        <v>0.4</v>
      </c>
      <c r="E74" s="415"/>
      <c r="F74" s="425"/>
      <c r="G74" s="426">
        <f>G73*D74</f>
        <v>32</v>
      </c>
      <c r="H74" s="409"/>
      <c r="I74" s="409"/>
      <c r="J74" s="409"/>
      <c r="K74" s="409"/>
      <c r="L74" s="409"/>
    </row>
    <row r="75" spans="1:12" ht="15.5">
      <c r="A75" s="414"/>
      <c r="B75" s="415"/>
      <c r="C75" s="416" t="s">
        <v>120</v>
      </c>
      <c r="D75" s="416"/>
      <c r="E75" s="416"/>
      <c r="F75" s="416"/>
      <c r="G75" s="422">
        <f>SUM(G68:G74,0)</f>
        <v>1631.06</v>
      </c>
      <c r="H75" s="409"/>
      <c r="I75" s="409"/>
      <c r="J75" s="409"/>
      <c r="K75" s="409"/>
      <c r="L75" s="409"/>
    </row>
    <row r="76" spans="1:12">
      <c r="A76" s="414" t="s">
        <v>256</v>
      </c>
      <c r="B76" s="415">
        <v>7</v>
      </c>
      <c r="C76" s="416" t="s">
        <v>258</v>
      </c>
      <c r="D76" s="425"/>
      <c r="E76" s="425"/>
      <c r="F76" s="425"/>
      <c r="G76" s="425"/>
      <c r="H76" s="409"/>
      <c r="I76" s="409"/>
      <c r="J76" s="409"/>
      <c r="K76" s="409"/>
      <c r="L76" s="409"/>
    </row>
    <row r="77" spans="1:12">
      <c r="A77" s="435" t="s">
        <v>259</v>
      </c>
      <c r="B77" s="415"/>
      <c r="C77" s="416" t="s">
        <v>250</v>
      </c>
      <c r="D77" s="425"/>
      <c r="E77" s="425"/>
      <c r="F77" s="425"/>
      <c r="G77" s="425"/>
      <c r="H77" s="409"/>
      <c r="I77" s="409"/>
      <c r="J77" s="409"/>
      <c r="K77" s="409"/>
      <c r="L77" s="409"/>
    </row>
    <row r="78" spans="1:12">
      <c r="A78" s="414"/>
      <c r="B78" s="415"/>
      <c r="C78" s="416" t="s">
        <v>24</v>
      </c>
      <c r="D78" s="425"/>
      <c r="E78" s="425"/>
      <c r="F78" s="425"/>
      <c r="G78" s="425"/>
      <c r="H78" s="409"/>
      <c r="I78" s="409"/>
      <c r="J78" s="409"/>
      <c r="K78" s="409"/>
      <c r="L78" s="409"/>
    </row>
    <row r="79" spans="1:12">
      <c r="A79" s="414"/>
      <c r="B79" s="415"/>
      <c r="C79" s="416" t="s">
        <v>218</v>
      </c>
      <c r="D79" s="425" t="s">
        <v>115</v>
      </c>
      <c r="E79" s="425">
        <v>180</v>
      </c>
      <c r="F79" s="425">
        <f>F68</f>
        <v>4.8</v>
      </c>
      <c r="G79" s="425">
        <f>ROUND(E79*F79,2)</f>
        <v>864</v>
      </c>
      <c r="H79" s="409"/>
      <c r="I79" s="409"/>
      <c r="J79" s="409"/>
      <c r="K79" s="409"/>
      <c r="L79" s="409"/>
    </row>
    <row r="80" spans="1:12">
      <c r="A80" s="414"/>
      <c r="B80" s="415"/>
      <c r="C80" s="416" t="s">
        <v>251</v>
      </c>
      <c r="D80" s="425" t="s">
        <v>117</v>
      </c>
      <c r="E80" s="425">
        <v>1.05</v>
      </c>
      <c r="F80" s="425">
        <f>F69</f>
        <v>349.58</v>
      </c>
      <c r="G80" s="425">
        <f>ROUND(E80*F80,2)</f>
        <v>367.06</v>
      </c>
      <c r="H80" s="409"/>
      <c r="I80" s="409"/>
      <c r="J80" s="409"/>
      <c r="K80" s="409"/>
      <c r="L80" s="409"/>
    </row>
    <row r="81" spans="1:12">
      <c r="A81" s="414"/>
      <c r="B81" s="415"/>
      <c r="C81" s="416" t="s">
        <v>252</v>
      </c>
      <c r="D81" s="425"/>
      <c r="E81" s="425"/>
      <c r="F81" s="425"/>
      <c r="G81" s="425"/>
      <c r="H81" s="409"/>
      <c r="I81" s="409"/>
      <c r="J81" s="409"/>
      <c r="K81" s="409"/>
      <c r="L81" s="409"/>
    </row>
    <row r="82" spans="1:12">
      <c r="A82" s="414"/>
      <c r="B82" s="415"/>
      <c r="C82" s="416" t="s">
        <v>253</v>
      </c>
      <c r="D82" s="425"/>
      <c r="E82" s="425"/>
      <c r="F82" s="425"/>
      <c r="G82" s="425"/>
      <c r="H82" s="409"/>
      <c r="I82" s="409"/>
      <c r="J82" s="409"/>
      <c r="K82" s="409"/>
      <c r="L82" s="409"/>
    </row>
    <row r="83" spans="1:12">
      <c r="A83" s="414"/>
      <c r="B83" s="415"/>
      <c r="C83" s="416" t="s">
        <v>254</v>
      </c>
      <c r="D83" s="425"/>
      <c r="E83" s="425"/>
      <c r="F83" s="425"/>
      <c r="G83" s="425"/>
      <c r="H83" s="409"/>
      <c r="I83" s="409"/>
      <c r="J83" s="409"/>
      <c r="K83" s="409"/>
      <c r="L83" s="409"/>
    </row>
    <row r="84" spans="1:12">
      <c r="A84" s="414"/>
      <c r="B84" s="415"/>
      <c r="C84" s="416" t="s">
        <v>255</v>
      </c>
      <c r="D84" s="425" t="s">
        <v>119</v>
      </c>
      <c r="E84" s="425">
        <v>0.2</v>
      </c>
      <c r="F84" s="425">
        <f>F73</f>
        <v>400</v>
      </c>
      <c r="G84" s="425">
        <f>ROUND(E84*F84,2)</f>
        <v>80</v>
      </c>
      <c r="H84" s="409"/>
      <c r="I84" s="409"/>
      <c r="J84" s="409"/>
      <c r="K84" s="409"/>
      <c r="L84" s="409"/>
    </row>
    <row r="85" spans="1:12" ht="13.5" customHeight="1">
      <c r="A85" s="423"/>
      <c r="B85" s="421"/>
      <c r="C85" s="424" t="s">
        <v>592</v>
      </c>
      <c r="D85" s="427">
        <f>D74</f>
        <v>0.4</v>
      </c>
      <c r="E85" s="415"/>
      <c r="F85" s="425"/>
      <c r="G85" s="426">
        <f>G84*D85</f>
        <v>32</v>
      </c>
      <c r="H85" s="409"/>
      <c r="I85" s="409"/>
      <c r="J85" s="409"/>
      <c r="K85" s="409"/>
      <c r="L85" s="409"/>
    </row>
    <row r="86" spans="1:12" ht="15.5">
      <c r="A86" s="414"/>
      <c r="B86" s="415"/>
      <c r="C86" s="416" t="s">
        <v>120</v>
      </c>
      <c r="D86" s="416"/>
      <c r="E86" s="416"/>
      <c r="F86" s="416"/>
      <c r="G86" s="422">
        <f>SUM(G79:G85,0)</f>
        <v>1343.06</v>
      </c>
      <c r="H86" s="409"/>
      <c r="I86" s="409"/>
      <c r="J86" s="409"/>
      <c r="K86" s="409"/>
      <c r="L86" s="409"/>
    </row>
    <row r="87" spans="1:12" ht="103.5" hidden="1" customHeight="1">
      <c r="A87" s="435" t="s">
        <v>270</v>
      </c>
      <c r="B87" s="421">
        <v>7</v>
      </c>
      <c r="C87" s="2216" t="s">
        <v>0</v>
      </c>
      <c r="D87" s="2216"/>
      <c r="E87" s="2216"/>
      <c r="F87" s="2216"/>
      <c r="G87" s="425"/>
      <c r="H87" s="409"/>
      <c r="I87" s="409"/>
      <c r="J87" s="409"/>
      <c r="K87" s="409"/>
      <c r="L87" s="409"/>
    </row>
    <row r="88" spans="1:12" hidden="1">
      <c r="A88" s="409"/>
      <c r="B88" s="428"/>
      <c r="C88" s="440" t="s">
        <v>261</v>
      </c>
      <c r="D88" s="426"/>
      <c r="E88" s="425"/>
      <c r="F88" s="425"/>
      <c r="G88" s="425"/>
      <c r="H88" s="409"/>
      <c r="I88" s="409"/>
      <c r="J88" s="409"/>
      <c r="K88" s="409"/>
      <c r="L88" s="409"/>
    </row>
    <row r="89" spans="1:12" hidden="1">
      <c r="A89" s="409"/>
      <c r="B89" s="428"/>
      <c r="C89" s="440" t="s">
        <v>24</v>
      </c>
      <c r="D89" s="426"/>
      <c r="E89" s="425"/>
      <c r="F89" s="425"/>
      <c r="G89" s="425"/>
      <c r="H89" s="409"/>
      <c r="I89" s="409"/>
      <c r="J89" s="409"/>
      <c r="K89" s="409"/>
      <c r="L89" s="409"/>
    </row>
    <row r="90" spans="1:12" hidden="1">
      <c r="A90" s="409"/>
      <c r="B90" s="428"/>
      <c r="C90" s="440" t="s">
        <v>218</v>
      </c>
      <c r="D90" s="426" t="s">
        <v>131</v>
      </c>
      <c r="E90" s="425">
        <v>129.6</v>
      </c>
      <c r="F90" s="425">
        <v>4.8</v>
      </c>
      <c r="G90" s="425">
        <f>ROUND(E90*F90,2)</f>
        <v>622.08000000000004</v>
      </c>
      <c r="H90" s="409"/>
      <c r="I90" s="409"/>
      <c r="J90" s="409"/>
      <c r="K90" s="409"/>
      <c r="L90" s="409"/>
    </row>
    <row r="91" spans="1:12" hidden="1">
      <c r="A91" s="409"/>
      <c r="B91" s="428"/>
      <c r="C91" s="440" t="s">
        <v>262</v>
      </c>
      <c r="D91" s="426" t="s">
        <v>117</v>
      </c>
      <c r="E91" s="425">
        <v>0.9</v>
      </c>
      <c r="F91" s="425">
        <v>1236.6400000000001</v>
      </c>
      <c r="G91" s="425">
        <f>ROUND(E91*F91,2)</f>
        <v>1112.98</v>
      </c>
      <c r="H91" s="409"/>
      <c r="I91" s="409"/>
      <c r="J91" s="409"/>
      <c r="K91" s="409"/>
      <c r="L91" s="409"/>
    </row>
    <row r="92" spans="1:12" hidden="1">
      <c r="A92" s="409"/>
      <c r="B92" s="428"/>
      <c r="C92" s="440" t="s">
        <v>263</v>
      </c>
      <c r="D92" s="426" t="s">
        <v>117</v>
      </c>
      <c r="E92" s="425">
        <v>0.45</v>
      </c>
      <c r="F92" s="425">
        <v>267.58</v>
      </c>
      <c r="G92" s="425">
        <f>ROUND(E92*F92,2)</f>
        <v>120.41</v>
      </c>
      <c r="H92" s="409"/>
      <c r="I92" s="409"/>
      <c r="J92" s="409"/>
      <c r="K92" s="409"/>
      <c r="L92" s="409"/>
    </row>
    <row r="93" spans="1:12" hidden="1">
      <c r="A93" s="409"/>
      <c r="B93" s="428"/>
      <c r="C93" s="440"/>
      <c r="D93" s="426"/>
      <c r="E93" s="425"/>
      <c r="F93" s="425"/>
      <c r="G93" s="425"/>
      <c r="H93" s="409"/>
      <c r="I93" s="409"/>
      <c r="J93" s="409"/>
      <c r="K93" s="409"/>
      <c r="L93" s="409"/>
    </row>
    <row r="94" spans="1:12" hidden="1">
      <c r="A94" s="409"/>
      <c r="B94" s="428"/>
      <c r="C94" s="440"/>
      <c r="D94" s="426"/>
      <c r="E94" s="425"/>
      <c r="F94" s="425"/>
      <c r="G94" s="425"/>
      <c r="H94" s="409"/>
      <c r="I94" s="409"/>
      <c r="J94" s="409"/>
      <c r="K94" s="409"/>
      <c r="L94" s="409"/>
    </row>
    <row r="95" spans="1:12" hidden="1">
      <c r="A95" s="409"/>
      <c r="B95" s="428"/>
      <c r="C95" s="440" t="s">
        <v>264</v>
      </c>
      <c r="D95" s="426" t="s">
        <v>265</v>
      </c>
      <c r="E95" s="425">
        <v>1.2</v>
      </c>
      <c r="F95" s="425">
        <v>77</v>
      </c>
      <c r="G95" s="425"/>
      <c r="H95" s="409"/>
      <c r="I95" s="409"/>
      <c r="J95" s="409"/>
      <c r="K95" s="409"/>
      <c r="L95" s="409"/>
    </row>
    <row r="96" spans="1:12" hidden="1">
      <c r="A96" s="409"/>
      <c r="B96" s="428"/>
      <c r="C96" s="440" t="s">
        <v>252</v>
      </c>
      <c r="D96" s="426"/>
      <c r="E96" s="425"/>
      <c r="F96" s="425"/>
      <c r="G96" s="425"/>
      <c r="H96" s="409"/>
      <c r="I96" s="409"/>
      <c r="J96" s="409"/>
      <c r="K96" s="409"/>
      <c r="L96" s="409"/>
    </row>
    <row r="97" spans="1:12" ht="25" hidden="1">
      <c r="A97" s="409"/>
      <c r="B97" s="428"/>
      <c r="C97" s="440" t="s">
        <v>266</v>
      </c>
      <c r="D97" s="426" t="s">
        <v>267</v>
      </c>
      <c r="E97" s="425">
        <v>1</v>
      </c>
      <c r="F97" s="425">
        <v>525.5</v>
      </c>
      <c r="G97" s="425">
        <f>ROUND(E97*F97,2)</f>
        <v>525.5</v>
      </c>
      <c r="H97" s="409"/>
      <c r="I97" s="409"/>
      <c r="J97" s="409"/>
      <c r="K97" s="409"/>
      <c r="L97" s="409"/>
    </row>
    <row r="98" spans="1:12" hidden="1">
      <c r="A98" s="409"/>
      <c r="B98" s="428"/>
      <c r="C98" s="440" t="s">
        <v>254</v>
      </c>
      <c r="D98" s="426"/>
      <c r="E98" s="425"/>
      <c r="F98" s="425"/>
      <c r="G98" s="425"/>
      <c r="H98" s="409"/>
      <c r="I98" s="409"/>
      <c r="J98" s="409"/>
      <c r="K98" s="409"/>
      <c r="L98" s="409"/>
    </row>
    <row r="99" spans="1:12" ht="14.5" hidden="1">
      <c r="A99" s="409"/>
      <c r="B99" s="428"/>
      <c r="C99" s="440" t="s">
        <v>1047</v>
      </c>
      <c r="D99" s="426" t="s">
        <v>119</v>
      </c>
      <c r="E99" s="425">
        <v>0.1</v>
      </c>
      <c r="F99" s="425">
        <v>490</v>
      </c>
      <c r="G99" s="425">
        <f>ROUND(E99*F99,2)</f>
        <v>49</v>
      </c>
      <c r="H99" s="409"/>
      <c r="I99" s="409"/>
      <c r="J99" s="409"/>
      <c r="K99" s="409"/>
      <c r="L99" s="409"/>
    </row>
    <row r="100" spans="1:12" hidden="1">
      <c r="A100" s="409"/>
      <c r="B100" s="428"/>
      <c r="C100" s="440" t="s">
        <v>268</v>
      </c>
      <c r="D100" s="426" t="s">
        <v>119</v>
      </c>
      <c r="E100" s="425">
        <v>1.39</v>
      </c>
      <c r="F100" s="425">
        <v>400</v>
      </c>
      <c r="G100" s="425">
        <f>ROUND(E100*F100,2)</f>
        <v>556</v>
      </c>
      <c r="H100" s="409"/>
      <c r="I100" s="409"/>
      <c r="J100" s="409"/>
      <c r="K100" s="409"/>
      <c r="L100" s="409"/>
    </row>
    <row r="101" spans="1:12" hidden="1">
      <c r="A101" s="409"/>
      <c r="B101" s="428"/>
      <c r="C101" s="409"/>
      <c r="D101" s="441">
        <f>D85</f>
        <v>0.4</v>
      </c>
      <c r="E101" s="428"/>
      <c r="F101" s="428"/>
      <c r="G101" s="442">
        <f>D101*SUM(G99:G100)</f>
        <v>242</v>
      </c>
      <c r="H101" s="409"/>
      <c r="I101" s="409"/>
      <c r="J101" s="409"/>
      <c r="K101" s="409"/>
      <c r="L101" s="409"/>
    </row>
    <row r="102" spans="1:12" ht="15.5" hidden="1">
      <c r="A102" s="409"/>
      <c r="B102" s="428"/>
      <c r="C102" s="409"/>
      <c r="D102" s="426"/>
      <c r="E102" s="425"/>
      <c r="F102" s="425"/>
      <c r="G102" s="422">
        <f>SUM(G90:G101)</f>
        <v>3227.9700000000003</v>
      </c>
      <c r="H102" s="409"/>
      <c r="I102" s="409"/>
      <c r="J102" s="409"/>
      <c r="K102" s="409"/>
      <c r="L102" s="409"/>
    </row>
    <row r="103" spans="1:12" ht="26" hidden="1">
      <c r="A103" s="409"/>
      <c r="B103" s="428"/>
      <c r="C103" s="424" t="s">
        <v>578</v>
      </c>
      <c r="D103" s="438"/>
      <c r="E103" s="438"/>
      <c r="F103" s="411"/>
      <c r="G103" s="422">
        <f>G102*13.615/100</f>
        <v>439.48811550000005</v>
      </c>
      <c r="H103" s="409"/>
      <c r="I103" s="409"/>
      <c r="J103" s="409"/>
      <c r="K103" s="409"/>
      <c r="L103" s="409"/>
    </row>
    <row r="104" spans="1:12" ht="15.5" hidden="1">
      <c r="A104" s="409"/>
      <c r="B104" s="428"/>
      <c r="C104" s="424" t="s">
        <v>269</v>
      </c>
      <c r="D104" s="438"/>
      <c r="E104" s="438"/>
      <c r="F104" s="411"/>
      <c r="G104" s="422">
        <f>SUM(G102:G103)</f>
        <v>3667.4581155000005</v>
      </c>
      <c r="H104" s="409"/>
      <c r="I104" s="409"/>
      <c r="J104" s="409"/>
      <c r="K104" s="409"/>
      <c r="L104" s="409"/>
    </row>
    <row r="105" spans="1:12" hidden="1">
      <c r="A105" s="409"/>
      <c r="B105" s="428"/>
      <c r="C105" s="409"/>
      <c r="D105" s="428"/>
      <c r="E105" s="428"/>
      <c r="F105" s="434"/>
      <c r="G105" s="434"/>
      <c r="H105" s="409"/>
      <c r="I105" s="409"/>
      <c r="J105" s="409"/>
      <c r="K105" s="409"/>
      <c r="L105" s="409"/>
    </row>
    <row r="106" spans="1:12" ht="100.5" hidden="1" customHeight="1">
      <c r="A106" s="411" t="s">
        <v>337</v>
      </c>
      <c r="B106" s="411">
        <v>8</v>
      </c>
      <c r="C106" s="2216" t="s">
        <v>1</v>
      </c>
      <c r="D106" s="2216"/>
      <c r="E106" s="2216"/>
      <c r="F106" s="2216"/>
      <c r="G106" s="438"/>
      <c r="H106" s="409"/>
      <c r="I106" s="409"/>
      <c r="J106" s="409"/>
      <c r="K106" s="409"/>
      <c r="L106" s="409"/>
    </row>
    <row r="107" spans="1:12" hidden="1">
      <c r="A107" s="409"/>
      <c r="B107" s="428"/>
      <c r="C107" s="437" t="s">
        <v>213</v>
      </c>
      <c r="D107" s="411" t="s">
        <v>207</v>
      </c>
      <c r="E107" s="438">
        <v>129.6</v>
      </c>
      <c r="F107" s="438">
        <v>4.8</v>
      </c>
      <c r="G107" s="425">
        <f>E107*F107</f>
        <v>622.07999999999993</v>
      </c>
      <c r="H107" s="409"/>
      <c r="I107" s="409"/>
      <c r="J107" s="409"/>
      <c r="K107" s="409"/>
      <c r="L107" s="409"/>
    </row>
    <row r="108" spans="1:12" hidden="1">
      <c r="A108" s="409"/>
      <c r="B108" s="428"/>
      <c r="C108" s="437" t="s">
        <v>211</v>
      </c>
      <c r="D108" s="411" t="s">
        <v>181</v>
      </c>
      <c r="E108" s="438">
        <v>0.9</v>
      </c>
      <c r="F108" s="438">
        <v>1236.6400000000001</v>
      </c>
      <c r="G108" s="425">
        <f>E108*F108</f>
        <v>1112.9760000000001</v>
      </c>
      <c r="H108" s="409"/>
      <c r="I108" s="409"/>
      <c r="J108" s="409"/>
      <c r="K108" s="409"/>
      <c r="L108" s="409"/>
    </row>
    <row r="109" spans="1:12" hidden="1">
      <c r="A109" s="409"/>
      <c r="B109" s="428"/>
      <c r="C109" s="437" t="s">
        <v>212</v>
      </c>
      <c r="D109" s="411" t="s">
        <v>181</v>
      </c>
      <c r="E109" s="438">
        <v>0.54</v>
      </c>
      <c r="F109" s="438">
        <v>267.58</v>
      </c>
      <c r="G109" s="425">
        <f>E109*F109</f>
        <v>144.4932</v>
      </c>
      <c r="H109" s="409"/>
      <c r="I109" s="409"/>
      <c r="J109" s="409"/>
      <c r="K109" s="409"/>
      <c r="L109" s="409"/>
    </row>
    <row r="110" spans="1:12" hidden="1">
      <c r="A110" s="409"/>
      <c r="B110" s="428"/>
      <c r="C110" s="437" t="s">
        <v>216</v>
      </c>
      <c r="D110" s="411" t="s">
        <v>215</v>
      </c>
      <c r="E110" s="438">
        <v>1.2</v>
      </c>
      <c r="F110" s="438">
        <v>77</v>
      </c>
      <c r="G110" s="425"/>
      <c r="H110" s="409"/>
      <c r="I110" s="409"/>
      <c r="J110" s="409"/>
      <c r="K110" s="409"/>
      <c r="L110" s="409"/>
    </row>
    <row r="111" spans="1:12" hidden="1">
      <c r="A111" s="409"/>
      <c r="B111" s="428"/>
      <c r="C111" s="440" t="s">
        <v>474</v>
      </c>
      <c r="D111" s="426"/>
      <c r="E111" s="443"/>
      <c r="F111" s="425"/>
      <c r="G111" s="425"/>
      <c r="H111" s="409"/>
      <c r="I111" s="409"/>
      <c r="J111" s="409"/>
      <c r="K111" s="409"/>
      <c r="L111" s="409"/>
    </row>
    <row r="112" spans="1:12" hidden="1">
      <c r="A112" s="409"/>
      <c r="B112" s="428"/>
      <c r="C112" s="437" t="s">
        <v>214</v>
      </c>
      <c r="D112" s="411" t="s">
        <v>228</v>
      </c>
      <c r="E112" s="438">
        <v>1</v>
      </c>
      <c r="F112" s="438">
        <v>525.5</v>
      </c>
      <c r="G112" s="425">
        <f>E112*F112</f>
        <v>525.5</v>
      </c>
      <c r="H112" s="409"/>
      <c r="I112" s="409"/>
      <c r="J112" s="409"/>
      <c r="K112" s="409"/>
      <c r="L112" s="409"/>
    </row>
    <row r="113" spans="1:12" hidden="1">
      <c r="A113" s="409"/>
      <c r="B113" s="428"/>
      <c r="C113" s="440" t="s">
        <v>278</v>
      </c>
      <c r="D113" s="426"/>
      <c r="E113" s="443"/>
      <c r="F113" s="425"/>
      <c r="G113" s="425"/>
      <c r="H113" s="409"/>
      <c r="I113" s="409"/>
      <c r="J113" s="409"/>
      <c r="K113" s="409"/>
      <c r="L113" s="409"/>
    </row>
    <row r="114" spans="1:12" hidden="1">
      <c r="A114" s="409"/>
      <c r="B114" s="428"/>
      <c r="C114" s="440" t="s">
        <v>279</v>
      </c>
      <c r="D114" s="426" t="s">
        <v>119</v>
      </c>
      <c r="E114" s="443">
        <v>0.1</v>
      </c>
      <c r="F114" s="425">
        <v>490</v>
      </c>
      <c r="G114" s="425">
        <f>E114*F114</f>
        <v>49</v>
      </c>
      <c r="H114" s="409"/>
      <c r="I114" s="409"/>
      <c r="J114" s="409"/>
      <c r="K114" s="409"/>
      <c r="L114" s="409"/>
    </row>
    <row r="115" spans="1:12" hidden="1">
      <c r="A115" s="409"/>
      <c r="B115" s="428"/>
      <c r="C115" s="440" t="s">
        <v>281</v>
      </c>
      <c r="D115" s="426" t="s">
        <v>119</v>
      </c>
      <c r="E115" s="443">
        <v>1.39</v>
      </c>
      <c r="F115" s="425">
        <v>400</v>
      </c>
      <c r="G115" s="425">
        <f>E115*F115</f>
        <v>556</v>
      </c>
      <c r="H115" s="409"/>
      <c r="I115" s="409"/>
      <c r="J115" s="409"/>
      <c r="K115" s="409"/>
      <c r="L115" s="409"/>
    </row>
    <row r="116" spans="1:12" ht="13.5" hidden="1" customHeight="1">
      <c r="A116" s="423"/>
      <c r="B116" s="421"/>
      <c r="C116" s="424" t="s">
        <v>592</v>
      </c>
      <c r="D116" s="427">
        <f>D101</f>
        <v>0.4</v>
      </c>
      <c r="E116" s="415"/>
      <c r="F116" s="425"/>
      <c r="G116" s="442">
        <f>D116*SUM(G114:G115)</f>
        <v>242</v>
      </c>
      <c r="H116" s="409"/>
      <c r="I116" s="409"/>
      <c r="J116" s="409"/>
      <c r="K116" s="409"/>
      <c r="L116" s="409"/>
    </row>
    <row r="117" spans="1:12" ht="15.5" hidden="1">
      <c r="A117" s="409"/>
      <c r="B117" s="428"/>
      <c r="C117" s="437"/>
      <c r="D117" s="438" t="s">
        <v>142</v>
      </c>
      <c r="E117" s="438"/>
      <c r="F117" s="411"/>
      <c r="G117" s="422">
        <f>SUM(G107:G116,0)</f>
        <v>3252.0491999999999</v>
      </c>
      <c r="H117" s="409"/>
      <c r="I117" s="409"/>
      <c r="J117" s="409"/>
      <c r="K117" s="409"/>
      <c r="L117" s="409"/>
    </row>
    <row r="118" spans="1:12" ht="15.5" hidden="1">
      <c r="A118" s="409"/>
      <c r="B118" s="428"/>
      <c r="C118" s="437"/>
      <c r="D118" s="438"/>
      <c r="E118" s="438"/>
      <c r="F118" s="411"/>
      <c r="G118" s="422">
        <f>SUM(G117:G117)</f>
        <v>3252.0491999999999</v>
      </c>
      <c r="H118" s="409"/>
      <c r="I118" s="409"/>
      <c r="J118" s="409"/>
      <c r="K118" s="409"/>
      <c r="L118" s="409"/>
    </row>
    <row r="119" spans="1:12" s="439" customFormat="1" ht="102" customHeight="1">
      <c r="A119" s="414" t="s">
        <v>260</v>
      </c>
      <c r="B119" s="411">
        <v>9</v>
      </c>
      <c r="C119" s="2216" t="s">
        <v>2</v>
      </c>
      <c r="D119" s="2216"/>
      <c r="E119" s="2216"/>
      <c r="F119" s="2216"/>
      <c r="G119" s="438"/>
      <c r="H119" s="411"/>
      <c r="I119" s="411"/>
      <c r="J119" s="411"/>
      <c r="K119" s="411"/>
      <c r="L119" s="411"/>
    </row>
    <row r="120" spans="1:12" s="439" customFormat="1" ht="15" customHeight="1">
      <c r="A120" s="411"/>
      <c r="B120" s="411"/>
      <c r="C120" s="437" t="s">
        <v>213</v>
      </c>
      <c r="D120" s="411" t="s">
        <v>207</v>
      </c>
      <c r="E120" s="438">
        <v>162</v>
      </c>
      <c r="F120" s="438">
        <v>4.8</v>
      </c>
      <c r="G120" s="425">
        <f>ROUND(E120*F120,2)</f>
        <v>777.6</v>
      </c>
      <c r="H120" s="411"/>
      <c r="I120" s="411"/>
      <c r="J120" s="411"/>
      <c r="K120" s="411"/>
      <c r="L120" s="411"/>
    </row>
    <row r="121" spans="1:12" s="439" customFormat="1" ht="15" customHeight="1">
      <c r="A121" s="435"/>
      <c r="B121" s="411"/>
      <c r="C121" s="437" t="s">
        <v>211</v>
      </c>
      <c r="D121" s="411" t="s">
        <v>181</v>
      </c>
      <c r="E121" s="438">
        <v>0.9</v>
      </c>
      <c r="F121" s="438">
        <v>1236.6400000000001</v>
      </c>
      <c r="G121" s="425">
        <f>ROUND(E121*F121,2)</f>
        <v>1112.98</v>
      </c>
      <c r="H121" s="411"/>
      <c r="I121" s="411"/>
      <c r="J121" s="411"/>
      <c r="K121" s="411"/>
      <c r="L121" s="411"/>
    </row>
    <row r="122" spans="1:12" s="439" customFormat="1" ht="15" customHeight="1">
      <c r="A122" s="411"/>
      <c r="B122" s="411"/>
      <c r="C122" s="437" t="s">
        <v>212</v>
      </c>
      <c r="D122" s="411" t="s">
        <v>181</v>
      </c>
      <c r="E122" s="438">
        <v>0.45</v>
      </c>
      <c r="F122" s="438">
        <v>267.58</v>
      </c>
      <c r="G122" s="425">
        <f>ROUND(E122*F122,2)</f>
        <v>120.41</v>
      </c>
      <c r="H122" s="411"/>
      <c r="I122" s="411"/>
      <c r="J122" s="411"/>
      <c r="K122" s="411"/>
      <c r="L122" s="411"/>
    </row>
    <row r="123" spans="1:12" s="439" customFormat="1" ht="15" customHeight="1">
      <c r="A123" s="411"/>
      <c r="B123" s="411"/>
      <c r="C123" s="437" t="s">
        <v>216</v>
      </c>
      <c r="D123" s="411" t="s">
        <v>215</v>
      </c>
      <c r="E123" s="438">
        <v>1.2</v>
      </c>
      <c r="F123" s="438"/>
      <c r="G123" s="425"/>
      <c r="H123" s="411"/>
      <c r="I123" s="411"/>
      <c r="J123" s="411"/>
      <c r="K123" s="411"/>
      <c r="L123" s="411"/>
    </row>
    <row r="124" spans="1:12">
      <c r="A124" s="423"/>
      <c r="B124" s="420"/>
      <c r="C124" s="440" t="s">
        <v>474</v>
      </c>
      <c r="D124" s="426"/>
      <c r="E124" s="443"/>
      <c r="F124" s="425"/>
      <c r="G124" s="425"/>
      <c r="H124" s="409"/>
      <c r="I124" s="409"/>
      <c r="J124" s="409"/>
      <c r="K124" s="409"/>
      <c r="L124" s="409"/>
    </row>
    <row r="125" spans="1:12" s="439" customFormat="1" ht="15" customHeight="1">
      <c r="A125" s="411"/>
      <c r="B125" s="411"/>
      <c r="C125" s="437" t="s">
        <v>214</v>
      </c>
      <c r="D125" s="411" t="s">
        <v>228</v>
      </c>
      <c r="E125" s="438">
        <v>1</v>
      </c>
      <c r="F125" s="438">
        <f>F112</f>
        <v>525.5</v>
      </c>
      <c r="G125" s="425">
        <f>ROUND(E125*F125,2)</f>
        <v>525.5</v>
      </c>
      <c r="H125" s="411"/>
      <c r="I125" s="411"/>
      <c r="J125" s="411"/>
      <c r="K125" s="411"/>
      <c r="L125" s="411"/>
    </row>
    <row r="126" spans="1:12">
      <c r="A126" s="423"/>
      <c r="B126" s="420"/>
      <c r="C126" s="440" t="s">
        <v>278</v>
      </c>
      <c r="D126" s="426"/>
      <c r="E126" s="443"/>
      <c r="F126" s="425"/>
      <c r="G126" s="425"/>
      <c r="H126" s="409"/>
      <c r="I126" s="409"/>
      <c r="J126" s="409"/>
      <c r="K126" s="409"/>
      <c r="L126" s="409"/>
    </row>
    <row r="127" spans="1:12">
      <c r="A127" s="423"/>
      <c r="B127" s="420"/>
      <c r="C127" s="440" t="s">
        <v>279</v>
      </c>
      <c r="D127" s="426" t="s">
        <v>119</v>
      </c>
      <c r="E127" s="443">
        <v>0.1</v>
      </c>
      <c r="F127" s="425">
        <f>F114</f>
        <v>490</v>
      </c>
      <c r="G127" s="425">
        <f>ROUND(E127*F127,2)</f>
        <v>49</v>
      </c>
      <c r="H127" s="409"/>
      <c r="I127" s="409"/>
      <c r="J127" s="409"/>
      <c r="K127" s="409"/>
      <c r="L127" s="409"/>
    </row>
    <row r="128" spans="1:12">
      <c r="A128" s="423"/>
      <c r="B128" s="420"/>
      <c r="C128" s="440" t="s">
        <v>281</v>
      </c>
      <c r="D128" s="426" t="s">
        <v>119</v>
      </c>
      <c r="E128" s="443">
        <v>1.39</v>
      </c>
      <c r="F128" s="425">
        <f>F115</f>
        <v>400</v>
      </c>
      <c r="G128" s="425">
        <f>ROUND(E128*F128,2)</f>
        <v>556</v>
      </c>
      <c r="H128" s="409"/>
      <c r="I128" s="409"/>
      <c r="J128" s="409"/>
      <c r="K128" s="409"/>
      <c r="L128" s="409"/>
    </row>
    <row r="129" spans="1:12" ht="13.5" customHeight="1">
      <c r="A129" s="423"/>
      <c r="B129" s="421"/>
      <c r="C129" s="424" t="s">
        <v>592</v>
      </c>
      <c r="D129" s="427">
        <f>D116</f>
        <v>0.4</v>
      </c>
      <c r="E129" s="415"/>
      <c r="F129" s="425"/>
      <c r="G129" s="442">
        <f>D129*SUM(G127:G128)</f>
        <v>242</v>
      </c>
      <c r="H129" s="409"/>
      <c r="I129" s="409"/>
      <c r="J129" s="409"/>
      <c r="K129" s="409"/>
      <c r="L129" s="409"/>
    </row>
    <row r="130" spans="1:12" ht="15.5">
      <c r="A130" s="409"/>
      <c r="B130" s="428"/>
      <c r="C130" s="437"/>
      <c r="D130" s="438" t="s">
        <v>142</v>
      </c>
      <c r="E130" s="438"/>
      <c r="F130" s="411"/>
      <c r="G130" s="422">
        <f>SUM(G120:G129,0)</f>
        <v>3383.49</v>
      </c>
      <c r="H130" s="409"/>
      <c r="I130" s="409"/>
      <c r="J130" s="409"/>
      <c r="K130" s="409"/>
      <c r="L130" s="409"/>
    </row>
    <row r="131" spans="1:12" s="439" customFormat="1" ht="15" customHeight="1">
      <c r="A131" s="411"/>
      <c r="B131" s="411"/>
      <c r="C131" s="437"/>
      <c r="D131" s="438"/>
      <c r="E131" s="438"/>
      <c r="F131" s="411"/>
      <c r="G131" s="422">
        <f>SUM(G130:G130)</f>
        <v>3383.49</v>
      </c>
      <c r="H131" s="411"/>
      <c r="I131" s="411"/>
      <c r="J131" s="411"/>
      <c r="K131" s="411"/>
      <c r="L131" s="411"/>
    </row>
    <row r="132" spans="1:12" hidden="1">
      <c r="A132" s="414" t="s">
        <v>256</v>
      </c>
      <c r="B132" s="420">
        <v>10</v>
      </c>
      <c r="C132" s="440" t="s">
        <v>271</v>
      </c>
      <c r="D132" s="426"/>
      <c r="E132" s="426"/>
      <c r="F132" s="426"/>
      <c r="G132" s="426"/>
      <c r="H132" s="409"/>
      <c r="I132" s="409"/>
      <c r="J132" s="409"/>
      <c r="K132" s="409"/>
      <c r="L132" s="409"/>
    </row>
    <row r="133" spans="1:12" ht="114" hidden="1" customHeight="1">
      <c r="A133" s="435" t="s">
        <v>272</v>
      </c>
      <c r="B133" s="420"/>
      <c r="C133" s="2216" t="s">
        <v>275</v>
      </c>
      <c r="D133" s="2216"/>
      <c r="E133" s="2216"/>
      <c r="F133" s="2216"/>
      <c r="G133" s="444"/>
      <c r="H133" s="445"/>
      <c r="I133" s="409"/>
      <c r="J133" s="409"/>
      <c r="K133" s="409"/>
      <c r="L133" s="409"/>
    </row>
    <row r="134" spans="1:12" ht="15.5" hidden="1">
      <c r="A134" s="423"/>
      <c r="B134" s="420" t="s">
        <v>144</v>
      </c>
      <c r="C134" s="446" t="s">
        <v>322</v>
      </c>
      <c r="D134" s="426"/>
      <c r="E134" s="426"/>
      <c r="F134" s="426"/>
      <c r="G134" s="426"/>
      <c r="H134" s="409"/>
      <c r="I134" s="409"/>
      <c r="J134" s="409"/>
      <c r="K134" s="409"/>
      <c r="L134" s="409"/>
    </row>
    <row r="135" spans="1:12" hidden="1">
      <c r="A135" s="423"/>
      <c r="B135" s="420"/>
      <c r="C135" s="440" t="s">
        <v>24</v>
      </c>
      <c r="D135" s="426"/>
      <c r="E135" s="426"/>
      <c r="F135" s="426"/>
      <c r="G135" s="426"/>
      <c r="H135" s="409"/>
      <c r="I135" s="409"/>
      <c r="J135" s="409"/>
      <c r="K135" s="409"/>
      <c r="L135" s="409"/>
    </row>
    <row r="136" spans="1:12" hidden="1">
      <c r="A136" s="423"/>
      <c r="B136" s="420"/>
      <c r="C136" s="440" t="s">
        <v>276</v>
      </c>
      <c r="D136" s="426" t="s">
        <v>117</v>
      </c>
      <c r="E136" s="443">
        <v>0.9</v>
      </c>
      <c r="F136" s="425">
        <v>1610.64</v>
      </c>
      <c r="G136" s="425">
        <f>ROUND(E136*F136,2)</f>
        <v>1449.58</v>
      </c>
      <c r="H136" s="409"/>
      <c r="I136" s="409"/>
      <c r="J136" s="409"/>
      <c r="K136" s="409"/>
      <c r="L136" s="409"/>
    </row>
    <row r="137" spans="1:12" hidden="1">
      <c r="A137" s="423"/>
      <c r="B137" s="420"/>
      <c r="C137" s="440" t="s">
        <v>277</v>
      </c>
      <c r="D137" s="426" t="s">
        <v>117</v>
      </c>
      <c r="E137" s="443">
        <v>0.45</v>
      </c>
      <c r="F137" s="425">
        <f>F122</f>
        <v>267.58</v>
      </c>
      <c r="G137" s="425">
        <f>ROUND(E137*F137,2)</f>
        <v>120.41</v>
      </c>
      <c r="H137" s="409"/>
      <c r="I137" s="409"/>
      <c r="J137" s="409"/>
      <c r="K137" s="409"/>
      <c r="L137" s="409"/>
    </row>
    <row r="138" spans="1:12" hidden="1">
      <c r="A138" s="423"/>
      <c r="B138" s="420"/>
      <c r="C138" s="440" t="s">
        <v>218</v>
      </c>
      <c r="D138" s="426" t="s">
        <v>207</v>
      </c>
      <c r="E138" s="432">
        <v>330</v>
      </c>
      <c r="F138" s="425">
        <f>F120</f>
        <v>4.8</v>
      </c>
      <c r="G138" s="425">
        <f>ROUND(E138*F138,2)</f>
        <v>1584</v>
      </c>
      <c r="H138" s="409"/>
      <c r="I138" s="409"/>
      <c r="J138" s="409"/>
      <c r="K138" s="409"/>
      <c r="L138" s="409"/>
    </row>
    <row r="139" spans="1:12" hidden="1">
      <c r="A139" s="423"/>
      <c r="B139" s="420"/>
      <c r="C139" s="440" t="s">
        <v>278</v>
      </c>
      <c r="D139" s="426"/>
      <c r="E139" s="443"/>
      <c r="F139" s="425"/>
      <c r="G139" s="425"/>
      <c r="H139" s="409"/>
      <c r="I139" s="409"/>
      <c r="J139" s="409"/>
      <c r="K139" s="409"/>
      <c r="L139" s="409"/>
    </row>
    <row r="140" spans="1:12" hidden="1">
      <c r="A140" s="423"/>
      <c r="B140" s="420"/>
      <c r="C140" s="440" t="s">
        <v>279</v>
      </c>
      <c r="D140" s="426" t="s">
        <v>119</v>
      </c>
      <c r="E140" s="443">
        <v>0.13300000000000001</v>
      </c>
      <c r="F140" s="425">
        <v>490</v>
      </c>
      <c r="G140" s="425">
        <f>ROUND(E140*F140,2)</f>
        <v>65.17</v>
      </c>
      <c r="H140" s="409"/>
      <c r="I140" s="409"/>
      <c r="J140" s="409"/>
      <c r="K140" s="409"/>
      <c r="L140" s="409"/>
    </row>
    <row r="141" spans="1:12" hidden="1">
      <c r="A141" s="423"/>
      <c r="B141" s="420"/>
      <c r="C141" s="440" t="s">
        <v>280</v>
      </c>
      <c r="D141" s="426" t="s">
        <v>119</v>
      </c>
      <c r="E141" s="443">
        <v>0.26700000000000002</v>
      </c>
      <c r="F141" s="425">
        <v>440</v>
      </c>
      <c r="G141" s="425">
        <f>ROUND(E141*F141,2)</f>
        <v>117.48</v>
      </c>
      <c r="H141" s="409"/>
      <c r="I141" s="409"/>
      <c r="J141" s="409"/>
      <c r="K141" s="409"/>
      <c r="L141" s="409"/>
    </row>
    <row r="142" spans="1:12" hidden="1">
      <c r="A142" s="423"/>
      <c r="B142" s="420"/>
      <c r="C142" s="440" t="s">
        <v>281</v>
      </c>
      <c r="D142" s="426" t="s">
        <v>119</v>
      </c>
      <c r="E142" s="443">
        <v>3.6</v>
      </c>
      <c r="F142" s="425">
        <v>400</v>
      </c>
      <c r="G142" s="425">
        <f>ROUND(E142*F142,2)</f>
        <v>1440</v>
      </c>
      <c r="H142" s="409"/>
      <c r="I142" s="409"/>
      <c r="J142" s="409"/>
      <c r="K142" s="409"/>
      <c r="L142" s="409"/>
    </row>
    <row r="143" spans="1:12" ht="13.5" hidden="1" customHeight="1">
      <c r="A143" s="423"/>
      <c r="B143" s="421"/>
      <c r="C143" s="424" t="s">
        <v>592</v>
      </c>
      <c r="D143" s="427">
        <f>D129</f>
        <v>0.4</v>
      </c>
      <c r="E143" s="415"/>
      <c r="F143" s="422"/>
      <c r="G143" s="442">
        <f>D143*SUM(G140:G142)</f>
        <v>649.06000000000006</v>
      </c>
      <c r="H143" s="409"/>
      <c r="I143" s="409"/>
      <c r="J143" s="409"/>
      <c r="K143" s="409"/>
      <c r="L143" s="409"/>
    </row>
    <row r="144" spans="1:12" hidden="1">
      <c r="A144" s="423"/>
      <c r="B144" s="420"/>
      <c r="C144" s="440" t="s">
        <v>252</v>
      </c>
      <c r="D144" s="426"/>
      <c r="E144" s="443"/>
      <c r="F144" s="425"/>
      <c r="G144" s="425"/>
      <c r="H144" s="409"/>
      <c r="I144" s="409"/>
      <c r="J144" s="409"/>
      <c r="K144" s="409"/>
      <c r="L144" s="409"/>
    </row>
    <row r="145" spans="1:12" ht="26.25" hidden="1" customHeight="1">
      <c r="A145" s="423"/>
      <c r="B145" s="420"/>
      <c r="C145" s="440" t="s">
        <v>282</v>
      </c>
      <c r="D145" s="426" t="s">
        <v>267</v>
      </c>
      <c r="E145" s="443">
        <v>1</v>
      </c>
      <c r="F145" s="425">
        <v>525.5</v>
      </c>
      <c r="G145" s="425">
        <f>ROUND(E145*F145,2)</f>
        <v>525.5</v>
      </c>
      <c r="H145" s="409"/>
      <c r="I145" s="409"/>
      <c r="J145" s="409"/>
      <c r="K145" s="409"/>
      <c r="L145" s="409"/>
    </row>
    <row r="146" spans="1:12" ht="26.25" hidden="1" customHeight="1">
      <c r="A146" s="423"/>
      <c r="B146" s="420"/>
      <c r="C146" s="440" t="s">
        <v>283</v>
      </c>
      <c r="D146" s="426" t="s">
        <v>267</v>
      </c>
      <c r="E146" s="443">
        <v>1</v>
      </c>
      <c r="F146" s="425">
        <v>203.5</v>
      </c>
      <c r="G146" s="425">
        <f>ROUND(E146*F146,2)</f>
        <v>203.5</v>
      </c>
      <c r="H146" s="409"/>
      <c r="I146" s="409"/>
      <c r="J146" s="409"/>
      <c r="K146" s="409"/>
      <c r="L146" s="409"/>
    </row>
    <row r="147" spans="1:12" hidden="1">
      <c r="A147" s="423"/>
      <c r="B147" s="420"/>
      <c r="C147" s="416" t="s">
        <v>264</v>
      </c>
      <c r="D147" s="425" t="s">
        <v>265</v>
      </c>
      <c r="E147" s="443">
        <v>1.2</v>
      </c>
      <c r="F147" s="425">
        <v>77</v>
      </c>
      <c r="G147" s="425"/>
      <c r="H147" s="409"/>
      <c r="I147" s="409"/>
      <c r="J147" s="409"/>
      <c r="K147" s="409"/>
      <c r="L147" s="409"/>
    </row>
    <row r="148" spans="1:12" ht="15.5" hidden="1">
      <c r="A148" s="423"/>
      <c r="B148" s="420"/>
      <c r="C148" s="440" t="s">
        <v>284</v>
      </c>
      <c r="D148" s="426"/>
      <c r="E148" s="425"/>
      <c r="F148" s="425"/>
      <c r="G148" s="422">
        <f>SUM(G136:G147,0)</f>
        <v>6154.7</v>
      </c>
      <c r="H148" s="447"/>
      <c r="I148" s="409"/>
      <c r="J148" s="409"/>
      <c r="K148" s="409"/>
      <c r="L148" s="409"/>
    </row>
    <row r="149" spans="1:12" ht="15.5" hidden="1">
      <c r="A149" s="423"/>
      <c r="B149" s="420"/>
      <c r="C149" s="440" t="s">
        <v>40</v>
      </c>
      <c r="D149" s="426"/>
      <c r="E149" s="425"/>
      <c r="F149" s="422">
        <f>G148-G146</f>
        <v>5951.2</v>
      </c>
      <c r="G149" s="409"/>
      <c r="H149" s="447"/>
      <c r="I149" s="409"/>
      <c r="J149" s="409"/>
      <c r="K149" s="409"/>
      <c r="L149" s="409"/>
    </row>
    <row r="150" spans="1:12" ht="25" hidden="1">
      <c r="A150" s="423"/>
      <c r="B150" s="420"/>
      <c r="C150" s="424" t="s">
        <v>578</v>
      </c>
      <c r="D150" s="426"/>
      <c r="E150" s="425"/>
      <c r="F150" s="425"/>
      <c r="G150" s="434">
        <f>G148*13.615/100</f>
        <v>837.96240499999999</v>
      </c>
      <c r="H150" s="409"/>
      <c r="I150" s="409"/>
      <c r="J150" s="409"/>
      <c r="K150" s="409"/>
      <c r="L150" s="409"/>
    </row>
    <row r="151" spans="1:12" ht="15.5" hidden="1">
      <c r="A151" s="423"/>
      <c r="B151" s="420"/>
      <c r="C151" s="424" t="s">
        <v>338</v>
      </c>
      <c r="D151" s="426"/>
      <c r="E151" s="425"/>
      <c r="F151" s="425"/>
      <c r="G151" s="422">
        <f>SUM(G148:G150)</f>
        <v>6992.662405</v>
      </c>
      <c r="H151" s="409"/>
      <c r="I151" s="409"/>
      <c r="J151" s="409"/>
      <c r="K151" s="409"/>
      <c r="L151" s="409"/>
    </row>
    <row r="152" spans="1:12" ht="15.5" hidden="1">
      <c r="A152" s="423"/>
      <c r="B152" s="420"/>
      <c r="C152" s="424"/>
      <c r="D152" s="426"/>
      <c r="E152" s="425"/>
      <c r="F152" s="425"/>
      <c r="G152" s="422"/>
      <c r="H152" s="409"/>
      <c r="I152" s="409"/>
      <c r="J152" s="409"/>
      <c r="K152" s="409"/>
      <c r="L152" s="409"/>
    </row>
    <row r="153" spans="1:12" hidden="1">
      <c r="A153" s="423"/>
      <c r="B153" s="420"/>
      <c r="C153" s="448" t="s">
        <v>505</v>
      </c>
      <c r="D153" s="426"/>
      <c r="E153" s="426"/>
      <c r="F153" s="426"/>
      <c r="G153" s="426"/>
      <c r="H153" s="409"/>
      <c r="I153" s="409"/>
      <c r="J153" s="409"/>
      <c r="K153" s="409"/>
      <c r="L153" s="409"/>
    </row>
    <row r="154" spans="1:12" hidden="1">
      <c r="A154" s="423"/>
      <c r="B154" s="420"/>
      <c r="C154" s="440" t="s">
        <v>284</v>
      </c>
      <c r="D154" s="426" t="s">
        <v>117</v>
      </c>
      <c r="E154" s="425">
        <v>1</v>
      </c>
      <c r="F154" s="425">
        <f>G148</f>
        <v>6154.7</v>
      </c>
      <c r="G154" s="425">
        <f>ROUND(E154*F154,2)</f>
        <v>6154.7</v>
      </c>
      <c r="H154" s="409"/>
      <c r="I154" s="409"/>
      <c r="J154" s="409"/>
      <c r="K154" s="409"/>
      <c r="L154" s="409"/>
    </row>
    <row r="155" spans="1:12" hidden="1">
      <c r="A155" s="423"/>
      <c r="B155" s="420"/>
      <c r="C155" s="440" t="s">
        <v>532</v>
      </c>
      <c r="D155" s="426" t="s">
        <v>117</v>
      </c>
      <c r="E155" s="425">
        <v>1</v>
      </c>
      <c r="F155" s="425">
        <v>919</v>
      </c>
      <c r="G155" s="425">
        <f>ROUND(E155*F155,2)</f>
        <v>919</v>
      </c>
      <c r="H155" s="409"/>
      <c r="I155" s="409"/>
      <c r="J155" s="409"/>
      <c r="K155" s="409"/>
      <c r="L155" s="409"/>
    </row>
    <row r="156" spans="1:12" ht="13.5" hidden="1" customHeight="1">
      <c r="A156" s="423"/>
      <c r="B156" s="421"/>
      <c r="C156" s="424" t="s">
        <v>617</v>
      </c>
      <c r="D156" s="427">
        <f>D143</f>
        <v>0.4</v>
      </c>
      <c r="E156" s="415"/>
      <c r="F156" s="425">
        <v>631</v>
      </c>
      <c r="G156" s="425">
        <f>D156*F156</f>
        <v>252.4</v>
      </c>
      <c r="H156" s="409"/>
      <c r="I156" s="409"/>
      <c r="J156" s="409"/>
      <c r="K156" s="409"/>
      <c r="L156" s="409"/>
    </row>
    <row r="157" spans="1:12" ht="15.5" hidden="1">
      <c r="A157" s="423"/>
      <c r="B157" s="420"/>
      <c r="C157" s="424" t="s">
        <v>142</v>
      </c>
      <c r="D157" s="426"/>
      <c r="E157" s="425"/>
      <c r="F157" s="425"/>
      <c r="G157" s="422">
        <f>SUM(G154:G156,0)</f>
        <v>7326.0999999999995</v>
      </c>
      <c r="H157" s="409"/>
      <c r="I157" s="409"/>
      <c r="J157" s="409"/>
      <c r="K157" s="409"/>
      <c r="L157" s="409"/>
    </row>
    <row r="158" spans="1:12" ht="26" hidden="1">
      <c r="A158" s="423"/>
      <c r="B158" s="420"/>
      <c r="C158" s="424" t="s">
        <v>578</v>
      </c>
      <c r="D158" s="426"/>
      <c r="E158" s="425"/>
      <c r="F158" s="425"/>
      <c r="G158" s="422">
        <f>G157*13.615/100</f>
        <v>997.44851499999993</v>
      </c>
      <c r="H158" s="409"/>
      <c r="I158" s="409"/>
      <c r="J158" s="409"/>
      <c r="K158" s="409"/>
      <c r="L158" s="409"/>
    </row>
    <row r="159" spans="1:12" ht="15.5" hidden="1">
      <c r="A159" s="423"/>
      <c r="B159" s="420"/>
      <c r="C159" s="424"/>
      <c r="D159" s="426"/>
      <c r="E159" s="425"/>
      <c r="F159" s="425"/>
      <c r="G159" s="422">
        <f>SUM(G157:G158)</f>
        <v>8323.5485149999986</v>
      </c>
      <c r="H159" s="409"/>
      <c r="I159" s="409"/>
      <c r="J159" s="409"/>
      <c r="K159" s="409"/>
      <c r="L159" s="409"/>
    </row>
    <row r="160" spans="1:12" hidden="1">
      <c r="A160" s="423"/>
      <c r="B160" s="420"/>
      <c r="C160" s="448" t="s">
        <v>354</v>
      </c>
      <c r="D160" s="426"/>
      <c r="E160" s="426"/>
      <c r="F160" s="426"/>
      <c r="G160" s="426"/>
      <c r="H160" s="409"/>
      <c r="I160" s="409"/>
      <c r="J160" s="409"/>
      <c r="K160" s="409"/>
      <c r="L160" s="409"/>
    </row>
    <row r="161" spans="1:14" hidden="1">
      <c r="A161" s="423"/>
      <c r="B161" s="420"/>
      <c r="C161" s="440" t="s">
        <v>284</v>
      </c>
      <c r="D161" s="426" t="s">
        <v>117</v>
      </c>
      <c r="E161" s="425">
        <v>1</v>
      </c>
      <c r="F161" s="425">
        <f>G148</f>
        <v>6154.7</v>
      </c>
      <c r="G161" s="425">
        <f>ROUND(E161*F161,2)</f>
        <v>6154.7</v>
      </c>
      <c r="H161" s="409"/>
      <c r="I161" s="409"/>
      <c r="J161" s="409"/>
      <c r="K161" s="409"/>
      <c r="L161" s="409"/>
    </row>
    <row r="162" spans="1:14" hidden="1">
      <c r="A162" s="423"/>
      <c r="B162" s="420"/>
      <c r="C162" s="440" t="s">
        <v>532</v>
      </c>
      <c r="D162" s="426" t="s">
        <v>117</v>
      </c>
      <c r="E162" s="425">
        <v>1</v>
      </c>
      <c r="F162" s="425">
        <v>1332</v>
      </c>
      <c r="G162" s="425">
        <f>ROUND(E162*F162,2)</f>
        <v>1332</v>
      </c>
      <c r="H162" s="409"/>
      <c r="I162" s="409"/>
      <c r="J162" s="409"/>
      <c r="K162" s="409"/>
      <c r="L162" s="409"/>
    </row>
    <row r="163" spans="1:14" ht="13.5" hidden="1" customHeight="1">
      <c r="A163" s="423"/>
      <c r="B163" s="421"/>
      <c r="C163" s="424" t="s">
        <v>617</v>
      </c>
      <c r="D163" s="427">
        <f>D156</f>
        <v>0.4</v>
      </c>
      <c r="E163" s="415"/>
      <c r="F163" s="425">
        <v>1004</v>
      </c>
      <c r="G163" s="425">
        <f>D163*F163</f>
        <v>401.6</v>
      </c>
      <c r="H163" s="409"/>
      <c r="I163" s="409"/>
      <c r="J163" s="409"/>
      <c r="K163" s="409"/>
      <c r="L163" s="409"/>
    </row>
    <row r="164" spans="1:14" ht="15.5" hidden="1">
      <c r="A164" s="423"/>
      <c r="B164" s="420"/>
      <c r="C164" s="424" t="s">
        <v>142</v>
      </c>
      <c r="D164" s="426"/>
      <c r="E164" s="425"/>
      <c r="F164" s="425"/>
      <c r="G164" s="422">
        <f>SUM(G161:G163,0)</f>
        <v>7888.3</v>
      </c>
      <c r="H164" s="409"/>
      <c r="I164" s="409"/>
      <c r="J164" s="409"/>
      <c r="K164" s="409"/>
      <c r="L164" s="409"/>
    </row>
    <row r="165" spans="1:14" ht="26" hidden="1">
      <c r="A165" s="423"/>
      <c r="B165" s="420"/>
      <c r="C165" s="424" t="s">
        <v>578</v>
      </c>
      <c r="D165" s="426"/>
      <c r="E165" s="425"/>
      <c r="F165" s="425"/>
      <c r="G165" s="422">
        <f>G164*13.615/100</f>
        <v>1073.992045</v>
      </c>
      <c r="H165" s="409"/>
      <c r="I165" s="409"/>
      <c r="J165" s="409"/>
      <c r="K165" s="409"/>
      <c r="L165" s="409"/>
    </row>
    <row r="166" spans="1:14" ht="15.5" hidden="1">
      <c r="A166" s="423"/>
      <c r="B166" s="420"/>
      <c r="C166" s="424"/>
      <c r="D166" s="426"/>
      <c r="E166" s="425"/>
      <c r="F166" s="425"/>
      <c r="G166" s="422">
        <f>SUM(G164:G165)</f>
        <v>8962.2920450000001</v>
      </c>
      <c r="H166" s="409"/>
      <c r="I166" s="409"/>
      <c r="J166" s="409"/>
      <c r="K166" s="409"/>
      <c r="L166" s="409"/>
    </row>
    <row r="167" spans="1:14" hidden="1">
      <c r="A167" s="423"/>
      <c r="B167" s="420"/>
      <c r="C167" s="448" t="s">
        <v>506</v>
      </c>
      <c r="D167" s="426"/>
      <c r="E167" s="426"/>
      <c r="F167" s="426"/>
      <c r="G167" s="426"/>
      <c r="H167" s="409"/>
      <c r="I167" s="409"/>
      <c r="J167" s="409"/>
      <c r="K167" s="409"/>
      <c r="L167" s="409"/>
    </row>
    <row r="168" spans="1:14" hidden="1">
      <c r="A168" s="423"/>
      <c r="B168" s="420"/>
      <c r="C168" s="440" t="s">
        <v>284</v>
      </c>
      <c r="D168" s="426" t="s">
        <v>117</v>
      </c>
      <c r="E168" s="425">
        <v>1</v>
      </c>
      <c r="F168" s="425">
        <f>G148</f>
        <v>6154.7</v>
      </c>
      <c r="G168" s="425">
        <f>ROUND(E168*F168,2)</f>
        <v>6154.7</v>
      </c>
      <c r="H168" s="409"/>
      <c r="I168" s="409"/>
      <c r="J168" s="409"/>
      <c r="K168" s="409"/>
      <c r="L168" s="409"/>
    </row>
    <row r="169" spans="1:14" hidden="1">
      <c r="A169" s="423"/>
      <c r="B169" s="420"/>
      <c r="C169" s="440" t="s">
        <v>532</v>
      </c>
      <c r="D169" s="426" t="s">
        <v>117</v>
      </c>
      <c r="E169" s="425">
        <v>1</v>
      </c>
      <c r="F169" s="425">
        <v>2911</v>
      </c>
      <c r="G169" s="425">
        <f>ROUND(E169*F169,2)</f>
        <v>2911</v>
      </c>
      <c r="H169" s="409"/>
      <c r="I169" s="409"/>
      <c r="J169" s="409"/>
      <c r="K169" s="409"/>
      <c r="L169" s="409"/>
    </row>
    <row r="170" spans="1:14" ht="13.5" hidden="1" customHeight="1">
      <c r="A170" s="423"/>
      <c r="B170" s="421"/>
      <c r="C170" s="424" t="s">
        <v>617</v>
      </c>
      <c r="D170" s="427">
        <f>D163</f>
        <v>0.4</v>
      </c>
      <c r="E170" s="415"/>
      <c r="F170" s="425">
        <v>1521</v>
      </c>
      <c r="G170" s="425">
        <f>D170*F170</f>
        <v>608.4</v>
      </c>
      <c r="H170" s="409"/>
      <c r="I170" s="409"/>
      <c r="J170" s="409"/>
      <c r="K170" s="409"/>
      <c r="L170" s="409"/>
    </row>
    <row r="171" spans="1:14" ht="15.5" hidden="1">
      <c r="A171" s="423"/>
      <c r="B171" s="420"/>
      <c r="C171" s="424" t="s">
        <v>142</v>
      </c>
      <c r="D171" s="426"/>
      <c r="E171" s="425"/>
      <c r="F171" s="425"/>
      <c r="G171" s="422">
        <f>SUM(G168:G170,0)</f>
        <v>9674.1</v>
      </c>
      <c r="H171" s="409"/>
      <c r="I171" s="409"/>
      <c r="J171" s="409"/>
      <c r="K171" s="409"/>
      <c r="L171" s="409"/>
    </row>
    <row r="172" spans="1:14" ht="26" hidden="1">
      <c r="A172" s="423"/>
      <c r="B172" s="420"/>
      <c r="C172" s="424" t="s">
        <v>578</v>
      </c>
      <c r="D172" s="426"/>
      <c r="E172" s="425"/>
      <c r="F172" s="425"/>
      <c r="G172" s="422">
        <f>G171*13.615/100</f>
        <v>1317.1287150000001</v>
      </c>
      <c r="H172" s="409"/>
      <c r="I172" s="409"/>
      <c r="J172" s="409"/>
      <c r="K172" s="409"/>
      <c r="L172" s="409"/>
    </row>
    <row r="173" spans="1:14" ht="15.5" hidden="1">
      <c r="A173" s="423"/>
      <c r="B173" s="420"/>
      <c r="C173" s="440"/>
      <c r="D173" s="426"/>
      <c r="E173" s="425"/>
      <c r="F173" s="425"/>
      <c r="G173" s="422">
        <f>SUM(G171:G172)</f>
        <v>10991.228715000001</v>
      </c>
      <c r="H173" s="409"/>
      <c r="I173" s="409"/>
      <c r="J173" s="409"/>
      <c r="K173" s="409"/>
      <c r="L173" s="409"/>
    </row>
    <row r="174" spans="1:14" ht="28" hidden="1">
      <c r="A174" s="423"/>
      <c r="B174" s="420" t="s">
        <v>145</v>
      </c>
      <c r="C174" s="449" t="s">
        <v>285</v>
      </c>
      <c r="D174" s="426"/>
      <c r="E174" s="425"/>
      <c r="F174" s="425"/>
      <c r="G174" s="2218" t="s">
        <v>613</v>
      </c>
      <c r="H174" s="2218"/>
      <c r="I174" s="2218" t="s">
        <v>611</v>
      </c>
      <c r="J174" s="2218"/>
      <c r="K174" s="2218" t="s">
        <v>614</v>
      </c>
      <c r="L174" s="2218"/>
      <c r="M174" s="2220" t="s">
        <v>620</v>
      </c>
      <c r="N174" s="2221"/>
    </row>
    <row r="175" spans="1:14" ht="27" hidden="1" customHeight="1">
      <c r="A175" s="423"/>
      <c r="B175" s="420"/>
      <c r="C175" s="440" t="s">
        <v>24</v>
      </c>
      <c r="D175" s="426"/>
      <c r="E175" s="425"/>
      <c r="F175" s="425"/>
      <c r="G175" s="425" t="s">
        <v>612</v>
      </c>
      <c r="H175" s="450" t="s">
        <v>286</v>
      </c>
      <c r="I175" s="425" t="s">
        <v>612</v>
      </c>
      <c r="J175" s="450" t="s">
        <v>286</v>
      </c>
      <c r="K175" s="425" t="s">
        <v>612</v>
      </c>
      <c r="L175" s="450" t="s">
        <v>286</v>
      </c>
      <c r="M175" s="451" t="s">
        <v>612</v>
      </c>
      <c r="N175" s="452" t="s">
        <v>286</v>
      </c>
    </row>
    <row r="176" spans="1:14" hidden="1">
      <c r="A176" s="423"/>
      <c r="B176" s="420"/>
      <c r="C176" s="440" t="s">
        <v>287</v>
      </c>
      <c r="D176" s="426" t="s">
        <v>117</v>
      </c>
      <c r="E176" s="443">
        <v>0.9</v>
      </c>
      <c r="F176" s="425">
        <f>F136</f>
        <v>1610.64</v>
      </c>
      <c r="G176" s="425">
        <f>ROUND(E176*F176,2)</f>
        <v>1449.58</v>
      </c>
      <c r="H176" s="442">
        <f>G176</f>
        <v>1449.58</v>
      </c>
      <c r="I176" s="442">
        <f t="shared" ref="I176:N178" si="0">G176</f>
        <v>1449.58</v>
      </c>
      <c r="J176" s="442">
        <f t="shared" si="0"/>
        <v>1449.58</v>
      </c>
      <c r="K176" s="442">
        <f t="shared" si="0"/>
        <v>1449.58</v>
      </c>
      <c r="L176" s="442">
        <f t="shared" si="0"/>
        <v>1449.58</v>
      </c>
      <c r="M176" s="453">
        <f t="shared" si="0"/>
        <v>1449.58</v>
      </c>
      <c r="N176" s="454">
        <f t="shared" si="0"/>
        <v>1449.58</v>
      </c>
    </row>
    <row r="177" spans="1:14" hidden="1">
      <c r="A177" s="423"/>
      <c r="B177" s="420"/>
      <c r="C177" s="440" t="s">
        <v>277</v>
      </c>
      <c r="D177" s="426" t="s">
        <v>117</v>
      </c>
      <c r="E177" s="443">
        <v>0.45</v>
      </c>
      <c r="F177" s="425">
        <f>F137</f>
        <v>267.58</v>
      </c>
      <c r="G177" s="425">
        <f>ROUND(E177*F177,2)</f>
        <v>120.41</v>
      </c>
      <c r="H177" s="442">
        <f>G177</f>
        <v>120.41</v>
      </c>
      <c r="I177" s="442">
        <f t="shared" si="0"/>
        <v>120.41</v>
      </c>
      <c r="J177" s="442">
        <f t="shared" si="0"/>
        <v>120.41</v>
      </c>
      <c r="K177" s="442">
        <f t="shared" si="0"/>
        <v>120.41</v>
      </c>
      <c r="L177" s="442">
        <f t="shared" si="0"/>
        <v>120.41</v>
      </c>
      <c r="M177" s="453">
        <f t="shared" si="0"/>
        <v>120.41</v>
      </c>
      <c r="N177" s="454">
        <f t="shared" si="0"/>
        <v>120.41</v>
      </c>
    </row>
    <row r="178" spans="1:14" hidden="1">
      <c r="A178" s="423"/>
      <c r="B178" s="420"/>
      <c r="C178" s="440" t="s">
        <v>218</v>
      </c>
      <c r="D178" s="426" t="s">
        <v>207</v>
      </c>
      <c r="E178" s="443">
        <v>330</v>
      </c>
      <c r="F178" s="425">
        <f>F138</f>
        <v>4.8</v>
      </c>
      <c r="G178" s="425">
        <f>ROUND(E178*F178,2)</f>
        <v>1584</v>
      </c>
      <c r="H178" s="442">
        <f>G178</f>
        <v>1584</v>
      </c>
      <c r="I178" s="442">
        <f t="shared" si="0"/>
        <v>1584</v>
      </c>
      <c r="J178" s="442">
        <f t="shared" si="0"/>
        <v>1584</v>
      </c>
      <c r="K178" s="442">
        <f t="shared" si="0"/>
        <v>1584</v>
      </c>
      <c r="L178" s="442">
        <f t="shared" si="0"/>
        <v>1584</v>
      </c>
      <c r="M178" s="453">
        <f t="shared" si="0"/>
        <v>1584</v>
      </c>
      <c r="N178" s="454">
        <f t="shared" si="0"/>
        <v>1584</v>
      </c>
    </row>
    <row r="179" spans="1:14" hidden="1">
      <c r="A179" s="423"/>
      <c r="B179" s="420"/>
      <c r="C179" s="440" t="s">
        <v>278</v>
      </c>
      <c r="D179" s="426"/>
      <c r="E179" s="443"/>
      <c r="F179" s="425"/>
      <c r="G179" s="425"/>
      <c r="H179" s="442"/>
      <c r="I179" s="442"/>
      <c r="J179" s="442"/>
      <c r="K179" s="442"/>
      <c r="L179" s="442"/>
      <c r="M179" s="453"/>
      <c r="N179" s="454"/>
    </row>
    <row r="180" spans="1:14" hidden="1">
      <c r="A180" s="423"/>
      <c r="B180" s="420"/>
      <c r="C180" s="440" t="s">
        <v>279</v>
      </c>
      <c r="D180" s="426" t="s">
        <v>119</v>
      </c>
      <c r="E180" s="443">
        <v>0.16700000000000001</v>
      </c>
      <c r="F180" s="425">
        <f>F140</f>
        <v>490</v>
      </c>
      <c r="G180" s="425">
        <f>ROUND(E180*F180,2)</f>
        <v>81.83</v>
      </c>
      <c r="H180" s="442">
        <f>G180</f>
        <v>81.83</v>
      </c>
      <c r="I180" s="442">
        <f t="shared" ref="I180:N182" si="1">G180</f>
        <v>81.83</v>
      </c>
      <c r="J180" s="442">
        <f t="shared" si="1"/>
        <v>81.83</v>
      </c>
      <c r="K180" s="442">
        <f t="shared" si="1"/>
        <v>81.83</v>
      </c>
      <c r="L180" s="442">
        <f t="shared" si="1"/>
        <v>81.83</v>
      </c>
      <c r="M180" s="453">
        <f t="shared" si="1"/>
        <v>81.83</v>
      </c>
      <c r="N180" s="454">
        <f t="shared" si="1"/>
        <v>81.83</v>
      </c>
    </row>
    <row r="181" spans="1:14" hidden="1">
      <c r="A181" s="423"/>
      <c r="B181" s="420"/>
      <c r="C181" s="440" t="s">
        <v>280</v>
      </c>
      <c r="D181" s="426" t="s">
        <v>119</v>
      </c>
      <c r="E181" s="443">
        <v>0.16700000000000001</v>
      </c>
      <c r="F181" s="425">
        <f>F141</f>
        <v>440</v>
      </c>
      <c r="G181" s="425">
        <f>ROUND(E181*F181,2)</f>
        <v>73.48</v>
      </c>
      <c r="H181" s="442">
        <f>G181</f>
        <v>73.48</v>
      </c>
      <c r="I181" s="442">
        <f t="shared" si="1"/>
        <v>73.48</v>
      </c>
      <c r="J181" s="442">
        <f t="shared" si="1"/>
        <v>73.48</v>
      </c>
      <c r="K181" s="442">
        <f t="shared" si="1"/>
        <v>73.48</v>
      </c>
      <c r="L181" s="442">
        <f t="shared" si="1"/>
        <v>73.48</v>
      </c>
      <c r="M181" s="453">
        <f t="shared" si="1"/>
        <v>73.48</v>
      </c>
      <c r="N181" s="454">
        <f t="shared" si="1"/>
        <v>73.48</v>
      </c>
    </row>
    <row r="182" spans="1:14" hidden="1">
      <c r="A182" s="423"/>
      <c r="B182" s="420"/>
      <c r="C182" s="440" t="s">
        <v>281</v>
      </c>
      <c r="D182" s="426" t="s">
        <v>119</v>
      </c>
      <c r="E182" s="443">
        <v>4.7</v>
      </c>
      <c r="F182" s="425">
        <f>F142</f>
        <v>400</v>
      </c>
      <c r="G182" s="425">
        <f>ROUND(E182*F182,2)</f>
        <v>1880</v>
      </c>
      <c r="H182" s="442">
        <f>G182</f>
        <v>1880</v>
      </c>
      <c r="I182" s="442">
        <f t="shared" si="1"/>
        <v>1880</v>
      </c>
      <c r="J182" s="442">
        <f t="shared" si="1"/>
        <v>1880</v>
      </c>
      <c r="K182" s="442">
        <f t="shared" si="1"/>
        <v>1880</v>
      </c>
      <c r="L182" s="442">
        <f t="shared" si="1"/>
        <v>1880</v>
      </c>
      <c r="M182" s="453">
        <f t="shared" si="1"/>
        <v>1880</v>
      </c>
      <c r="N182" s="454">
        <f t="shared" si="1"/>
        <v>1880</v>
      </c>
    </row>
    <row r="183" spans="1:14" hidden="1">
      <c r="A183" s="423"/>
      <c r="B183" s="420"/>
      <c r="C183" s="424" t="s">
        <v>615</v>
      </c>
      <c r="D183" s="426"/>
      <c r="E183" s="443"/>
      <c r="F183" s="425"/>
      <c r="G183" s="425"/>
      <c r="H183" s="442"/>
      <c r="I183" s="442">
        <f>SUM(I180:I182)*10/100</f>
        <v>203.53099999999998</v>
      </c>
      <c r="J183" s="442">
        <f>I183</f>
        <v>203.53099999999998</v>
      </c>
      <c r="K183" s="442">
        <f>SUM(K180:K182)*20/100</f>
        <v>407.06199999999995</v>
      </c>
      <c r="L183" s="442">
        <f>K183</f>
        <v>407.06199999999995</v>
      </c>
      <c r="M183" s="453">
        <f>SUM(M180:M182)*30/100</f>
        <v>610.59299999999996</v>
      </c>
      <c r="N183" s="454">
        <f>M183</f>
        <v>610.59299999999996</v>
      </c>
    </row>
    <row r="184" spans="1:14" ht="13.5" hidden="1" customHeight="1">
      <c r="A184" s="423"/>
      <c r="B184" s="421"/>
      <c r="C184" s="424" t="s">
        <v>592</v>
      </c>
      <c r="D184" s="427">
        <f>D170</f>
        <v>0.4</v>
      </c>
      <c r="E184" s="415"/>
      <c r="F184" s="422"/>
      <c r="G184" s="442">
        <f>D184*SUM(G180:G182)</f>
        <v>814.12400000000002</v>
      </c>
      <c r="H184" s="442">
        <f>D184*SUM(H180:H182)</f>
        <v>814.12400000000002</v>
      </c>
      <c r="I184" s="442">
        <f>D184*SUM(I180:I183)</f>
        <v>895.53639999999996</v>
      </c>
      <c r="J184" s="442">
        <f>I184</f>
        <v>895.53639999999996</v>
      </c>
      <c r="K184" s="442">
        <f>D184*SUM(K180:K183)</f>
        <v>976.94880000000001</v>
      </c>
      <c r="L184" s="442">
        <f>K184</f>
        <v>976.94880000000001</v>
      </c>
      <c r="M184" s="455">
        <f>D184*SUM(M180:M183)</f>
        <v>1058.3612000000001</v>
      </c>
      <c r="N184" s="454">
        <f>M184</f>
        <v>1058.3612000000001</v>
      </c>
    </row>
    <row r="185" spans="1:14" hidden="1">
      <c r="A185" s="423"/>
      <c r="B185" s="420"/>
      <c r="C185" s="440" t="s">
        <v>252</v>
      </c>
      <c r="D185" s="426"/>
      <c r="E185" s="443"/>
      <c r="F185" s="425"/>
      <c r="G185" s="425"/>
      <c r="H185" s="442"/>
      <c r="I185" s="442"/>
      <c r="J185" s="442"/>
      <c r="K185" s="442"/>
      <c r="L185" s="442"/>
      <c r="M185" s="453"/>
      <c r="N185" s="454"/>
    </row>
    <row r="186" spans="1:14" ht="27" hidden="1" customHeight="1">
      <c r="A186" s="423"/>
      <c r="B186" s="420"/>
      <c r="C186" s="440" t="s">
        <v>282</v>
      </c>
      <c r="D186" s="426" t="s">
        <v>267</v>
      </c>
      <c r="E186" s="443">
        <v>1</v>
      </c>
      <c r="F186" s="425">
        <f>F145</f>
        <v>525.5</v>
      </c>
      <c r="G186" s="425">
        <f>ROUND(E186*F186,2)</f>
        <v>525.5</v>
      </c>
      <c r="H186" s="442">
        <f t="shared" ref="H186:N186" si="2">G186</f>
        <v>525.5</v>
      </c>
      <c r="I186" s="442">
        <f t="shared" si="2"/>
        <v>525.5</v>
      </c>
      <c r="J186" s="442">
        <f t="shared" si="2"/>
        <v>525.5</v>
      </c>
      <c r="K186" s="442">
        <f t="shared" si="2"/>
        <v>525.5</v>
      </c>
      <c r="L186" s="442">
        <f t="shared" si="2"/>
        <v>525.5</v>
      </c>
      <c r="M186" s="453">
        <f t="shared" si="2"/>
        <v>525.5</v>
      </c>
      <c r="N186" s="454">
        <f t="shared" si="2"/>
        <v>525.5</v>
      </c>
    </row>
    <row r="187" spans="1:14" ht="27" hidden="1" customHeight="1">
      <c r="A187" s="423"/>
      <c r="B187" s="420"/>
      <c r="C187" s="440" t="s">
        <v>283</v>
      </c>
      <c r="D187" s="426" t="s">
        <v>267</v>
      </c>
      <c r="E187" s="443">
        <v>1</v>
      </c>
      <c r="F187" s="425">
        <f>F146</f>
        <v>203.5</v>
      </c>
      <c r="G187" s="425">
        <f>ROUND(E187*F187,2)</f>
        <v>203.5</v>
      </c>
      <c r="H187" s="442"/>
      <c r="I187" s="442">
        <f>G187</f>
        <v>203.5</v>
      </c>
      <c r="J187" s="442"/>
      <c r="K187" s="442">
        <f>I187</f>
        <v>203.5</v>
      </c>
      <c r="L187" s="442"/>
      <c r="M187" s="453">
        <f>K187</f>
        <v>203.5</v>
      </c>
      <c r="N187" s="454"/>
    </row>
    <row r="188" spans="1:14" hidden="1">
      <c r="A188" s="423"/>
      <c r="B188" s="420"/>
      <c r="C188" s="416" t="s">
        <v>264</v>
      </c>
      <c r="D188" s="425" t="s">
        <v>265</v>
      </c>
      <c r="E188" s="443">
        <v>1.2</v>
      </c>
      <c r="F188" s="425">
        <f>F147</f>
        <v>77</v>
      </c>
      <c r="G188" s="425"/>
      <c r="H188" s="442"/>
      <c r="I188" s="442"/>
      <c r="J188" s="442"/>
      <c r="K188" s="442"/>
      <c r="L188" s="442"/>
      <c r="M188" s="453"/>
      <c r="N188" s="454"/>
    </row>
    <row r="189" spans="1:14" ht="15.5" hidden="1">
      <c r="A189" s="423"/>
      <c r="B189" s="420"/>
      <c r="C189" s="440" t="s">
        <v>284</v>
      </c>
      <c r="D189" s="426"/>
      <c r="E189" s="425"/>
      <c r="F189" s="425"/>
      <c r="G189" s="422">
        <f>SUM(G176:G188,0)</f>
        <v>6732.4239999999991</v>
      </c>
      <c r="H189" s="422">
        <f>SUM(H176:H188,0)</f>
        <v>6528.9239999999991</v>
      </c>
      <c r="I189" s="428"/>
      <c r="J189" s="428"/>
      <c r="K189" s="428"/>
      <c r="L189" s="428"/>
      <c r="M189" s="456"/>
      <c r="N189" s="457"/>
    </row>
    <row r="190" spans="1:14" ht="15.5" hidden="1">
      <c r="A190" s="423"/>
      <c r="B190" s="420"/>
      <c r="C190" s="440" t="s">
        <v>509</v>
      </c>
      <c r="D190" s="426"/>
      <c r="E190" s="425"/>
      <c r="F190" s="425"/>
      <c r="G190" s="425"/>
      <c r="H190" s="409"/>
      <c r="I190" s="422">
        <f t="shared" ref="I190:N190" si="3">SUM(I176:I189,0)</f>
        <v>7017.3673999999992</v>
      </c>
      <c r="J190" s="422">
        <f t="shared" si="3"/>
        <v>6813.8673999999992</v>
      </c>
      <c r="K190" s="422">
        <f t="shared" si="3"/>
        <v>7302.3107999999993</v>
      </c>
      <c r="L190" s="422">
        <f t="shared" si="3"/>
        <v>7098.8107999999993</v>
      </c>
      <c r="M190" s="458">
        <f t="shared" si="3"/>
        <v>7587.2541999999994</v>
      </c>
      <c r="N190" s="459">
        <f t="shared" si="3"/>
        <v>7383.7541999999994</v>
      </c>
    </row>
    <row r="191" spans="1:14" ht="15.5" hidden="1">
      <c r="A191" s="423"/>
      <c r="B191" s="420"/>
      <c r="C191" s="440"/>
      <c r="D191" s="426"/>
      <c r="E191" s="425"/>
      <c r="F191" s="425"/>
      <c r="G191" s="425" t="s">
        <v>613</v>
      </c>
      <c r="H191" s="409"/>
      <c r="I191" s="428" t="s">
        <v>611</v>
      </c>
      <c r="J191" s="422"/>
      <c r="K191" s="428" t="s">
        <v>614</v>
      </c>
      <c r="L191" s="422"/>
      <c r="M191" s="456"/>
      <c r="N191" s="460"/>
    </row>
    <row r="192" spans="1:14" hidden="1">
      <c r="A192" s="423"/>
      <c r="B192" s="420"/>
      <c r="C192" s="440" t="s">
        <v>284</v>
      </c>
      <c r="D192" s="426" t="s">
        <v>117</v>
      </c>
      <c r="E192" s="425">
        <v>1</v>
      </c>
      <c r="F192" s="425">
        <f>G189</f>
        <v>6732.4239999999991</v>
      </c>
      <c r="G192" s="425">
        <f>ROUND(E192*F192,2)</f>
        <v>6732.42</v>
      </c>
      <c r="H192" s="442">
        <f>I190</f>
        <v>7017.3673999999992</v>
      </c>
      <c r="I192" s="434">
        <f>ROUND(E192*H192,2)</f>
        <v>7017.37</v>
      </c>
      <c r="J192" s="433">
        <f>K190</f>
        <v>7302.3107999999993</v>
      </c>
      <c r="K192" s="434">
        <f>ROUND(E192*J192,2)</f>
        <v>7302.31</v>
      </c>
      <c r="L192" s="409"/>
      <c r="M192" s="461"/>
    </row>
    <row r="193" spans="1:13" hidden="1">
      <c r="A193" s="423"/>
      <c r="B193" s="420"/>
      <c r="C193" s="440" t="s">
        <v>532</v>
      </c>
      <c r="D193" s="426" t="s">
        <v>117</v>
      </c>
      <c r="E193" s="425">
        <v>1</v>
      </c>
      <c r="F193" s="425">
        <v>2623</v>
      </c>
      <c r="G193" s="425">
        <f>ROUND(E193*F193,2)</f>
        <v>2623</v>
      </c>
      <c r="H193" s="434">
        <v>2850</v>
      </c>
      <c r="I193" s="434">
        <f>ROUND(E193*H193,2)</f>
        <v>2850</v>
      </c>
      <c r="J193" s="436">
        <v>3077</v>
      </c>
      <c r="K193" s="434">
        <f>ROUND(E193*J193,2)</f>
        <v>3077</v>
      </c>
      <c r="L193" s="409"/>
      <c r="M193" s="461"/>
    </row>
    <row r="194" spans="1:13" ht="13.5" hidden="1" customHeight="1">
      <c r="A194" s="423"/>
      <c r="B194" s="421"/>
      <c r="C194" s="424" t="s">
        <v>617</v>
      </c>
      <c r="D194" s="427">
        <f>D184</f>
        <v>0.4</v>
      </c>
      <c r="E194" s="415"/>
      <c r="F194" s="425">
        <v>2268</v>
      </c>
      <c r="G194" s="425">
        <f>D194*F194</f>
        <v>907.2</v>
      </c>
      <c r="H194" s="434">
        <v>2495</v>
      </c>
      <c r="I194" s="425">
        <f>D194*H194</f>
        <v>998</v>
      </c>
      <c r="J194" s="436">
        <v>2722</v>
      </c>
      <c r="K194" s="425">
        <f>D194*J194</f>
        <v>1088.8</v>
      </c>
      <c r="L194" s="409"/>
      <c r="M194" s="462"/>
    </row>
    <row r="195" spans="1:13" ht="15.5" hidden="1">
      <c r="A195" s="423"/>
      <c r="B195" s="420"/>
      <c r="C195" s="424" t="s">
        <v>142</v>
      </c>
      <c r="D195" s="426"/>
      <c r="E195" s="425"/>
      <c r="F195" s="425"/>
      <c r="G195" s="422">
        <f>SUM(G192:G194,0)</f>
        <v>10262.620000000001</v>
      </c>
      <c r="H195" s="428"/>
      <c r="I195" s="422">
        <f>SUM(I192:I194,0)</f>
        <v>10865.369999999999</v>
      </c>
      <c r="J195" s="409"/>
      <c r="K195" s="422">
        <f>SUM(K192:K194,0)</f>
        <v>11468.11</v>
      </c>
      <c r="L195" s="409"/>
      <c r="M195" s="458"/>
    </row>
    <row r="196" spans="1:13" ht="26" hidden="1">
      <c r="A196" s="423"/>
      <c r="B196" s="420"/>
      <c r="C196" s="424" t="s">
        <v>578</v>
      </c>
      <c r="D196" s="426"/>
      <c r="E196" s="425"/>
      <c r="F196" s="425"/>
      <c r="G196" s="422">
        <f>G195*13.615/100</f>
        <v>1397.255713</v>
      </c>
      <c r="H196" s="409"/>
      <c r="I196" s="422">
        <f>I195*13.615/100</f>
        <v>1479.3201254999999</v>
      </c>
      <c r="J196" s="409"/>
      <c r="K196" s="422">
        <f>K195*13.615/100</f>
        <v>1561.3831765000002</v>
      </c>
      <c r="L196" s="409"/>
      <c r="M196" s="458"/>
    </row>
    <row r="197" spans="1:13" ht="15.5" hidden="1">
      <c r="A197" s="423"/>
      <c r="B197" s="420"/>
      <c r="C197" s="424"/>
      <c r="D197" s="426"/>
      <c r="E197" s="425"/>
      <c r="F197" s="425"/>
      <c r="G197" s="422">
        <f>SUM(G195:G196)</f>
        <v>11659.875713000001</v>
      </c>
      <c r="H197" s="409"/>
      <c r="I197" s="422">
        <f>SUM(I195:I196)</f>
        <v>12344.690125499999</v>
      </c>
      <c r="J197" s="409"/>
      <c r="K197" s="422">
        <f>SUM(K195:K196)</f>
        <v>13029.4931765</v>
      </c>
      <c r="L197" s="409"/>
      <c r="M197" s="458"/>
    </row>
    <row r="198" spans="1:13" ht="14" hidden="1">
      <c r="A198" s="423"/>
      <c r="B198" s="420"/>
      <c r="C198" s="449" t="s">
        <v>288</v>
      </c>
      <c r="D198" s="426"/>
      <c r="E198" s="425"/>
      <c r="F198" s="425"/>
      <c r="G198" s="425"/>
      <c r="H198" s="409"/>
      <c r="I198" s="409"/>
      <c r="J198" s="409"/>
      <c r="K198" s="409"/>
      <c r="L198" s="409"/>
      <c r="M198" s="463"/>
    </row>
    <row r="199" spans="1:13" hidden="1">
      <c r="A199" s="423"/>
      <c r="B199" s="420"/>
      <c r="C199" s="440" t="s">
        <v>284</v>
      </c>
      <c r="D199" s="426" t="s">
        <v>117</v>
      </c>
      <c r="E199" s="425">
        <v>1</v>
      </c>
      <c r="F199" s="425">
        <f>H189</f>
        <v>6528.9239999999991</v>
      </c>
      <c r="G199" s="425">
        <f>ROUND(E199*F199,2)</f>
        <v>6528.92</v>
      </c>
      <c r="H199" s="442">
        <f>J190</f>
        <v>6813.8673999999992</v>
      </c>
      <c r="I199" s="434">
        <f>ROUND(E199*H199,2)</f>
        <v>6813.87</v>
      </c>
      <c r="J199" s="433">
        <f>L190</f>
        <v>7098.8107999999993</v>
      </c>
      <c r="K199" s="434">
        <f>ROUND(E199*J199,2)</f>
        <v>7098.81</v>
      </c>
      <c r="L199" s="409"/>
      <c r="M199" s="461"/>
    </row>
    <row r="200" spans="1:13" hidden="1">
      <c r="A200" s="423"/>
      <c r="B200" s="420"/>
      <c r="C200" s="440" t="s">
        <v>532</v>
      </c>
      <c r="D200" s="426" t="s">
        <v>117</v>
      </c>
      <c r="E200" s="425">
        <v>1</v>
      </c>
      <c r="F200" s="425">
        <v>2041</v>
      </c>
      <c r="G200" s="425">
        <f>ROUND(E200*F200,2)</f>
        <v>2041</v>
      </c>
      <c r="H200" s="434">
        <v>2166</v>
      </c>
      <c r="I200" s="434">
        <f>ROUND(E200*H200,2)</f>
        <v>2166</v>
      </c>
      <c r="J200" s="436">
        <v>2291</v>
      </c>
      <c r="K200" s="434">
        <f>ROUND(E200*J200,2)</f>
        <v>2291</v>
      </c>
      <c r="L200" s="409"/>
      <c r="M200" s="461"/>
    </row>
    <row r="201" spans="1:13" ht="13.5" hidden="1" customHeight="1">
      <c r="A201" s="423"/>
      <c r="B201" s="421"/>
      <c r="C201" s="424" t="s">
        <v>617</v>
      </c>
      <c r="D201" s="427">
        <f>D194</f>
        <v>0.4</v>
      </c>
      <c r="E201" s="415"/>
      <c r="F201" s="425">
        <v>1251</v>
      </c>
      <c r="G201" s="425">
        <f>D201*F201</f>
        <v>500.40000000000003</v>
      </c>
      <c r="H201" s="434">
        <v>1376</v>
      </c>
      <c r="I201" s="425">
        <f>D201*H201</f>
        <v>550.4</v>
      </c>
      <c r="J201" s="436">
        <v>1501</v>
      </c>
      <c r="K201" s="425">
        <f>D201*J201</f>
        <v>600.4</v>
      </c>
      <c r="L201" s="409"/>
      <c r="M201" s="462"/>
    </row>
    <row r="202" spans="1:13" ht="15.5" hidden="1">
      <c r="A202" s="423"/>
      <c r="B202" s="420"/>
      <c r="C202" s="424" t="s">
        <v>142</v>
      </c>
      <c r="D202" s="426"/>
      <c r="E202" s="425"/>
      <c r="F202" s="425"/>
      <c r="G202" s="422">
        <f>SUM(G199:G201,0)</f>
        <v>9070.32</v>
      </c>
      <c r="H202" s="428"/>
      <c r="I202" s="422">
        <f>SUM(I199:I201,0)</f>
        <v>9530.2699999999986</v>
      </c>
      <c r="J202" s="409"/>
      <c r="K202" s="422">
        <f>SUM(K199:K201,0)</f>
        <v>9990.2100000000009</v>
      </c>
      <c r="L202" s="409"/>
      <c r="M202" s="458"/>
    </row>
    <row r="203" spans="1:13" ht="26" hidden="1">
      <c r="A203" s="423"/>
      <c r="B203" s="420"/>
      <c r="C203" s="424" t="s">
        <v>578</v>
      </c>
      <c r="D203" s="426"/>
      <c r="E203" s="425"/>
      <c r="F203" s="425"/>
      <c r="G203" s="422">
        <f>G202*13.615/100</f>
        <v>1234.924068</v>
      </c>
      <c r="H203" s="428"/>
      <c r="I203" s="422">
        <f>I202*13.615/100</f>
        <v>1297.5462604999998</v>
      </c>
      <c r="J203" s="409"/>
      <c r="K203" s="422">
        <f>K202*13.615/100</f>
        <v>1360.1670915000002</v>
      </c>
      <c r="L203" s="409"/>
      <c r="M203" s="458"/>
    </row>
    <row r="204" spans="1:13" ht="15.5" hidden="1">
      <c r="A204" s="423"/>
      <c r="B204" s="420"/>
      <c r="C204" s="440"/>
      <c r="D204" s="426"/>
      <c r="E204" s="425"/>
      <c r="F204" s="425"/>
      <c r="G204" s="422">
        <f>SUM(G202:G203)</f>
        <v>10305.244068</v>
      </c>
      <c r="H204" s="428"/>
      <c r="I204" s="422">
        <f>SUM(I202:I203)</f>
        <v>10827.816260499998</v>
      </c>
      <c r="J204" s="409"/>
      <c r="K204" s="422">
        <f>SUM(K202:K203)</f>
        <v>11350.3770915</v>
      </c>
      <c r="L204" s="409"/>
      <c r="M204" s="458"/>
    </row>
    <row r="205" spans="1:13" ht="14" hidden="1">
      <c r="A205" s="423"/>
      <c r="B205" s="420"/>
      <c r="C205" s="449" t="s">
        <v>289</v>
      </c>
      <c r="D205" s="426"/>
      <c r="E205" s="425"/>
      <c r="F205" s="425"/>
      <c r="G205" s="425"/>
      <c r="H205" s="428"/>
      <c r="I205" s="409"/>
      <c r="J205" s="409"/>
      <c r="K205" s="409"/>
      <c r="L205" s="409"/>
      <c r="M205" s="463"/>
    </row>
    <row r="206" spans="1:13" hidden="1">
      <c r="A206" s="423"/>
      <c r="B206" s="420"/>
      <c r="C206" s="440" t="s">
        <v>290</v>
      </c>
      <c r="D206" s="426" t="s">
        <v>117</v>
      </c>
      <c r="E206" s="425">
        <v>1</v>
      </c>
      <c r="F206" s="425">
        <f>H189</f>
        <v>6528.9239999999991</v>
      </c>
      <c r="G206" s="425">
        <f>ROUND(E206*F206,2)</f>
        <v>6528.92</v>
      </c>
      <c r="H206" s="442">
        <f>J190</f>
        <v>6813.8673999999992</v>
      </c>
      <c r="I206" s="434">
        <f>ROUND(E206*H206,2)</f>
        <v>6813.87</v>
      </c>
      <c r="J206" s="433">
        <f>L190</f>
        <v>7098.8107999999993</v>
      </c>
      <c r="K206" s="434">
        <f>ROUND(E206*J206,2)</f>
        <v>7098.81</v>
      </c>
      <c r="L206" s="409"/>
      <c r="M206" s="461"/>
    </row>
    <row r="207" spans="1:13" hidden="1">
      <c r="A207" s="423"/>
      <c r="B207" s="420"/>
      <c r="C207" s="440" t="s">
        <v>532</v>
      </c>
      <c r="D207" s="426" t="s">
        <v>117</v>
      </c>
      <c r="E207" s="425">
        <v>16</v>
      </c>
      <c r="F207" s="425">
        <v>348</v>
      </c>
      <c r="G207" s="425">
        <f>ROUND(E207*F207,2)</f>
        <v>5568</v>
      </c>
      <c r="H207" s="434">
        <v>367</v>
      </c>
      <c r="I207" s="434">
        <f>ROUND(E207*H207,2)</f>
        <v>5872</v>
      </c>
      <c r="J207" s="436">
        <v>386</v>
      </c>
      <c r="K207" s="434">
        <f>ROUND(E207*J207,2)</f>
        <v>6176</v>
      </c>
      <c r="L207" s="409"/>
      <c r="M207" s="461"/>
    </row>
    <row r="208" spans="1:13" ht="13.5" hidden="1" customHeight="1">
      <c r="A208" s="423"/>
      <c r="B208" s="421"/>
      <c r="C208" s="424" t="s">
        <v>617</v>
      </c>
      <c r="D208" s="464">
        <f>D201</f>
        <v>0.4</v>
      </c>
      <c r="E208" s="428"/>
      <c r="F208" s="425">
        <v>192</v>
      </c>
      <c r="G208" s="425">
        <f>D208*E207*F208</f>
        <v>1228.8000000000002</v>
      </c>
      <c r="H208" s="434">
        <v>211</v>
      </c>
      <c r="I208" s="425">
        <f>D208*E207*H208</f>
        <v>1350.4</v>
      </c>
      <c r="J208" s="436">
        <v>230</v>
      </c>
      <c r="K208" s="425">
        <f>D208*E207*J208</f>
        <v>1472</v>
      </c>
      <c r="L208" s="409"/>
      <c r="M208" s="462"/>
    </row>
    <row r="209" spans="1:14" ht="15.5" hidden="1">
      <c r="A209" s="423"/>
      <c r="B209" s="420"/>
      <c r="C209" s="424" t="s">
        <v>142</v>
      </c>
      <c r="D209" s="426"/>
      <c r="E209" s="425"/>
      <c r="F209" s="425"/>
      <c r="G209" s="422">
        <f>SUM(G206:G208,0)</f>
        <v>13325.720000000001</v>
      </c>
      <c r="H209" s="409"/>
      <c r="I209" s="422">
        <f>SUM(I206:I208,0)</f>
        <v>14036.269999999999</v>
      </c>
      <c r="J209" s="409"/>
      <c r="K209" s="422">
        <f>SUM(K206:K208,0)</f>
        <v>14746.810000000001</v>
      </c>
      <c r="L209" s="409"/>
      <c r="M209" s="458"/>
    </row>
    <row r="210" spans="1:14" ht="26" hidden="1">
      <c r="A210" s="423"/>
      <c r="B210" s="420"/>
      <c r="C210" s="424" t="s">
        <v>578</v>
      </c>
      <c r="D210" s="426"/>
      <c r="E210" s="425"/>
      <c r="F210" s="425"/>
      <c r="G210" s="422">
        <f>G209*13.615/100</f>
        <v>1814.2967780000001</v>
      </c>
      <c r="H210" s="409"/>
      <c r="I210" s="422">
        <f>I209*13.615/100</f>
        <v>1911.0381605</v>
      </c>
      <c r="J210" s="409"/>
      <c r="K210" s="422">
        <f>K209*13.615/100</f>
        <v>2007.7781815000001</v>
      </c>
      <c r="L210" s="409"/>
      <c r="M210" s="458"/>
    </row>
    <row r="211" spans="1:14" ht="15.5" hidden="1">
      <c r="A211" s="423"/>
      <c r="B211" s="420"/>
      <c r="C211" s="424"/>
      <c r="D211" s="426"/>
      <c r="E211" s="425"/>
      <c r="F211" s="425"/>
      <c r="G211" s="422">
        <f>SUM(G209:G210)</f>
        <v>15140.016778000001</v>
      </c>
      <c r="H211" s="409"/>
      <c r="I211" s="422">
        <f>SUM(I209:I210)</f>
        <v>15947.308160499999</v>
      </c>
      <c r="J211" s="409"/>
      <c r="K211" s="422">
        <f>SUM(K209:K210)</f>
        <v>16754.588181500003</v>
      </c>
      <c r="L211" s="409"/>
      <c r="M211" s="458"/>
    </row>
    <row r="212" spans="1:14" ht="15.5" hidden="1">
      <c r="A212" s="423"/>
      <c r="B212" s="420" t="s">
        <v>146</v>
      </c>
      <c r="C212" s="449" t="s">
        <v>291</v>
      </c>
      <c r="D212" s="426"/>
      <c r="E212" s="425"/>
      <c r="F212" s="425"/>
      <c r="G212" s="425"/>
      <c r="H212" s="409"/>
      <c r="I212" s="422"/>
      <c r="J212" s="409"/>
      <c r="K212" s="422"/>
      <c r="L212" s="409"/>
      <c r="M212" s="458"/>
    </row>
    <row r="213" spans="1:14" ht="15.5" hidden="1">
      <c r="A213" s="423"/>
      <c r="B213" s="420"/>
      <c r="C213" s="440" t="s">
        <v>24</v>
      </c>
      <c r="D213" s="426"/>
      <c r="E213" s="425"/>
      <c r="F213" s="425"/>
      <c r="G213" s="425" t="s">
        <v>613</v>
      </c>
      <c r="H213" s="425" t="s">
        <v>611</v>
      </c>
      <c r="I213" s="425" t="s">
        <v>614</v>
      </c>
      <c r="J213" s="409"/>
      <c r="K213" s="422"/>
      <c r="L213" s="409"/>
      <c r="M213" s="458"/>
    </row>
    <row r="214" spans="1:14" hidden="1">
      <c r="A214" s="423"/>
      <c r="B214" s="420"/>
      <c r="C214" s="440" t="s">
        <v>287</v>
      </c>
      <c r="D214" s="426" t="s">
        <v>117</v>
      </c>
      <c r="E214" s="443">
        <v>0.9</v>
      </c>
      <c r="F214" s="425">
        <f>F176</f>
        <v>1610.64</v>
      </c>
      <c r="G214" s="425">
        <f>ROUND(E214*F214,2)</f>
        <v>1449.58</v>
      </c>
      <c r="H214" s="433">
        <f t="shared" ref="H214:I216" si="4">G214</f>
        <v>1449.58</v>
      </c>
      <c r="I214" s="433">
        <f t="shared" si="4"/>
        <v>1449.58</v>
      </c>
      <c r="J214" s="409"/>
      <c r="K214" s="409"/>
      <c r="L214" s="409"/>
      <c r="M214" s="463"/>
    </row>
    <row r="215" spans="1:14" hidden="1">
      <c r="A215" s="423"/>
      <c r="B215" s="420"/>
      <c r="C215" s="440" t="s">
        <v>277</v>
      </c>
      <c r="D215" s="426" t="s">
        <v>117</v>
      </c>
      <c r="E215" s="443">
        <v>0.45</v>
      </c>
      <c r="F215" s="425">
        <f>F177</f>
        <v>267.58</v>
      </c>
      <c r="G215" s="425">
        <f>ROUND(E215*F215,2)</f>
        <v>120.41</v>
      </c>
      <c r="H215" s="433">
        <f t="shared" si="4"/>
        <v>120.41</v>
      </c>
      <c r="I215" s="433">
        <f t="shared" si="4"/>
        <v>120.41</v>
      </c>
      <c r="J215" s="409"/>
      <c r="K215" s="409"/>
      <c r="L215" s="409"/>
    </row>
    <row r="216" spans="1:14" hidden="1">
      <c r="A216" s="423"/>
      <c r="B216" s="420"/>
      <c r="C216" s="440" t="s">
        <v>218</v>
      </c>
      <c r="D216" s="426" t="s">
        <v>207</v>
      </c>
      <c r="E216" s="443">
        <v>330</v>
      </c>
      <c r="F216" s="425">
        <f>F178</f>
        <v>4.8</v>
      </c>
      <c r="G216" s="425">
        <f>ROUND(E216*F216,2)</f>
        <v>1584</v>
      </c>
      <c r="H216" s="433">
        <f t="shared" si="4"/>
        <v>1584</v>
      </c>
      <c r="I216" s="433">
        <f t="shared" si="4"/>
        <v>1584</v>
      </c>
      <c r="J216" s="409"/>
      <c r="K216" s="409"/>
      <c r="L216" s="409"/>
    </row>
    <row r="217" spans="1:14" hidden="1">
      <c r="A217" s="423"/>
      <c r="B217" s="420"/>
      <c r="C217" s="440" t="s">
        <v>278</v>
      </c>
      <c r="D217" s="426"/>
      <c r="E217" s="443"/>
      <c r="F217" s="425"/>
      <c r="G217" s="425"/>
      <c r="H217" s="433"/>
      <c r="I217" s="433"/>
      <c r="J217" s="409"/>
      <c r="K217" s="409"/>
      <c r="L217" s="409"/>
    </row>
    <row r="218" spans="1:14" hidden="1">
      <c r="A218" s="423"/>
      <c r="B218" s="420"/>
      <c r="C218" s="440" t="s">
        <v>279</v>
      </c>
      <c r="D218" s="426" t="s">
        <v>119</v>
      </c>
      <c r="E218" s="443">
        <v>6.7000000000000004E-2</v>
      </c>
      <c r="F218" s="425">
        <f>F180</f>
        <v>490</v>
      </c>
      <c r="G218" s="425">
        <f>ROUND(E218*F218,2)</f>
        <v>32.83</v>
      </c>
      <c r="H218" s="433">
        <f t="shared" ref="H218:I220" si="5">G218</f>
        <v>32.83</v>
      </c>
      <c r="I218" s="433">
        <f t="shared" si="5"/>
        <v>32.83</v>
      </c>
      <c r="J218" s="409"/>
      <c r="K218" s="409"/>
      <c r="L218" s="409"/>
    </row>
    <row r="219" spans="1:14" hidden="1">
      <c r="A219" s="423"/>
      <c r="B219" s="420"/>
      <c r="C219" s="440" t="s">
        <v>280</v>
      </c>
      <c r="D219" s="426" t="s">
        <v>119</v>
      </c>
      <c r="E219" s="443">
        <v>0.13300000000000001</v>
      </c>
      <c r="F219" s="425">
        <f>F181</f>
        <v>440</v>
      </c>
      <c r="G219" s="425">
        <f>ROUND(E219*F219,2)</f>
        <v>58.52</v>
      </c>
      <c r="H219" s="433">
        <f t="shared" si="5"/>
        <v>58.52</v>
      </c>
      <c r="I219" s="433">
        <f t="shared" si="5"/>
        <v>58.52</v>
      </c>
      <c r="J219" s="409"/>
      <c r="K219" s="409"/>
      <c r="L219" s="409"/>
    </row>
    <row r="220" spans="1:14" hidden="1">
      <c r="A220" s="423"/>
      <c r="B220" s="420"/>
      <c r="C220" s="440" t="s">
        <v>281</v>
      </c>
      <c r="D220" s="426" t="s">
        <v>119</v>
      </c>
      <c r="E220" s="443">
        <v>2.5</v>
      </c>
      <c r="F220" s="425">
        <f>F182</f>
        <v>400</v>
      </c>
      <c r="G220" s="425">
        <f>ROUND(E220*F220,2)</f>
        <v>1000</v>
      </c>
      <c r="H220" s="433">
        <f t="shared" si="5"/>
        <v>1000</v>
      </c>
      <c r="I220" s="433">
        <f t="shared" si="5"/>
        <v>1000</v>
      </c>
      <c r="J220" s="409"/>
      <c r="K220" s="409"/>
      <c r="L220" s="409"/>
    </row>
    <row r="221" spans="1:14" hidden="1">
      <c r="A221" s="423"/>
      <c r="B221" s="420"/>
      <c r="C221" s="424" t="s">
        <v>615</v>
      </c>
      <c r="D221" s="426"/>
      <c r="E221" s="443"/>
      <c r="F221" s="425"/>
      <c r="G221" s="425"/>
      <c r="H221" s="465">
        <f>SUM(H218:H220)*10/100</f>
        <v>109.13500000000001</v>
      </c>
      <c r="I221" s="465">
        <f>SUM(I218:I220)*20/100</f>
        <v>218.27</v>
      </c>
      <c r="J221" s="442"/>
      <c r="K221" s="442"/>
      <c r="L221" s="442"/>
      <c r="M221" s="454"/>
      <c r="N221" s="454"/>
    </row>
    <row r="222" spans="1:14" ht="13.5" hidden="1" customHeight="1">
      <c r="A222" s="423"/>
      <c r="B222" s="421"/>
      <c r="C222" s="424" t="s">
        <v>592</v>
      </c>
      <c r="D222" s="427">
        <f>D208</f>
        <v>0.4</v>
      </c>
      <c r="E222" s="415"/>
      <c r="F222" s="422"/>
      <c r="G222" s="442">
        <f>D222*SUM(G218:G220)</f>
        <v>436.53999999999996</v>
      </c>
      <c r="H222" s="465">
        <f>D222*SUM(H218:H221)</f>
        <v>480.19399999999996</v>
      </c>
      <c r="I222" s="465">
        <f>D222*SUM(I218:I221)</f>
        <v>523.84799999999996</v>
      </c>
      <c r="J222" s="409"/>
      <c r="K222" s="442"/>
      <c r="L222" s="409"/>
      <c r="M222" s="454"/>
    </row>
    <row r="223" spans="1:14" hidden="1">
      <c r="A223" s="423"/>
      <c r="B223" s="420"/>
      <c r="C223" s="440" t="s">
        <v>252</v>
      </c>
      <c r="D223" s="426"/>
      <c r="E223" s="443"/>
      <c r="F223" s="425"/>
      <c r="G223" s="425"/>
      <c r="H223" s="433"/>
      <c r="I223" s="433"/>
      <c r="J223" s="409"/>
      <c r="K223" s="409"/>
      <c r="L223" s="409"/>
    </row>
    <row r="224" spans="1:14" ht="25" hidden="1">
      <c r="A224" s="423"/>
      <c r="B224" s="420"/>
      <c r="C224" s="440" t="s">
        <v>292</v>
      </c>
      <c r="D224" s="426" t="s">
        <v>267</v>
      </c>
      <c r="E224" s="443">
        <v>0.26700000000000002</v>
      </c>
      <c r="F224" s="425">
        <f>F186</f>
        <v>525.5</v>
      </c>
      <c r="G224" s="425">
        <f>ROUND(E224*F224,2)</f>
        <v>140.31</v>
      </c>
      <c r="H224" s="433">
        <f>G224</f>
        <v>140.31</v>
      </c>
      <c r="I224" s="433">
        <f>H224</f>
        <v>140.31</v>
      </c>
      <c r="J224" s="409"/>
      <c r="K224" s="409"/>
      <c r="L224" s="409"/>
    </row>
    <row r="225" spans="1:13" hidden="1">
      <c r="A225" s="423"/>
      <c r="B225" s="420"/>
      <c r="C225" s="440" t="s">
        <v>283</v>
      </c>
      <c r="D225" s="426" t="s">
        <v>267</v>
      </c>
      <c r="E225" s="443">
        <v>0.26700000000000002</v>
      </c>
      <c r="F225" s="425">
        <f>F187</f>
        <v>203.5</v>
      </c>
      <c r="G225" s="425">
        <f>ROUND(E225*F225,2)</f>
        <v>54.33</v>
      </c>
      <c r="H225" s="433">
        <f>G225</f>
        <v>54.33</v>
      </c>
      <c r="I225" s="433">
        <f>H225</f>
        <v>54.33</v>
      </c>
      <c r="J225" s="409"/>
      <c r="K225" s="409"/>
      <c r="L225" s="409"/>
    </row>
    <row r="226" spans="1:13" hidden="1">
      <c r="A226" s="423"/>
      <c r="B226" s="420"/>
      <c r="C226" s="440" t="s">
        <v>264</v>
      </c>
      <c r="D226" s="426" t="s">
        <v>265</v>
      </c>
      <c r="E226" s="443">
        <v>1.2</v>
      </c>
      <c r="F226" s="425">
        <f>F188</f>
        <v>77</v>
      </c>
      <c r="G226" s="425"/>
      <c r="H226" s="433"/>
      <c r="I226" s="433"/>
      <c r="J226" s="409"/>
      <c r="K226" s="409"/>
      <c r="L226" s="409"/>
    </row>
    <row r="227" spans="1:13" ht="15.5" hidden="1">
      <c r="A227" s="423"/>
      <c r="B227" s="420"/>
      <c r="C227" s="440" t="s">
        <v>284</v>
      </c>
      <c r="D227" s="426"/>
      <c r="E227" s="425"/>
      <c r="F227" s="425"/>
      <c r="G227" s="422">
        <f>SUM(G214:G226,0)</f>
        <v>4876.5200000000004</v>
      </c>
      <c r="H227" s="422">
        <f>SUM(H214:H226,0)</f>
        <v>5029.3090000000002</v>
      </c>
      <c r="I227" s="422">
        <f>SUM(I214:I226,0)</f>
        <v>5182.0980000000009</v>
      </c>
      <c r="J227" s="409"/>
      <c r="K227" s="409"/>
      <c r="L227" s="409"/>
    </row>
    <row r="228" spans="1:13" hidden="1">
      <c r="A228" s="423"/>
      <c r="B228" s="420"/>
      <c r="C228" s="440"/>
      <c r="D228" s="426"/>
      <c r="E228" s="425"/>
      <c r="F228" s="425"/>
      <c r="G228" s="425"/>
      <c r="H228" s="409"/>
      <c r="I228" s="409"/>
      <c r="J228" s="409"/>
      <c r="K228" s="409"/>
      <c r="L228" s="409"/>
    </row>
    <row r="229" spans="1:13" hidden="1">
      <c r="A229" s="423"/>
      <c r="B229" s="420"/>
      <c r="C229" s="440" t="s">
        <v>510</v>
      </c>
      <c r="D229" s="426"/>
      <c r="E229" s="425"/>
      <c r="F229" s="425"/>
      <c r="G229" s="425" t="s">
        <v>613</v>
      </c>
      <c r="H229" s="409"/>
      <c r="I229" s="428" t="s">
        <v>611</v>
      </c>
      <c r="J229" s="409"/>
      <c r="K229" s="428" t="s">
        <v>614</v>
      </c>
      <c r="L229" s="409"/>
      <c r="M229" s="456"/>
    </row>
    <row r="230" spans="1:13" hidden="1">
      <c r="A230" s="423"/>
      <c r="B230" s="420"/>
      <c r="C230" s="440" t="s">
        <v>284</v>
      </c>
      <c r="D230" s="426" t="s">
        <v>117</v>
      </c>
      <c r="E230" s="425">
        <v>1</v>
      </c>
      <c r="F230" s="425">
        <f>G227</f>
        <v>4876.5200000000004</v>
      </c>
      <c r="G230" s="425">
        <f>ROUND(E230*F230,2)</f>
        <v>4876.5200000000004</v>
      </c>
      <c r="H230" s="442">
        <f>H227</f>
        <v>5029.3090000000002</v>
      </c>
      <c r="I230" s="434">
        <f>ROUND(E230*H230,2)</f>
        <v>5029.3100000000004</v>
      </c>
      <c r="J230" s="433">
        <f>I227</f>
        <v>5182.0980000000009</v>
      </c>
      <c r="K230" s="434">
        <f>ROUND(E230*J230,2)</f>
        <v>5182.1000000000004</v>
      </c>
      <c r="L230" s="409"/>
      <c r="M230" s="461"/>
    </row>
    <row r="231" spans="1:13" hidden="1">
      <c r="A231" s="423"/>
      <c r="B231" s="420"/>
      <c r="C231" s="440" t="s">
        <v>532</v>
      </c>
      <c r="D231" s="426" t="s">
        <v>117</v>
      </c>
      <c r="E231" s="425">
        <v>1</v>
      </c>
      <c r="F231" s="425">
        <v>2868</v>
      </c>
      <c r="G231" s="425">
        <f>ROUND(E231*F231,2)</f>
        <v>2868</v>
      </c>
      <c r="H231" s="434">
        <v>3015</v>
      </c>
      <c r="I231" s="434">
        <f>ROUND(E231*H231,2)</f>
        <v>3015</v>
      </c>
      <c r="J231" s="436">
        <v>3163</v>
      </c>
      <c r="K231" s="434">
        <f>ROUND(E231*J231,2)</f>
        <v>3163</v>
      </c>
      <c r="L231" s="409"/>
      <c r="M231" s="461"/>
    </row>
    <row r="232" spans="1:13" ht="13.5" hidden="1" customHeight="1">
      <c r="A232" s="423"/>
      <c r="B232" s="421"/>
      <c r="C232" s="424" t="s">
        <v>617</v>
      </c>
      <c r="D232" s="427">
        <f>D222</f>
        <v>0.4</v>
      </c>
      <c r="E232" s="415"/>
      <c r="F232" s="425">
        <v>1473</v>
      </c>
      <c r="G232" s="425">
        <f>D232*E231*F232</f>
        <v>589.20000000000005</v>
      </c>
      <c r="H232" s="434">
        <v>1620</v>
      </c>
      <c r="I232" s="425">
        <f>D232*H232</f>
        <v>648</v>
      </c>
      <c r="J232" s="436">
        <v>1768</v>
      </c>
      <c r="K232" s="425">
        <f>D232*J232</f>
        <v>707.2</v>
      </c>
      <c r="L232" s="409"/>
      <c r="M232" s="462"/>
    </row>
    <row r="233" spans="1:13" ht="15.5" hidden="1">
      <c r="A233" s="423"/>
      <c r="B233" s="420"/>
      <c r="C233" s="424" t="s">
        <v>142</v>
      </c>
      <c r="D233" s="426"/>
      <c r="E233" s="425"/>
      <c r="F233" s="425"/>
      <c r="G233" s="422">
        <f>SUM(G230:G232,0)</f>
        <v>8333.7200000000012</v>
      </c>
      <c r="H233" s="428"/>
      <c r="I233" s="422">
        <f>SUM(I230:I232,0)</f>
        <v>8692.3100000000013</v>
      </c>
      <c r="J233" s="409"/>
      <c r="K233" s="422">
        <f>SUM(K230:K232,0)</f>
        <v>9052.3000000000011</v>
      </c>
      <c r="L233" s="409"/>
      <c r="M233" s="458"/>
    </row>
    <row r="234" spans="1:13" ht="26" hidden="1">
      <c r="A234" s="423"/>
      <c r="B234" s="420"/>
      <c r="C234" s="424" t="s">
        <v>578</v>
      </c>
      <c r="D234" s="426"/>
      <c r="E234" s="425"/>
      <c r="F234" s="425"/>
      <c r="G234" s="422">
        <f>G233*13.615/100</f>
        <v>1134.6359780000003</v>
      </c>
      <c r="H234" s="409"/>
      <c r="I234" s="422">
        <f>I233*13.615/100</f>
        <v>1183.4580065000002</v>
      </c>
      <c r="J234" s="409"/>
      <c r="K234" s="422">
        <f>K233*13.615/100</f>
        <v>1232.4706450000003</v>
      </c>
      <c r="L234" s="409"/>
      <c r="M234" s="458"/>
    </row>
    <row r="235" spans="1:13" ht="15.5" hidden="1">
      <c r="A235" s="423"/>
      <c r="B235" s="420"/>
      <c r="C235" s="424"/>
      <c r="D235" s="426"/>
      <c r="E235" s="425"/>
      <c r="F235" s="425"/>
      <c r="G235" s="422">
        <f>SUM(G233:G234)</f>
        <v>9468.3559780000014</v>
      </c>
      <c r="H235" s="409"/>
      <c r="I235" s="422">
        <f>SUM(I233:I234)</f>
        <v>9875.7680065000022</v>
      </c>
      <c r="J235" s="409"/>
      <c r="K235" s="422">
        <f>SUM(K233:K234)</f>
        <v>10284.770645000001</v>
      </c>
      <c r="L235" s="409"/>
      <c r="M235" s="458"/>
    </row>
    <row r="236" spans="1:13" ht="15.5" hidden="1">
      <c r="A236" s="423"/>
      <c r="B236" s="420"/>
      <c r="C236" s="449" t="s">
        <v>490</v>
      </c>
      <c r="D236" s="426"/>
      <c r="E236" s="425"/>
      <c r="F236" s="425"/>
      <c r="G236" s="422"/>
      <c r="H236" s="409"/>
      <c r="I236" s="409"/>
      <c r="J236" s="409"/>
      <c r="K236" s="409"/>
      <c r="L236" s="409"/>
      <c r="M236" s="463"/>
    </row>
    <row r="237" spans="1:13" hidden="1">
      <c r="A237" s="423"/>
      <c r="B237" s="420"/>
      <c r="C237" s="437" t="s">
        <v>489</v>
      </c>
      <c r="D237" s="426" t="s">
        <v>117</v>
      </c>
      <c r="E237" s="466">
        <v>1</v>
      </c>
      <c r="F237" s="425">
        <f>G227</f>
        <v>4876.5200000000004</v>
      </c>
      <c r="G237" s="425">
        <f>ROUND(E237*F237,2)</f>
        <v>4876.5200000000004</v>
      </c>
      <c r="H237" s="442">
        <f>H227</f>
        <v>5029.3090000000002</v>
      </c>
      <c r="I237" s="434">
        <f>ROUND(E237*H237,2)</f>
        <v>5029.3100000000004</v>
      </c>
      <c r="J237" s="433">
        <f>I227</f>
        <v>5182.0980000000009</v>
      </c>
      <c r="K237" s="434">
        <f>ROUND(E237*J237,2)</f>
        <v>5182.1000000000004</v>
      </c>
      <c r="L237" s="409"/>
      <c r="M237" s="461"/>
    </row>
    <row r="238" spans="1:13" hidden="1">
      <c r="A238" s="423"/>
      <c r="B238" s="420"/>
      <c r="C238" s="448" t="s">
        <v>230</v>
      </c>
      <c r="D238" s="426" t="s">
        <v>113</v>
      </c>
      <c r="E238" s="466">
        <f>1/0.1</f>
        <v>10</v>
      </c>
      <c r="F238" s="425">
        <v>325</v>
      </c>
      <c r="G238" s="425">
        <f>ROUND(E238*F238,2)</f>
        <v>3250</v>
      </c>
      <c r="H238" s="434">
        <v>342</v>
      </c>
      <c r="I238" s="434">
        <f>ROUND(E238*H238,2)</f>
        <v>3420</v>
      </c>
      <c r="J238" s="436">
        <v>358</v>
      </c>
      <c r="K238" s="434">
        <f>ROUND(E238*J238,2)</f>
        <v>3580</v>
      </c>
      <c r="L238" s="409"/>
      <c r="M238" s="461"/>
    </row>
    <row r="239" spans="1:13" ht="13.5" hidden="1" customHeight="1">
      <c r="A239" s="423"/>
      <c r="B239" s="421"/>
      <c r="C239" s="424" t="s">
        <v>617</v>
      </c>
      <c r="D239" s="427">
        <f>D232</f>
        <v>0.4</v>
      </c>
      <c r="E239" s="415"/>
      <c r="F239" s="425">
        <v>167</v>
      </c>
      <c r="G239" s="425">
        <f>D239*E238*F239</f>
        <v>668</v>
      </c>
      <c r="H239" s="434">
        <v>184</v>
      </c>
      <c r="I239" s="425">
        <f>D239*E238*H239</f>
        <v>736</v>
      </c>
      <c r="J239" s="436">
        <v>200</v>
      </c>
      <c r="K239" s="425">
        <f>D239*E238*J239</f>
        <v>800</v>
      </c>
      <c r="L239" s="409"/>
      <c r="M239" s="462"/>
    </row>
    <row r="240" spans="1:13" ht="15.5" hidden="1">
      <c r="A240" s="423"/>
      <c r="B240" s="420"/>
      <c r="C240" s="424" t="s">
        <v>142</v>
      </c>
      <c r="D240" s="426"/>
      <c r="E240" s="466"/>
      <c r="F240" s="425"/>
      <c r="G240" s="422">
        <f>SUM(G237:G239,0)</f>
        <v>8794.52</v>
      </c>
      <c r="H240" s="428"/>
      <c r="I240" s="422">
        <f>SUM(I237:I239,0)</f>
        <v>9185.3100000000013</v>
      </c>
      <c r="J240" s="409"/>
      <c r="K240" s="422">
        <f>SUM(K237:K239,0)</f>
        <v>9562.1</v>
      </c>
      <c r="L240" s="409"/>
      <c r="M240" s="458"/>
    </row>
    <row r="241" spans="1:13" ht="26" hidden="1">
      <c r="A241" s="423"/>
      <c r="B241" s="420"/>
      <c r="C241" s="424" t="s">
        <v>578</v>
      </c>
      <c r="D241" s="426"/>
      <c r="E241" s="466"/>
      <c r="F241" s="425"/>
      <c r="G241" s="422">
        <f>G240*13.615/100</f>
        <v>1197.3738980000001</v>
      </c>
      <c r="H241" s="428"/>
      <c r="I241" s="422">
        <f>I240*13.615/100</f>
        <v>1250.5799565000002</v>
      </c>
      <c r="J241" s="409"/>
      <c r="K241" s="422">
        <f>K240*13.615/100</f>
        <v>1301.879915</v>
      </c>
      <c r="L241" s="409"/>
      <c r="M241" s="458"/>
    </row>
    <row r="242" spans="1:13" ht="15.5" hidden="1">
      <c r="A242" s="423"/>
      <c r="B242" s="420"/>
      <c r="C242" s="424"/>
      <c r="D242" s="426"/>
      <c r="E242" s="466"/>
      <c r="F242" s="425"/>
      <c r="G242" s="422">
        <f>SUM(G240:G241)</f>
        <v>9991.8938980000003</v>
      </c>
      <c r="H242" s="428"/>
      <c r="I242" s="422">
        <f>SUM(I240:I241)</f>
        <v>10435.889956500001</v>
      </c>
      <c r="J242" s="409"/>
      <c r="K242" s="422">
        <f>SUM(K240:K241)</f>
        <v>10863.979915</v>
      </c>
      <c r="L242" s="409"/>
      <c r="M242" s="458"/>
    </row>
    <row r="243" spans="1:13" ht="14" hidden="1">
      <c r="A243" s="423"/>
      <c r="B243" s="420"/>
      <c r="C243" s="449" t="s">
        <v>551</v>
      </c>
      <c r="D243" s="426"/>
      <c r="E243" s="425"/>
      <c r="F243" s="425"/>
      <c r="G243" s="425"/>
      <c r="H243" s="409"/>
      <c r="I243" s="409"/>
      <c r="J243" s="409"/>
      <c r="K243" s="409"/>
      <c r="L243" s="409"/>
    </row>
    <row r="244" spans="1:13" hidden="1">
      <c r="A244" s="423"/>
      <c r="B244" s="420"/>
      <c r="C244" s="437" t="s">
        <v>489</v>
      </c>
      <c r="D244" s="426" t="s">
        <v>117</v>
      </c>
      <c r="E244" s="466">
        <v>1</v>
      </c>
      <c r="F244" s="425">
        <f>G227</f>
        <v>4876.5200000000004</v>
      </c>
      <c r="G244" s="425">
        <f>ROUND(E244*F244,2)</f>
        <v>4876.5200000000004</v>
      </c>
      <c r="H244" s="442">
        <f>H237</f>
        <v>5029.3090000000002</v>
      </c>
      <c r="I244" s="434">
        <f>ROUND(E244*H244,2)</f>
        <v>5029.3100000000004</v>
      </c>
      <c r="J244" s="433">
        <f>J237</f>
        <v>5182.0980000000009</v>
      </c>
      <c r="K244" s="434">
        <f>ROUND(E244*J244,2)</f>
        <v>5182.1000000000004</v>
      </c>
      <c r="L244" s="409"/>
      <c r="M244" s="461"/>
    </row>
    <row r="245" spans="1:13" hidden="1">
      <c r="A245" s="423"/>
      <c r="B245" s="420"/>
      <c r="C245" s="448" t="s">
        <v>230</v>
      </c>
      <c r="D245" s="426" t="s">
        <v>113</v>
      </c>
      <c r="E245" s="466">
        <f>ROUND(1/0.11,3)</f>
        <v>9.0909999999999993</v>
      </c>
      <c r="F245" s="425">
        <f>F238</f>
        <v>325</v>
      </c>
      <c r="G245" s="425">
        <f>ROUND(E245*F245,2)</f>
        <v>2954.58</v>
      </c>
      <c r="H245" s="434">
        <f>H238</f>
        <v>342</v>
      </c>
      <c r="I245" s="434">
        <f>ROUND(E245*H245,2)</f>
        <v>3109.12</v>
      </c>
      <c r="J245" s="433">
        <f>J238</f>
        <v>358</v>
      </c>
      <c r="K245" s="434">
        <f>ROUND(E245*J245,2)</f>
        <v>3254.58</v>
      </c>
      <c r="L245" s="409"/>
      <c r="M245" s="461"/>
    </row>
    <row r="246" spans="1:13" ht="13.5" hidden="1" customHeight="1">
      <c r="A246" s="423"/>
      <c r="B246" s="421"/>
      <c r="C246" s="424" t="s">
        <v>617</v>
      </c>
      <c r="D246" s="427">
        <f>D239</f>
        <v>0.4</v>
      </c>
      <c r="E246" s="415"/>
      <c r="F246" s="425">
        <v>167</v>
      </c>
      <c r="G246" s="425">
        <f>D246*E245*F246</f>
        <v>607.27880000000005</v>
      </c>
      <c r="H246" s="434">
        <v>184</v>
      </c>
      <c r="I246" s="425">
        <f>D246*E245*H246</f>
        <v>669.09760000000006</v>
      </c>
      <c r="J246" s="433">
        <f>J239</f>
        <v>200</v>
      </c>
      <c r="K246" s="425">
        <f>D246*E245*J246</f>
        <v>727.28</v>
      </c>
      <c r="L246" s="409"/>
      <c r="M246" s="462"/>
    </row>
    <row r="247" spans="1:13" ht="15.5" hidden="1">
      <c r="A247" s="423"/>
      <c r="B247" s="420"/>
      <c r="C247" s="424" t="s">
        <v>142</v>
      </c>
      <c r="D247" s="426"/>
      <c r="E247" s="425"/>
      <c r="F247" s="425"/>
      <c r="G247" s="422">
        <f>SUM(G244:G246,0)</f>
        <v>8438.3788000000004</v>
      </c>
      <c r="H247" s="428"/>
      <c r="I247" s="422">
        <f>SUM(I244:I246,0)</f>
        <v>8807.5276000000013</v>
      </c>
      <c r="J247" s="409"/>
      <c r="K247" s="422">
        <f>SUM(K244:K246,0)</f>
        <v>9163.9600000000009</v>
      </c>
      <c r="L247" s="409"/>
      <c r="M247" s="458"/>
    </row>
    <row r="248" spans="1:13" ht="26" hidden="1">
      <c r="A248" s="423"/>
      <c r="B248" s="420"/>
      <c r="C248" s="424" t="s">
        <v>578</v>
      </c>
      <c r="D248" s="426"/>
      <c r="E248" s="425"/>
      <c r="F248" s="425"/>
      <c r="G248" s="422">
        <f>G247*13.615/100</f>
        <v>1148.8852736200001</v>
      </c>
      <c r="H248" s="428"/>
      <c r="I248" s="422">
        <f>I247*13.615/100</f>
        <v>1199.1448827400002</v>
      </c>
      <c r="J248" s="409"/>
      <c r="K248" s="422">
        <f>K247*13.615/100</f>
        <v>1247.6731540000003</v>
      </c>
      <c r="L248" s="409"/>
      <c r="M248" s="458"/>
    </row>
    <row r="249" spans="1:13" ht="15.5" hidden="1">
      <c r="A249" s="423"/>
      <c r="B249" s="420"/>
      <c r="C249" s="424"/>
      <c r="D249" s="426"/>
      <c r="E249" s="425"/>
      <c r="F249" s="425"/>
      <c r="G249" s="422">
        <f>SUM(G247:G248)</f>
        <v>9587.264073620001</v>
      </c>
      <c r="H249" s="428"/>
      <c r="I249" s="422">
        <f>SUM(I247:I248)</f>
        <v>10006.672482740001</v>
      </c>
      <c r="J249" s="409"/>
      <c r="K249" s="422">
        <f>SUM(K247:K248)</f>
        <v>10411.633154000001</v>
      </c>
      <c r="L249" s="409"/>
      <c r="M249" s="458"/>
    </row>
    <row r="250" spans="1:13" ht="14" hidden="1">
      <c r="A250" s="423"/>
      <c r="B250" s="420"/>
      <c r="C250" s="449" t="s">
        <v>355</v>
      </c>
      <c r="D250" s="426"/>
      <c r="E250" s="425"/>
      <c r="F250" s="425"/>
      <c r="G250" s="425"/>
      <c r="H250" s="409"/>
      <c r="I250" s="409"/>
      <c r="J250" s="409"/>
      <c r="K250" s="409"/>
      <c r="L250" s="409"/>
    </row>
    <row r="251" spans="1:13" hidden="1">
      <c r="A251" s="423"/>
      <c r="B251" s="420"/>
      <c r="C251" s="437" t="s">
        <v>489</v>
      </c>
      <c r="D251" s="426" t="s">
        <v>117</v>
      </c>
      <c r="E251" s="466">
        <v>1</v>
      </c>
      <c r="F251" s="425">
        <f>G227</f>
        <v>4876.5200000000004</v>
      </c>
      <c r="G251" s="425">
        <f>ROUND(E251*F251,2)</f>
        <v>4876.5200000000004</v>
      </c>
      <c r="H251" s="442">
        <f>H244</f>
        <v>5029.3090000000002</v>
      </c>
      <c r="I251" s="434">
        <f>ROUND(E251*H251,2)</f>
        <v>5029.3100000000004</v>
      </c>
      <c r="J251" s="433">
        <f>J244</f>
        <v>5182.0980000000009</v>
      </c>
      <c r="K251" s="434">
        <f>ROUND(E251*J251,2)</f>
        <v>5182.1000000000004</v>
      </c>
      <c r="L251" s="409"/>
      <c r="M251" s="461"/>
    </row>
    <row r="252" spans="1:13" hidden="1">
      <c r="A252" s="423"/>
      <c r="B252" s="420"/>
      <c r="C252" s="448" t="s">
        <v>230</v>
      </c>
      <c r="D252" s="426" t="s">
        <v>113</v>
      </c>
      <c r="E252" s="466">
        <f>ROUND(1/0.115,3)</f>
        <v>8.6959999999999997</v>
      </c>
      <c r="F252" s="425">
        <f>F238</f>
        <v>325</v>
      </c>
      <c r="G252" s="425">
        <f>ROUND(E252*F252,2)</f>
        <v>2826.2</v>
      </c>
      <c r="H252" s="442">
        <f>H245</f>
        <v>342</v>
      </c>
      <c r="I252" s="434">
        <f>ROUND(E252*H252,2)</f>
        <v>2974.03</v>
      </c>
      <c r="J252" s="433">
        <f>J245</f>
        <v>358</v>
      </c>
      <c r="K252" s="434">
        <f>ROUND(E252*J252,2)</f>
        <v>3113.17</v>
      </c>
      <c r="L252" s="409"/>
      <c r="M252" s="461"/>
    </row>
    <row r="253" spans="1:13" ht="13.5" hidden="1" customHeight="1">
      <c r="A253" s="423"/>
      <c r="B253" s="421"/>
      <c r="C253" s="424" t="s">
        <v>617</v>
      </c>
      <c r="D253" s="427">
        <f>D246</f>
        <v>0.4</v>
      </c>
      <c r="E253" s="415"/>
      <c r="F253" s="425">
        <v>167</v>
      </c>
      <c r="G253" s="425">
        <f>D253*E252*F253</f>
        <v>580.89280000000008</v>
      </c>
      <c r="H253" s="434">
        <v>184</v>
      </c>
      <c r="I253" s="425">
        <f>D253*E252*H253</f>
        <v>640.02560000000005</v>
      </c>
      <c r="J253" s="433">
        <f>J246</f>
        <v>200</v>
      </c>
      <c r="K253" s="425">
        <f>D253*E252*J253</f>
        <v>695.68000000000006</v>
      </c>
      <c r="L253" s="409"/>
      <c r="M253" s="462"/>
    </row>
    <row r="254" spans="1:13" ht="15.5" hidden="1">
      <c r="A254" s="423"/>
      <c r="B254" s="420"/>
      <c r="C254" s="424" t="s">
        <v>142</v>
      </c>
      <c r="D254" s="426"/>
      <c r="E254" s="425"/>
      <c r="F254" s="425"/>
      <c r="G254" s="422">
        <f>SUM(G251:G253,0)</f>
        <v>8283.6128000000008</v>
      </c>
      <c r="H254" s="428"/>
      <c r="I254" s="422">
        <f>SUM(I251:I253,0)</f>
        <v>8643.365600000001</v>
      </c>
      <c r="J254" s="409"/>
      <c r="K254" s="422">
        <f>SUM(K251:K253,0)</f>
        <v>8990.9500000000007</v>
      </c>
      <c r="L254" s="409"/>
      <c r="M254" s="458"/>
    </row>
    <row r="255" spans="1:13" ht="26" hidden="1">
      <c r="A255" s="423"/>
      <c r="B255" s="420"/>
      <c r="C255" s="424" t="s">
        <v>578</v>
      </c>
      <c r="D255" s="426"/>
      <c r="E255" s="425"/>
      <c r="F255" s="425"/>
      <c r="G255" s="422">
        <f>G254*13.615/100</f>
        <v>1127.81388272</v>
      </c>
      <c r="H255" s="428"/>
      <c r="I255" s="422">
        <f>I254*13.615/100</f>
        <v>1176.7942264400001</v>
      </c>
      <c r="J255" s="409"/>
      <c r="K255" s="422">
        <f>K254*13.615/100</f>
        <v>1224.1178425000001</v>
      </c>
      <c r="L255" s="409"/>
      <c r="M255" s="458"/>
    </row>
    <row r="256" spans="1:13" ht="15.5" hidden="1">
      <c r="A256" s="423"/>
      <c r="B256" s="420"/>
      <c r="C256" s="424"/>
      <c r="D256" s="426"/>
      <c r="E256" s="425"/>
      <c r="F256" s="425"/>
      <c r="G256" s="422">
        <f>SUM(G254:G255)</f>
        <v>9411.4266827200008</v>
      </c>
      <c r="H256" s="428"/>
      <c r="I256" s="422">
        <f>SUM(I254:I255)</f>
        <v>9820.1598264400018</v>
      </c>
      <c r="J256" s="409"/>
      <c r="K256" s="422">
        <f>SUM(K254:K255)</f>
        <v>10215.067842500001</v>
      </c>
      <c r="L256" s="409"/>
      <c r="M256" s="458"/>
    </row>
    <row r="257" spans="1:13" ht="16.5" hidden="1" customHeight="1">
      <c r="A257" s="423"/>
      <c r="B257" s="420"/>
      <c r="C257" s="449" t="s">
        <v>491</v>
      </c>
      <c r="D257" s="440"/>
      <c r="E257" s="416"/>
      <c r="F257" s="416"/>
      <c r="G257" s="467"/>
      <c r="H257" s="409"/>
      <c r="I257" s="409"/>
      <c r="J257" s="409"/>
      <c r="K257" s="409"/>
      <c r="L257" s="409"/>
    </row>
    <row r="258" spans="1:13" hidden="1">
      <c r="A258" s="423"/>
      <c r="B258" s="420"/>
      <c r="C258" s="437" t="s">
        <v>489</v>
      </c>
      <c r="D258" s="440" t="s">
        <v>117</v>
      </c>
      <c r="E258" s="466">
        <v>1</v>
      </c>
      <c r="F258" s="416">
        <f>F251</f>
        <v>4876.5200000000004</v>
      </c>
      <c r="G258" s="425">
        <f>ROUND(E258*F258,2)</f>
        <v>4876.5200000000004</v>
      </c>
      <c r="H258" s="442">
        <f>H251</f>
        <v>5029.3090000000002</v>
      </c>
      <c r="I258" s="434">
        <f>ROUND(E258*H258,2)</f>
        <v>5029.3100000000004</v>
      </c>
      <c r="J258" s="433">
        <f>J251</f>
        <v>5182.0980000000009</v>
      </c>
      <c r="K258" s="434">
        <f>ROUND(E258*J258,2)</f>
        <v>5182.1000000000004</v>
      </c>
      <c r="L258" s="409"/>
      <c r="M258" s="461"/>
    </row>
    <row r="259" spans="1:13" hidden="1">
      <c r="A259" s="423"/>
      <c r="B259" s="420"/>
      <c r="C259" s="448" t="s">
        <v>230</v>
      </c>
      <c r="D259" s="440" t="s">
        <v>113</v>
      </c>
      <c r="E259" s="466">
        <f>ROUND(1/0.125,3)</f>
        <v>8</v>
      </c>
      <c r="F259" s="416">
        <f>F252</f>
        <v>325</v>
      </c>
      <c r="G259" s="425">
        <f>ROUND(E259*F259,2)</f>
        <v>2600</v>
      </c>
      <c r="H259" s="442">
        <f>H252</f>
        <v>342</v>
      </c>
      <c r="I259" s="434">
        <f>ROUND(E259*H259,2)</f>
        <v>2736</v>
      </c>
      <c r="J259" s="433">
        <f>J252</f>
        <v>358</v>
      </c>
      <c r="K259" s="434">
        <f>ROUND(E259*J259,2)</f>
        <v>2864</v>
      </c>
      <c r="L259" s="409"/>
      <c r="M259" s="461"/>
    </row>
    <row r="260" spans="1:13" ht="13.5" hidden="1" customHeight="1">
      <c r="A260" s="423"/>
      <c r="B260" s="421"/>
      <c r="C260" s="424" t="s">
        <v>617</v>
      </c>
      <c r="D260" s="427">
        <f>D253</f>
        <v>0.4</v>
      </c>
      <c r="E260" s="415"/>
      <c r="F260" s="416">
        <v>167</v>
      </c>
      <c r="G260" s="425">
        <f>D260*E259*F260</f>
        <v>534.4</v>
      </c>
      <c r="H260" s="434">
        <v>184</v>
      </c>
      <c r="I260" s="425">
        <f>D260*E259*H260</f>
        <v>588.80000000000007</v>
      </c>
      <c r="J260" s="433">
        <f>J253</f>
        <v>200</v>
      </c>
      <c r="K260" s="425">
        <f>D260*E259*J260</f>
        <v>640</v>
      </c>
      <c r="L260" s="409"/>
      <c r="M260" s="462"/>
    </row>
    <row r="261" spans="1:13" ht="15.5" hidden="1">
      <c r="A261" s="423"/>
      <c r="B261" s="420"/>
      <c r="C261" s="424" t="s">
        <v>142</v>
      </c>
      <c r="D261" s="440"/>
      <c r="E261" s="425"/>
      <c r="F261" s="416"/>
      <c r="G261" s="422">
        <f>SUM(G258:G260,0)</f>
        <v>8010.92</v>
      </c>
      <c r="H261" s="428"/>
      <c r="I261" s="422">
        <f>SUM(I258:I260,0)</f>
        <v>8354.11</v>
      </c>
      <c r="J261" s="409"/>
      <c r="K261" s="422">
        <f>SUM(K258:K260,0)</f>
        <v>8686.1</v>
      </c>
      <c r="L261" s="409"/>
      <c r="M261" s="458"/>
    </row>
    <row r="262" spans="1:13" ht="26" hidden="1">
      <c r="A262" s="423"/>
      <c r="B262" s="420"/>
      <c r="C262" s="424" t="s">
        <v>578</v>
      </c>
      <c r="D262" s="426"/>
      <c r="E262" s="425"/>
      <c r="F262" s="425"/>
      <c r="G262" s="422">
        <f>G261*13.615/100</f>
        <v>1090.6867580000001</v>
      </c>
      <c r="H262" s="428"/>
      <c r="I262" s="422">
        <f>I261*13.615/100</f>
        <v>1137.4120765</v>
      </c>
      <c r="J262" s="409"/>
      <c r="K262" s="422">
        <f>K261*13.615/100</f>
        <v>1182.612515</v>
      </c>
      <c r="L262" s="409"/>
      <c r="M262" s="458"/>
    </row>
    <row r="263" spans="1:13" ht="15.5" hidden="1">
      <c r="A263" s="423"/>
      <c r="B263" s="420"/>
      <c r="C263" s="424"/>
      <c r="D263" s="426"/>
      <c r="E263" s="425"/>
      <c r="F263" s="425"/>
      <c r="G263" s="422">
        <f>SUM(G261:G262)</f>
        <v>9101.6067579999999</v>
      </c>
      <c r="H263" s="428"/>
      <c r="I263" s="422">
        <f>SUM(I261:I262)</f>
        <v>9491.5220765000013</v>
      </c>
      <c r="J263" s="409"/>
      <c r="K263" s="422">
        <f>SUM(K261:K262)</f>
        <v>9868.7125150000011</v>
      </c>
      <c r="L263" s="409"/>
      <c r="M263" s="458"/>
    </row>
    <row r="264" spans="1:13" ht="15.5" hidden="1">
      <c r="A264" s="423"/>
      <c r="B264" s="420"/>
      <c r="C264" s="449" t="s">
        <v>492</v>
      </c>
      <c r="D264" s="440"/>
      <c r="E264" s="425"/>
      <c r="F264" s="416"/>
      <c r="G264" s="422"/>
      <c r="H264" s="409"/>
      <c r="I264" s="409"/>
      <c r="J264" s="409"/>
      <c r="K264" s="409"/>
      <c r="L264" s="409"/>
    </row>
    <row r="265" spans="1:13" hidden="1">
      <c r="A265" s="423"/>
      <c r="B265" s="420"/>
      <c r="C265" s="437" t="s">
        <v>489</v>
      </c>
      <c r="D265" s="440" t="s">
        <v>117</v>
      </c>
      <c r="E265" s="466">
        <v>1</v>
      </c>
      <c r="F265" s="416">
        <f>F258</f>
        <v>4876.5200000000004</v>
      </c>
      <c r="G265" s="425">
        <f>ROUND(E265*F265,2)</f>
        <v>4876.5200000000004</v>
      </c>
      <c r="H265" s="442">
        <f>H258</f>
        <v>5029.3090000000002</v>
      </c>
      <c r="I265" s="434">
        <f>ROUND(E265*H265,2)</f>
        <v>5029.3100000000004</v>
      </c>
      <c r="J265" s="433">
        <f>J258</f>
        <v>5182.0980000000009</v>
      </c>
      <c r="K265" s="434">
        <f>ROUND(E265*J265,2)</f>
        <v>5182.1000000000004</v>
      </c>
      <c r="L265" s="409"/>
      <c r="M265" s="461"/>
    </row>
    <row r="266" spans="1:13" hidden="1">
      <c r="A266" s="423"/>
      <c r="B266" s="420"/>
      <c r="C266" s="448" t="s">
        <v>230</v>
      </c>
      <c r="D266" s="440" t="s">
        <v>113</v>
      </c>
      <c r="E266" s="466">
        <f>ROUND(1/0.15,3)</f>
        <v>6.6669999999999998</v>
      </c>
      <c r="F266" s="416">
        <f>F259</f>
        <v>325</v>
      </c>
      <c r="G266" s="425">
        <f>ROUND(E266*F266,2)</f>
        <v>2166.7800000000002</v>
      </c>
      <c r="H266" s="442">
        <f>H259</f>
        <v>342</v>
      </c>
      <c r="I266" s="434">
        <f>ROUND(E266*H266,2)</f>
        <v>2280.11</v>
      </c>
      <c r="J266" s="433">
        <f>J259</f>
        <v>358</v>
      </c>
      <c r="K266" s="434">
        <f>ROUND(E266*J266,2)</f>
        <v>2386.79</v>
      </c>
      <c r="L266" s="409"/>
      <c r="M266" s="461"/>
    </row>
    <row r="267" spans="1:13" ht="13.5" hidden="1" customHeight="1">
      <c r="A267" s="423"/>
      <c r="B267" s="421"/>
      <c r="C267" s="424" t="s">
        <v>617</v>
      </c>
      <c r="D267" s="427">
        <f>D260</f>
        <v>0.4</v>
      </c>
      <c r="E267" s="415"/>
      <c r="F267" s="416">
        <v>167</v>
      </c>
      <c r="G267" s="425">
        <f>D267*E266*F267</f>
        <v>445.35560000000004</v>
      </c>
      <c r="H267" s="434">
        <v>184</v>
      </c>
      <c r="I267" s="425">
        <f>D267*E266*H267</f>
        <v>490.69120000000004</v>
      </c>
      <c r="J267" s="433">
        <f>J260</f>
        <v>200</v>
      </c>
      <c r="K267" s="425">
        <f>D267*E266*J267</f>
        <v>533.36</v>
      </c>
      <c r="L267" s="409"/>
      <c r="M267" s="462"/>
    </row>
    <row r="268" spans="1:13" ht="15.5" hidden="1">
      <c r="A268" s="423"/>
      <c r="B268" s="420"/>
      <c r="C268" s="424" t="s">
        <v>142</v>
      </c>
      <c r="D268" s="440"/>
      <c r="E268" s="425"/>
      <c r="F268" s="416"/>
      <c r="G268" s="422">
        <f>SUM(G265:G267,0)</f>
        <v>7488.655600000001</v>
      </c>
      <c r="H268" s="428"/>
      <c r="I268" s="422">
        <f>SUM(I265:I267,0)</f>
        <v>7800.1112000000003</v>
      </c>
      <c r="J268" s="409"/>
      <c r="K268" s="422">
        <f>SUM(K265:K267,0)</f>
        <v>8102.25</v>
      </c>
      <c r="L268" s="409"/>
      <c r="M268" s="458"/>
    </row>
    <row r="269" spans="1:13" ht="26" hidden="1">
      <c r="A269" s="423"/>
      <c r="B269" s="420"/>
      <c r="C269" s="424" t="s">
        <v>578</v>
      </c>
      <c r="D269" s="426"/>
      <c r="E269" s="425"/>
      <c r="F269" s="425"/>
      <c r="G269" s="422">
        <f>G268*13.615/100</f>
        <v>1019.5804599400002</v>
      </c>
      <c r="H269" s="428"/>
      <c r="I269" s="422">
        <f>I268*13.615/100</f>
        <v>1061.9851398800001</v>
      </c>
      <c r="J269" s="409"/>
      <c r="K269" s="422">
        <f>K268*13.615/100</f>
        <v>1103.1213375</v>
      </c>
      <c r="L269" s="409"/>
      <c r="M269" s="458"/>
    </row>
    <row r="270" spans="1:13" ht="15.5" hidden="1">
      <c r="A270" s="423"/>
      <c r="B270" s="420"/>
      <c r="C270" s="424"/>
      <c r="D270" s="426"/>
      <c r="E270" s="425"/>
      <c r="F270" s="425"/>
      <c r="G270" s="422">
        <f>SUM(G268:G269)</f>
        <v>8508.2360599400017</v>
      </c>
      <c r="H270" s="428"/>
      <c r="I270" s="422">
        <f>SUM(I268:I269)</f>
        <v>8862.0963398800013</v>
      </c>
      <c r="J270" s="409"/>
      <c r="K270" s="422">
        <f>SUM(K268:K269)</f>
        <v>9205.3713375000007</v>
      </c>
      <c r="L270" s="409"/>
      <c r="M270" s="458"/>
    </row>
    <row r="271" spans="1:13" ht="15.5" hidden="1">
      <c r="A271" s="423"/>
      <c r="B271" s="420"/>
      <c r="C271" s="449" t="s">
        <v>486</v>
      </c>
      <c r="D271" s="440"/>
      <c r="E271" s="425"/>
      <c r="F271" s="416"/>
      <c r="G271" s="467"/>
      <c r="H271" s="409"/>
      <c r="I271" s="409"/>
      <c r="J271" s="409"/>
      <c r="K271" s="409"/>
      <c r="L271" s="409"/>
    </row>
    <row r="272" spans="1:13" hidden="1">
      <c r="A272" s="423"/>
      <c r="B272" s="420"/>
      <c r="C272" s="437" t="s">
        <v>489</v>
      </c>
      <c r="D272" s="440" t="s">
        <v>117</v>
      </c>
      <c r="E272" s="466">
        <v>1</v>
      </c>
      <c r="F272" s="416">
        <f>F265</f>
        <v>4876.5200000000004</v>
      </c>
      <c r="G272" s="425">
        <f>ROUND(E272*F272,2)</f>
        <v>4876.5200000000004</v>
      </c>
      <c r="H272" s="442">
        <f>H265</f>
        <v>5029.3090000000002</v>
      </c>
      <c r="I272" s="434">
        <f>ROUND(E272*H272,2)</f>
        <v>5029.3100000000004</v>
      </c>
      <c r="J272" s="433">
        <f>J265</f>
        <v>5182.0980000000009</v>
      </c>
      <c r="K272" s="434">
        <f>ROUND(E272*J272,2)</f>
        <v>5182.1000000000004</v>
      </c>
      <c r="L272" s="409"/>
      <c r="M272" s="461"/>
    </row>
    <row r="273" spans="1:13" hidden="1">
      <c r="A273" s="423"/>
      <c r="B273" s="420"/>
      <c r="C273" s="448" t="s">
        <v>230</v>
      </c>
      <c r="D273" s="440" t="s">
        <v>113</v>
      </c>
      <c r="E273" s="466">
        <f>ROUND(1/0.175,3)</f>
        <v>5.7140000000000004</v>
      </c>
      <c r="F273" s="416">
        <v>335</v>
      </c>
      <c r="G273" s="425">
        <f>ROUND(E273*F273,2)</f>
        <v>1914.19</v>
      </c>
      <c r="H273" s="442">
        <v>352</v>
      </c>
      <c r="I273" s="434">
        <f>ROUND(E273*H273,2)</f>
        <v>2011.33</v>
      </c>
      <c r="J273" s="436">
        <v>369</v>
      </c>
      <c r="K273" s="434">
        <f>ROUND(E273*J273,2)</f>
        <v>2108.4699999999998</v>
      </c>
      <c r="L273" s="409"/>
      <c r="M273" s="461"/>
    </row>
    <row r="274" spans="1:13" ht="13.5" hidden="1" customHeight="1">
      <c r="A274" s="423"/>
      <c r="B274" s="421"/>
      <c r="C274" s="424" t="s">
        <v>617</v>
      </c>
      <c r="D274" s="427">
        <f>D267</f>
        <v>0.4</v>
      </c>
      <c r="E274" s="415"/>
      <c r="F274" s="416">
        <v>172</v>
      </c>
      <c r="G274" s="425">
        <f>D274*E273*F274</f>
        <v>393.1232</v>
      </c>
      <c r="H274" s="434">
        <v>189</v>
      </c>
      <c r="I274" s="425">
        <f>D274*E273*H274</f>
        <v>431.97840000000002</v>
      </c>
      <c r="J274" s="436">
        <v>206</v>
      </c>
      <c r="K274" s="425">
        <f>D274*E273*J274</f>
        <v>470.83359999999999</v>
      </c>
      <c r="L274" s="409"/>
      <c r="M274" s="462"/>
    </row>
    <row r="275" spans="1:13" ht="15.5" hidden="1">
      <c r="A275" s="423"/>
      <c r="B275" s="420"/>
      <c r="C275" s="424" t="s">
        <v>142</v>
      </c>
      <c r="D275" s="440"/>
      <c r="E275" s="416"/>
      <c r="F275" s="416"/>
      <c r="G275" s="422">
        <f>SUM(G272:G274,0)</f>
        <v>7183.8332000000009</v>
      </c>
      <c r="H275" s="428"/>
      <c r="I275" s="422">
        <f>SUM(I272:I274,0)</f>
        <v>7472.6184000000003</v>
      </c>
      <c r="J275" s="409"/>
      <c r="K275" s="422">
        <f>SUM(K272:K274,0)</f>
        <v>7761.4035999999996</v>
      </c>
      <c r="L275" s="409"/>
      <c r="M275" s="458"/>
    </row>
    <row r="276" spans="1:13" ht="26" hidden="1">
      <c r="A276" s="423"/>
      <c r="B276" s="420"/>
      <c r="C276" s="424" t="s">
        <v>578</v>
      </c>
      <c r="D276" s="426"/>
      <c r="E276" s="425"/>
      <c r="F276" s="425"/>
      <c r="G276" s="422">
        <f>G275*13.615/100</f>
        <v>978.07889018000014</v>
      </c>
      <c r="H276" s="428"/>
      <c r="I276" s="422">
        <f>I275*13.615/100</f>
        <v>1017.3969951600001</v>
      </c>
      <c r="J276" s="409"/>
      <c r="K276" s="422">
        <f>K275*13.615/100</f>
        <v>1056.71510014</v>
      </c>
      <c r="L276" s="409"/>
      <c r="M276" s="458"/>
    </row>
    <row r="277" spans="1:13" ht="15.5" hidden="1">
      <c r="A277" s="423"/>
      <c r="B277" s="420"/>
      <c r="C277" s="424"/>
      <c r="D277" s="426"/>
      <c r="E277" s="425"/>
      <c r="F277" s="425"/>
      <c r="G277" s="422">
        <f>SUM(G275:G276)</f>
        <v>8161.9120901800015</v>
      </c>
      <c r="H277" s="428"/>
      <c r="I277" s="422">
        <f>SUM(I275:I276)</f>
        <v>8490.0153951600005</v>
      </c>
      <c r="J277" s="409"/>
      <c r="K277" s="422">
        <f>SUM(K275:K276)</f>
        <v>8818.1187001399994</v>
      </c>
      <c r="L277" s="409"/>
      <c r="M277" s="458"/>
    </row>
    <row r="278" spans="1:13">
      <c r="A278" s="414" t="s">
        <v>256</v>
      </c>
      <c r="B278" s="420">
        <v>10</v>
      </c>
      <c r="C278" s="440" t="s">
        <v>566</v>
      </c>
      <c r="D278" s="426"/>
      <c r="E278" s="426"/>
      <c r="F278" s="426"/>
      <c r="G278" s="426"/>
      <c r="H278" s="409"/>
      <c r="I278" s="409"/>
      <c r="J278" s="409"/>
      <c r="K278" s="409"/>
      <c r="L278" s="409"/>
    </row>
    <row r="279" spans="1:13" ht="156" customHeight="1">
      <c r="A279" s="435" t="s">
        <v>607</v>
      </c>
      <c r="B279" s="420"/>
      <c r="C279" s="2216" t="s">
        <v>1025</v>
      </c>
      <c r="D279" s="2216"/>
      <c r="E279" s="2216"/>
      <c r="F279" s="2216"/>
      <c r="G279" s="444"/>
      <c r="H279" s="445"/>
      <c r="I279" s="409"/>
      <c r="J279" s="409"/>
      <c r="K279" s="409"/>
      <c r="L279" s="409"/>
    </row>
    <row r="280" spans="1:13" ht="15.5">
      <c r="A280" s="423"/>
      <c r="B280" s="420" t="s">
        <v>144</v>
      </c>
      <c r="C280" s="446" t="s">
        <v>322</v>
      </c>
      <c r="D280" s="426"/>
      <c r="E280" s="426"/>
      <c r="F280" s="426"/>
      <c r="G280" s="426"/>
      <c r="H280" s="409"/>
      <c r="I280" s="409"/>
      <c r="J280" s="409"/>
      <c r="K280" s="409"/>
      <c r="L280" s="409"/>
    </row>
    <row r="281" spans="1:13">
      <c r="A281" s="423"/>
      <c r="B281" s="420"/>
      <c r="C281" s="440" t="s">
        <v>24</v>
      </c>
      <c r="D281" s="426"/>
      <c r="E281" s="426"/>
      <c r="F281" s="426"/>
      <c r="G281" s="426"/>
      <c r="H281" s="409"/>
      <c r="I281" s="409"/>
      <c r="J281" s="409"/>
      <c r="K281" s="409"/>
      <c r="L281" s="409"/>
    </row>
    <row r="282" spans="1:13">
      <c r="A282" s="423"/>
      <c r="B282" s="420"/>
      <c r="C282" s="440" t="s">
        <v>276</v>
      </c>
      <c r="D282" s="426" t="s">
        <v>117</v>
      </c>
      <c r="E282" s="443">
        <v>0.8</v>
      </c>
      <c r="F282" s="425">
        <v>1610.64</v>
      </c>
      <c r="G282" s="425">
        <f>ROUND(E282*F282,2)</f>
        <v>1288.51</v>
      </c>
      <c r="H282" s="409"/>
      <c r="I282" s="409"/>
      <c r="J282" s="409"/>
      <c r="K282" s="409"/>
      <c r="L282" s="409"/>
    </row>
    <row r="283" spans="1:13">
      <c r="A283" s="423"/>
      <c r="B283" s="420"/>
      <c r="C283" s="440" t="s">
        <v>277</v>
      </c>
      <c r="D283" s="426" t="s">
        <v>117</v>
      </c>
      <c r="E283" s="443">
        <v>0.4</v>
      </c>
      <c r="F283" s="425">
        <v>267.58</v>
      </c>
      <c r="G283" s="425">
        <f>ROUND(E283*F283,2)</f>
        <v>107.03</v>
      </c>
      <c r="H283" s="409"/>
      <c r="I283" s="409"/>
      <c r="J283" s="409"/>
      <c r="K283" s="409"/>
      <c r="L283" s="409"/>
    </row>
    <row r="284" spans="1:13">
      <c r="A284" s="423"/>
      <c r="B284" s="420"/>
      <c r="C284" s="440" t="s">
        <v>218</v>
      </c>
      <c r="D284" s="426" t="s">
        <v>207</v>
      </c>
      <c r="E284" s="432">
        <v>340</v>
      </c>
      <c r="F284" s="425">
        <v>4.8</v>
      </c>
      <c r="G284" s="425">
        <f>ROUND(E284*F284,2)</f>
        <v>1632</v>
      </c>
      <c r="H284" s="409"/>
      <c r="I284" s="409"/>
      <c r="J284" s="409"/>
      <c r="K284" s="409"/>
      <c r="L284" s="409"/>
    </row>
    <row r="285" spans="1:13">
      <c r="A285" s="423"/>
      <c r="B285" s="420"/>
      <c r="C285" s="440" t="s">
        <v>278</v>
      </c>
      <c r="D285" s="426"/>
      <c r="E285" s="443"/>
      <c r="F285" s="425"/>
      <c r="G285" s="425"/>
      <c r="H285" s="409"/>
      <c r="I285" s="409"/>
      <c r="J285" s="409"/>
      <c r="K285" s="409"/>
      <c r="L285" s="409"/>
    </row>
    <row r="286" spans="1:13">
      <c r="A286" s="423"/>
      <c r="B286" s="420"/>
      <c r="C286" s="440" t="s">
        <v>279</v>
      </c>
      <c r="D286" s="426" t="s">
        <v>119</v>
      </c>
      <c r="E286" s="443">
        <v>0.13300000000000001</v>
      </c>
      <c r="F286" s="425">
        <v>490</v>
      </c>
      <c r="G286" s="425">
        <f>ROUND(E286*F286,2)</f>
        <v>65.17</v>
      </c>
      <c r="H286" s="409"/>
      <c r="I286" s="409"/>
      <c r="J286" s="409"/>
      <c r="K286" s="409"/>
      <c r="L286" s="409"/>
    </row>
    <row r="287" spans="1:13">
      <c r="A287" s="423"/>
      <c r="B287" s="420"/>
      <c r="C287" s="440" t="s">
        <v>280</v>
      </c>
      <c r="D287" s="426" t="s">
        <v>119</v>
      </c>
      <c r="E287" s="443">
        <v>0.26700000000000002</v>
      </c>
      <c r="F287" s="425">
        <v>440</v>
      </c>
      <c r="G287" s="425">
        <f>ROUND(E287*F287,2)</f>
        <v>117.48</v>
      </c>
      <c r="H287" s="409"/>
      <c r="I287" s="409"/>
      <c r="J287" s="409"/>
      <c r="K287" s="409"/>
      <c r="L287" s="409"/>
    </row>
    <row r="288" spans="1:13">
      <c r="A288" s="423"/>
      <c r="B288" s="420"/>
      <c r="C288" s="440" t="s">
        <v>281</v>
      </c>
      <c r="D288" s="426" t="s">
        <v>119</v>
      </c>
      <c r="E288" s="443">
        <v>4.5999999999999996</v>
      </c>
      <c r="F288" s="425">
        <v>400</v>
      </c>
      <c r="G288" s="425">
        <f>ROUND(E288*F288,2)</f>
        <v>1840</v>
      </c>
      <c r="H288" s="409"/>
      <c r="I288" s="409"/>
      <c r="J288" s="409"/>
      <c r="K288" s="409"/>
      <c r="L288" s="409"/>
    </row>
    <row r="289" spans="1:12" ht="13.5" customHeight="1">
      <c r="A289" s="423"/>
      <c r="B289" s="421"/>
      <c r="C289" s="424" t="s">
        <v>592</v>
      </c>
      <c r="D289" s="427">
        <f>D274</f>
        <v>0.4</v>
      </c>
      <c r="E289" s="415"/>
      <c r="F289" s="422"/>
      <c r="G289" s="442">
        <f>D289*SUM(G286:G288)</f>
        <v>809.06000000000006</v>
      </c>
      <c r="H289" s="422"/>
      <c r="I289" s="409"/>
      <c r="J289" s="409"/>
      <c r="K289" s="409"/>
      <c r="L289" s="409"/>
    </row>
    <row r="290" spans="1:12">
      <c r="A290" s="423"/>
      <c r="B290" s="420"/>
      <c r="C290" s="440" t="s">
        <v>252</v>
      </c>
      <c r="D290" s="426"/>
      <c r="E290" s="443"/>
      <c r="F290" s="425"/>
      <c r="G290" s="425"/>
      <c r="H290" s="409"/>
      <c r="I290" s="409"/>
      <c r="J290" s="409"/>
      <c r="K290" s="409"/>
      <c r="L290" s="409"/>
    </row>
    <row r="291" spans="1:12" ht="26.25" customHeight="1">
      <c r="A291" s="423"/>
      <c r="B291" s="420"/>
      <c r="C291" s="440" t="s">
        <v>567</v>
      </c>
      <c r="D291" s="426" t="s">
        <v>267</v>
      </c>
      <c r="E291" s="426">
        <v>1.333</v>
      </c>
      <c r="F291" s="426">
        <v>525.5</v>
      </c>
      <c r="G291" s="426">
        <f>ROUND(E291*F291,2)</f>
        <v>700.49</v>
      </c>
      <c r="H291" s="409"/>
      <c r="I291" s="409"/>
      <c r="J291" s="409"/>
      <c r="K291" s="409"/>
      <c r="L291" s="409"/>
    </row>
    <row r="292" spans="1:12" ht="15.75" customHeight="1">
      <c r="A292" s="423"/>
      <c r="B292" s="420"/>
      <c r="C292" s="440" t="s">
        <v>283</v>
      </c>
      <c r="D292" s="426" t="s">
        <v>267</v>
      </c>
      <c r="E292" s="426">
        <v>1.333</v>
      </c>
      <c r="F292" s="426">
        <v>203.5</v>
      </c>
      <c r="G292" s="426">
        <f>ROUND(E292*F292,2)</f>
        <v>271.27</v>
      </c>
      <c r="H292" s="409"/>
      <c r="I292" s="409"/>
      <c r="J292" s="409"/>
      <c r="K292" s="409"/>
      <c r="L292" s="409"/>
    </row>
    <row r="293" spans="1:12">
      <c r="A293" s="423"/>
      <c r="B293" s="420"/>
      <c r="C293" s="416" t="s">
        <v>264</v>
      </c>
      <c r="D293" s="425" t="s">
        <v>265</v>
      </c>
      <c r="E293" s="443">
        <v>1.2</v>
      </c>
      <c r="F293" s="426" t="e">
        <v>#REF!</v>
      </c>
      <c r="G293" s="426"/>
      <c r="H293" s="409"/>
      <c r="I293" s="409"/>
      <c r="J293" s="409"/>
      <c r="K293" s="409"/>
      <c r="L293" s="409"/>
    </row>
    <row r="294" spans="1:12" ht="15.5">
      <c r="A294" s="423"/>
      <c r="B294" s="420"/>
      <c r="C294" s="440" t="s">
        <v>284</v>
      </c>
      <c r="D294" s="426"/>
      <c r="E294" s="425"/>
      <c r="F294" s="425"/>
      <c r="G294" s="422">
        <f>SUM(G282:G293,0)</f>
        <v>6831.01</v>
      </c>
      <c r="H294" s="447"/>
      <c r="I294" s="409"/>
      <c r="J294" s="409"/>
      <c r="K294" s="409"/>
      <c r="L294" s="409"/>
    </row>
    <row r="295" spans="1:12" ht="15.5">
      <c r="A295" s="423"/>
      <c r="B295" s="420"/>
      <c r="C295" s="440" t="s">
        <v>40</v>
      </c>
      <c r="D295" s="426"/>
      <c r="E295" s="425"/>
      <c r="F295" s="422">
        <f>G294-G292</f>
        <v>6559.74</v>
      </c>
      <c r="G295" s="409"/>
      <c r="H295" s="447"/>
      <c r="I295" s="409"/>
      <c r="J295" s="409"/>
      <c r="K295" s="409"/>
      <c r="L295" s="409"/>
    </row>
    <row r="296" spans="1:12" ht="25">
      <c r="A296" s="423"/>
      <c r="B296" s="420"/>
      <c r="C296" s="424" t="s">
        <v>578</v>
      </c>
      <c r="D296" s="426"/>
      <c r="E296" s="425"/>
      <c r="F296" s="425"/>
      <c r="G296" s="434">
        <f>G294*13.615/100</f>
        <v>930.04201150000006</v>
      </c>
      <c r="H296" s="409"/>
      <c r="I296" s="409"/>
      <c r="J296" s="409"/>
      <c r="K296" s="409"/>
      <c r="L296" s="409"/>
    </row>
    <row r="297" spans="1:12" ht="15.5">
      <c r="A297" s="423"/>
      <c r="B297" s="420"/>
      <c r="C297" s="424" t="s">
        <v>338</v>
      </c>
      <c r="D297" s="426"/>
      <c r="E297" s="425"/>
      <c r="F297" s="425"/>
      <c r="G297" s="422">
        <f>SUM(G294:G296)</f>
        <v>7761.0520114999999</v>
      </c>
      <c r="H297" s="409"/>
      <c r="I297" s="409"/>
      <c r="J297" s="409"/>
      <c r="K297" s="409"/>
      <c r="L297" s="409"/>
    </row>
    <row r="298" spans="1:12" hidden="1">
      <c r="A298" s="423"/>
      <c r="B298" s="420"/>
      <c r="C298" s="448" t="s">
        <v>568</v>
      </c>
      <c r="D298" s="426"/>
      <c r="E298" s="426"/>
      <c r="F298" s="426"/>
      <c r="G298" s="426"/>
      <c r="H298" s="409"/>
      <c r="I298" s="409"/>
      <c r="J298" s="409"/>
      <c r="K298" s="409"/>
      <c r="L298" s="409"/>
    </row>
    <row r="299" spans="1:12" hidden="1">
      <c r="A299" s="423"/>
      <c r="B299" s="420"/>
      <c r="C299" s="440" t="s">
        <v>284</v>
      </c>
      <c r="D299" s="426" t="s">
        <v>117</v>
      </c>
      <c r="E299" s="425">
        <v>1</v>
      </c>
      <c r="F299" s="425">
        <f>F295</f>
        <v>6559.74</v>
      </c>
      <c r="G299" s="425">
        <f>ROUND(E299*F299,2)</f>
        <v>6559.74</v>
      </c>
      <c r="H299" s="409"/>
      <c r="I299" s="409"/>
      <c r="J299" s="409"/>
      <c r="K299" s="409"/>
      <c r="L299" s="409"/>
    </row>
    <row r="300" spans="1:12" ht="15.5" hidden="1">
      <c r="A300" s="423"/>
      <c r="B300" s="420"/>
      <c r="C300" s="424" t="s">
        <v>142</v>
      </c>
      <c r="D300" s="426"/>
      <c r="E300" s="425"/>
      <c r="F300" s="425"/>
      <c r="G300" s="422">
        <f>SUM(G299:G299,0)</f>
        <v>6559.74</v>
      </c>
      <c r="H300" s="409"/>
      <c r="I300" s="409"/>
      <c r="J300" s="409"/>
      <c r="K300" s="409"/>
      <c r="L300" s="409"/>
    </row>
    <row r="301" spans="1:12" ht="26" hidden="1">
      <c r="A301" s="423"/>
      <c r="B301" s="420"/>
      <c r="C301" s="424" t="s">
        <v>578</v>
      </c>
      <c r="D301" s="426"/>
      <c r="E301" s="425"/>
      <c r="F301" s="425"/>
      <c r="G301" s="422">
        <f>G300*13.615/100</f>
        <v>893.10860100000002</v>
      </c>
      <c r="H301" s="409"/>
      <c r="I301" s="409"/>
      <c r="J301" s="409"/>
      <c r="K301" s="409"/>
      <c r="L301" s="409"/>
    </row>
    <row r="302" spans="1:12" ht="15.5" hidden="1">
      <c r="A302" s="423"/>
      <c r="B302" s="420"/>
      <c r="C302" s="424"/>
      <c r="D302" s="426"/>
      <c r="E302" s="425"/>
      <c r="F302" s="425"/>
      <c r="G302" s="422">
        <f>SUM(G300:G301)</f>
        <v>7452.8486009999997</v>
      </c>
      <c r="H302" s="409"/>
      <c r="I302" s="409"/>
      <c r="J302" s="409"/>
      <c r="K302" s="409"/>
      <c r="L302" s="409"/>
    </row>
    <row r="303" spans="1:12" hidden="1">
      <c r="A303" s="423"/>
      <c r="B303" s="420"/>
      <c r="C303" s="448" t="s">
        <v>505</v>
      </c>
      <c r="D303" s="426"/>
      <c r="E303" s="426"/>
      <c r="F303" s="426"/>
      <c r="G303" s="426"/>
      <c r="H303" s="409"/>
      <c r="I303" s="409"/>
      <c r="J303" s="409"/>
      <c r="K303" s="409"/>
      <c r="L303" s="409"/>
    </row>
    <row r="304" spans="1:12" hidden="1">
      <c r="A304" s="423"/>
      <c r="B304" s="420"/>
      <c r="C304" s="440" t="s">
        <v>284</v>
      </c>
      <c r="D304" s="426" t="s">
        <v>117</v>
      </c>
      <c r="E304" s="425">
        <v>1</v>
      </c>
      <c r="F304" s="425">
        <f>G294</f>
        <v>6831.01</v>
      </c>
      <c r="G304" s="425">
        <f>ROUND(E304*F304,2)</f>
        <v>6831.01</v>
      </c>
      <c r="H304" s="409"/>
      <c r="I304" s="409"/>
      <c r="J304" s="409"/>
      <c r="K304" s="409"/>
      <c r="L304" s="409"/>
    </row>
    <row r="305" spans="1:12" hidden="1">
      <c r="A305" s="423"/>
      <c r="B305" s="420"/>
      <c r="C305" s="440" t="s">
        <v>532</v>
      </c>
      <c r="D305" s="426" t="s">
        <v>117</v>
      </c>
      <c r="E305" s="425">
        <v>1</v>
      </c>
      <c r="F305" s="425">
        <v>919</v>
      </c>
      <c r="G305" s="425">
        <f>ROUND(E305*F305,2)</f>
        <v>919</v>
      </c>
      <c r="H305" s="409"/>
      <c r="I305" s="409"/>
      <c r="J305" s="409"/>
      <c r="K305" s="409"/>
      <c r="L305" s="409"/>
    </row>
    <row r="306" spans="1:12" ht="13.5" hidden="1" customHeight="1">
      <c r="A306" s="423"/>
      <c r="B306" s="421"/>
      <c r="C306" s="424" t="s">
        <v>617</v>
      </c>
      <c r="D306" s="427">
        <f>D289</f>
        <v>0.4</v>
      </c>
      <c r="E306" s="415"/>
      <c r="F306" s="425">
        <v>631</v>
      </c>
      <c r="G306" s="425">
        <f>D306*F306</f>
        <v>252.4</v>
      </c>
      <c r="H306" s="409"/>
      <c r="I306" s="409"/>
      <c r="J306" s="409"/>
      <c r="K306" s="409"/>
      <c r="L306" s="409"/>
    </row>
    <row r="307" spans="1:12" ht="15.5" hidden="1">
      <c r="A307" s="423"/>
      <c r="B307" s="420"/>
      <c r="C307" s="424" t="s">
        <v>142</v>
      </c>
      <c r="D307" s="426"/>
      <c r="E307" s="425"/>
      <c r="F307" s="425"/>
      <c r="G307" s="422">
        <f>SUM(G304:G306,0)</f>
        <v>8002.41</v>
      </c>
      <c r="H307" s="409"/>
      <c r="I307" s="409"/>
      <c r="J307" s="409"/>
      <c r="K307" s="409"/>
      <c r="L307" s="409"/>
    </row>
    <row r="308" spans="1:12" ht="26" hidden="1">
      <c r="A308" s="423"/>
      <c r="B308" s="420"/>
      <c r="C308" s="424" t="s">
        <v>578</v>
      </c>
      <c r="D308" s="426"/>
      <c r="E308" s="425"/>
      <c r="F308" s="425"/>
      <c r="G308" s="422">
        <f>G307*13.615/100</f>
        <v>1089.5281215</v>
      </c>
      <c r="H308" s="409"/>
      <c r="I308" s="409"/>
      <c r="J308" s="409"/>
      <c r="K308" s="409"/>
      <c r="L308" s="409"/>
    </row>
    <row r="309" spans="1:12" ht="15.5" hidden="1">
      <c r="A309" s="423"/>
      <c r="B309" s="420"/>
      <c r="C309" s="424"/>
      <c r="D309" s="426"/>
      <c r="E309" s="425"/>
      <c r="F309" s="425"/>
      <c r="G309" s="422">
        <f>SUM(G307:G308)</f>
        <v>9091.9381214999994</v>
      </c>
      <c r="H309" s="409"/>
      <c r="I309" s="409"/>
      <c r="J309" s="409"/>
      <c r="K309" s="409"/>
      <c r="L309" s="409"/>
    </row>
    <row r="310" spans="1:12">
      <c r="A310" s="423"/>
      <c r="B310" s="420"/>
      <c r="C310" s="448" t="s">
        <v>354</v>
      </c>
      <c r="D310" s="426"/>
      <c r="E310" s="426"/>
      <c r="F310" s="426"/>
      <c r="G310" s="426"/>
      <c r="H310" s="409"/>
      <c r="I310" s="409"/>
      <c r="J310" s="409"/>
      <c r="K310" s="409"/>
      <c r="L310" s="409"/>
    </row>
    <row r="311" spans="1:12">
      <c r="A311" s="423"/>
      <c r="B311" s="420"/>
      <c r="C311" s="440" t="s">
        <v>284</v>
      </c>
      <c r="D311" s="426" t="s">
        <v>117</v>
      </c>
      <c r="E311" s="425">
        <v>1</v>
      </c>
      <c r="F311" s="425">
        <f>G294</f>
        <v>6831.01</v>
      </c>
      <c r="G311" s="425">
        <f>ROUND(E311*F311,2)</f>
        <v>6831.01</v>
      </c>
      <c r="H311" s="409"/>
      <c r="I311" s="409"/>
      <c r="J311" s="409"/>
      <c r="K311" s="409"/>
      <c r="L311" s="409"/>
    </row>
    <row r="312" spans="1:12">
      <c r="A312" s="423"/>
      <c r="B312" s="420"/>
      <c r="C312" s="440" t="s">
        <v>532</v>
      </c>
      <c r="D312" s="426" t="s">
        <v>117</v>
      </c>
      <c r="E312" s="425">
        <v>1</v>
      </c>
      <c r="F312" s="425">
        <v>1332</v>
      </c>
      <c r="G312" s="425">
        <f>ROUND(E312*F312,2)</f>
        <v>1332</v>
      </c>
      <c r="H312" s="409"/>
      <c r="I312" s="409"/>
      <c r="J312" s="409"/>
      <c r="K312" s="409"/>
      <c r="L312" s="409"/>
    </row>
    <row r="313" spans="1:12" ht="13.5" customHeight="1">
      <c r="A313" s="423"/>
      <c r="B313" s="421"/>
      <c r="C313" s="424" t="s">
        <v>617</v>
      </c>
      <c r="D313" s="427">
        <f>D306</f>
        <v>0.4</v>
      </c>
      <c r="E313" s="415"/>
      <c r="F313" s="425">
        <v>1004</v>
      </c>
      <c r="G313" s="425">
        <f>D313*F313</f>
        <v>401.6</v>
      </c>
      <c r="H313" s="409"/>
      <c r="I313" s="409"/>
      <c r="J313" s="409"/>
      <c r="K313" s="409"/>
      <c r="L313" s="409"/>
    </row>
    <row r="314" spans="1:12" ht="15.5">
      <c r="A314" s="423"/>
      <c r="B314" s="420"/>
      <c r="C314" s="424" t="s">
        <v>142</v>
      </c>
      <c r="D314" s="426"/>
      <c r="E314" s="425"/>
      <c r="F314" s="425"/>
      <c r="G314" s="422">
        <f>SUM(G311:G313,0)</f>
        <v>8564.61</v>
      </c>
      <c r="H314" s="409"/>
      <c r="I314" s="409"/>
      <c r="J314" s="409"/>
      <c r="K314" s="409"/>
      <c r="L314" s="409"/>
    </row>
    <row r="315" spans="1:12" ht="26">
      <c r="A315" s="423"/>
      <c r="B315" s="420"/>
      <c r="C315" s="424" t="s">
        <v>578</v>
      </c>
      <c r="D315" s="426"/>
      <c r="E315" s="425"/>
      <c r="F315" s="425"/>
      <c r="G315" s="422">
        <f>G314*13.615/100</f>
        <v>1166.0716515000001</v>
      </c>
      <c r="H315" s="409"/>
      <c r="I315" s="409"/>
      <c r="J315" s="409"/>
      <c r="K315" s="409"/>
      <c r="L315" s="409"/>
    </row>
    <row r="316" spans="1:12" ht="15.5">
      <c r="A316" s="423"/>
      <c r="B316" s="420"/>
      <c r="C316" s="424"/>
      <c r="D316" s="426"/>
      <c r="E316" s="425"/>
      <c r="F316" s="425"/>
      <c r="G316" s="422">
        <f>SUM(G314:G315)</f>
        <v>9730.681651500001</v>
      </c>
      <c r="H316" s="409"/>
      <c r="I316" s="409"/>
      <c r="J316" s="409"/>
      <c r="K316" s="409"/>
      <c r="L316" s="409"/>
    </row>
    <row r="317" spans="1:12">
      <c r="A317" s="423"/>
      <c r="B317" s="420"/>
      <c r="C317" s="448" t="s">
        <v>506</v>
      </c>
      <c r="D317" s="426"/>
      <c r="E317" s="426"/>
      <c r="F317" s="426"/>
      <c r="G317" s="426"/>
      <c r="H317" s="409"/>
      <c r="I317" s="409"/>
      <c r="J317" s="409"/>
      <c r="K317" s="409"/>
      <c r="L317" s="409"/>
    </row>
    <row r="318" spans="1:12">
      <c r="A318" s="423"/>
      <c r="B318" s="420"/>
      <c r="C318" s="440" t="s">
        <v>284</v>
      </c>
      <c r="D318" s="426" t="s">
        <v>117</v>
      </c>
      <c r="E318" s="425">
        <v>1</v>
      </c>
      <c r="F318" s="425">
        <f>G294</f>
        <v>6831.01</v>
      </c>
      <c r="G318" s="425">
        <f>ROUND(E318*F318,2)</f>
        <v>6831.01</v>
      </c>
      <c r="H318" s="409"/>
      <c r="I318" s="409"/>
      <c r="J318" s="409"/>
      <c r="K318" s="409"/>
      <c r="L318" s="409"/>
    </row>
    <row r="319" spans="1:12">
      <c r="A319" s="423"/>
      <c r="B319" s="420"/>
      <c r="C319" s="440" t="s">
        <v>532</v>
      </c>
      <c r="D319" s="426" t="s">
        <v>117</v>
      </c>
      <c r="E319" s="425">
        <v>1</v>
      </c>
      <c r="F319" s="425">
        <v>2911</v>
      </c>
      <c r="G319" s="425">
        <f>ROUND(E319*F319,2)</f>
        <v>2911</v>
      </c>
      <c r="H319" s="409"/>
      <c r="I319" s="409"/>
      <c r="J319" s="409"/>
      <c r="K319" s="409"/>
      <c r="L319" s="409"/>
    </row>
    <row r="320" spans="1:12" ht="13.5" customHeight="1">
      <c r="A320" s="423"/>
      <c r="B320" s="421"/>
      <c r="C320" s="424" t="s">
        <v>617</v>
      </c>
      <c r="D320" s="427">
        <f>D313</f>
        <v>0.4</v>
      </c>
      <c r="E320" s="415"/>
      <c r="F320" s="425">
        <v>1521</v>
      </c>
      <c r="G320" s="425">
        <f>D320*F320</f>
        <v>608.4</v>
      </c>
      <c r="H320" s="409"/>
      <c r="I320" s="409"/>
      <c r="J320" s="409"/>
      <c r="K320" s="409"/>
      <c r="L320" s="409"/>
    </row>
    <row r="321" spans="1:14" ht="15.5">
      <c r="A321" s="423"/>
      <c r="B321" s="420"/>
      <c r="C321" s="424" t="s">
        <v>142</v>
      </c>
      <c r="D321" s="426"/>
      <c r="E321" s="425"/>
      <c r="F321" s="425"/>
      <c r="G321" s="422">
        <f>SUM(G318:G320,0)</f>
        <v>10350.41</v>
      </c>
      <c r="H321" s="409"/>
      <c r="I321" s="409"/>
      <c r="J321" s="409"/>
      <c r="K321" s="409"/>
      <c r="L321" s="409"/>
    </row>
    <row r="322" spans="1:14" ht="26">
      <c r="A322" s="423"/>
      <c r="B322" s="420"/>
      <c r="C322" s="424" t="s">
        <v>578</v>
      </c>
      <c r="D322" s="426"/>
      <c r="E322" s="425"/>
      <c r="F322" s="425"/>
      <c r="G322" s="422">
        <f>G321*13.615/100</f>
        <v>1409.2083215</v>
      </c>
      <c r="H322" s="409"/>
      <c r="I322" s="409"/>
      <c r="J322" s="409"/>
      <c r="K322" s="409"/>
      <c r="L322" s="409"/>
    </row>
    <row r="323" spans="1:14" ht="15.5">
      <c r="A323" s="423"/>
      <c r="B323" s="420"/>
      <c r="C323" s="440"/>
      <c r="D323" s="426"/>
      <c r="E323" s="425"/>
      <c r="F323" s="425"/>
      <c r="G323" s="422">
        <f>SUM(G321:G322)</f>
        <v>11759.6183215</v>
      </c>
      <c r="H323" s="409"/>
      <c r="I323" s="409"/>
      <c r="J323" s="409"/>
      <c r="K323" s="409"/>
      <c r="L323" s="409"/>
    </row>
    <row r="324" spans="1:14" ht="28">
      <c r="A324" s="414" t="s">
        <v>256</v>
      </c>
      <c r="B324" s="420" t="s">
        <v>145</v>
      </c>
      <c r="C324" s="449" t="s">
        <v>285</v>
      </c>
      <c r="D324" s="426"/>
      <c r="E324" s="425"/>
      <c r="F324" s="425"/>
      <c r="G324" s="2218" t="s">
        <v>613</v>
      </c>
      <c r="H324" s="2218"/>
      <c r="I324" s="2218" t="s">
        <v>611</v>
      </c>
      <c r="J324" s="2218"/>
      <c r="K324" s="2218" t="s">
        <v>614</v>
      </c>
      <c r="L324" s="2218"/>
      <c r="M324" s="2220" t="s">
        <v>620</v>
      </c>
      <c r="N324" s="2221"/>
    </row>
    <row r="325" spans="1:14" ht="27" customHeight="1">
      <c r="A325" s="435" t="s">
        <v>608</v>
      </c>
      <c r="B325" s="420"/>
      <c r="C325" s="440" t="s">
        <v>24</v>
      </c>
      <c r="D325" s="426"/>
      <c r="E325" s="425"/>
      <c r="F325" s="425"/>
      <c r="G325" s="425" t="s">
        <v>612</v>
      </c>
      <c r="H325" s="450" t="s">
        <v>286</v>
      </c>
      <c r="I325" s="425" t="s">
        <v>612</v>
      </c>
      <c r="J325" s="450" t="s">
        <v>286</v>
      </c>
      <c r="K325" s="425" t="s">
        <v>612</v>
      </c>
      <c r="L325" s="450" t="s">
        <v>286</v>
      </c>
      <c r="M325" s="451" t="s">
        <v>612</v>
      </c>
      <c r="N325" s="452" t="s">
        <v>286</v>
      </c>
    </row>
    <row r="326" spans="1:14">
      <c r="A326" s="423"/>
      <c r="B326" s="420"/>
      <c r="C326" s="440" t="s">
        <v>287</v>
      </c>
      <c r="D326" s="426" t="s">
        <v>117</v>
      </c>
      <c r="E326" s="443">
        <v>0.8</v>
      </c>
      <c r="F326" s="425">
        <v>1610.64</v>
      </c>
      <c r="G326" s="425">
        <f>ROUND(E326*F326,2)</f>
        <v>1288.51</v>
      </c>
      <c r="H326" s="442">
        <f>G326</f>
        <v>1288.51</v>
      </c>
      <c r="I326" s="442">
        <f t="shared" ref="I326:N328" si="6">G326</f>
        <v>1288.51</v>
      </c>
      <c r="J326" s="442">
        <f t="shared" si="6"/>
        <v>1288.51</v>
      </c>
      <c r="K326" s="442">
        <f t="shared" si="6"/>
        <v>1288.51</v>
      </c>
      <c r="L326" s="442">
        <f t="shared" si="6"/>
        <v>1288.51</v>
      </c>
      <c r="M326" s="453">
        <f t="shared" si="6"/>
        <v>1288.51</v>
      </c>
      <c r="N326" s="454">
        <f t="shared" si="6"/>
        <v>1288.51</v>
      </c>
    </row>
    <row r="327" spans="1:14">
      <c r="A327" s="423"/>
      <c r="B327" s="420"/>
      <c r="C327" s="440" t="s">
        <v>277</v>
      </c>
      <c r="D327" s="426" t="s">
        <v>117</v>
      </c>
      <c r="E327" s="443">
        <v>0.4</v>
      </c>
      <c r="F327" s="425">
        <v>267.58</v>
      </c>
      <c r="G327" s="425">
        <f>ROUND(E327*F327,2)</f>
        <v>107.03</v>
      </c>
      <c r="H327" s="442">
        <f>G327</f>
        <v>107.03</v>
      </c>
      <c r="I327" s="442">
        <f t="shared" si="6"/>
        <v>107.03</v>
      </c>
      <c r="J327" s="442">
        <f t="shared" si="6"/>
        <v>107.03</v>
      </c>
      <c r="K327" s="442">
        <f t="shared" si="6"/>
        <v>107.03</v>
      </c>
      <c r="L327" s="442">
        <f t="shared" si="6"/>
        <v>107.03</v>
      </c>
      <c r="M327" s="453">
        <f t="shared" si="6"/>
        <v>107.03</v>
      </c>
      <c r="N327" s="454">
        <f t="shared" si="6"/>
        <v>107.03</v>
      </c>
    </row>
    <row r="328" spans="1:14">
      <c r="A328" s="423"/>
      <c r="B328" s="420"/>
      <c r="C328" s="440" t="s">
        <v>218</v>
      </c>
      <c r="D328" s="426" t="s">
        <v>207</v>
      </c>
      <c r="E328" s="443">
        <f>E284</f>
        <v>340</v>
      </c>
      <c r="F328" s="425">
        <v>4.8</v>
      </c>
      <c r="G328" s="425">
        <f>ROUND(E328*F328,2)</f>
        <v>1632</v>
      </c>
      <c r="H328" s="442">
        <f>G328</f>
        <v>1632</v>
      </c>
      <c r="I328" s="442">
        <f t="shared" si="6"/>
        <v>1632</v>
      </c>
      <c r="J328" s="442">
        <f t="shared" si="6"/>
        <v>1632</v>
      </c>
      <c r="K328" s="442">
        <f t="shared" si="6"/>
        <v>1632</v>
      </c>
      <c r="L328" s="442">
        <f t="shared" si="6"/>
        <v>1632</v>
      </c>
      <c r="M328" s="453">
        <f t="shared" si="6"/>
        <v>1632</v>
      </c>
      <c r="N328" s="454">
        <f t="shared" si="6"/>
        <v>1632</v>
      </c>
    </row>
    <row r="329" spans="1:14">
      <c r="A329" s="423"/>
      <c r="B329" s="420"/>
      <c r="C329" s="440" t="s">
        <v>278</v>
      </c>
      <c r="D329" s="426"/>
      <c r="E329" s="443"/>
      <c r="F329" s="425"/>
      <c r="G329" s="425"/>
      <c r="H329" s="442"/>
      <c r="I329" s="442"/>
      <c r="J329" s="442"/>
      <c r="K329" s="442"/>
      <c r="L329" s="442"/>
      <c r="M329" s="453"/>
      <c r="N329" s="454"/>
    </row>
    <row r="330" spans="1:14">
      <c r="A330" s="423"/>
      <c r="B330" s="420"/>
      <c r="C330" s="440" t="s">
        <v>279</v>
      </c>
      <c r="D330" s="426" t="s">
        <v>119</v>
      </c>
      <c r="E330" s="443">
        <v>0.16700000000000001</v>
      </c>
      <c r="F330" s="425">
        <f>F286</f>
        <v>490</v>
      </c>
      <c r="G330" s="425">
        <f>ROUND(E330*F330,2)</f>
        <v>81.83</v>
      </c>
      <c r="H330" s="442">
        <f>G330</f>
        <v>81.83</v>
      </c>
      <c r="I330" s="442">
        <f t="shared" ref="I330:N332" si="7">G330</f>
        <v>81.83</v>
      </c>
      <c r="J330" s="442">
        <f t="shared" si="7"/>
        <v>81.83</v>
      </c>
      <c r="K330" s="442">
        <f t="shared" si="7"/>
        <v>81.83</v>
      </c>
      <c r="L330" s="442">
        <f t="shared" si="7"/>
        <v>81.83</v>
      </c>
      <c r="M330" s="453">
        <f t="shared" si="7"/>
        <v>81.83</v>
      </c>
      <c r="N330" s="454">
        <f t="shared" si="7"/>
        <v>81.83</v>
      </c>
    </row>
    <row r="331" spans="1:14">
      <c r="A331" s="423"/>
      <c r="B331" s="420"/>
      <c r="C331" s="440" t="s">
        <v>280</v>
      </c>
      <c r="D331" s="426" t="s">
        <v>119</v>
      </c>
      <c r="E331" s="443">
        <v>0.16700000000000001</v>
      </c>
      <c r="F331" s="425">
        <f>F287</f>
        <v>440</v>
      </c>
      <c r="G331" s="425">
        <f>ROUND(E331*F331,2)</f>
        <v>73.48</v>
      </c>
      <c r="H331" s="442">
        <f>G331</f>
        <v>73.48</v>
      </c>
      <c r="I331" s="442">
        <f t="shared" si="7"/>
        <v>73.48</v>
      </c>
      <c r="J331" s="442">
        <f t="shared" si="7"/>
        <v>73.48</v>
      </c>
      <c r="K331" s="442">
        <f t="shared" si="7"/>
        <v>73.48</v>
      </c>
      <c r="L331" s="442">
        <f t="shared" si="7"/>
        <v>73.48</v>
      </c>
      <c r="M331" s="453">
        <f t="shared" si="7"/>
        <v>73.48</v>
      </c>
      <c r="N331" s="454">
        <f t="shared" si="7"/>
        <v>73.48</v>
      </c>
    </row>
    <row r="332" spans="1:14">
      <c r="A332" s="423"/>
      <c r="B332" s="420"/>
      <c r="C332" s="440" t="s">
        <v>281</v>
      </c>
      <c r="D332" s="426" t="s">
        <v>119</v>
      </c>
      <c r="E332" s="443">
        <v>5.6</v>
      </c>
      <c r="F332" s="425">
        <f>F288</f>
        <v>400</v>
      </c>
      <c r="G332" s="425">
        <f>ROUND(E332*F332,2)</f>
        <v>2240</v>
      </c>
      <c r="H332" s="442">
        <f>G332</f>
        <v>2240</v>
      </c>
      <c r="I332" s="442">
        <f t="shared" si="7"/>
        <v>2240</v>
      </c>
      <c r="J332" s="442">
        <f t="shared" si="7"/>
        <v>2240</v>
      </c>
      <c r="K332" s="442">
        <f t="shared" si="7"/>
        <v>2240</v>
      </c>
      <c r="L332" s="442">
        <f t="shared" si="7"/>
        <v>2240</v>
      </c>
      <c r="M332" s="453">
        <f t="shared" si="7"/>
        <v>2240</v>
      </c>
      <c r="N332" s="454">
        <f t="shared" si="7"/>
        <v>2240</v>
      </c>
    </row>
    <row r="333" spans="1:14" s="478" customFormat="1">
      <c r="A333" s="468"/>
      <c r="B333" s="469"/>
      <c r="C333" s="470" t="s">
        <v>615</v>
      </c>
      <c r="D333" s="469"/>
      <c r="E333" s="471"/>
      <c r="F333" s="472"/>
      <c r="G333" s="472"/>
      <c r="H333" s="473"/>
      <c r="I333" s="474">
        <f>SUM(I330:I332)*10/100</f>
        <v>239.53099999999998</v>
      </c>
      <c r="J333" s="474">
        <f>SUM(J330:J332)*10/100</f>
        <v>239.53099999999998</v>
      </c>
      <c r="K333" s="475">
        <f>SUM(K330:K332)*20/100</f>
        <v>479.06199999999995</v>
      </c>
      <c r="L333" s="474">
        <f>SUM(L330:L332)*20/100</f>
        <v>479.06199999999995</v>
      </c>
      <c r="M333" s="476">
        <f>SUM(M330:M332)*30/100</f>
        <v>718.59300000000007</v>
      </c>
      <c r="N333" s="477">
        <f>SUM(N330:N332)*30/100</f>
        <v>718.59300000000007</v>
      </c>
    </row>
    <row r="334" spans="1:14" ht="13.5" customHeight="1">
      <c r="A334" s="423"/>
      <c r="B334" s="421"/>
      <c r="C334" s="424" t="s">
        <v>592</v>
      </c>
      <c r="D334" s="427">
        <f>D320</f>
        <v>0.4</v>
      </c>
      <c r="E334" s="415"/>
      <c r="F334" s="422"/>
      <c r="G334" s="442">
        <f>D334*SUM(G330:G332)</f>
        <v>958.12400000000002</v>
      </c>
      <c r="H334" s="442">
        <f>D334*SUM(H330:H332)</f>
        <v>958.12400000000002</v>
      </c>
      <c r="I334" s="442">
        <f>D334*SUM(I330:I333)</f>
        <v>1053.9364</v>
      </c>
      <c r="J334" s="442">
        <f>I334</f>
        <v>1053.9364</v>
      </c>
      <c r="K334" s="442">
        <f>D334*SUM(K330:K333)</f>
        <v>1149.7488000000001</v>
      </c>
      <c r="L334" s="442">
        <f>K334</f>
        <v>1149.7488000000001</v>
      </c>
      <c r="M334" s="479">
        <f>D334*SUM(M330:M333)</f>
        <v>1245.5612000000001</v>
      </c>
      <c r="N334" s="454">
        <f>M334</f>
        <v>1245.5612000000001</v>
      </c>
    </row>
    <row r="335" spans="1:14">
      <c r="A335" s="423"/>
      <c r="B335" s="420"/>
      <c r="C335" s="440" t="s">
        <v>252</v>
      </c>
      <c r="D335" s="426"/>
      <c r="E335" s="443"/>
      <c r="F335" s="425"/>
      <c r="G335" s="425"/>
      <c r="H335" s="442"/>
      <c r="I335" s="442"/>
      <c r="J335" s="442"/>
      <c r="K335" s="442"/>
      <c r="L335" s="442"/>
      <c r="M335" s="453"/>
      <c r="N335" s="454"/>
    </row>
    <row r="336" spans="1:14" ht="27" customHeight="1">
      <c r="A336" s="423"/>
      <c r="B336" s="420"/>
      <c r="C336" s="440" t="s">
        <v>567</v>
      </c>
      <c r="D336" s="426" t="s">
        <v>267</v>
      </c>
      <c r="E336" s="443">
        <v>1.333</v>
      </c>
      <c r="F336" s="425">
        <f>F291</f>
        <v>525.5</v>
      </c>
      <c r="G336" s="425">
        <f>ROUND(E336*F336,2)</f>
        <v>700.49</v>
      </c>
      <c r="H336" s="442">
        <f t="shared" ref="H336:N336" si="8">G336</f>
        <v>700.49</v>
      </c>
      <c r="I336" s="442">
        <f t="shared" si="8"/>
        <v>700.49</v>
      </c>
      <c r="J336" s="442">
        <f t="shared" si="8"/>
        <v>700.49</v>
      </c>
      <c r="K336" s="442">
        <f t="shared" si="8"/>
        <v>700.49</v>
      </c>
      <c r="L336" s="442">
        <f t="shared" si="8"/>
        <v>700.49</v>
      </c>
      <c r="M336" s="453">
        <f t="shared" si="8"/>
        <v>700.49</v>
      </c>
      <c r="N336" s="454">
        <f t="shared" si="8"/>
        <v>700.49</v>
      </c>
    </row>
    <row r="337" spans="1:14" ht="27" customHeight="1">
      <c r="A337" s="423"/>
      <c r="B337" s="420"/>
      <c r="C337" s="440" t="s">
        <v>283</v>
      </c>
      <c r="D337" s="426" t="s">
        <v>267</v>
      </c>
      <c r="E337" s="443">
        <v>1.333</v>
      </c>
      <c r="F337" s="425">
        <f>F292</f>
        <v>203.5</v>
      </c>
      <c r="G337" s="425">
        <f>ROUND(E337*F337,2)</f>
        <v>271.27</v>
      </c>
      <c r="H337" s="442"/>
      <c r="I337" s="442">
        <f>G337</f>
        <v>271.27</v>
      </c>
      <c r="J337" s="442"/>
      <c r="K337" s="442">
        <f>I337</f>
        <v>271.27</v>
      </c>
      <c r="L337" s="442"/>
      <c r="M337" s="453">
        <f>K337</f>
        <v>271.27</v>
      </c>
      <c r="N337" s="454"/>
    </row>
    <row r="338" spans="1:14">
      <c r="A338" s="423"/>
      <c r="B338" s="420"/>
      <c r="C338" s="416" t="s">
        <v>264</v>
      </c>
      <c r="D338" s="425" t="s">
        <v>265</v>
      </c>
      <c r="E338" s="443">
        <v>1.2</v>
      </c>
      <c r="F338" s="425" t="e">
        <f>F293</f>
        <v>#REF!</v>
      </c>
      <c r="G338" s="425"/>
      <c r="H338" s="442"/>
      <c r="I338" s="442"/>
      <c r="J338" s="442"/>
      <c r="K338" s="442"/>
      <c r="L338" s="442"/>
      <c r="M338" s="453"/>
      <c r="N338" s="454"/>
    </row>
    <row r="339" spans="1:14" ht="15.5">
      <c r="A339" s="423"/>
      <c r="B339" s="420"/>
      <c r="C339" s="440" t="s">
        <v>284</v>
      </c>
      <c r="D339" s="426"/>
      <c r="E339" s="425"/>
      <c r="F339" s="425"/>
      <c r="G339" s="422">
        <f t="shared" ref="G339:N339" si="9">SUM(G326:G338,0)</f>
        <v>7352.7340000000004</v>
      </c>
      <c r="H339" s="422">
        <f t="shared" si="9"/>
        <v>7081.4639999999999</v>
      </c>
      <c r="I339" s="422">
        <f t="shared" si="9"/>
        <v>7688.0774000000001</v>
      </c>
      <c r="J339" s="422">
        <f t="shared" si="9"/>
        <v>7416.8073999999997</v>
      </c>
      <c r="K339" s="422">
        <f t="shared" si="9"/>
        <v>8023.4207999999999</v>
      </c>
      <c r="L339" s="422">
        <f t="shared" si="9"/>
        <v>7752.1508000000003</v>
      </c>
      <c r="M339" s="480">
        <f t="shared" si="9"/>
        <v>8358.7641999999996</v>
      </c>
      <c r="N339" s="481">
        <f t="shared" si="9"/>
        <v>8087.4942000000001</v>
      </c>
    </row>
    <row r="340" spans="1:14">
      <c r="A340" s="423"/>
      <c r="B340" s="420"/>
      <c r="C340" s="440" t="s">
        <v>509</v>
      </c>
      <c r="D340" s="426"/>
      <c r="E340" s="425"/>
      <c r="F340" s="425"/>
      <c r="G340" s="425" t="s">
        <v>613</v>
      </c>
      <c r="H340" s="409"/>
      <c r="I340" s="428" t="s">
        <v>611</v>
      </c>
      <c r="J340" s="409"/>
      <c r="K340" s="428" t="s">
        <v>614</v>
      </c>
      <c r="L340" s="409"/>
      <c r="M340" s="456" t="s">
        <v>620</v>
      </c>
    </row>
    <row r="341" spans="1:14" ht="15.5">
      <c r="A341" s="423"/>
      <c r="B341" s="420"/>
      <c r="C341" s="440" t="s">
        <v>284</v>
      </c>
      <c r="D341" s="426" t="s">
        <v>117</v>
      </c>
      <c r="E341" s="425">
        <v>1</v>
      </c>
      <c r="F341" s="425">
        <f>G339</f>
        <v>7352.7340000000004</v>
      </c>
      <c r="G341" s="425">
        <f>ROUND(E341*F341,2)</f>
        <v>7352.73</v>
      </c>
      <c r="H341" s="442">
        <f>I339</f>
        <v>7688.0774000000001</v>
      </c>
      <c r="I341" s="434">
        <f>ROUND(E341*H341,2)</f>
        <v>7688.08</v>
      </c>
      <c r="J341" s="434">
        <f>K339</f>
        <v>8023.4207999999999</v>
      </c>
      <c r="K341" s="434">
        <f>ROUND(E341*J341,2)</f>
        <v>8023.42</v>
      </c>
      <c r="L341" s="433">
        <f>M339</f>
        <v>8358.7641999999996</v>
      </c>
      <c r="M341" s="461">
        <f>ROUND(E341*L341,2)</f>
        <v>8358.76</v>
      </c>
      <c r="N341" s="460"/>
    </row>
    <row r="342" spans="1:14">
      <c r="A342" s="423"/>
      <c r="B342" s="420"/>
      <c r="C342" s="440" t="s">
        <v>532</v>
      </c>
      <c r="D342" s="426" t="s">
        <v>117</v>
      </c>
      <c r="E342" s="425">
        <v>1</v>
      </c>
      <c r="F342" s="425">
        <v>2623</v>
      </c>
      <c r="G342" s="425">
        <f>ROUND(E342*F342,2)</f>
        <v>2623</v>
      </c>
      <c r="H342" s="434">
        <v>2850</v>
      </c>
      <c r="I342" s="434">
        <f>ROUND(E342*H342,2)</f>
        <v>2850</v>
      </c>
      <c r="J342" s="436">
        <v>3077</v>
      </c>
      <c r="K342" s="434">
        <f>ROUND(E342*J342,2)</f>
        <v>3077</v>
      </c>
      <c r="L342" s="436">
        <v>3303</v>
      </c>
      <c r="M342" s="461">
        <f>ROUND(E342*L342,2)</f>
        <v>3303</v>
      </c>
    </row>
    <row r="343" spans="1:14" ht="13.5" customHeight="1">
      <c r="A343" s="423"/>
      <c r="B343" s="421"/>
      <c r="C343" s="424" t="s">
        <v>617</v>
      </c>
      <c r="D343" s="427">
        <f>D334</f>
        <v>0.4</v>
      </c>
      <c r="E343" s="415"/>
      <c r="F343" s="425">
        <v>2268</v>
      </c>
      <c r="G343" s="425">
        <f>D343*F343</f>
        <v>907.2</v>
      </c>
      <c r="H343" s="434">
        <v>2495</v>
      </c>
      <c r="I343" s="425">
        <f>D343*H343</f>
        <v>998</v>
      </c>
      <c r="J343" s="436">
        <v>2722</v>
      </c>
      <c r="K343" s="425">
        <f>D343*J343</f>
        <v>1088.8</v>
      </c>
      <c r="L343" s="436">
        <v>2948</v>
      </c>
      <c r="M343" s="482">
        <f>D343*L343</f>
        <v>1179.2</v>
      </c>
    </row>
    <row r="344" spans="1:14" ht="15.5">
      <c r="A344" s="423"/>
      <c r="B344" s="420"/>
      <c r="C344" s="424" t="s">
        <v>142</v>
      </c>
      <c r="D344" s="426"/>
      <c r="E344" s="425"/>
      <c r="F344" s="425"/>
      <c r="G344" s="422">
        <f>SUM(G341:G343,0)</f>
        <v>10882.93</v>
      </c>
      <c r="H344" s="428"/>
      <c r="I344" s="422">
        <f>SUM(I341:I343,0)</f>
        <v>11536.08</v>
      </c>
      <c r="J344" s="409"/>
      <c r="K344" s="422">
        <f>SUM(K341:K343,0)</f>
        <v>12189.22</v>
      </c>
      <c r="L344" s="409"/>
      <c r="M344" s="458">
        <f>SUM(M341:M343,0)</f>
        <v>12840.960000000001</v>
      </c>
    </row>
    <row r="345" spans="1:14" ht="26">
      <c r="A345" s="423"/>
      <c r="B345" s="420"/>
      <c r="C345" s="424" t="s">
        <v>578</v>
      </c>
      <c r="D345" s="426"/>
      <c r="E345" s="425"/>
      <c r="F345" s="425"/>
      <c r="G345" s="422">
        <f>G344*13.615/100*0</f>
        <v>0</v>
      </c>
      <c r="H345" s="409"/>
      <c r="I345" s="422">
        <f>I344*13.615/100</f>
        <v>1570.6372920000001</v>
      </c>
      <c r="J345" s="409"/>
      <c r="K345" s="422">
        <f>K344*13.615/100</f>
        <v>1659.5623029999999</v>
      </c>
      <c r="L345" s="409"/>
      <c r="M345" s="458">
        <f>M344*13.615/100</f>
        <v>1748.2967040000001</v>
      </c>
    </row>
    <row r="346" spans="1:14" ht="15.5">
      <c r="A346" s="423"/>
      <c r="B346" s="420"/>
      <c r="C346" s="424"/>
      <c r="D346" s="426"/>
      <c r="E346" s="425"/>
      <c r="F346" s="425"/>
      <c r="G346" s="422">
        <f>SUM(G344:G345)</f>
        <v>10882.93</v>
      </c>
      <c r="H346" s="409"/>
      <c r="I346" s="422">
        <f>SUM(I344:I345)</f>
        <v>13106.717291999999</v>
      </c>
      <c r="J346" s="409"/>
      <c r="K346" s="422">
        <f>SUM(K344:K345)</f>
        <v>13848.782303</v>
      </c>
      <c r="L346" s="409"/>
      <c r="M346" s="458">
        <f>SUM(M344:M345)</f>
        <v>14589.256704000001</v>
      </c>
    </row>
    <row r="347" spans="1:14" ht="14">
      <c r="A347" s="423"/>
      <c r="B347" s="420"/>
      <c r="C347" s="449" t="s">
        <v>288</v>
      </c>
      <c r="D347" s="426"/>
      <c r="E347" s="425"/>
      <c r="F347" s="425"/>
      <c r="G347" s="425"/>
      <c r="H347" s="409"/>
      <c r="I347" s="409"/>
      <c r="J347" s="409"/>
      <c r="K347" s="409"/>
      <c r="L347" s="409"/>
      <c r="M347" s="463"/>
    </row>
    <row r="348" spans="1:14">
      <c r="A348" s="423"/>
      <c r="B348" s="420"/>
      <c r="C348" s="440" t="s">
        <v>284</v>
      </c>
      <c r="D348" s="426" t="s">
        <v>117</v>
      </c>
      <c r="E348" s="425">
        <v>1</v>
      </c>
      <c r="F348" s="425">
        <f>H339</f>
        <v>7081.4639999999999</v>
      </c>
      <c r="G348" s="425">
        <f>ROUND(E348*F348,2)</f>
        <v>7081.46</v>
      </c>
      <c r="H348" s="442">
        <f>J339</f>
        <v>7416.8073999999997</v>
      </c>
      <c r="I348" s="434">
        <f>ROUND(E348*H348,2)</f>
        <v>7416.81</v>
      </c>
      <c r="J348" s="433">
        <f>L339</f>
        <v>7752.1508000000003</v>
      </c>
      <c r="K348" s="434">
        <f>ROUND(E348*J348,2)</f>
        <v>7752.15</v>
      </c>
      <c r="L348" s="433">
        <f>N339</f>
        <v>8087.4942000000001</v>
      </c>
      <c r="M348" s="461">
        <f>ROUND(E348*L348,2)</f>
        <v>8087.49</v>
      </c>
    </row>
    <row r="349" spans="1:14">
      <c r="A349" s="423"/>
      <c r="B349" s="420"/>
      <c r="C349" s="440" t="s">
        <v>532</v>
      </c>
      <c r="D349" s="426" t="s">
        <v>117</v>
      </c>
      <c r="E349" s="425">
        <v>1</v>
      </c>
      <c r="F349" s="425">
        <v>2041</v>
      </c>
      <c r="G349" s="425">
        <f>ROUND(E349*F349,2)</f>
        <v>2041</v>
      </c>
      <c r="H349" s="434">
        <v>2166</v>
      </c>
      <c r="I349" s="434">
        <f>ROUND(E349*H349,2)</f>
        <v>2166</v>
      </c>
      <c r="J349" s="436">
        <v>2291</v>
      </c>
      <c r="K349" s="434">
        <f>ROUND(E349*J349,2)</f>
        <v>2291</v>
      </c>
      <c r="L349" s="436">
        <v>2416</v>
      </c>
      <c r="M349" s="461">
        <f>ROUND(E349*L349,2)</f>
        <v>2416</v>
      </c>
    </row>
    <row r="350" spans="1:14" ht="13.5" customHeight="1">
      <c r="A350" s="423"/>
      <c r="B350" s="421"/>
      <c r="C350" s="424" t="s">
        <v>617</v>
      </c>
      <c r="D350" s="427">
        <f>D334</f>
        <v>0.4</v>
      </c>
      <c r="E350" s="415"/>
      <c r="F350" s="425">
        <v>1251</v>
      </c>
      <c r="G350" s="425">
        <f>D350*F350</f>
        <v>500.40000000000003</v>
      </c>
      <c r="H350" s="434">
        <v>1376</v>
      </c>
      <c r="I350" s="425">
        <f>D350*H350</f>
        <v>550.4</v>
      </c>
      <c r="J350" s="436">
        <v>1501</v>
      </c>
      <c r="K350" s="425">
        <f>D350*J350</f>
        <v>600.4</v>
      </c>
      <c r="L350" s="436">
        <v>1626</v>
      </c>
      <c r="M350" s="482">
        <f>D350*L350</f>
        <v>650.40000000000009</v>
      </c>
    </row>
    <row r="351" spans="1:14" ht="15.5">
      <c r="A351" s="423"/>
      <c r="B351" s="420"/>
      <c r="C351" s="424" t="s">
        <v>142</v>
      </c>
      <c r="D351" s="426"/>
      <c r="E351" s="425"/>
      <c r="F351" s="425"/>
      <c r="G351" s="422">
        <f>SUM(G348:G350,0)</f>
        <v>9622.8599999999988</v>
      </c>
      <c r="H351" s="428"/>
      <c r="I351" s="422">
        <f>SUM(I348:I350,0)</f>
        <v>10133.210000000001</v>
      </c>
      <c r="J351" s="409"/>
      <c r="K351" s="422">
        <f>SUM(K348:K350,0)</f>
        <v>10643.55</v>
      </c>
      <c r="L351" s="409"/>
      <c r="M351" s="458">
        <f>SUM(M348:M350,0)</f>
        <v>11153.89</v>
      </c>
    </row>
    <row r="352" spans="1:14" ht="26">
      <c r="A352" s="423"/>
      <c r="B352" s="420"/>
      <c r="C352" s="424" t="s">
        <v>578</v>
      </c>
      <c r="D352" s="426"/>
      <c r="E352" s="425"/>
      <c r="F352" s="425"/>
      <c r="G352" s="422">
        <f>G351*13.615/100</f>
        <v>1310.1523889999999</v>
      </c>
      <c r="H352" s="428"/>
      <c r="I352" s="422">
        <f>I351*13.615/100</f>
        <v>1379.6365415000002</v>
      </c>
      <c r="J352" s="409"/>
      <c r="K352" s="422">
        <f>K351*13.615/100</f>
        <v>1449.1193324999999</v>
      </c>
      <c r="L352" s="409"/>
      <c r="M352" s="458">
        <f>M351*13.615/100</f>
        <v>1518.6021234999998</v>
      </c>
    </row>
    <row r="353" spans="1:13" ht="15.5">
      <c r="A353" s="423"/>
      <c r="B353" s="420"/>
      <c r="C353" s="440"/>
      <c r="D353" s="426"/>
      <c r="E353" s="425"/>
      <c r="F353" s="425"/>
      <c r="G353" s="422">
        <f>SUM(G351:G352)</f>
        <v>10933.012389</v>
      </c>
      <c r="H353" s="428"/>
      <c r="I353" s="422">
        <f>SUM(I351:I352)</f>
        <v>11512.846541500001</v>
      </c>
      <c r="J353" s="409"/>
      <c r="K353" s="422">
        <f>SUM(K351:K352)</f>
        <v>12092.6693325</v>
      </c>
      <c r="L353" s="409"/>
      <c r="M353" s="458">
        <f>SUM(M351:M352)</f>
        <v>12672.4921235</v>
      </c>
    </row>
    <row r="354" spans="1:13" ht="14">
      <c r="A354" s="423"/>
      <c r="B354" s="420"/>
      <c r="C354" s="449" t="s">
        <v>289</v>
      </c>
      <c r="D354" s="426"/>
      <c r="E354" s="425"/>
      <c r="F354" s="425"/>
      <c r="G354" s="425"/>
      <c r="H354" s="428"/>
      <c r="I354" s="409"/>
      <c r="J354" s="409"/>
      <c r="K354" s="409"/>
      <c r="L354" s="409"/>
      <c r="M354" s="463"/>
    </row>
    <row r="355" spans="1:13">
      <c r="A355" s="423"/>
      <c r="B355" s="420"/>
      <c r="C355" s="440" t="s">
        <v>290</v>
      </c>
      <c r="D355" s="426" t="s">
        <v>117</v>
      </c>
      <c r="E355" s="425">
        <v>1</v>
      </c>
      <c r="F355" s="425">
        <f>H339</f>
        <v>7081.4639999999999</v>
      </c>
      <c r="G355" s="425">
        <f>ROUND(E355*F355,2)</f>
        <v>7081.46</v>
      </c>
      <c r="H355" s="442">
        <f>J339</f>
        <v>7416.8073999999997</v>
      </c>
      <c r="I355" s="434">
        <f>ROUND(E355*H355,2)</f>
        <v>7416.81</v>
      </c>
      <c r="J355" s="433">
        <f>J348</f>
        <v>7752.1508000000003</v>
      </c>
      <c r="K355" s="434">
        <f>ROUND(E355*J355,2)</f>
        <v>7752.15</v>
      </c>
      <c r="L355" s="433">
        <f>L348</f>
        <v>8087.4942000000001</v>
      </c>
      <c r="M355" s="461">
        <f>ROUND(E355*L355,2)</f>
        <v>8087.49</v>
      </c>
    </row>
    <row r="356" spans="1:13">
      <c r="A356" s="423"/>
      <c r="B356" s="420"/>
      <c r="C356" s="440" t="s">
        <v>532</v>
      </c>
      <c r="D356" s="426" t="s">
        <v>117</v>
      </c>
      <c r="E356" s="425">
        <v>16</v>
      </c>
      <c r="F356" s="425">
        <v>348</v>
      </c>
      <c r="G356" s="425">
        <f>ROUND(E356*F356,2)</f>
        <v>5568</v>
      </c>
      <c r="H356" s="434">
        <v>367</v>
      </c>
      <c r="I356" s="434">
        <f>ROUND(E356*H356,2)</f>
        <v>5872</v>
      </c>
      <c r="J356" s="436">
        <v>386</v>
      </c>
      <c r="K356" s="434">
        <f>ROUND(E356*J356,2)</f>
        <v>6176</v>
      </c>
      <c r="L356" s="436">
        <v>406</v>
      </c>
      <c r="M356" s="461">
        <f>ROUND(E356*L356,2)</f>
        <v>6496</v>
      </c>
    </row>
    <row r="357" spans="1:13" ht="13.5" customHeight="1">
      <c r="A357" s="423"/>
      <c r="B357" s="421"/>
      <c r="C357" s="424" t="s">
        <v>617</v>
      </c>
      <c r="D357" s="427">
        <f>D350</f>
        <v>0.4</v>
      </c>
      <c r="E357" s="415"/>
      <c r="F357" s="425">
        <v>192</v>
      </c>
      <c r="G357" s="425">
        <f>D357*E356*F357</f>
        <v>1228.8000000000002</v>
      </c>
      <c r="H357" s="434">
        <v>211</v>
      </c>
      <c r="I357" s="425">
        <f>D357*E356*H357</f>
        <v>1350.4</v>
      </c>
      <c r="J357" s="436">
        <v>230</v>
      </c>
      <c r="K357" s="425">
        <f>D357*E356*J357</f>
        <v>1472</v>
      </c>
      <c r="L357" s="436">
        <v>250</v>
      </c>
      <c r="M357" s="482">
        <f>D357*E356*L357</f>
        <v>1600</v>
      </c>
    </row>
    <row r="358" spans="1:13" ht="15.5">
      <c r="A358" s="423"/>
      <c r="B358" s="420"/>
      <c r="C358" s="424" t="s">
        <v>142</v>
      </c>
      <c r="D358" s="426"/>
      <c r="E358" s="425"/>
      <c r="F358" s="425"/>
      <c r="G358" s="422">
        <f>SUM(G355:G357,0)</f>
        <v>13878.259999999998</v>
      </c>
      <c r="H358" s="409"/>
      <c r="I358" s="422">
        <f>SUM(I355:I357,0)</f>
        <v>14639.210000000001</v>
      </c>
      <c r="J358" s="409"/>
      <c r="K358" s="422">
        <f>SUM(K355:K357,0)</f>
        <v>15400.15</v>
      </c>
      <c r="L358" s="409"/>
      <c r="M358" s="458">
        <f>SUM(M355:M357,0)</f>
        <v>16183.49</v>
      </c>
    </row>
    <row r="359" spans="1:13" ht="26">
      <c r="A359" s="423"/>
      <c r="B359" s="420"/>
      <c r="C359" s="424" t="s">
        <v>578</v>
      </c>
      <c r="D359" s="426"/>
      <c r="E359" s="425"/>
      <c r="F359" s="425"/>
      <c r="G359" s="422">
        <f>G358*13.615/100</f>
        <v>1889.5250989999997</v>
      </c>
      <c r="H359" s="409"/>
      <c r="I359" s="422">
        <f>I358*13.615/100</f>
        <v>1993.1284415000002</v>
      </c>
      <c r="J359" s="409"/>
      <c r="K359" s="422">
        <f>K358*13.615/100</f>
        <v>2096.7304224999998</v>
      </c>
      <c r="L359" s="409"/>
      <c r="M359" s="458">
        <f>M358*13.615/100</f>
        <v>2203.3821634999999</v>
      </c>
    </row>
    <row r="360" spans="1:13" ht="15.5">
      <c r="A360" s="423"/>
      <c r="B360" s="420"/>
      <c r="C360" s="424"/>
      <c r="D360" s="426"/>
      <c r="E360" s="425"/>
      <c r="F360" s="425"/>
      <c r="G360" s="422">
        <f>SUM(G358:G359)</f>
        <v>15767.785098999999</v>
      </c>
      <c r="H360" s="409"/>
      <c r="I360" s="422">
        <f>SUM(I358:I359)</f>
        <v>16632.3384415</v>
      </c>
      <c r="J360" s="409"/>
      <c r="K360" s="422">
        <f>SUM(K358:K359)</f>
        <v>17496.880422499999</v>
      </c>
      <c r="L360" s="409"/>
      <c r="M360" s="458">
        <f>SUM(M358:M359)</f>
        <v>18386.8721635</v>
      </c>
    </row>
    <row r="361" spans="1:13" ht="15.5">
      <c r="A361" s="414" t="s">
        <v>256</v>
      </c>
      <c r="B361" s="420" t="s">
        <v>146</v>
      </c>
      <c r="C361" s="449" t="s">
        <v>291</v>
      </c>
      <c r="D361" s="426"/>
      <c r="E361" s="425"/>
      <c r="F361" s="425"/>
      <c r="G361" s="425"/>
      <c r="H361" s="409"/>
      <c r="I361" s="422"/>
      <c r="J361" s="409"/>
      <c r="K361" s="422"/>
      <c r="L361" s="409"/>
      <c r="M361" s="458"/>
    </row>
    <row r="362" spans="1:13" ht="15.5">
      <c r="A362" s="435" t="s">
        <v>609</v>
      </c>
      <c r="B362" s="420"/>
      <c r="C362" s="440" t="s">
        <v>24</v>
      </c>
      <c r="D362" s="426"/>
      <c r="E362" s="425"/>
      <c r="F362" s="425"/>
      <c r="G362" s="425" t="s">
        <v>613</v>
      </c>
      <c r="H362" s="425" t="s">
        <v>611</v>
      </c>
      <c r="I362" s="425" t="s">
        <v>614</v>
      </c>
      <c r="J362" s="425" t="s">
        <v>620</v>
      </c>
      <c r="K362" s="422"/>
      <c r="L362" s="409"/>
      <c r="M362" s="458"/>
    </row>
    <row r="363" spans="1:13">
      <c r="A363" s="423"/>
      <c r="B363" s="420"/>
      <c r="C363" s="440" t="s">
        <v>287</v>
      </c>
      <c r="D363" s="426" t="s">
        <v>117</v>
      </c>
      <c r="E363" s="443">
        <v>0.8</v>
      </c>
      <c r="F363" s="425">
        <f>F326</f>
        <v>1610.64</v>
      </c>
      <c r="G363" s="425">
        <f>ROUND(E363*F363,2)</f>
        <v>1288.51</v>
      </c>
      <c r="H363" s="433">
        <f t="shared" ref="H363:J365" si="10">G363</f>
        <v>1288.51</v>
      </c>
      <c r="I363" s="433">
        <f t="shared" si="10"/>
        <v>1288.51</v>
      </c>
      <c r="J363" s="433">
        <f t="shared" si="10"/>
        <v>1288.51</v>
      </c>
      <c r="K363" s="409"/>
      <c r="L363" s="409"/>
      <c r="M363" s="463"/>
    </row>
    <row r="364" spans="1:13">
      <c r="A364" s="423"/>
      <c r="B364" s="420"/>
      <c r="C364" s="440" t="s">
        <v>277</v>
      </c>
      <c r="D364" s="426" t="s">
        <v>117</v>
      </c>
      <c r="E364" s="443">
        <v>0.4</v>
      </c>
      <c r="F364" s="425">
        <f>F327</f>
        <v>267.58</v>
      </c>
      <c r="G364" s="425">
        <f>ROUND(E364*F364,2)</f>
        <v>107.03</v>
      </c>
      <c r="H364" s="433">
        <f t="shared" si="10"/>
        <v>107.03</v>
      </c>
      <c r="I364" s="433">
        <f t="shared" si="10"/>
        <v>107.03</v>
      </c>
      <c r="J364" s="433">
        <f t="shared" si="10"/>
        <v>107.03</v>
      </c>
      <c r="K364" s="409"/>
      <c r="L364" s="409"/>
    </row>
    <row r="365" spans="1:13">
      <c r="A365" s="423"/>
      <c r="B365" s="420"/>
      <c r="C365" s="440" t="s">
        <v>218</v>
      </c>
      <c r="D365" s="426" t="s">
        <v>207</v>
      </c>
      <c r="E365" s="443">
        <f>E328</f>
        <v>340</v>
      </c>
      <c r="F365" s="425">
        <f>F328</f>
        <v>4.8</v>
      </c>
      <c r="G365" s="425">
        <f>ROUND(E365*F365,2)</f>
        <v>1632</v>
      </c>
      <c r="H365" s="433">
        <f t="shared" si="10"/>
        <v>1632</v>
      </c>
      <c r="I365" s="433">
        <f t="shared" si="10"/>
        <v>1632</v>
      </c>
      <c r="J365" s="433">
        <f t="shared" si="10"/>
        <v>1632</v>
      </c>
      <c r="K365" s="409"/>
      <c r="L365" s="409"/>
    </row>
    <row r="366" spans="1:13">
      <c r="A366" s="423"/>
      <c r="B366" s="420"/>
      <c r="C366" s="440" t="s">
        <v>278</v>
      </c>
      <c r="D366" s="426"/>
      <c r="E366" s="443"/>
      <c r="F366" s="425"/>
      <c r="G366" s="425"/>
      <c r="H366" s="433"/>
      <c r="I366" s="433"/>
      <c r="J366" s="433"/>
      <c r="K366" s="409"/>
      <c r="L366" s="409"/>
    </row>
    <row r="367" spans="1:13">
      <c r="A367" s="423"/>
      <c r="B367" s="420"/>
      <c r="C367" s="440" t="s">
        <v>279</v>
      </c>
      <c r="D367" s="426" t="s">
        <v>119</v>
      </c>
      <c r="E367" s="443">
        <v>6.7000000000000004E-2</v>
      </c>
      <c r="F367" s="425">
        <f>F330</f>
        <v>490</v>
      </c>
      <c r="G367" s="425">
        <f>ROUND(E367*F367,2)</f>
        <v>32.83</v>
      </c>
      <c r="H367" s="433">
        <f t="shared" ref="H367:J369" si="11">G367</f>
        <v>32.83</v>
      </c>
      <c r="I367" s="433">
        <f t="shared" si="11"/>
        <v>32.83</v>
      </c>
      <c r="J367" s="433">
        <f t="shared" si="11"/>
        <v>32.83</v>
      </c>
      <c r="K367" s="409"/>
      <c r="L367" s="409"/>
    </row>
    <row r="368" spans="1:13">
      <c r="A368" s="423"/>
      <c r="B368" s="420"/>
      <c r="C368" s="440" t="s">
        <v>280</v>
      </c>
      <c r="D368" s="426" t="s">
        <v>119</v>
      </c>
      <c r="E368" s="443">
        <v>0.13300000000000001</v>
      </c>
      <c r="F368" s="425">
        <f>F331</f>
        <v>440</v>
      </c>
      <c r="G368" s="425">
        <f>ROUND(E368*F368,2)</f>
        <v>58.52</v>
      </c>
      <c r="H368" s="433">
        <f t="shared" si="11"/>
        <v>58.52</v>
      </c>
      <c r="I368" s="433">
        <f t="shared" si="11"/>
        <v>58.52</v>
      </c>
      <c r="J368" s="433">
        <f t="shared" si="11"/>
        <v>58.52</v>
      </c>
      <c r="K368" s="409"/>
      <c r="L368" s="409"/>
    </row>
    <row r="369" spans="1:14">
      <c r="A369" s="423"/>
      <c r="B369" s="420"/>
      <c r="C369" s="440" t="s">
        <v>281</v>
      </c>
      <c r="D369" s="426" t="s">
        <v>119</v>
      </c>
      <c r="E369" s="443">
        <v>3.077</v>
      </c>
      <c r="F369" s="425">
        <f>F332</f>
        <v>400</v>
      </c>
      <c r="G369" s="425">
        <f>ROUND(E369*F369,2)</f>
        <v>1230.8</v>
      </c>
      <c r="H369" s="433">
        <f t="shared" si="11"/>
        <v>1230.8</v>
      </c>
      <c r="I369" s="433">
        <f t="shared" si="11"/>
        <v>1230.8</v>
      </c>
      <c r="J369" s="433">
        <f t="shared" si="11"/>
        <v>1230.8</v>
      </c>
      <c r="K369" s="409"/>
      <c r="L369" s="409"/>
    </row>
    <row r="370" spans="1:14">
      <c r="A370" s="423"/>
      <c r="B370" s="420"/>
      <c r="C370" s="424" t="s">
        <v>615</v>
      </c>
      <c r="D370" s="426"/>
      <c r="E370" s="443"/>
      <c r="F370" s="425"/>
      <c r="G370" s="425"/>
      <c r="H370" s="465">
        <f>SUM(H367:H369)*10/100</f>
        <v>132.21499999999997</v>
      </c>
      <c r="I370" s="465">
        <f>SUM(I367:I369)*20/100</f>
        <v>264.42999999999995</v>
      </c>
      <c r="J370" s="465">
        <f>SUM(J367:J369)*30/100</f>
        <v>396.64499999999992</v>
      </c>
      <c r="K370" s="442"/>
      <c r="L370" s="442"/>
      <c r="M370" s="454"/>
      <c r="N370" s="454"/>
    </row>
    <row r="371" spans="1:14" ht="13.5" customHeight="1">
      <c r="A371" s="423"/>
      <c r="B371" s="421"/>
      <c r="C371" s="424" t="s">
        <v>592</v>
      </c>
      <c r="D371" s="427">
        <f>D357</f>
        <v>0.4</v>
      </c>
      <c r="E371" s="415"/>
      <c r="F371" s="422"/>
      <c r="G371" s="442">
        <f>D371*SUM(G367:G369)</f>
        <v>528.86</v>
      </c>
      <c r="H371" s="442">
        <f>D371*SUM(H367:H370)</f>
        <v>581.74599999999998</v>
      </c>
      <c r="I371" s="442">
        <f>D371*SUM(I367:I370)</f>
        <v>634.63200000000006</v>
      </c>
      <c r="J371" s="442">
        <f>D371*SUM(J367:J370)</f>
        <v>687.51800000000003</v>
      </c>
      <c r="K371" s="442"/>
      <c r="L371" s="409"/>
      <c r="M371" s="454"/>
    </row>
    <row r="372" spans="1:14">
      <c r="A372" s="423"/>
      <c r="B372" s="420"/>
      <c r="C372" s="440" t="s">
        <v>252</v>
      </c>
      <c r="D372" s="426"/>
      <c r="E372" s="443"/>
      <c r="F372" s="425"/>
      <c r="G372" s="425"/>
      <c r="H372" s="433"/>
      <c r="I372" s="433"/>
      <c r="J372" s="433"/>
      <c r="K372" s="409"/>
      <c r="L372" s="409"/>
    </row>
    <row r="373" spans="1:14" ht="25">
      <c r="A373" s="423"/>
      <c r="B373" s="420"/>
      <c r="C373" s="440" t="s">
        <v>567</v>
      </c>
      <c r="D373" s="426" t="s">
        <v>267</v>
      </c>
      <c r="E373" s="443">
        <v>0.308</v>
      </c>
      <c r="F373" s="425">
        <f>F336</f>
        <v>525.5</v>
      </c>
      <c r="G373" s="425">
        <f>ROUND(E373*F373,2)</f>
        <v>161.85</v>
      </c>
      <c r="H373" s="433">
        <f t="shared" ref="H373:J374" si="12">G373</f>
        <v>161.85</v>
      </c>
      <c r="I373" s="433">
        <f t="shared" si="12"/>
        <v>161.85</v>
      </c>
      <c r="J373" s="433">
        <f t="shared" si="12"/>
        <v>161.85</v>
      </c>
      <c r="K373" s="409"/>
      <c r="L373" s="409"/>
    </row>
    <row r="374" spans="1:14">
      <c r="A374" s="423"/>
      <c r="B374" s="420"/>
      <c r="C374" s="440" t="s">
        <v>283</v>
      </c>
      <c r="D374" s="426" t="s">
        <v>267</v>
      </c>
      <c r="E374" s="443">
        <v>0.308</v>
      </c>
      <c r="F374" s="425">
        <f>F337</f>
        <v>203.5</v>
      </c>
      <c r="G374" s="425">
        <f>ROUND(E374*F374,2)</f>
        <v>62.68</v>
      </c>
      <c r="H374" s="433">
        <f t="shared" si="12"/>
        <v>62.68</v>
      </c>
      <c r="I374" s="433">
        <f t="shared" si="12"/>
        <v>62.68</v>
      </c>
      <c r="J374" s="433">
        <f t="shared" si="12"/>
        <v>62.68</v>
      </c>
      <c r="K374" s="409"/>
      <c r="L374" s="409"/>
    </row>
    <row r="375" spans="1:14">
      <c r="A375" s="423"/>
      <c r="B375" s="420"/>
      <c r="C375" s="440" t="s">
        <v>264</v>
      </c>
      <c r="D375" s="426" t="s">
        <v>265</v>
      </c>
      <c r="E375" s="443">
        <v>1.2</v>
      </c>
      <c r="F375" s="425" t="e">
        <f>F338</f>
        <v>#REF!</v>
      </c>
      <c r="G375" s="425"/>
      <c r="H375" s="433"/>
      <c r="I375" s="433"/>
      <c r="J375" s="433"/>
      <c r="K375" s="409"/>
      <c r="L375" s="409"/>
    </row>
    <row r="376" spans="1:14" ht="15.5">
      <c r="A376" s="423"/>
      <c r="B376" s="420"/>
      <c r="C376" s="440" t="s">
        <v>284</v>
      </c>
      <c r="D376" s="426"/>
      <c r="E376" s="425"/>
      <c r="F376" s="425"/>
      <c r="G376" s="422">
        <f>SUM(G363:G375,0)</f>
        <v>5103.08</v>
      </c>
      <c r="H376" s="422">
        <f>SUM(H363:H375,0)</f>
        <v>5288.1810000000005</v>
      </c>
      <c r="I376" s="422">
        <f>SUM(I363:I375,0)</f>
        <v>5473.2820000000011</v>
      </c>
      <c r="J376" s="422">
        <f>SUM(J363:J375,0)</f>
        <v>5658.3829999999998</v>
      </c>
      <c r="K376" s="409"/>
      <c r="L376" s="409"/>
    </row>
    <row r="377" spans="1:14">
      <c r="A377" s="423"/>
      <c r="B377" s="420"/>
      <c r="C377" s="440"/>
      <c r="D377" s="426"/>
      <c r="E377" s="425"/>
      <c r="F377" s="425"/>
      <c r="G377" s="425" t="s">
        <v>613</v>
      </c>
      <c r="H377" s="409"/>
      <c r="I377" s="409"/>
      <c r="J377" s="409"/>
      <c r="K377" s="409"/>
      <c r="L377" s="409"/>
    </row>
    <row r="378" spans="1:14">
      <c r="A378" s="423"/>
      <c r="B378" s="420"/>
      <c r="C378" s="440" t="s">
        <v>510</v>
      </c>
      <c r="D378" s="426"/>
      <c r="E378" s="425"/>
      <c r="F378" s="425"/>
      <c r="G378" s="425"/>
      <c r="H378" s="409"/>
      <c r="I378" s="428" t="s">
        <v>611</v>
      </c>
      <c r="J378" s="409"/>
      <c r="K378" s="425" t="s">
        <v>614</v>
      </c>
      <c r="L378" s="409"/>
      <c r="M378" s="451" t="s">
        <v>620</v>
      </c>
    </row>
    <row r="379" spans="1:14">
      <c r="A379" s="423"/>
      <c r="B379" s="420"/>
      <c r="C379" s="440" t="s">
        <v>284</v>
      </c>
      <c r="D379" s="426" t="s">
        <v>117</v>
      </c>
      <c r="E379" s="425">
        <v>1</v>
      </c>
      <c r="F379" s="425">
        <f>G376</f>
        <v>5103.08</v>
      </c>
      <c r="G379" s="425">
        <f>ROUND(E379*F379,2)</f>
        <v>5103.08</v>
      </c>
      <c r="H379" s="442">
        <f>H376</f>
        <v>5288.1810000000005</v>
      </c>
      <c r="I379" s="434">
        <f>ROUND(E379*H379,2)</f>
        <v>5288.18</v>
      </c>
      <c r="J379" s="433">
        <f>I376</f>
        <v>5473.2820000000011</v>
      </c>
      <c r="K379" s="434">
        <f>ROUND(E379*J379,2)</f>
        <v>5473.28</v>
      </c>
      <c r="L379" s="433">
        <f>J376</f>
        <v>5658.3829999999998</v>
      </c>
      <c r="M379" s="461">
        <f>ROUND(E379*L379,2)</f>
        <v>5658.38</v>
      </c>
    </row>
    <row r="380" spans="1:14">
      <c r="A380" s="423"/>
      <c r="B380" s="420"/>
      <c r="C380" s="440" t="s">
        <v>532</v>
      </c>
      <c r="D380" s="426" t="s">
        <v>117</v>
      </c>
      <c r="E380" s="425">
        <v>1</v>
      </c>
      <c r="F380" s="425">
        <v>2868</v>
      </c>
      <c r="G380" s="425">
        <f>ROUND(E380*F380,2)</f>
        <v>2868</v>
      </c>
      <c r="H380" s="434">
        <v>3015</v>
      </c>
      <c r="I380" s="434">
        <f>ROUND(E380*H380,2)</f>
        <v>3015</v>
      </c>
      <c r="J380" s="436">
        <v>3163</v>
      </c>
      <c r="K380" s="434">
        <f>ROUND(E380*J380,2)</f>
        <v>3163</v>
      </c>
      <c r="L380" s="436">
        <v>3310</v>
      </c>
      <c r="M380" s="461">
        <f>ROUND(E380*L380,2)</f>
        <v>3310</v>
      </c>
    </row>
    <row r="381" spans="1:14" ht="13.5" customHeight="1">
      <c r="A381" s="423"/>
      <c r="B381" s="421"/>
      <c r="C381" s="424" t="s">
        <v>617</v>
      </c>
      <c r="D381" s="427">
        <f>D371</f>
        <v>0.4</v>
      </c>
      <c r="E381" s="415"/>
      <c r="F381" s="425">
        <v>1473</v>
      </c>
      <c r="G381" s="425">
        <f>D381*F381</f>
        <v>589.20000000000005</v>
      </c>
      <c r="H381" s="434">
        <v>1620</v>
      </c>
      <c r="I381" s="425">
        <f>D381*H381</f>
        <v>648</v>
      </c>
      <c r="J381" s="436">
        <v>1768</v>
      </c>
      <c r="K381" s="425">
        <f>D381*J381</f>
        <v>707.2</v>
      </c>
      <c r="L381" s="436">
        <v>1915</v>
      </c>
      <c r="M381" s="462">
        <f>D381*L381</f>
        <v>766</v>
      </c>
    </row>
    <row r="382" spans="1:14" ht="15.5">
      <c r="A382" s="423"/>
      <c r="B382" s="420"/>
      <c r="C382" s="424" t="s">
        <v>142</v>
      </c>
      <c r="D382" s="426"/>
      <c r="E382" s="425"/>
      <c r="F382" s="425"/>
      <c r="G382" s="422">
        <f>SUM(G379:G381,0)</f>
        <v>8560.2800000000007</v>
      </c>
      <c r="H382" s="428"/>
      <c r="I382" s="422">
        <f>SUM(I379:I381,0)</f>
        <v>8951.18</v>
      </c>
      <c r="J382" s="409"/>
      <c r="K382" s="422">
        <f>SUM(K379:K381,0)</f>
        <v>9343.48</v>
      </c>
      <c r="L382" s="409"/>
      <c r="M382" s="458">
        <f>SUM(M379:M381,0)</f>
        <v>9734.380000000001</v>
      </c>
    </row>
    <row r="383" spans="1:14" ht="26">
      <c r="A383" s="423"/>
      <c r="B383" s="420"/>
      <c r="C383" s="424" t="s">
        <v>578</v>
      </c>
      <c r="D383" s="426"/>
      <c r="E383" s="425"/>
      <c r="F383" s="425"/>
      <c r="G383" s="422">
        <f>G382*13.615/100</f>
        <v>1165.4821220000001</v>
      </c>
      <c r="H383" s="409"/>
      <c r="I383" s="422">
        <f>I382*13.615/100</f>
        <v>1218.7031570000001</v>
      </c>
      <c r="J383" s="409"/>
      <c r="K383" s="422">
        <f>K382*13.615/100</f>
        <v>1272.1148019999998</v>
      </c>
      <c r="L383" s="409"/>
      <c r="M383" s="458">
        <f>M382*13.615/100</f>
        <v>1325.3358370000001</v>
      </c>
    </row>
    <row r="384" spans="1:14" ht="15.5">
      <c r="A384" s="423"/>
      <c r="B384" s="420"/>
      <c r="C384" s="424"/>
      <c r="D384" s="426"/>
      <c r="E384" s="425"/>
      <c r="F384" s="425"/>
      <c r="G384" s="422">
        <f>SUM(G382:G383)</f>
        <v>9725.7621220000001</v>
      </c>
      <c r="H384" s="409"/>
      <c r="I384" s="422">
        <f>SUM(I382:I383)</f>
        <v>10169.883157</v>
      </c>
      <c r="J384" s="409"/>
      <c r="K384" s="422">
        <f>SUM(K382:K383)</f>
        <v>10615.594802</v>
      </c>
      <c r="L384" s="409"/>
      <c r="M384" s="458">
        <f>SUM(M382:M383)</f>
        <v>11059.715837000002</v>
      </c>
    </row>
    <row r="385" spans="1:13" ht="14" hidden="1">
      <c r="A385" s="423"/>
      <c r="B385" s="420"/>
      <c r="C385" s="449" t="s">
        <v>355</v>
      </c>
      <c r="D385" s="426"/>
      <c r="E385" s="425"/>
      <c r="F385" s="425"/>
      <c r="G385" s="425"/>
      <c r="H385" s="409"/>
      <c r="I385" s="409"/>
      <c r="J385" s="409"/>
      <c r="K385" s="409"/>
      <c r="L385" s="409"/>
      <c r="M385" s="463"/>
    </row>
    <row r="386" spans="1:13" hidden="1">
      <c r="A386" s="423"/>
      <c r="B386" s="420"/>
      <c r="C386" s="437" t="s">
        <v>489</v>
      </c>
      <c r="D386" s="426" t="s">
        <v>117</v>
      </c>
      <c r="E386" s="466">
        <v>1</v>
      </c>
      <c r="F386" s="425">
        <f>G376</f>
        <v>5103.08</v>
      </c>
      <c r="G386" s="425">
        <f>ROUND(E386*F386,2)</f>
        <v>5103.08</v>
      </c>
      <c r="H386" s="442">
        <f>H376</f>
        <v>5288.1810000000005</v>
      </c>
      <c r="I386" s="434">
        <f>ROUND(E386*H386,2)</f>
        <v>5288.18</v>
      </c>
      <c r="J386" s="433">
        <f>I376</f>
        <v>5473.2820000000011</v>
      </c>
      <c r="K386" s="434">
        <f>ROUND(E386*J386,2)</f>
        <v>5473.28</v>
      </c>
      <c r="L386" s="433">
        <f>J376</f>
        <v>5658.3829999999998</v>
      </c>
      <c r="M386" s="461">
        <f>ROUND(E386*L386,2)</f>
        <v>5658.38</v>
      </c>
    </row>
    <row r="387" spans="1:13" hidden="1">
      <c r="A387" s="423"/>
      <c r="B387" s="420"/>
      <c r="C387" s="448" t="s">
        <v>230</v>
      </c>
      <c r="D387" s="426" t="s">
        <v>113</v>
      </c>
      <c r="E387" s="466">
        <v>8.6959999999999997</v>
      </c>
      <c r="F387" s="425">
        <v>325</v>
      </c>
      <c r="G387" s="425">
        <f>ROUND(E387*F387,2)</f>
        <v>2826.2</v>
      </c>
      <c r="H387" s="434">
        <v>342</v>
      </c>
      <c r="I387" s="434">
        <f>ROUND(E387*H387,2)</f>
        <v>2974.03</v>
      </c>
      <c r="J387" s="436">
        <v>358</v>
      </c>
      <c r="K387" s="434">
        <f>ROUND(E387*J387,2)</f>
        <v>3113.17</v>
      </c>
      <c r="L387" s="436">
        <v>375</v>
      </c>
      <c r="M387" s="461">
        <f>ROUND(E387*L387,2)</f>
        <v>3261</v>
      </c>
    </row>
    <row r="388" spans="1:13" ht="13.5" hidden="1" customHeight="1">
      <c r="A388" s="423"/>
      <c r="B388" s="421"/>
      <c r="C388" s="424" t="s">
        <v>617</v>
      </c>
      <c r="D388" s="427">
        <f>D381</f>
        <v>0.4</v>
      </c>
      <c r="E388" s="415"/>
      <c r="F388" s="425">
        <v>167</v>
      </c>
      <c r="G388" s="425">
        <f>D388*E387*F388</f>
        <v>580.89280000000008</v>
      </c>
      <c r="H388" s="434">
        <v>184</v>
      </c>
      <c r="I388" s="425">
        <f>D388*E387*H388</f>
        <v>640.02560000000005</v>
      </c>
      <c r="J388" s="436">
        <v>200</v>
      </c>
      <c r="K388" s="425">
        <f>D388*E387*J388</f>
        <v>695.68000000000006</v>
      </c>
      <c r="L388" s="436">
        <v>217</v>
      </c>
      <c r="M388" s="462">
        <f>D388*E387*L388</f>
        <v>754.81280000000004</v>
      </c>
    </row>
    <row r="389" spans="1:13" ht="15.5" hidden="1">
      <c r="A389" s="423"/>
      <c r="B389" s="420"/>
      <c r="C389" s="424" t="s">
        <v>142</v>
      </c>
      <c r="D389" s="426"/>
      <c r="E389" s="425"/>
      <c r="F389" s="425"/>
      <c r="G389" s="422">
        <f>SUM(G386:G388,0)</f>
        <v>8510.1728000000003</v>
      </c>
      <c r="H389" s="428"/>
      <c r="I389" s="422">
        <f>SUM(I386:I388,0)</f>
        <v>8902.2356000000018</v>
      </c>
      <c r="J389" s="409"/>
      <c r="K389" s="422">
        <f>SUM(K386:K388,0)</f>
        <v>9282.130000000001</v>
      </c>
      <c r="L389" s="409"/>
      <c r="M389" s="458">
        <f>SUM(M386:M388,0)</f>
        <v>9674.1928000000007</v>
      </c>
    </row>
    <row r="390" spans="1:13" ht="26" hidden="1">
      <c r="A390" s="423"/>
      <c r="B390" s="420"/>
      <c r="C390" s="424" t="s">
        <v>578</v>
      </c>
      <c r="D390" s="426"/>
      <c r="E390" s="425"/>
      <c r="F390" s="425"/>
      <c r="G390" s="422">
        <f>G389*13.615/100</f>
        <v>1158.6600267200001</v>
      </c>
      <c r="H390" s="428"/>
      <c r="I390" s="422">
        <f>I389*13.615/100</f>
        <v>1212.0393769400002</v>
      </c>
      <c r="J390" s="409"/>
      <c r="K390" s="422">
        <f>K389*13.615/100</f>
        <v>1263.7619995</v>
      </c>
      <c r="L390" s="409"/>
      <c r="M390" s="458">
        <f>M389*13.615/100</f>
        <v>1317.1413497200001</v>
      </c>
    </row>
    <row r="391" spans="1:13" ht="15.5" hidden="1">
      <c r="A391" s="423"/>
      <c r="B391" s="420"/>
      <c r="C391" s="424"/>
      <c r="D391" s="426"/>
      <c r="E391" s="425"/>
      <c r="F391" s="425"/>
      <c r="G391" s="422">
        <f>SUM(G389:G390)</f>
        <v>9668.8328267200013</v>
      </c>
      <c r="H391" s="428"/>
      <c r="I391" s="422">
        <f>SUM(I389:I390)</f>
        <v>10114.274976940002</v>
      </c>
      <c r="J391" s="409"/>
      <c r="K391" s="422">
        <f>SUM(K389:K390)</f>
        <v>10545.891999500001</v>
      </c>
      <c r="L391" s="409"/>
      <c r="M391" s="458">
        <f>SUM(M389:M390)</f>
        <v>10991.334149720002</v>
      </c>
    </row>
    <row r="392" spans="1:13" ht="16.5" customHeight="1">
      <c r="A392" s="423"/>
      <c r="B392" s="420"/>
      <c r="C392" s="449" t="s">
        <v>491</v>
      </c>
      <c r="D392" s="440"/>
      <c r="E392" s="416"/>
      <c r="F392" s="416"/>
      <c r="G392" s="467"/>
      <c r="H392" s="409"/>
      <c r="I392" s="409"/>
      <c r="J392" s="409"/>
      <c r="K392" s="409"/>
      <c r="L392" s="409"/>
    </row>
    <row r="393" spans="1:13">
      <c r="A393" s="423"/>
      <c r="B393" s="420"/>
      <c r="C393" s="437" t="s">
        <v>489</v>
      </c>
      <c r="D393" s="440" t="s">
        <v>117</v>
      </c>
      <c r="E393" s="466">
        <v>1</v>
      </c>
      <c r="F393" s="416">
        <f>F386</f>
        <v>5103.08</v>
      </c>
      <c r="G393" s="425">
        <f>ROUND(E393*F393,2)</f>
        <v>5103.08</v>
      </c>
      <c r="H393" s="442">
        <f>H386</f>
        <v>5288.1810000000005</v>
      </c>
      <c r="I393" s="434">
        <f>ROUND(E393*H393,2)</f>
        <v>5288.18</v>
      </c>
      <c r="J393" s="433">
        <f>J386</f>
        <v>5473.2820000000011</v>
      </c>
      <c r="K393" s="434">
        <f>ROUND(E393*J393,2)</f>
        <v>5473.28</v>
      </c>
      <c r="L393" s="433">
        <f>L386</f>
        <v>5658.3829999999998</v>
      </c>
      <c r="M393" s="461">
        <f>ROUND(E393*L393,2)</f>
        <v>5658.38</v>
      </c>
    </row>
    <row r="394" spans="1:13">
      <c r="A394" s="423"/>
      <c r="B394" s="420"/>
      <c r="C394" s="448" t="s">
        <v>230</v>
      </c>
      <c r="D394" s="440" t="s">
        <v>113</v>
      </c>
      <c r="E394" s="466">
        <f>ROUND(1/0.125,3)</f>
        <v>8</v>
      </c>
      <c r="F394" s="416">
        <f>F387</f>
        <v>325</v>
      </c>
      <c r="G394" s="425">
        <f>ROUND(E394*F394,2)</f>
        <v>2600</v>
      </c>
      <c r="H394" s="442">
        <f>H387</f>
        <v>342</v>
      </c>
      <c r="I394" s="434">
        <f>ROUND(E394*H394,2)</f>
        <v>2736</v>
      </c>
      <c r="J394" s="433">
        <f>J387</f>
        <v>358</v>
      </c>
      <c r="K394" s="434">
        <f>ROUND(E394*J394,2)</f>
        <v>2864</v>
      </c>
      <c r="L394" s="433">
        <f>L387</f>
        <v>375</v>
      </c>
      <c r="M394" s="461">
        <f>ROUND(E394*L394,2)</f>
        <v>3000</v>
      </c>
    </row>
    <row r="395" spans="1:13" ht="13.5" customHeight="1">
      <c r="A395" s="423"/>
      <c r="B395" s="421"/>
      <c r="C395" s="424" t="s">
        <v>617</v>
      </c>
      <c r="D395" s="427">
        <f>D388</f>
        <v>0.4</v>
      </c>
      <c r="E395" s="415"/>
      <c r="F395" s="425">
        <f>F388</f>
        <v>167</v>
      </c>
      <c r="G395" s="425">
        <f>D395*E394*F395</f>
        <v>534.4</v>
      </c>
      <c r="H395" s="434">
        <f>H388</f>
        <v>184</v>
      </c>
      <c r="I395" s="425">
        <f>D395*E394*H395</f>
        <v>588.80000000000007</v>
      </c>
      <c r="J395" s="433">
        <f>J388</f>
        <v>200</v>
      </c>
      <c r="K395" s="425">
        <f>D395*E394*J395</f>
        <v>640</v>
      </c>
      <c r="L395" s="433">
        <f>L388</f>
        <v>217</v>
      </c>
      <c r="M395" s="462">
        <f>D395*E394*L395</f>
        <v>694.40000000000009</v>
      </c>
    </row>
    <row r="396" spans="1:13" ht="15.5">
      <c r="A396" s="423"/>
      <c r="B396" s="420"/>
      <c r="C396" s="424" t="s">
        <v>142</v>
      </c>
      <c r="D396" s="440"/>
      <c r="E396" s="425"/>
      <c r="F396" s="416"/>
      <c r="G396" s="422">
        <f>SUM(G393:G395,0)</f>
        <v>8237.48</v>
      </c>
      <c r="H396" s="428"/>
      <c r="I396" s="422">
        <f>SUM(I393:I395,0)</f>
        <v>8612.98</v>
      </c>
      <c r="J396" s="409"/>
      <c r="K396" s="422">
        <f>SUM(K393:K395,0)</f>
        <v>8977.2799999999988</v>
      </c>
      <c r="L396" s="409"/>
      <c r="M396" s="458">
        <f>SUM(M393:M395,0)</f>
        <v>9352.7800000000007</v>
      </c>
    </row>
    <row r="397" spans="1:13" ht="26">
      <c r="A397" s="423"/>
      <c r="B397" s="420"/>
      <c r="C397" s="424" t="s">
        <v>578</v>
      </c>
      <c r="D397" s="426"/>
      <c r="E397" s="425"/>
      <c r="F397" s="425"/>
      <c r="G397" s="422">
        <f>G396*13.615/100</f>
        <v>1121.5329019999999</v>
      </c>
      <c r="H397" s="428"/>
      <c r="I397" s="422">
        <f>I396*13.615/100</f>
        <v>1172.6572269999999</v>
      </c>
      <c r="J397" s="409"/>
      <c r="K397" s="422">
        <f>K396*13.615/100</f>
        <v>1222.2566719999998</v>
      </c>
      <c r="L397" s="409"/>
      <c r="M397" s="458">
        <f>M396*13.615/100</f>
        <v>1273.380997</v>
      </c>
    </row>
    <row r="398" spans="1:13" ht="15.5">
      <c r="A398" s="423"/>
      <c r="B398" s="420"/>
      <c r="C398" s="424"/>
      <c r="D398" s="426"/>
      <c r="E398" s="425"/>
      <c r="F398" s="425"/>
      <c r="G398" s="422">
        <f>SUM(G396:G397)</f>
        <v>9359.0129019999986</v>
      </c>
      <c r="H398" s="428"/>
      <c r="I398" s="422">
        <f>SUM(I396:I397)</f>
        <v>9785.6372269999993</v>
      </c>
      <c r="J398" s="409"/>
      <c r="K398" s="422">
        <f>SUM(K396:K397)</f>
        <v>10199.536671999998</v>
      </c>
      <c r="L398" s="409"/>
      <c r="M398" s="458">
        <f>SUM(M396:M397)</f>
        <v>10626.160997000001</v>
      </c>
    </row>
    <row r="399" spans="1:13" ht="15.5">
      <c r="A399" s="423"/>
      <c r="B399" s="420"/>
      <c r="C399" s="449" t="s">
        <v>492</v>
      </c>
      <c r="D399" s="440"/>
      <c r="E399" s="425"/>
      <c r="F399" s="416"/>
      <c r="G399" s="422"/>
      <c r="H399" s="409"/>
      <c r="I399" s="409"/>
      <c r="J399" s="409"/>
      <c r="K399" s="409"/>
      <c r="L399" s="409"/>
    </row>
    <row r="400" spans="1:13">
      <c r="A400" s="423"/>
      <c r="B400" s="420"/>
      <c r="C400" s="437" t="s">
        <v>489</v>
      </c>
      <c r="D400" s="440" t="s">
        <v>117</v>
      </c>
      <c r="E400" s="466">
        <v>1</v>
      </c>
      <c r="F400" s="416">
        <f>F393</f>
        <v>5103.08</v>
      </c>
      <c r="G400" s="425">
        <f>ROUND(E400*F400,2)</f>
        <v>5103.08</v>
      </c>
      <c r="H400" s="442">
        <f>H393</f>
        <v>5288.1810000000005</v>
      </c>
      <c r="I400" s="434">
        <f>ROUND(E400*H400,2)</f>
        <v>5288.18</v>
      </c>
      <c r="J400" s="433">
        <f>J393</f>
        <v>5473.2820000000011</v>
      </c>
      <c r="K400" s="434">
        <f>ROUND(E400*J400,2)</f>
        <v>5473.28</v>
      </c>
      <c r="L400" s="433">
        <f>L393</f>
        <v>5658.3829999999998</v>
      </c>
      <c r="M400" s="461">
        <f>ROUND(E400*L400,2)</f>
        <v>5658.38</v>
      </c>
    </row>
    <row r="401" spans="1:18">
      <c r="A401" s="423"/>
      <c r="B401" s="420"/>
      <c r="C401" s="448" t="s">
        <v>230</v>
      </c>
      <c r="D401" s="440" t="s">
        <v>113</v>
      </c>
      <c r="E401" s="466">
        <f>ROUND(1/0.15,3)</f>
        <v>6.6669999999999998</v>
      </c>
      <c r="F401" s="416">
        <f>F394</f>
        <v>325</v>
      </c>
      <c r="G401" s="425">
        <f>ROUND(E401*F401,2)</f>
        <v>2166.7800000000002</v>
      </c>
      <c r="H401" s="442">
        <f>H394</f>
        <v>342</v>
      </c>
      <c r="I401" s="434">
        <f>ROUND(E401*H401,2)</f>
        <v>2280.11</v>
      </c>
      <c r="J401" s="433">
        <f>J394</f>
        <v>358</v>
      </c>
      <c r="K401" s="434">
        <f>ROUND(E401*J401,2)</f>
        <v>2386.79</v>
      </c>
      <c r="L401" s="433">
        <f>L394</f>
        <v>375</v>
      </c>
      <c r="M401" s="461">
        <f>ROUND(E401*L401,2)</f>
        <v>2500.13</v>
      </c>
    </row>
    <row r="402" spans="1:18" ht="13.5" customHeight="1">
      <c r="A402" s="423"/>
      <c r="B402" s="421"/>
      <c r="C402" s="424" t="s">
        <v>617</v>
      </c>
      <c r="D402" s="427">
        <f>D395</f>
        <v>0.4</v>
      </c>
      <c r="E402" s="415"/>
      <c r="F402" s="425">
        <f>F395</f>
        <v>167</v>
      </c>
      <c r="G402" s="425">
        <f>D402*E401*F402</f>
        <v>445.35560000000004</v>
      </c>
      <c r="H402" s="434">
        <f>H395</f>
        <v>184</v>
      </c>
      <c r="I402" s="425">
        <f>D402*E401*H402</f>
        <v>490.69120000000004</v>
      </c>
      <c r="J402" s="433">
        <f>J395</f>
        <v>200</v>
      </c>
      <c r="K402" s="425">
        <f>D402*E401*J402</f>
        <v>533.36</v>
      </c>
      <c r="L402" s="433">
        <f>L395</f>
        <v>217</v>
      </c>
      <c r="M402" s="462">
        <f>D402*E401*L402</f>
        <v>578.69560000000001</v>
      </c>
    </row>
    <row r="403" spans="1:18" ht="15.5">
      <c r="A403" s="423"/>
      <c r="B403" s="420"/>
      <c r="C403" s="424" t="s">
        <v>142</v>
      </c>
      <c r="D403" s="440"/>
      <c r="E403" s="425"/>
      <c r="F403" s="416"/>
      <c r="G403" s="422">
        <f>SUM(G400:G402,0)</f>
        <v>7715.2156000000004</v>
      </c>
      <c r="H403" s="428"/>
      <c r="I403" s="422">
        <f>SUM(I400:I402,0)</f>
        <v>8058.9812000000011</v>
      </c>
      <c r="J403" s="409"/>
      <c r="K403" s="422">
        <f>SUM(K400:K402,0)</f>
        <v>8393.43</v>
      </c>
      <c r="L403" s="409"/>
      <c r="M403" s="458">
        <f>SUM(M400:M402,0)</f>
        <v>8737.2056000000011</v>
      </c>
    </row>
    <row r="404" spans="1:18" ht="26">
      <c r="A404" s="423"/>
      <c r="B404" s="420"/>
      <c r="C404" s="424" t="s">
        <v>578</v>
      </c>
      <c r="D404" s="426"/>
      <c r="E404" s="425"/>
      <c r="F404" s="425"/>
      <c r="G404" s="422">
        <f>G403*13.615/100</f>
        <v>1050.4266039399999</v>
      </c>
      <c r="H404" s="428"/>
      <c r="I404" s="422">
        <f>I403*13.615/100</f>
        <v>1097.2302903800003</v>
      </c>
      <c r="J404" s="409"/>
      <c r="K404" s="422">
        <f>K403*13.615/100</f>
        <v>1142.7654945000002</v>
      </c>
      <c r="L404" s="409"/>
      <c r="M404" s="458">
        <f>M403*13.615/100</f>
        <v>1189.5705424400001</v>
      </c>
    </row>
    <row r="405" spans="1:18" ht="15.5">
      <c r="A405" s="423"/>
      <c r="B405" s="420"/>
      <c r="C405" s="424"/>
      <c r="D405" s="426"/>
      <c r="E405" s="425"/>
      <c r="F405" s="425"/>
      <c r="G405" s="422">
        <f>SUM(G403:G404)</f>
        <v>8765.6422039400004</v>
      </c>
      <c r="H405" s="428"/>
      <c r="I405" s="422">
        <f>SUM(I403:I404)</f>
        <v>9156.2114903800011</v>
      </c>
      <c r="J405" s="409"/>
      <c r="K405" s="422">
        <f>SUM(K403:K404)</f>
        <v>9536.1954944999998</v>
      </c>
      <c r="L405" s="409"/>
      <c r="M405" s="458">
        <f>SUM(M403:M404)</f>
        <v>9926.7761424400014</v>
      </c>
    </row>
    <row r="406" spans="1:18" ht="15.5" hidden="1">
      <c r="A406" s="423"/>
      <c r="B406" s="420"/>
      <c r="C406" s="449" t="s">
        <v>486</v>
      </c>
      <c r="D406" s="440"/>
      <c r="E406" s="425"/>
      <c r="F406" s="416"/>
      <c r="G406" s="467"/>
      <c r="H406" s="409"/>
      <c r="I406" s="409"/>
      <c r="J406" s="409"/>
      <c r="K406" s="409"/>
      <c r="L406" s="409"/>
    </row>
    <row r="407" spans="1:18" hidden="1">
      <c r="A407" s="423"/>
      <c r="B407" s="420"/>
      <c r="C407" s="437" t="s">
        <v>489</v>
      </c>
      <c r="D407" s="440" t="s">
        <v>117</v>
      </c>
      <c r="E407" s="466">
        <v>1</v>
      </c>
      <c r="F407" s="416">
        <f>F400</f>
        <v>5103.08</v>
      </c>
      <c r="G407" s="425">
        <f>ROUND(E407*F407,2)</f>
        <v>5103.08</v>
      </c>
      <c r="H407" s="442">
        <f>H400</f>
        <v>5288.1810000000005</v>
      </c>
      <c r="I407" s="434">
        <f>ROUND(E407*H407,2)</f>
        <v>5288.18</v>
      </c>
      <c r="J407" s="433">
        <f>J400</f>
        <v>5473.2820000000011</v>
      </c>
      <c r="K407" s="434">
        <f>ROUND(E407*J407,2)</f>
        <v>5473.28</v>
      </c>
      <c r="L407" s="433">
        <f>L400</f>
        <v>5658.3829999999998</v>
      </c>
      <c r="M407" s="461">
        <f>ROUND(E407*L407,2)</f>
        <v>5658.38</v>
      </c>
    </row>
    <row r="408" spans="1:18" hidden="1">
      <c r="A408" s="423"/>
      <c r="B408" s="420"/>
      <c r="C408" s="448" t="s">
        <v>616</v>
      </c>
      <c r="D408" s="440" t="s">
        <v>113</v>
      </c>
      <c r="E408" s="466">
        <v>5.7140000000000004</v>
      </c>
      <c r="F408" s="416">
        <v>335</v>
      </c>
      <c r="G408" s="425">
        <f>ROUND(E408*F408,2)</f>
        <v>1914.19</v>
      </c>
      <c r="H408" s="442">
        <v>352</v>
      </c>
      <c r="I408" s="434">
        <f>ROUND(E408*H408,2)</f>
        <v>2011.33</v>
      </c>
      <c r="J408" s="436">
        <v>369</v>
      </c>
      <c r="K408" s="434">
        <f>ROUND(E408*J408,2)</f>
        <v>2108.4699999999998</v>
      </c>
      <c r="L408" s="433">
        <v>387</v>
      </c>
      <c r="M408" s="461">
        <f>ROUND(E408*L408,2)</f>
        <v>2211.3200000000002</v>
      </c>
      <c r="R408" s="382">
        <f>1/0.2</f>
        <v>5</v>
      </c>
    </row>
    <row r="409" spans="1:18" ht="13.5" hidden="1" customHeight="1">
      <c r="A409" s="423"/>
      <c r="B409" s="421"/>
      <c r="C409" s="424" t="s">
        <v>617</v>
      </c>
      <c r="D409" s="427">
        <f>D402</f>
        <v>0.4</v>
      </c>
      <c r="E409" s="415"/>
      <c r="F409" s="416">
        <v>172</v>
      </c>
      <c r="G409" s="425">
        <f>D409*E408*F409</f>
        <v>393.1232</v>
      </c>
      <c r="H409" s="434">
        <v>189</v>
      </c>
      <c r="I409" s="425">
        <f>D409*E408*H409</f>
        <v>431.97840000000002</v>
      </c>
      <c r="J409" s="436">
        <v>206</v>
      </c>
      <c r="K409" s="425">
        <f>D409*E408*J409</f>
        <v>470.83359999999999</v>
      </c>
      <c r="L409" s="433">
        <v>224</v>
      </c>
      <c r="M409" s="462">
        <f>D409*E408*L409</f>
        <v>511.9744</v>
      </c>
    </row>
    <row r="410" spans="1:18" ht="15.5" hidden="1">
      <c r="A410" s="423"/>
      <c r="B410" s="420"/>
      <c r="C410" s="424" t="s">
        <v>142</v>
      </c>
      <c r="D410" s="440"/>
      <c r="E410" s="416"/>
      <c r="F410" s="416"/>
      <c r="G410" s="422">
        <f>SUM(G407:G409,0)</f>
        <v>7410.3932000000004</v>
      </c>
      <c r="H410" s="428"/>
      <c r="I410" s="422">
        <f>SUM(I407:I409,0)</f>
        <v>7731.4884000000002</v>
      </c>
      <c r="J410" s="409"/>
      <c r="K410" s="422">
        <f>SUM(K407:K409,0)</f>
        <v>8052.5835999999999</v>
      </c>
      <c r="L410" s="409"/>
      <c r="M410" s="458">
        <f>SUM(M407:M409,0)</f>
        <v>8381.6743999999999</v>
      </c>
    </row>
    <row r="411" spans="1:18" ht="26" hidden="1">
      <c r="A411" s="423"/>
      <c r="B411" s="420"/>
      <c r="C411" s="424" t="s">
        <v>578</v>
      </c>
      <c r="D411" s="426"/>
      <c r="E411" s="466"/>
      <c r="F411" s="425"/>
      <c r="G411" s="422">
        <f>G410*13.615/100</f>
        <v>1008.9250341800001</v>
      </c>
      <c r="H411" s="428"/>
      <c r="I411" s="422">
        <f>I410*13.615/100</f>
        <v>1052.6421456600001</v>
      </c>
      <c r="J411" s="409"/>
      <c r="K411" s="422">
        <f>K410*13.615/100</f>
        <v>1096.35925714</v>
      </c>
      <c r="L411" s="409"/>
      <c r="M411" s="458">
        <f>M410*13.615/100</f>
        <v>1141.1649695599999</v>
      </c>
    </row>
    <row r="412" spans="1:18" ht="15.5" hidden="1">
      <c r="A412" s="423"/>
      <c r="B412" s="420"/>
      <c r="C412" s="424"/>
      <c r="D412" s="426"/>
      <c r="E412" s="425"/>
      <c r="F412" s="425"/>
      <c r="G412" s="422">
        <f>SUM(G410:G411)</f>
        <v>8419.3182341800002</v>
      </c>
      <c r="H412" s="428"/>
      <c r="I412" s="422">
        <f>SUM(I410:I411)</f>
        <v>8784.1305456600003</v>
      </c>
      <c r="J412" s="409"/>
      <c r="K412" s="422">
        <f>SUM(K410:K411)</f>
        <v>9148.9428571400003</v>
      </c>
      <c r="L412" s="409"/>
      <c r="M412" s="458">
        <f>SUM(M410:M411)</f>
        <v>9522.8393695599989</v>
      </c>
    </row>
    <row r="413" spans="1:18" ht="35.25" customHeight="1">
      <c r="A413" s="435" t="s">
        <v>223</v>
      </c>
      <c r="B413" s="428"/>
      <c r="C413" s="2216" t="s">
        <v>20</v>
      </c>
      <c r="D413" s="2216"/>
      <c r="E413" s="2216"/>
      <c r="F413" s="2216"/>
      <c r="G413" s="426"/>
      <c r="H413" s="409"/>
      <c r="I413" s="409"/>
      <c r="J413" s="409"/>
      <c r="K413" s="409"/>
      <c r="L413" s="409"/>
    </row>
    <row r="414" spans="1:18">
      <c r="A414" s="409"/>
      <c r="B414" s="428"/>
      <c r="C414" s="483" t="s">
        <v>261</v>
      </c>
      <c r="D414" s="426"/>
      <c r="E414" s="426"/>
      <c r="F414" s="426"/>
      <c r="G414" s="426"/>
      <c r="H414" s="442"/>
      <c r="I414" s="434"/>
      <c r="J414" s="409"/>
      <c r="K414" s="434"/>
      <c r="L414" s="409"/>
      <c r="M414" s="461"/>
    </row>
    <row r="415" spans="1:18">
      <c r="A415" s="409"/>
      <c r="B415" s="428"/>
      <c r="C415" s="483" t="s">
        <v>24</v>
      </c>
      <c r="D415" s="426"/>
      <c r="E415" s="426"/>
      <c r="F415" s="426"/>
      <c r="G415" s="426"/>
      <c r="H415" s="434"/>
      <c r="I415" s="434"/>
      <c r="J415" s="409"/>
      <c r="K415" s="434"/>
      <c r="L415" s="409"/>
      <c r="M415" s="461"/>
    </row>
    <row r="416" spans="1:18">
      <c r="A416" s="409"/>
      <c r="B416" s="428"/>
      <c r="C416" s="483" t="s">
        <v>218</v>
      </c>
      <c r="D416" s="426" t="s">
        <v>131</v>
      </c>
      <c r="E416" s="426">
        <v>48</v>
      </c>
      <c r="F416" s="426">
        <v>4.8</v>
      </c>
      <c r="G416" s="425">
        <f>ROUND(E416*F416,2)</f>
        <v>230.4</v>
      </c>
      <c r="H416" s="434"/>
      <c r="I416" s="425"/>
      <c r="J416" s="409"/>
      <c r="K416" s="425"/>
      <c r="L416" s="409"/>
      <c r="M416" s="462"/>
    </row>
    <row r="417" spans="1:13" ht="15.5">
      <c r="A417" s="409"/>
      <c r="B417" s="428"/>
      <c r="C417" s="483" t="s">
        <v>294</v>
      </c>
      <c r="D417" s="426" t="s">
        <v>217</v>
      </c>
      <c r="E417" s="426">
        <v>512</v>
      </c>
      <c r="F417" s="425">
        <v>5834.53</v>
      </c>
      <c r="G417" s="425">
        <f>(E417*F417)/1000</f>
        <v>2987.27936</v>
      </c>
      <c r="H417" s="428"/>
      <c r="I417" s="422"/>
      <c r="J417" s="409"/>
      <c r="K417" s="422"/>
      <c r="L417" s="409"/>
      <c r="M417" s="458"/>
    </row>
    <row r="418" spans="1:13" ht="15.5">
      <c r="A418" s="409"/>
      <c r="B418" s="428"/>
      <c r="C418" s="483" t="s">
        <v>263</v>
      </c>
      <c r="D418" s="426" t="s">
        <v>117</v>
      </c>
      <c r="E418" s="426">
        <v>0.2</v>
      </c>
      <c r="F418" s="425">
        <v>349.58</v>
      </c>
      <c r="G418" s="425">
        <f>ROUND(E418*F418,2)</f>
        <v>69.92</v>
      </c>
      <c r="H418" s="428"/>
      <c r="I418" s="422"/>
      <c r="J418" s="409"/>
      <c r="K418" s="422"/>
      <c r="L418" s="409"/>
      <c r="M418" s="458"/>
    </row>
    <row r="419" spans="1:13" ht="15.5">
      <c r="A419" s="409"/>
      <c r="B419" s="428"/>
      <c r="C419" s="483" t="s">
        <v>278</v>
      </c>
      <c r="D419" s="426"/>
      <c r="E419" s="426"/>
      <c r="F419" s="425"/>
      <c r="G419" s="425"/>
      <c r="H419" s="428"/>
      <c r="I419" s="422"/>
      <c r="J419" s="409"/>
      <c r="K419" s="422"/>
      <c r="L419" s="409"/>
      <c r="M419" s="458"/>
    </row>
    <row r="420" spans="1:13" ht="14.5">
      <c r="A420" s="409"/>
      <c r="B420" s="428"/>
      <c r="C420" s="483" t="s">
        <v>1047</v>
      </c>
      <c r="D420" s="426" t="s">
        <v>119</v>
      </c>
      <c r="E420" s="426">
        <v>0.24</v>
      </c>
      <c r="F420" s="425">
        <f>F218</f>
        <v>490</v>
      </c>
      <c r="G420" s="425">
        <f>ROUND(E420*F420,2)</f>
        <v>117.6</v>
      </c>
      <c r="H420" s="409"/>
      <c r="I420" s="409"/>
      <c r="J420" s="409"/>
      <c r="K420" s="409"/>
      <c r="L420" s="409"/>
    </row>
    <row r="421" spans="1:13" ht="14.5">
      <c r="A421" s="409"/>
      <c r="B421" s="428"/>
      <c r="C421" s="483" t="s">
        <v>1048</v>
      </c>
      <c r="D421" s="426" t="s">
        <v>119</v>
      </c>
      <c r="E421" s="426">
        <v>0.56000000000000005</v>
      </c>
      <c r="F421" s="425">
        <f>F219</f>
        <v>440</v>
      </c>
      <c r="G421" s="425">
        <f>ROUND(E421*F421,2)</f>
        <v>246.4</v>
      </c>
      <c r="H421" s="442"/>
      <c r="I421" s="434"/>
      <c r="J421" s="409"/>
      <c r="K421" s="434"/>
      <c r="L421" s="409"/>
      <c r="M421" s="461"/>
    </row>
    <row r="422" spans="1:13">
      <c r="A422" s="409"/>
      <c r="B422" s="428"/>
      <c r="C422" s="483" t="s">
        <v>268</v>
      </c>
      <c r="D422" s="426" t="s">
        <v>119</v>
      </c>
      <c r="E422" s="426">
        <v>1.89</v>
      </c>
      <c r="F422" s="425">
        <f>F220</f>
        <v>400</v>
      </c>
      <c r="G422" s="425">
        <f>ROUND(E422*F422,2)</f>
        <v>756</v>
      </c>
      <c r="H422" s="442"/>
      <c r="I422" s="434"/>
      <c r="J422" s="409"/>
      <c r="K422" s="434"/>
      <c r="L422" s="409"/>
      <c r="M422" s="461"/>
    </row>
    <row r="423" spans="1:13" ht="13.5" customHeight="1">
      <c r="A423" s="423"/>
      <c r="B423" s="421"/>
      <c r="C423" s="424" t="s">
        <v>592</v>
      </c>
      <c r="D423" s="427">
        <f>D388</f>
        <v>0.4</v>
      </c>
      <c r="E423" s="415"/>
      <c r="F423" s="422"/>
      <c r="G423" s="442">
        <f>D423*SUM(G420:G422)</f>
        <v>448</v>
      </c>
      <c r="H423" s="434"/>
      <c r="I423" s="425"/>
      <c r="J423" s="409"/>
      <c r="K423" s="425"/>
      <c r="L423" s="409"/>
      <c r="M423" s="462"/>
    </row>
    <row r="424" spans="1:13" ht="15.5">
      <c r="A424" s="409"/>
      <c r="B424" s="428"/>
      <c r="C424" s="424" t="s">
        <v>142</v>
      </c>
      <c r="D424" s="425"/>
      <c r="E424" s="425"/>
      <c r="F424" s="425"/>
      <c r="G424" s="422">
        <f>SUM(G416:G423,0)</f>
        <v>4855.5993600000002</v>
      </c>
      <c r="H424" s="428"/>
      <c r="I424" s="422"/>
      <c r="J424" s="409"/>
      <c r="K424" s="422"/>
      <c r="L424" s="409"/>
      <c r="M424" s="458"/>
    </row>
    <row r="425" spans="1:13" ht="26">
      <c r="A425" s="409" t="s">
        <v>339</v>
      </c>
      <c r="B425" s="428"/>
      <c r="C425" s="424" t="s">
        <v>578</v>
      </c>
      <c r="D425" s="428"/>
      <c r="E425" s="415"/>
      <c r="F425" s="415"/>
      <c r="G425" s="422">
        <f>G424*13.615/100</f>
        <v>661.08985286400002</v>
      </c>
      <c r="H425" s="428"/>
      <c r="I425" s="422"/>
      <c r="J425" s="409"/>
      <c r="K425" s="422"/>
      <c r="L425" s="409"/>
      <c r="M425" s="458"/>
    </row>
    <row r="426" spans="1:13" ht="15.5">
      <c r="A426" s="409"/>
      <c r="B426" s="428"/>
      <c r="C426" s="424"/>
      <c r="D426" s="428"/>
      <c r="E426" s="415"/>
      <c r="F426" s="415"/>
      <c r="G426" s="422">
        <f>SUM(G424:G425)</f>
        <v>5516.6892128640002</v>
      </c>
      <c r="H426" s="428"/>
      <c r="I426" s="422"/>
      <c r="J426" s="409"/>
      <c r="K426" s="422"/>
      <c r="L426" s="409"/>
      <c r="M426" s="458"/>
    </row>
    <row r="427" spans="1:13" ht="25.5" hidden="1" customHeight="1">
      <c r="A427" s="435" t="s">
        <v>293</v>
      </c>
      <c r="B427" s="420">
        <v>10</v>
      </c>
      <c r="C427" s="2216" t="s">
        <v>41</v>
      </c>
      <c r="D427" s="2216"/>
      <c r="E427" s="2216"/>
      <c r="F427" s="2216"/>
      <c r="G427" s="426"/>
      <c r="H427" s="409"/>
      <c r="I427" s="409"/>
      <c r="J427" s="409"/>
      <c r="K427" s="409"/>
      <c r="L427" s="409"/>
    </row>
    <row r="428" spans="1:13" hidden="1">
      <c r="A428" s="409"/>
      <c r="B428" s="428"/>
      <c r="C428" s="483" t="s">
        <v>261</v>
      </c>
      <c r="D428" s="426"/>
      <c r="E428" s="426"/>
      <c r="F428" s="426"/>
      <c r="G428" s="426"/>
      <c r="H428" s="442"/>
      <c r="I428" s="434"/>
      <c r="J428" s="409"/>
      <c r="K428" s="434"/>
      <c r="L428" s="409"/>
      <c r="M428" s="461"/>
    </row>
    <row r="429" spans="1:13" hidden="1">
      <c r="A429" s="409"/>
      <c r="B429" s="428"/>
      <c r="C429" s="483" t="s">
        <v>24</v>
      </c>
      <c r="D429" s="426"/>
      <c r="E429" s="426"/>
      <c r="F429" s="426"/>
      <c r="G429" s="426"/>
      <c r="H429" s="442"/>
      <c r="I429" s="434"/>
      <c r="J429" s="409"/>
      <c r="K429" s="434"/>
      <c r="L429" s="409"/>
      <c r="M429" s="461"/>
    </row>
    <row r="430" spans="1:13" hidden="1">
      <c r="A430" s="409"/>
      <c r="B430" s="428"/>
      <c r="C430" s="483" t="s">
        <v>218</v>
      </c>
      <c r="D430" s="426" t="s">
        <v>131</v>
      </c>
      <c r="E430" s="426">
        <v>36</v>
      </c>
      <c r="F430" s="426">
        <f>F416</f>
        <v>4.8</v>
      </c>
      <c r="G430" s="425">
        <f>ROUND(E430*F430,2)</f>
        <v>172.8</v>
      </c>
      <c r="H430" s="434"/>
      <c r="I430" s="425"/>
      <c r="J430" s="409"/>
      <c r="K430" s="425"/>
      <c r="L430" s="409"/>
      <c r="M430" s="462"/>
    </row>
    <row r="431" spans="1:13" ht="12.75" hidden="1" customHeight="1">
      <c r="A431" s="409"/>
      <c r="B431" s="428"/>
      <c r="C431" s="483" t="s">
        <v>294</v>
      </c>
      <c r="D431" s="426" t="s">
        <v>217</v>
      </c>
      <c r="E431" s="426">
        <v>512</v>
      </c>
      <c r="F431" s="425">
        <f>F417</f>
        <v>5834.53</v>
      </c>
      <c r="G431" s="425">
        <f>(E431*F431)/1000</f>
        <v>2987.27936</v>
      </c>
      <c r="H431" s="428"/>
      <c r="I431" s="422"/>
      <c r="J431" s="409"/>
      <c r="K431" s="422"/>
      <c r="L431" s="409"/>
      <c r="M431" s="458"/>
    </row>
    <row r="432" spans="1:13" ht="15.5" hidden="1">
      <c r="A432" s="409"/>
      <c r="B432" s="428"/>
      <c r="C432" s="483" t="s">
        <v>263</v>
      </c>
      <c r="D432" s="426" t="s">
        <v>117</v>
      </c>
      <c r="E432" s="426">
        <v>0.2</v>
      </c>
      <c r="F432" s="425">
        <f>F418</f>
        <v>349.58</v>
      </c>
      <c r="G432" s="425">
        <f>ROUND(E432*F432,2)</f>
        <v>69.92</v>
      </c>
      <c r="H432" s="428"/>
      <c r="I432" s="422"/>
      <c r="J432" s="409"/>
      <c r="K432" s="422"/>
      <c r="L432" s="409"/>
      <c r="M432" s="458"/>
    </row>
    <row r="433" spans="1:13" ht="15.5" hidden="1">
      <c r="A433" s="409"/>
      <c r="B433" s="428"/>
      <c r="C433" s="483"/>
      <c r="D433" s="426"/>
      <c r="E433" s="426"/>
      <c r="F433" s="425"/>
      <c r="G433" s="425"/>
      <c r="H433" s="428"/>
      <c r="I433" s="422"/>
      <c r="J433" s="409"/>
      <c r="K433" s="422"/>
      <c r="L433" s="409"/>
      <c r="M433" s="458"/>
    </row>
    <row r="434" spans="1:13" hidden="1">
      <c r="A434" s="409"/>
      <c r="B434" s="428"/>
      <c r="C434" s="483" t="s">
        <v>278</v>
      </c>
      <c r="D434" s="426"/>
      <c r="E434" s="426"/>
      <c r="F434" s="425"/>
      <c r="G434" s="425"/>
      <c r="H434" s="409"/>
      <c r="I434" s="409"/>
      <c r="J434" s="409"/>
      <c r="K434" s="409"/>
      <c r="L434" s="409"/>
    </row>
    <row r="435" spans="1:13" ht="14.5" hidden="1">
      <c r="A435" s="409"/>
      <c r="B435" s="428"/>
      <c r="C435" s="483" t="s">
        <v>1047</v>
      </c>
      <c r="D435" s="426" t="s">
        <v>119</v>
      </c>
      <c r="E435" s="426">
        <v>0.24</v>
      </c>
      <c r="F435" s="425">
        <f>F420</f>
        <v>490</v>
      </c>
      <c r="G435" s="425">
        <f>ROUND(E435*F435,2)</f>
        <v>117.6</v>
      </c>
      <c r="H435" s="442"/>
      <c r="I435" s="434"/>
      <c r="J435" s="409"/>
      <c r="K435" s="434"/>
      <c r="L435" s="409"/>
      <c r="M435" s="461"/>
    </row>
    <row r="436" spans="1:13" ht="14.5" hidden="1">
      <c r="A436" s="409"/>
      <c r="B436" s="428"/>
      <c r="C436" s="483" t="s">
        <v>1048</v>
      </c>
      <c r="D436" s="426" t="s">
        <v>119</v>
      </c>
      <c r="E436" s="426">
        <v>0.56000000000000005</v>
      </c>
      <c r="F436" s="425">
        <f>F421</f>
        <v>440</v>
      </c>
      <c r="G436" s="425">
        <f>ROUND(E436*F436,2)</f>
        <v>246.4</v>
      </c>
      <c r="H436" s="442"/>
      <c r="I436" s="434"/>
      <c r="J436" s="409"/>
      <c r="K436" s="434"/>
      <c r="L436" s="409"/>
      <c r="M436" s="461"/>
    </row>
    <row r="437" spans="1:13" hidden="1">
      <c r="A437" s="409"/>
      <c r="B437" s="428"/>
      <c r="C437" s="483" t="s">
        <v>268</v>
      </c>
      <c r="D437" s="426" t="s">
        <v>119</v>
      </c>
      <c r="E437" s="426">
        <v>1.89</v>
      </c>
      <c r="F437" s="425">
        <f>F422</f>
        <v>400</v>
      </c>
      <c r="G437" s="425">
        <f>ROUND(E437*F437,2)</f>
        <v>756</v>
      </c>
      <c r="H437" s="434"/>
      <c r="I437" s="425"/>
      <c r="J437" s="409"/>
      <c r="K437" s="425"/>
      <c r="L437" s="409"/>
      <c r="M437" s="462"/>
    </row>
    <row r="438" spans="1:13" ht="13.5" hidden="1" customHeight="1">
      <c r="A438" s="423"/>
      <c r="B438" s="421"/>
      <c r="C438" s="424" t="s">
        <v>592</v>
      </c>
      <c r="D438" s="427">
        <f>D423</f>
        <v>0.4</v>
      </c>
      <c r="E438" s="415"/>
      <c r="F438" s="422"/>
      <c r="G438" s="442">
        <f>D438*SUM(G435:G437)</f>
        <v>448</v>
      </c>
      <c r="H438" s="428"/>
      <c r="I438" s="422"/>
      <c r="J438" s="409"/>
      <c r="K438" s="422"/>
      <c r="L438" s="409"/>
      <c r="M438" s="458"/>
    </row>
    <row r="439" spans="1:13" ht="15.5" hidden="1">
      <c r="A439" s="409"/>
      <c r="B439" s="428"/>
      <c r="C439" s="424" t="s">
        <v>142</v>
      </c>
      <c r="D439" s="425"/>
      <c r="E439" s="425"/>
      <c r="F439" s="425"/>
      <c r="G439" s="422">
        <f>SUM(G430:G438,0)</f>
        <v>4797.9993599999998</v>
      </c>
      <c r="H439" s="428"/>
      <c r="I439" s="422"/>
      <c r="J439" s="409"/>
      <c r="K439" s="422"/>
      <c r="L439" s="409"/>
      <c r="M439" s="458"/>
    </row>
    <row r="440" spans="1:13" ht="26" hidden="1">
      <c r="A440" s="409"/>
      <c r="B440" s="428"/>
      <c r="C440" s="424" t="s">
        <v>578</v>
      </c>
      <c r="D440" s="425"/>
      <c r="E440" s="425"/>
      <c r="F440" s="425"/>
      <c r="G440" s="422">
        <f>G439*13.615/100</f>
        <v>653.24761286399996</v>
      </c>
      <c r="H440" s="428"/>
      <c r="I440" s="422"/>
      <c r="J440" s="409"/>
      <c r="K440" s="422"/>
      <c r="L440" s="409"/>
      <c r="M440" s="458"/>
    </row>
    <row r="441" spans="1:13" ht="15.5" hidden="1">
      <c r="A441" s="409"/>
      <c r="B441" s="428"/>
      <c r="C441" s="424"/>
      <c r="D441" s="425"/>
      <c r="E441" s="425"/>
      <c r="F441" s="425"/>
      <c r="G441" s="422">
        <f>SUM(G439:G440)</f>
        <v>5451.2469728639999</v>
      </c>
      <c r="H441" s="409"/>
      <c r="I441" s="409"/>
      <c r="J441" s="409"/>
      <c r="K441" s="409"/>
      <c r="L441" s="409"/>
    </row>
    <row r="442" spans="1:13" ht="25.5" customHeight="1">
      <c r="A442" s="435" t="s">
        <v>293</v>
      </c>
      <c r="B442" s="420">
        <v>10</v>
      </c>
      <c r="C442" s="2216" t="s">
        <v>21</v>
      </c>
      <c r="D442" s="2216"/>
      <c r="E442" s="2216"/>
      <c r="F442" s="2216"/>
      <c r="G442" s="426"/>
      <c r="H442" s="442"/>
      <c r="I442" s="434"/>
      <c r="J442" s="409"/>
      <c r="K442" s="434"/>
      <c r="L442" s="409"/>
      <c r="M442" s="461"/>
    </row>
    <row r="443" spans="1:13">
      <c r="A443" s="409"/>
      <c r="B443" s="428"/>
      <c r="C443" s="483" t="s">
        <v>261</v>
      </c>
      <c r="D443" s="426"/>
      <c r="E443" s="426"/>
      <c r="F443" s="426"/>
      <c r="G443" s="426"/>
      <c r="H443" s="442"/>
      <c r="I443" s="434"/>
      <c r="J443" s="409"/>
      <c r="K443" s="434"/>
      <c r="L443" s="409"/>
      <c r="M443" s="461"/>
    </row>
    <row r="444" spans="1:13">
      <c r="A444" s="409"/>
      <c r="B444" s="428"/>
      <c r="C444" s="483" t="s">
        <v>24</v>
      </c>
      <c r="D444" s="426"/>
      <c r="E444" s="426"/>
      <c r="F444" s="426"/>
      <c r="G444" s="415" t="s">
        <v>613</v>
      </c>
      <c r="H444" s="409"/>
      <c r="I444" s="420" t="s">
        <v>611</v>
      </c>
      <c r="J444" s="409"/>
      <c r="K444" s="420" t="s">
        <v>614</v>
      </c>
      <c r="L444" s="409"/>
      <c r="M444" s="484" t="s">
        <v>620</v>
      </c>
    </row>
    <row r="445" spans="1:13">
      <c r="A445" s="409"/>
      <c r="B445" s="428"/>
      <c r="C445" s="483" t="s">
        <v>218</v>
      </c>
      <c r="D445" s="426" t="s">
        <v>131</v>
      </c>
      <c r="E445" s="426">
        <v>36</v>
      </c>
      <c r="F445" s="426">
        <f>F416</f>
        <v>4.8</v>
      </c>
      <c r="G445" s="425">
        <f>ROUND(E445*F445,2)</f>
        <v>172.8</v>
      </c>
      <c r="H445" s="436"/>
      <c r="I445" s="434">
        <f>G445</f>
        <v>172.8</v>
      </c>
      <c r="J445" s="409"/>
      <c r="K445" s="434">
        <f>I445</f>
        <v>172.8</v>
      </c>
      <c r="L445" s="409"/>
      <c r="M445" s="461">
        <f>K445</f>
        <v>172.8</v>
      </c>
    </row>
    <row r="446" spans="1:13" ht="12.75" customHeight="1">
      <c r="A446" s="409"/>
      <c r="B446" s="428"/>
      <c r="C446" s="483" t="s">
        <v>294</v>
      </c>
      <c r="D446" s="426" t="s">
        <v>217</v>
      </c>
      <c r="E446" s="426">
        <v>512</v>
      </c>
      <c r="F446" s="425">
        <f>F417</f>
        <v>5834.53</v>
      </c>
      <c r="G446" s="425">
        <f>(E446*F446)/1000</f>
        <v>2987.27936</v>
      </c>
      <c r="H446" s="436"/>
      <c r="I446" s="434">
        <f>G446</f>
        <v>2987.27936</v>
      </c>
      <c r="J446" s="409"/>
      <c r="K446" s="434">
        <f>I446</f>
        <v>2987.27936</v>
      </c>
      <c r="L446" s="409"/>
      <c r="M446" s="461">
        <f>K446</f>
        <v>2987.27936</v>
      </c>
    </row>
    <row r="447" spans="1:13">
      <c r="A447" s="409"/>
      <c r="B447" s="428"/>
      <c r="C447" s="483" t="s">
        <v>263</v>
      </c>
      <c r="D447" s="426" t="s">
        <v>117</v>
      </c>
      <c r="E447" s="426">
        <v>0.2</v>
      </c>
      <c r="F447" s="425">
        <f>F418</f>
        <v>349.58</v>
      </c>
      <c r="G447" s="425">
        <f>ROUND(E447*F447,2)</f>
        <v>69.92</v>
      </c>
      <c r="H447" s="436"/>
      <c r="I447" s="434">
        <f>G447</f>
        <v>69.92</v>
      </c>
      <c r="J447" s="409"/>
      <c r="K447" s="434">
        <f>I447</f>
        <v>69.92</v>
      </c>
      <c r="L447" s="409"/>
      <c r="M447" s="461">
        <f>K447</f>
        <v>69.92</v>
      </c>
    </row>
    <row r="448" spans="1:13">
      <c r="A448" s="409"/>
      <c r="B448" s="428"/>
      <c r="C448" s="483"/>
      <c r="D448" s="426"/>
      <c r="E448" s="426"/>
      <c r="F448" s="425"/>
      <c r="G448" s="425"/>
      <c r="H448" s="436"/>
      <c r="I448" s="434"/>
      <c r="J448" s="409"/>
      <c r="K448" s="434"/>
      <c r="L448" s="409"/>
      <c r="M448" s="461"/>
    </row>
    <row r="449" spans="1:13">
      <c r="A449" s="409"/>
      <c r="B449" s="428"/>
      <c r="C449" s="483" t="s">
        <v>278</v>
      </c>
      <c r="D449" s="426"/>
      <c r="E449" s="426"/>
      <c r="F449" s="425"/>
      <c r="G449" s="425"/>
      <c r="H449" s="436"/>
      <c r="I449" s="434"/>
      <c r="J449" s="409"/>
      <c r="K449" s="434"/>
      <c r="L449" s="409"/>
      <c r="M449" s="461"/>
    </row>
    <row r="450" spans="1:13" ht="14.5">
      <c r="A450" s="409"/>
      <c r="B450" s="428"/>
      <c r="C450" s="483" t="s">
        <v>1047</v>
      </c>
      <c r="D450" s="426" t="s">
        <v>119</v>
      </c>
      <c r="E450" s="426">
        <v>0.24</v>
      </c>
      <c r="F450" s="425">
        <f>F420</f>
        <v>490</v>
      </c>
      <c r="G450" s="425">
        <f>ROUND(E450*F450,2)</f>
        <v>117.6</v>
      </c>
      <c r="H450" s="436"/>
      <c r="I450" s="434">
        <f>G450</f>
        <v>117.6</v>
      </c>
      <c r="J450" s="409"/>
      <c r="K450" s="434">
        <f>I450</f>
        <v>117.6</v>
      </c>
      <c r="L450" s="409"/>
      <c r="M450" s="461">
        <f>K450</f>
        <v>117.6</v>
      </c>
    </row>
    <row r="451" spans="1:13" ht="14.5">
      <c r="A451" s="409"/>
      <c r="B451" s="428"/>
      <c r="C451" s="483" t="s">
        <v>1048</v>
      </c>
      <c r="D451" s="426" t="s">
        <v>119</v>
      </c>
      <c r="E451" s="426">
        <v>0.56000000000000005</v>
      </c>
      <c r="F451" s="425">
        <f>F421</f>
        <v>440</v>
      </c>
      <c r="G451" s="425">
        <f>ROUND(E451*F451,2)</f>
        <v>246.4</v>
      </c>
      <c r="H451" s="436"/>
      <c r="I451" s="434">
        <f>G451</f>
        <v>246.4</v>
      </c>
      <c r="J451" s="409"/>
      <c r="K451" s="434">
        <f>I451</f>
        <v>246.4</v>
      </c>
      <c r="L451" s="409"/>
      <c r="M451" s="461">
        <f>K451</f>
        <v>246.4</v>
      </c>
    </row>
    <row r="452" spans="1:13">
      <c r="A452" s="409"/>
      <c r="B452" s="428"/>
      <c r="C452" s="483" t="s">
        <v>268</v>
      </c>
      <c r="D452" s="426" t="s">
        <v>119</v>
      </c>
      <c r="E452" s="426">
        <v>1.89</v>
      </c>
      <c r="F452" s="425">
        <f>F422</f>
        <v>400</v>
      </c>
      <c r="G452" s="425">
        <f>ROUND(E452*F452,2)</f>
        <v>756</v>
      </c>
      <c r="H452" s="436"/>
      <c r="I452" s="434">
        <f>G452</f>
        <v>756</v>
      </c>
      <c r="J452" s="409"/>
      <c r="K452" s="434">
        <f>I452</f>
        <v>756</v>
      </c>
      <c r="L452" s="409"/>
      <c r="M452" s="461">
        <f>K452</f>
        <v>756</v>
      </c>
    </row>
    <row r="453" spans="1:13" ht="13.5" customHeight="1">
      <c r="A453" s="423"/>
      <c r="B453" s="421"/>
      <c r="C453" s="424" t="s">
        <v>615</v>
      </c>
      <c r="D453" s="409"/>
      <c r="E453" s="415"/>
      <c r="F453" s="422"/>
      <c r="G453" s="409"/>
      <c r="H453" s="436"/>
      <c r="I453" s="442">
        <f>SUM(I450:I452)*10/100</f>
        <v>112</v>
      </c>
      <c r="J453" s="409"/>
      <c r="K453" s="442">
        <f>SUM(K450:K452)*20/100</f>
        <v>224</v>
      </c>
      <c r="L453" s="409"/>
      <c r="M453" s="455">
        <f>SUM(M450:M452)*30/100</f>
        <v>336</v>
      </c>
    </row>
    <row r="454" spans="1:13">
      <c r="A454" s="409"/>
      <c r="B454" s="428"/>
      <c r="C454" s="424" t="s">
        <v>618</v>
      </c>
      <c r="D454" s="427">
        <f>D438</f>
        <v>0.4</v>
      </c>
      <c r="E454" s="426"/>
      <c r="F454" s="425"/>
      <c r="G454" s="442">
        <f>D454*SUM(G450:G452)</f>
        <v>448</v>
      </c>
      <c r="H454" s="409"/>
      <c r="I454" s="442">
        <f>D454*SUM(I450:I453)</f>
        <v>492.8</v>
      </c>
      <c r="J454" s="409"/>
      <c r="K454" s="442">
        <f>D454*SUM(K450:K453)</f>
        <v>537.6</v>
      </c>
      <c r="L454" s="409"/>
      <c r="M454" s="455">
        <f>D454*SUM(M450:M453)</f>
        <v>582.4</v>
      </c>
    </row>
    <row r="455" spans="1:13" ht="15.5">
      <c r="A455" s="409"/>
      <c r="B455" s="428"/>
      <c r="C455" s="416" t="s">
        <v>295</v>
      </c>
      <c r="D455" s="425"/>
      <c r="E455" s="425"/>
      <c r="F455" s="425"/>
      <c r="G455" s="422">
        <f>SUM(G445:G454,0)</f>
        <v>4797.9993599999998</v>
      </c>
      <c r="H455" s="409"/>
      <c r="I455" s="425">
        <f>SUM(I445:I454)</f>
        <v>4954.79936</v>
      </c>
      <c r="J455" s="409"/>
      <c r="K455" s="425">
        <f>SUM(K445:K454)</f>
        <v>5111.5993600000002</v>
      </c>
      <c r="L455" s="409"/>
      <c r="M455" s="462">
        <f>SUM(M445:M454)</f>
        <v>5268.3993599999994</v>
      </c>
    </row>
    <row r="456" spans="1:13" ht="25">
      <c r="A456" s="409"/>
      <c r="B456" s="428"/>
      <c r="C456" s="416" t="s">
        <v>296</v>
      </c>
      <c r="D456" s="425" t="s">
        <v>113</v>
      </c>
      <c r="E456" s="425">
        <v>4.3499999999999996</v>
      </c>
      <c r="F456" s="425">
        <v>89.78</v>
      </c>
      <c r="G456" s="425">
        <f>ROUND(E456*F456,2)</f>
        <v>390.54</v>
      </c>
      <c r="H456" s="442">
        <v>124.1</v>
      </c>
      <c r="I456" s="434">
        <f>E456*H456</f>
        <v>539.83499999999992</v>
      </c>
      <c r="J456" s="436">
        <v>158.41</v>
      </c>
      <c r="K456" s="434">
        <f>E456*J456</f>
        <v>689.08349999999996</v>
      </c>
      <c r="L456" s="436">
        <v>192.73</v>
      </c>
      <c r="M456" s="461">
        <f>E456*L456</f>
        <v>838.37549999999987</v>
      </c>
    </row>
    <row r="457" spans="1:13" ht="13.5" customHeight="1">
      <c r="A457" s="423"/>
      <c r="B457" s="421"/>
      <c r="C457" s="424" t="s">
        <v>619</v>
      </c>
      <c r="D457" s="427">
        <f>D454</f>
        <v>0.4</v>
      </c>
      <c r="E457" s="415"/>
      <c r="F457" s="425">
        <v>79.459999999999994</v>
      </c>
      <c r="G457" s="425">
        <f>D457*E456*F457</f>
        <v>138.26039999999998</v>
      </c>
      <c r="H457" s="442">
        <v>113.78</v>
      </c>
      <c r="I457" s="434">
        <f>D457*E456*H457</f>
        <v>197.97720000000001</v>
      </c>
      <c r="J457" s="436">
        <v>148.09</v>
      </c>
      <c r="K457" s="434">
        <f>D457*E456*J457</f>
        <v>257.67660000000001</v>
      </c>
      <c r="L457" s="436">
        <v>182.41</v>
      </c>
      <c r="M457" s="461">
        <f>D457*E456*L457</f>
        <v>317.39339999999999</v>
      </c>
    </row>
    <row r="458" spans="1:13" ht="15.5">
      <c r="A458" s="409"/>
      <c r="B458" s="428"/>
      <c r="C458" s="424" t="s">
        <v>142</v>
      </c>
      <c r="D458" s="425"/>
      <c r="E458" s="425"/>
      <c r="F458" s="425"/>
      <c r="G458" s="434">
        <f>G455+G456+G457</f>
        <v>5326.7997599999999</v>
      </c>
      <c r="H458" s="422"/>
      <c r="I458" s="434">
        <f>I455+I456+I457</f>
        <v>5692.6115600000003</v>
      </c>
      <c r="J458" s="409"/>
      <c r="K458" s="434">
        <f>K455+K456+K457</f>
        <v>6058.3594599999997</v>
      </c>
      <c r="L458" s="409"/>
      <c r="M458" s="485">
        <f>M455+M456+M457</f>
        <v>6424.1682599999995</v>
      </c>
    </row>
    <row r="459" spans="1:13" ht="26">
      <c r="A459" s="409"/>
      <c r="B459" s="428"/>
      <c r="C459" s="424" t="s">
        <v>578</v>
      </c>
      <c r="D459" s="425"/>
      <c r="E459" s="425"/>
      <c r="F459" s="425"/>
      <c r="G459" s="422">
        <f>G458*13.615/100</f>
        <v>725.24378732399998</v>
      </c>
      <c r="H459" s="422"/>
      <c r="I459" s="422">
        <f>I458*13.615/100</f>
        <v>775.04906389400003</v>
      </c>
      <c r="J459" s="409"/>
      <c r="K459" s="422">
        <f>K458*13.615/100</f>
        <v>824.84564047899994</v>
      </c>
      <c r="L459" s="409"/>
      <c r="M459" s="486">
        <f>M458*13.615/100</f>
        <v>874.65050859899986</v>
      </c>
    </row>
    <row r="460" spans="1:13" ht="15.5">
      <c r="A460" s="409"/>
      <c r="B460" s="428"/>
      <c r="C460" s="424"/>
      <c r="D460" s="425"/>
      <c r="E460" s="425"/>
      <c r="F460" s="425"/>
      <c r="G460" s="422">
        <f>SUM(G458:G459)</f>
        <v>6052.0435473239995</v>
      </c>
      <c r="H460" s="422"/>
      <c r="I460" s="422">
        <f>SUM(I458:I459)</f>
        <v>6467.6606238940003</v>
      </c>
      <c r="J460" s="409"/>
      <c r="K460" s="422">
        <f>SUM(K458:K459)</f>
        <v>6883.2051004789992</v>
      </c>
      <c r="L460" s="409"/>
      <c r="M460" s="486">
        <f>SUM(M458:M459)</f>
        <v>7298.8187685989997</v>
      </c>
    </row>
    <row r="461" spans="1:13" ht="15.5" hidden="1">
      <c r="A461" s="409"/>
      <c r="B461" s="428"/>
      <c r="C461" s="424"/>
      <c r="D461" s="425"/>
      <c r="E461" s="425"/>
      <c r="F461" s="425"/>
      <c r="G461" s="422"/>
      <c r="H461" s="422"/>
      <c r="I461" s="422"/>
      <c r="J461" s="409"/>
      <c r="K461" s="422"/>
      <c r="L461" s="409"/>
      <c r="M461" s="458"/>
    </row>
    <row r="462" spans="1:13" ht="80.25" hidden="1" customHeight="1">
      <c r="A462" s="435" t="s">
        <v>43</v>
      </c>
      <c r="B462" s="428"/>
      <c r="C462" s="2216" t="s">
        <v>340</v>
      </c>
      <c r="D462" s="2216"/>
      <c r="E462" s="2216"/>
      <c r="F462" s="2216"/>
      <c r="G462" s="435"/>
      <c r="H462" s="422"/>
      <c r="I462" s="409"/>
      <c r="J462" s="409"/>
      <c r="K462" s="409"/>
      <c r="L462" s="409"/>
    </row>
    <row r="463" spans="1:13" hidden="1">
      <c r="A463" s="409"/>
      <c r="B463" s="428"/>
      <c r="C463" s="435" t="s">
        <v>397</v>
      </c>
      <c r="D463" s="420"/>
      <c r="E463" s="487"/>
      <c r="F463" s="420"/>
      <c r="G463" s="420"/>
      <c r="H463" s="409"/>
      <c r="I463" s="409"/>
      <c r="J463" s="409"/>
      <c r="K463" s="409"/>
      <c r="L463" s="409"/>
    </row>
    <row r="464" spans="1:13" hidden="1">
      <c r="A464" s="409"/>
      <c r="B464" s="428"/>
      <c r="C464" s="435" t="s">
        <v>398</v>
      </c>
      <c r="D464" s="420"/>
      <c r="E464" s="487"/>
      <c r="F464" s="420"/>
      <c r="G464" s="420"/>
      <c r="H464" s="409"/>
      <c r="I464" s="409"/>
      <c r="J464" s="409"/>
      <c r="K464" s="409"/>
      <c r="L464" s="409"/>
    </row>
    <row r="465" spans="1:13" hidden="1">
      <c r="A465" s="409"/>
      <c r="B465" s="428"/>
      <c r="C465" s="435" t="s">
        <v>24</v>
      </c>
      <c r="D465" s="420"/>
      <c r="E465" s="487"/>
      <c r="F465" s="420"/>
      <c r="G465" s="420"/>
      <c r="H465" s="409"/>
      <c r="I465" s="409"/>
      <c r="J465" s="409"/>
      <c r="K465" s="409"/>
      <c r="L465" s="409"/>
    </row>
    <row r="466" spans="1:13" hidden="1">
      <c r="A466" s="409"/>
      <c r="B466" s="428"/>
      <c r="C466" s="435" t="s">
        <v>399</v>
      </c>
      <c r="D466" s="420" t="s">
        <v>217</v>
      </c>
      <c r="E466" s="487">
        <v>110</v>
      </c>
      <c r="F466" s="487">
        <v>23671.119999999999</v>
      </c>
      <c r="G466" s="487">
        <f>E466*F466/1000</f>
        <v>2603.8231999999998</v>
      </c>
      <c r="H466" s="409"/>
      <c r="I466" s="409"/>
      <c r="J466" s="409"/>
      <c r="K466" s="409"/>
      <c r="L466" s="409"/>
    </row>
    <row r="467" spans="1:13" hidden="1">
      <c r="A467" s="409"/>
      <c r="B467" s="428"/>
      <c r="C467" s="435" t="s">
        <v>341</v>
      </c>
      <c r="D467" s="420" t="s">
        <v>117</v>
      </c>
      <c r="E467" s="487">
        <v>0.1</v>
      </c>
      <c r="F467" s="487">
        <f>G75</f>
        <v>1631.06</v>
      </c>
      <c r="G467" s="425">
        <f>ROUND(E467*F467,2)</f>
        <v>163.11000000000001</v>
      </c>
      <c r="H467" s="409"/>
      <c r="I467" s="409"/>
      <c r="J467" s="409"/>
      <c r="K467" s="409"/>
      <c r="L467" s="409"/>
    </row>
    <row r="468" spans="1:13" hidden="1">
      <c r="A468" s="409"/>
      <c r="B468" s="428"/>
      <c r="C468" s="435" t="s">
        <v>128</v>
      </c>
      <c r="D468" s="420"/>
      <c r="E468" s="487"/>
      <c r="F468" s="487"/>
      <c r="G468" s="420"/>
      <c r="H468" s="409"/>
      <c r="I468" s="409"/>
      <c r="J468" s="409"/>
      <c r="K468" s="409"/>
      <c r="L468" s="409"/>
    </row>
    <row r="469" spans="1:13" hidden="1">
      <c r="A469" s="409"/>
      <c r="B469" s="428"/>
      <c r="C469" s="435" t="s">
        <v>401</v>
      </c>
      <c r="D469" s="420" t="s">
        <v>119</v>
      </c>
      <c r="E469" s="487">
        <v>0.42</v>
      </c>
      <c r="F469" s="487">
        <f>F450</f>
        <v>490</v>
      </c>
      <c r="G469" s="425">
        <f>ROUND(E469*F469,2)</f>
        <v>205.8</v>
      </c>
      <c r="H469" s="409"/>
      <c r="I469" s="409"/>
      <c r="J469" s="409"/>
      <c r="K469" s="409"/>
      <c r="L469" s="409"/>
    </row>
    <row r="470" spans="1:13" hidden="1">
      <c r="A470" s="409"/>
      <c r="B470" s="428"/>
      <c r="C470" s="435" t="s">
        <v>402</v>
      </c>
      <c r="D470" s="420" t="s">
        <v>119</v>
      </c>
      <c r="E470" s="487">
        <v>0.92</v>
      </c>
      <c r="F470" s="487">
        <f>F451</f>
        <v>440</v>
      </c>
      <c r="G470" s="425">
        <f>ROUND(E470*F470,2)</f>
        <v>404.8</v>
      </c>
      <c r="H470" s="409"/>
      <c r="I470" s="409"/>
      <c r="J470" s="409"/>
      <c r="K470" s="409"/>
      <c r="L470" s="409"/>
    </row>
    <row r="471" spans="1:13" hidden="1">
      <c r="A471" s="409"/>
      <c r="B471" s="428"/>
      <c r="C471" s="435" t="s">
        <v>403</v>
      </c>
      <c r="D471" s="420" t="s">
        <v>119</v>
      </c>
      <c r="E471" s="487">
        <v>0.7</v>
      </c>
      <c r="F471" s="487">
        <f>F452</f>
        <v>400</v>
      </c>
      <c r="G471" s="425">
        <f>ROUND(E471*F471,2)</f>
        <v>280</v>
      </c>
      <c r="H471" s="409"/>
      <c r="I471" s="409"/>
      <c r="J471" s="409"/>
      <c r="K471" s="409"/>
      <c r="L471" s="409"/>
    </row>
    <row r="472" spans="1:13" hidden="1">
      <c r="A472" s="409"/>
      <c r="B472" s="428"/>
      <c r="C472" s="435" t="s">
        <v>404</v>
      </c>
      <c r="D472" s="420" t="s">
        <v>119</v>
      </c>
      <c r="E472" s="487">
        <v>2.1</v>
      </c>
      <c r="F472" s="487">
        <f>F471</f>
        <v>400</v>
      </c>
      <c r="G472" s="425">
        <f>ROUND(E472*F472,2)</f>
        <v>840</v>
      </c>
      <c r="H472" s="409"/>
      <c r="I472" s="409"/>
      <c r="J472" s="409"/>
      <c r="K472" s="409"/>
      <c r="L472" s="409"/>
    </row>
    <row r="473" spans="1:13" ht="13.5" hidden="1" customHeight="1">
      <c r="A473" s="423"/>
      <c r="B473" s="421"/>
      <c r="C473" s="424" t="s">
        <v>592</v>
      </c>
      <c r="D473" s="427">
        <f>D454</f>
        <v>0.4</v>
      </c>
      <c r="E473" s="415"/>
      <c r="F473" s="422"/>
      <c r="G473" s="442">
        <f>D473*SUM(G469:G472)</f>
        <v>692.24</v>
      </c>
      <c r="H473" s="422"/>
      <c r="I473" s="409"/>
      <c r="J473" s="409"/>
      <c r="K473" s="409"/>
      <c r="L473" s="409"/>
    </row>
    <row r="474" spans="1:13" hidden="1">
      <c r="A474" s="409"/>
      <c r="B474" s="428"/>
      <c r="C474" s="435" t="s">
        <v>142</v>
      </c>
      <c r="D474" s="420"/>
      <c r="E474" s="487"/>
      <c r="F474" s="487"/>
      <c r="G474" s="425">
        <f>SUM(G466:G473)</f>
        <v>5189.7731999999996</v>
      </c>
      <c r="H474" s="409"/>
      <c r="I474" s="409"/>
      <c r="J474" s="409"/>
      <c r="K474" s="409"/>
      <c r="L474" s="409"/>
    </row>
    <row r="475" spans="1:13" ht="26" hidden="1">
      <c r="A475" s="409"/>
      <c r="B475" s="428"/>
      <c r="C475" s="424" t="s">
        <v>578</v>
      </c>
      <c r="D475" s="420"/>
      <c r="E475" s="487"/>
      <c r="F475" s="487"/>
      <c r="G475" s="422">
        <f>G474*13.615/100</f>
        <v>706.58762118000004</v>
      </c>
      <c r="H475" s="409"/>
      <c r="I475" s="409"/>
      <c r="J475" s="409"/>
      <c r="K475" s="409"/>
      <c r="L475" s="409"/>
    </row>
    <row r="476" spans="1:13" ht="15.5" hidden="1">
      <c r="A476" s="409"/>
      <c r="B476" s="428"/>
      <c r="C476" s="435"/>
      <c r="D476" s="420"/>
      <c r="E476" s="487"/>
      <c r="F476" s="487"/>
      <c r="G476" s="422">
        <f>SUM(G474:G475)</f>
        <v>5896.3608211800001</v>
      </c>
      <c r="H476" s="409"/>
      <c r="I476" s="409"/>
      <c r="J476" s="409"/>
      <c r="K476" s="409"/>
      <c r="L476" s="409"/>
    </row>
    <row r="477" spans="1:13" ht="84" hidden="1" customHeight="1">
      <c r="A477" s="435" t="s">
        <v>43</v>
      </c>
      <c r="B477" s="428"/>
      <c r="C477" s="2216" t="s">
        <v>320</v>
      </c>
      <c r="D477" s="2216"/>
      <c r="E477" s="2216"/>
      <c r="F477" s="2216"/>
      <c r="G477" s="488"/>
      <c r="H477" s="409"/>
      <c r="I477" s="409"/>
      <c r="J477" s="409"/>
      <c r="K477" s="409"/>
      <c r="L477" s="409"/>
    </row>
    <row r="478" spans="1:13" hidden="1">
      <c r="A478" s="409"/>
      <c r="B478" s="428"/>
      <c r="C478" s="435" t="s">
        <v>397</v>
      </c>
      <c r="D478" s="420"/>
      <c r="E478" s="487"/>
      <c r="F478" s="420"/>
      <c r="G478" s="420"/>
      <c r="H478" s="409"/>
      <c r="I478" s="409"/>
      <c r="J478" s="409"/>
      <c r="K478" s="409"/>
      <c r="L478" s="409"/>
    </row>
    <row r="479" spans="1:13" hidden="1">
      <c r="A479" s="409"/>
      <c r="B479" s="428"/>
      <c r="C479" s="435" t="s">
        <v>398</v>
      </c>
      <c r="D479" s="420"/>
      <c r="E479" s="487"/>
      <c r="F479" s="420"/>
      <c r="G479" s="420"/>
      <c r="H479" s="409"/>
      <c r="I479" s="409"/>
      <c r="J479" s="409"/>
      <c r="K479" s="409"/>
      <c r="L479" s="409"/>
    </row>
    <row r="480" spans="1:13" hidden="1">
      <c r="A480" s="409"/>
      <c r="B480" s="428"/>
      <c r="C480" s="435" t="s">
        <v>24</v>
      </c>
      <c r="D480" s="420"/>
      <c r="E480" s="487"/>
      <c r="F480" s="420"/>
      <c r="G480" s="415" t="s">
        <v>613</v>
      </c>
      <c r="H480" s="409"/>
      <c r="I480" s="420" t="s">
        <v>611</v>
      </c>
      <c r="J480" s="409"/>
      <c r="K480" s="420" t="s">
        <v>614</v>
      </c>
      <c r="L480" s="409"/>
      <c r="M480" s="484" t="s">
        <v>620</v>
      </c>
    </row>
    <row r="481" spans="1:13" hidden="1">
      <c r="A481" s="409"/>
      <c r="B481" s="428"/>
      <c r="C481" s="435" t="s">
        <v>399</v>
      </c>
      <c r="D481" s="420" t="s">
        <v>217</v>
      </c>
      <c r="E481" s="487">
        <v>110</v>
      </c>
      <c r="F481" s="487">
        <v>23671.119999999999</v>
      </c>
      <c r="G481" s="487">
        <f>E481*F481/1000</f>
        <v>2603.8231999999998</v>
      </c>
      <c r="H481" s="436"/>
      <c r="I481" s="434">
        <f>G481</f>
        <v>2603.8231999999998</v>
      </c>
      <c r="J481" s="409"/>
      <c r="K481" s="434">
        <f>I481</f>
        <v>2603.8231999999998</v>
      </c>
      <c r="L481" s="409"/>
      <c r="M481" s="461">
        <f>K481</f>
        <v>2603.8231999999998</v>
      </c>
    </row>
    <row r="482" spans="1:13" hidden="1">
      <c r="A482" s="409"/>
      <c r="B482" s="428"/>
      <c r="C482" s="435" t="s">
        <v>400</v>
      </c>
      <c r="D482" s="420" t="s">
        <v>117</v>
      </c>
      <c r="E482" s="487">
        <v>0.1</v>
      </c>
      <c r="F482" s="487">
        <f>G86</f>
        <v>1343.06</v>
      </c>
      <c r="G482" s="425">
        <f>ROUND(E482*F482,2)</f>
        <v>134.31</v>
      </c>
      <c r="H482" s="436"/>
      <c r="I482" s="434">
        <f>G482</f>
        <v>134.31</v>
      </c>
      <c r="J482" s="409"/>
      <c r="K482" s="434">
        <f>I482</f>
        <v>134.31</v>
      </c>
      <c r="L482" s="409"/>
      <c r="M482" s="461">
        <f>K482</f>
        <v>134.31</v>
      </c>
    </row>
    <row r="483" spans="1:13" hidden="1">
      <c r="A483" s="409"/>
      <c r="B483" s="428"/>
      <c r="C483" s="435" t="s">
        <v>128</v>
      </c>
      <c r="D483" s="420"/>
      <c r="E483" s="487"/>
      <c r="F483" s="487"/>
      <c r="G483" s="420"/>
      <c r="H483" s="436"/>
      <c r="I483" s="434"/>
      <c r="J483" s="409"/>
      <c r="K483" s="434"/>
      <c r="L483" s="409"/>
      <c r="M483" s="461"/>
    </row>
    <row r="484" spans="1:13" hidden="1">
      <c r="A484" s="409"/>
      <c r="B484" s="428"/>
      <c r="C484" s="435" t="s">
        <v>401</v>
      </c>
      <c r="D484" s="420" t="s">
        <v>119</v>
      </c>
      <c r="E484" s="487">
        <v>0.42</v>
      </c>
      <c r="F484" s="487">
        <f>F469</f>
        <v>490</v>
      </c>
      <c r="G484" s="425">
        <f>ROUND(E484*F484,2)</f>
        <v>205.8</v>
      </c>
      <c r="H484" s="436"/>
      <c r="I484" s="434">
        <f>G484</f>
        <v>205.8</v>
      </c>
      <c r="J484" s="409"/>
      <c r="K484" s="434">
        <f>I484</f>
        <v>205.8</v>
      </c>
      <c r="L484" s="409"/>
      <c r="M484" s="461">
        <f>K484</f>
        <v>205.8</v>
      </c>
    </row>
    <row r="485" spans="1:13" hidden="1">
      <c r="A485" s="409"/>
      <c r="B485" s="428"/>
      <c r="C485" s="435" t="s">
        <v>402</v>
      </c>
      <c r="D485" s="420" t="s">
        <v>119</v>
      </c>
      <c r="E485" s="487">
        <v>0.92</v>
      </c>
      <c r="F485" s="487">
        <f>F470</f>
        <v>440</v>
      </c>
      <c r="G485" s="425">
        <f>ROUND(E485*F485,2)</f>
        <v>404.8</v>
      </c>
      <c r="H485" s="436"/>
      <c r="I485" s="434">
        <f>G485</f>
        <v>404.8</v>
      </c>
      <c r="J485" s="409"/>
      <c r="K485" s="434">
        <f>I485</f>
        <v>404.8</v>
      </c>
      <c r="L485" s="409"/>
      <c r="M485" s="461">
        <f>K485</f>
        <v>404.8</v>
      </c>
    </row>
    <row r="486" spans="1:13" hidden="1">
      <c r="A486" s="409"/>
      <c r="B486" s="428"/>
      <c r="C486" s="435" t="s">
        <v>403</v>
      </c>
      <c r="D486" s="420" t="s">
        <v>119</v>
      </c>
      <c r="E486" s="487">
        <v>0.7</v>
      </c>
      <c r="F486" s="487">
        <f>F471</f>
        <v>400</v>
      </c>
      <c r="G486" s="425">
        <f>ROUND(E486*F486,2)</f>
        <v>280</v>
      </c>
      <c r="H486" s="436"/>
      <c r="I486" s="434">
        <f>G486</f>
        <v>280</v>
      </c>
      <c r="J486" s="409"/>
      <c r="K486" s="434">
        <f>I486</f>
        <v>280</v>
      </c>
      <c r="L486" s="409"/>
      <c r="M486" s="461">
        <f>K486</f>
        <v>280</v>
      </c>
    </row>
    <row r="487" spans="1:13" hidden="1">
      <c r="A487" s="409"/>
      <c r="B487" s="428"/>
      <c r="C487" s="435" t="s">
        <v>404</v>
      </c>
      <c r="D487" s="420" t="s">
        <v>119</v>
      </c>
      <c r="E487" s="487">
        <v>2.1</v>
      </c>
      <c r="F487" s="487">
        <f>F472</f>
        <v>400</v>
      </c>
      <c r="G487" s="425">
        <f>ROUND(E487*F487,2)</f>
        <v>840</v>
      </c>
      <c r="H487" s="436"/>
      <c r="I487" s="434">
        <f>G487</f>
        <v>840</v>
      </c>
      <c r="J487" s="409"/>
      <c r="K487" s="434">
        <f>I487</f>
        <v>840</v>
      </c>
      <c r="L487" s="409"/>
      <c r="M487" s="461">
        <f>K487</f>
        <v>840</v>
      </c>
    </row>
    <row r="488" spans="1:13" ht="13.5" hidden="1" customHeight="1">
      <c r="A488" s="423"/>
      <c r="B488" s="421"/>
      <c r="C488" s="424" t="s">
        <v>615</v>
      </c>
      <c r="D488" s="427"/>
      <c r="E488" s="415"/>
      <c r="F488" s="422"/>
      <c r="G488" s="442"/>
      <c r="H488" s="409"/>
      <c r="I488" s="442">
        <f>SUM(I484:I487)*10/100</f>
        <v>173.06</v>
      </c>
      <c r="J488" s="409"/>
      <c r="K488" s="442">
        <f>SUM(K484:K487)*20/100</f>
        <v>346.12</v>
      </c>
      <c r="L488" s="409"/>
      <c r="M488" s="455">
        <f>SUM(M484:M487)*30/100</f>
        <v>519.17999999999995</v>
      </c>
    </row>
    <row r="489" spans="1:13" ht="13.5" hidden="1" customHeight="1">
      <c r="A489" s="423"/>
      <c r="B489" s="421"/>
      <c r="C489" s="424" t="s">
        <v>592</v>
      </c>
      <c r="D489" s="427">
        <f>D473</f>
        <v>0.4</v>
      </c>
      <c r="E489" s="415"/>
      <c r="F489" s="422"/>
      <c r="G489" s="442">
        <f>D489*SUM(G484:G487)</f>
        <v>692.24</v>
      </c>
      <c r="H489" s="436"/>
      <c r="I489" s="442">
        <f>D489*SUM(I484:I488)</f>
        <v>761.46399999999994</v>
      </c>
      <c r="J489" s="409"/>
      <c r="K489" s="442">
        <f>D489*SUM(K484:K488)</f>
        <v>830.68799999999999</v>
      </c>
      <c r="L489" s="409"/>
      <c r="M489" s="455">
        <f>D489*SUM(M484:M488)</f>
        <v>899.91199999999992</v>
      </c>
    </row>
    <row r="490" spans="1:13" hidden="1">
      <c r="A490" s="409"/>
      <c r="B490" s="428"/>
      <c r="C490" s="435" t="s">
        <v>142</v>
      </c>
      <c r="D490" s="420"/>
      <c r="E490" s="487"/>
      <c r="F490" s="487"/>
      <c r="G490" s="425">
        <f>SUM(G481:G489)</f>
        <v>5160.9732000000004</v>
      </c>
      <c r="H490" s="436"/>
      <c r="I490" s="425">
        <f>SUM(I481:I489)</f>
        <v>5403.2572000000009</v>
      </c>
      <c r="J490" s="409"/>
      <c r="K490" s="425">
        <f>SUM(K481:K489)</f>
        <v>5645.5412000000006</v>
      </c>
      <c r="L490" s="409"/>
      <c r="M490" s="451">
        <f>SUM(M481:M489)</f>
        <v>5887.8252000000011</v>
      </c>
    </row>
    <row r="491" spans="1:13" hidden="1">
      <c r="A491" s="409"/>
      <c r="B491" s="428"/>
      <c r="C491" s="416" t="s">
        <v>295</v>
      </c>
      <c r="D491" s="425"/>
      <c r="E491" s="425"/>
      <c r="F491" s="425"/>
      <c r="G491" s="425"/>
      <c r="H491" s="409"/>
      <c r="I491" s="409"/>
      <c r="J491" s="409"/>
      <c r="K491" s="409"/>
      <c r="L491" s="409"/>
      <c r="M491" s="463"/>
    </row>
    <row r="492" spans="1:13" ht="25" hidden="1">
      <c r="A492" s="409"/>
      <c r="B492" s="428"/>
      <c r="C492" s="416" t="s">
        <v>296</v>
      </c>
      <c r="D492" s="425" t="s">
        <v>113</v>
      </c>
      <c r="E492" s="425">
        <v>4.3499999999999996</v>
      </c>
      <c r="F492" s="425">
        <f>F456</f>
        <v>89.78</v>
      </c>
      <c r="G492" s="425">
        <f>ROUND(E492*F492,2)</f>
        <v>390.54</v>
      </c>
      <c r="H492" s="442">
        <v>124.1</v>
      </c>
      <c r="I492" s="434">
        <f>ROUND(E492*H492,2)</f>
        <v>539.84</v>
      </c>
      <c r="J492" s="436">
        <v>158.41</v>
      </c>
      <c r="K492" s="434">
        <f>ROUND(E492*J492,2)</f>
        <v>689.08</v>
      </c>
      <c r="L492" s="436">
        <v>192.73</v>
      </c>
      <c r="M492" s="461">
        <f>ROUND(E492*L492,2)</f>
        <v>838.38</v>
      </c>
    </row>
    <row r="493" spans="1:13" ht="13.5" hidden="1" customHeight="1">
      <c r="A493" s="423"/>
      <c r="B493" s="421"/>
      <c r="C493" s="424" t="s">
        <v>619</v>
      </c>
      <c r="D493" s="427">
        <f>D489</f>
        <v>0.4</v>
      </c>
      <c r="E493" s="415"/>
      <c r="F493" s="425">
        <v>79.459999999999994</v>
      </c>
      <c r="G493" s="425">
        <f>D493*E492*F493</f>
        <v>138.26039999999998</v>
      </c>
      <c r="H493" s="442">
        <v>113.78</v>
      </c>
      <c r="I493" s="434">
        <f>D493*E492*H493</f>
        <v>197.97720000000001</v>
      </c>
      <c r="J493" s="436">
        <v>148.09</v>
      </c>
      <c r="K493" s="434">
        <f>D493*E492*J493</f>
        <v>257.67660000000001</v>
      </c>
      <c r="L493" s="436">
        <v>182.41</v>
      </c>
      <c r="M493" s="461">
        <f>D493*E492*L493</f>
        <v>317.39339999999999</v>
      </c>
    </row>
    <row r="494" spans="1:13" ht="15.5" hidden="1">
      <c r="A494" s="409"/>
      <c r="B494" s="428"/>
      <c r="C494" s="416"/>
      <c r="D494" s="425"/>
      <c r="E494" s="425"/>
      <c r="F494" s="425"/>
      <c r="G494" s="425">
        <f>G490+G492+G493</f>
        <v>5689.7736000000004</v>
      </c>
      <c r="H494" s="422"/>
      <c r="I494" s="422">
        <f>SUM(I490:I493)</f>
        <v>6141.0744000000013</v>
      </c>
      <c r="J494" s="409"/>
      <c r="K494" s="422">
        <f>SUM(K490:K493)</f>
        <v>6592.2978000000003</v>
      </c>
      <c r="L494" s="409"/>
      <c r="M494" s="458">
        <f>SUM(M490:M493)</f>
        <v>7043.5986000000012</v>
      </c>
    </row>
    <row r="495" spans="1:13" ht="26" hidden="1">
      <c r="A495" s="409"/>
      <c r="B495" s="428"/>
      <c r="C495" s="424" t="s">
        <v>578</v>
      </c>
      <c r="D495" s="425"/>
      <c r="E495" s="425"/>
      <c r="F495" s="425"/>
      <c r="G495" s="422">
        <f>G494*13.615/100</f>
        <v>774.66267564000009</v>
      </c>
      <c r="H495" s="422"/>
      <c r="I495" s="422">
        <f>ROUND(I494*13.615/100,2)</f>
        <v>836.11</v>
      </c>
      <c r="J495" s="409"/>
      <c r="K495" s="422">
        <f>ROUND(K494*13.615/100,2)</f>
        <v>897.54</v>
      </c>
      <c r="L495" s="409"/>
      <c r="M495" s="458">
        <f>ROUND(M494*13.615/100,2)</f>
        <v>958.99</v>
      </c>
    </row>
    <row r="496" spans="1:13" ht="15.5" hidden="1">
      <c r="A496" s="409"/>
      <c r="B496" s="428"/>
      <c r="C496" s="416"/>
      <c r="D496" s="425"/>
      <c r="E496" s="425"/>
      <c r="F496" s="425"/>
      <c r="G496" s="422">
        <f>SUM(G494:G495)</f>
        <v>6464.4362756400005</v>
      </c>
      <c r="H496" s="422"/>
      <c r="I496" s="422">
        <f>SUM(I494:I495)</f>
        <v>6977.184400000001</v>
      </c>
      <c r="J496" s="409"/>
      <c r="K496" s="422">
        <f>SUM(K494:K495)</f>
        <v>7489.8378000000002</v>
      </c>
      <c r="L496" s="409"/>
      <c r="M496" s="458">
        <f>SUM(M494:M495)</f>
        <v>8002.588600000001</v>
      </c>
    </row>
    <row r="497" spans="1:13" ht="104.25" hidden="1" customHeight="1">
      <c r="A497" s="435" t="s">
        <v>1049</v>
      </c>
      <c r="B497" s="428"/>
      <c r="C497" s="2219" t="s">
        <v>1050</v>
      </c>
      <c r="D497" s="2219"/>
      <c r="E497" s="2219"/>
      <c r="F497" s="2219"/>
      <c r="G497" s="489"/>
      <c r="H497" s="409"/>
      <c r="I497" s="409"/>
      <c r="J497" s="409"/>
      <c r="K497" s="409"/>
      <c r="L497" s="409"/>
    </row>
    <row r="498" spans="1:13" hidden="1">
      <c r="A498" s="409"/>
      <c r="B498" s="428"/>
      <c r="C498" s="435" t="s">
        <v>397</v>
      </c>
      <c r="D498" s="420"/>
      <c r="E498" s="487"/>
      <c r="F498" s="420"/>
      <c r="G498" s="420"/>
      <c r="H498" s="409"/>
      <c r="I498" s="409"/>
      <c r="J498" s="409"/>
      <c r="K498" s="409"/>
      <c r="L498" s="409"/>
    </row>
    <row r="499" spans="1:13" hidden="1">
      <c r="A499" s="409"/>
      <c r="B499" s="428"/>
      <c r="C499" s="435" t="s">
        <v>1051</v>
      </c>
      <c r="D499" s="420"/>
      <c r="E499" s="487"/>
      <c r="F499" s="420"/>
      <c r="G499" s="420"/>
      <c r="H499" s="409"/>
      <c r="I499" s="409"/>
      <c r="J499" s="409"/>
      <c r="K499" s="409"/>
      <c r="L499" s="409"/>
    </row>
    <row r="500" spans="1:13" hidden="1">
      <c r="A500" s="409"/>
      <c r="B500" s="428"/>
      <c r="C500" s="435" t="s">
        <v>24</v>
      </c>
      <c r="D500" s="420"/>
      <c r="E500" s="487"/>
      <c r="F500" s="420"/>
      <c r="G500" s="415" t="s">
        <v>613</v>
      </c>
      <c r="H500" s="409"/>
      <c r="I500" s="420" t="s">
        <v>611</v>
      </c>
      <c r="J500" s="409"/>
      <c r="K500" s="420" t="s">
        <v>614</v>
      </c>
      <c r="L500" s="409"/>
      <c r="M500" s="484" t="s">
        <v>620</v>
      </c>
    </row>
    <row r="501" spans="1:13" hidden="1">
      <c r="A501" s="409"/>
      <c r="B501" s="428"/>
      <c r="C501" s="435" t="s">
        <v>1052</v>
      </c>
      <c r="D501" s="420" t="s">
        <v>217</v>
      </c>
      <c r="E501" s="487">
        <v>512</v>
      </c>
      <c r="F501" s="487">
        <v>5834.53</v>
      </c>
      <c r="G501" s="487">
        <f>E501*F501/1000</f>
        <v>2987.27936</v>
      </c>
      <c r="H501" s="436"/>
      <c r="I501" s="434">
        <f>G501</f>
        <v>2987.27936</v>
      </c>
      <c r="J501" s="409"/>
      <c r="K501" s="434">
        <f>I501</f>
        <v>2987.27936</v>
      </c>
      <c r="L501" s="409"/>
      <c r="M501" s="461">
        <f>K501</f>
        <v>2987.27936</v>
      </c>
    </row>
    <row r="502" spans="1:13" hidden="1">
      <c r="A502" s="409"/>
      <c r="B502" s="428"/>
      <c r="C502" s="435" t="s">
        <v>341</v>
      </c>
      <c r="D502" s="420" t="s">
        <v>117</v>
      </c>
      <c r="E502" s="487">
        <v>0.2</v>
      </c>
      <c r="F502" s="487">
        <f>G75</f>
        <v>1631.06</v>
      </c>
      <c r="G502" s="425">
        <f>ROUND(E502*F502,2)</f>
        <v>326.20999999999998</v>
      </c>
      <c r="H502" s="436"/>
      <c r="I502" s="434">
        <f>G502</f>
        <v>326.20999999999998</v>
      </c>
      <c r="J502" s="409"/>
      <c r="K502" s="434">
        <f>I502</f>
        <v>326.20999999999998</v>
      </c>
      <c r="L502" s="409"/>
      <c r="M502" s="461">
        <f>K502</f>
        <v>326.20999999999998</v>
      </c>
    </row>
    <row r="503" spans="1:13" hidden="1">
      <c r="A503" s="409"/>
      <c r="B503" s="428"/>
      <c r="C503" s="435" t="s">
        <v>128</v>
      </c>
      <c r="D503" s="420"/>
      <c r="E503" s="487"/>
      <c r="F503" s="487"/>
      <c r="G503" s="420"/>
      <c r="H503" s="436"/>
      <c r="I503" s="434"/>
      <c r="J503" s="409"/>
      <c r="K503" s="434"/>
      <c r="L503" s="409"/>
      <c r="M503" s="461"/>
    </row>
    <row r="504" spans="1:13" hidden="1">
      <c r="A504" s="409"/>
      <c r="B504" s="428"/>
      <c r="C504" s="435" t="s">
        <v>401</v>
      </c>
      <c r="D504" s="420" t="s">
        <v>119</v>
      </c>
      <c r="E504" s="487">
        <v>0.6</v>
      </c>
      <c r="F504" s="487">
        <v>490</v>
      </c>
      <c r="G504" s="425">
        <f>ROUND(E504*F504,2)</f>
        <v>294</v>
      </c>
      <c r="H504" s="436"/>
      <c r="I504" s="434">
        <f>G504</f>
        <v>294</v>
      </c>
      <c r="J504" s="409"/>
      <c r="K504" s="434">
        <f>I504</f>
        <v>294</v>
      </c>
      <c r="L504" s="409"/>
      <c r="M504" s="461">
        <f>K504</f>
        <v>294</v>
      </c>
    </row>
    <row r="505" spans="1:13" hidden="1">
      <c r="A505" s="409"/>
      <c r="B505" s="428"/>
      <c r="C505" s="435" t="s">
        <v>402</v>
      </c>
      <c r="D505" s="420" t="s">
        <v>119</v>
      </c>
      <c r="E505" s="487">
        <v>0.6</v>
      </c>
      <c r="F505" s="487">
        <v>440</v>
      </c>
      <c r="G505" s="425">
        <f>ROUND(E505*F505,2)</f>
        <v>264</v>
      </c>
      <c r="H505" s="436"/>
      <c r="I505" s="434">
        <f>G505</f>
        <v>264</v>
      </c>
      <c r="J505" s="409"/>
      <c r="K505" s="434">
        <f>I505</f>
        <v>264</v>
      </c>
      <c r="L505" s="409"/>
      <c r="M505" s="461">
        <f>K505</f>
        <v>264</v>
      </c>
    </row>
    <row r="506" spans="1:13" hidden="1">
      <c r="A506" s="409"/>
      <c r="B506" s="428"/>
      <c r="C506" s="435" t="s">
        <v>1053</v>
      </c>
      <c r="D506" s="420" t="s">
        <v>119</v>
      </c>
      <c r="E506" s="487">
        <v>2.75</v>
      </c>
      <c r="F506" s="487">
        <v>400</v>
      </c>
      <c r="G506" s="425">
        <f>ROUND(E506*F506,2)</f>
        <v>1100</v>
      </c>
      <c r="H506" s="436"/>
      <c r="I506" s="434">
        <f>G506</f>
        <v>1100</v>
      </c>
      <c r="J506" s="409"/>
      <c r="K506" s="434">
        <f>I506</f>
        <v>1100</v>
      </c>
      <c r="L506" s="409"/>
      <c r="M506" s="461">
        <f>K506</f>
        <v>1100</v>
      </c>
    </row>
    <row r="507" spans="1:13" ht="13.5" hidden="1" customHeight="1">
      <c r="A507" s="423"/>
      <c r="B507" s="421"/>
      <c r="C507" s="424" t="s">
        <v>615</v>
      </c>
      <c r="D507" s="427"/>
      <c r="E507" s="415"/>
      <c r="F507" s="422"/>
      <c r="G507" s="442"/>
      <c r="H507" s="436"/>
      <c r="I507" s="442">
        <f>SUM(I504:I506)*10/100</f>
        <v>165.8</v>
      </c>
      <c r="J507" s="409"/>
      <c r="K507" s="442">
        <f>SUM(K504:K506)*20/100</f>
        <v>331.6</v>
      </c>
      <c r="L507" s="409"/>
      <c r="M507" s="455">
        <f>SUM(M504:M506)*30/100</f>
        <v>497.4</v>
      </c>
    </row>
    <row r="508" spans="1:13" ht="13.5" hidden="1" customHeight="1">
      <c r="A508" s="423"/>
      <c r="B508" s="421"/>
      <c r="C508" s="424" t="s">
        <v>592</v>
      </c>
      <c r="D508" s="427">
        <f>D493</f>
        <v>0.4</v>
      </c>
      <c r="E508" s="415"/>
      <c r="F508" s="422"/>
      <c r="G508" s="442">
        <f>D508*SUM(G504:G506)</f>
        <v>663.2</v>
      </c>
      <c r="H508" s="436"/>
      <c r="I508" s="442">
        <f>D508*SUM(I504:I507)</f>
        <v>729.52</v>
      </c>
      <c r="J508" s="409"/>
      <c r="K508" s="442">
        <f>D508*SUM(K504:K507)</f>
        <v>795.84</v>
      </c>
      <c r="L508" s="409"/>
      <c r="M508" s="455">
        <f>D508*SUM(M504:M507)</f>
        <v>862.16000000000008</v>
      </c>
    </row>
    <row r="509" spans="1:13" hidden="1">
      <c r="A509" s="409"/>
      <c r="B509" s="428"/>
      <c r="C509" s="435" t="s">
        <v>142</v>
      </c>
      <c r="D509" s="420"/>
      <c r="E509" s="487"/>
      <c r="F509" s="487"/>
      <c r="G509" s="425">
        <f>SUM(G501:G508)</f>
        <v>5634.6893599999994</v>
      </c>
      <c r="H509" s="409"/>
      <c r="I509" s="425">
        <f>SUM(I501:I508)</f>
        <v>5866.8093599999993</v>
      </c>
      <c r="J509" s="409"/>
      <c r="K509" s="425">
        <f>SUM(K501:K508)</f>
        <v>6098.9293600000001</v>
      </c>
      <c r="L509" s="409"/>
      <c r="M509" s="462">
        <f>SUM(M501:M508)</f>
        <v>6331.0493599999991</v>
      </c>
    </row>
    <row r="510" spans="1:13" hidden="1">
      <c r="A510" s="409"/>
      <c r="B510" s="428"/>
      <c r="C510" s="416" t="s">
        <v>295</v>
      </c>
      <c r="D510" s="425"/>
      <c r="E510" s="425"/>
      <c r="F510" s="425"/>
      <c r="G510" s="425"/>
      <c r="H510" s="436"/>
      <c r="I510" s="442"/>
      <c r="J510" s="409"/>
      <c r="K510" s="442"/>
      <c r="L510" s="409"/>
      <c r="M510" s="455"/>
    </row>
    <row r="511" spans="1:13" hidden="1">
      <c r="A511" s="409"/>
      <c r="B511" s="428"/>
      <c r="C511" s="416" t="s">
        <v>1054</v>
      </c>
      <c r="D511" s="425" t="s">
        <v>113</v>
      </c>
      <c r="E511" s="425">
        <v>10</v>
      </c>
      <c r="F511" s="425">
        <v>89.78</v>
      </c>
      <c r="G511" s="425">
        <f>ROUND(E511*F511,2)</f>
        <v>897.8</v>
      </c>
      <c r="H511" s="442">
        <v>124.1</v>
      </c>
      <c r="I511" s="434">
        <f>ROUND(E511*H511,2)</f>
        <v>1241</v>
      </c>
      <c r="J511" s="436">
        <f>J492</f>
        <v>158.41</v>
      </c>
      <c r="K511" s="434">
        <f>ROUND(E511*J511,2)</f>
        <v>1584.1</v>
      </c>
      <c r="L511" s="436">
        <f>L492</f>
        <v>192.73</v>
      </c>
      <c r="M511" s="461">
        <f>ROUND(E511*L511,2)</f>
        <v>1927.3</v>
      </c>
    </row>
    <row r="512" spans="1:13" ht="13.5" hidden="1" customHeight="1">
      <c r="A512" s="423"/>
      <c r="B512" s="421"/>
      <c r="C512" s="424" t="s">
        <v>592</v>
      </c>
      <c r="D512" s="427">
        <f>D508</f>
        <v>0.4</v>
      </c>
      <c r="E512" s="415"/>
      <c r="F512" s="425">
        <v>79.459999999999994</v>
      </c>
      <c r="G512" s="425">
        <f>D512*E511*F512</f>
        <v>317.83999999999997</v>
      </c>
      <c r="H512" s="442">
        <v>113.78</v>
      </c>
      <c r="I512" s="434">
        <f>D512*E511*H512</f>
        <v>455.12</v>
      </c>
      <c r="J512" s="436">
        <f>J493</f>
        <v>148.09</v>
      </c>
      <c r="K512" s="434">
        <f>D512*E511*J512</f>
        <v>592.36</v>
      </c>
      <c r="L512" s="436">
        <f>L493</f>
        <v>182.41</v>
      </c>
      <c r="M512" s="461">
        <f>D512*E511*L512</f>
        <v>729.64</v>
      </c>
    </row>
    <row r="513" spans="1:13" ht="15.5" hidden="1">
      <c r="A513" s="409"/>
      <c r="B513" s="428"/>
      <c r="C513" s="416"/>
      <c r="D513" s="425"/>
      <c r="E513" s="425"/>
      <c r="F513" s="425"/>
      <c r="G513" s="422">
        <f>SUM(G509:G512)</f>
        <v>6850.3293599999997</v>
      </c>
      <c r="H513" s="422"/>
      <c r="I513" s="422">
        <f>SUM(I509:I512)</f>
        <v>7562.9293599999992</v>
      </c>
      <c r="J513" s="409"/>
      <c r="K513" s="422">
        <f>SUM(K509:K512)</f>
        <v>8275.389360000001</v>
      </c>
      <c r="L513" s="409"/>
      <c r="M513" s="458">
        <f>SUM(M509:M512)</f>
        <v>8987.9893599999978</v>
      </c>
    </row>
    <row r="514" spans="1:13" ht="26" hidden="1">
      <c r="A514" s="409"/>
      <c r="B514" s="428"/>
      <c r="C514" s="424" t="s">
        <v>578</v>
      </c>
      <c r="D514" s="420"/>
      <c r="E514" s="487"/>
      <c r="F514" s="487"/>
      <c r="G514" s="422">
        <f>G513*13.615/100</f>
        <v>932.67234236399997</v>
      </c>
      <c r="H514" s="422"/>
      <c r="I514" s="422">
        <f>ROUND(I513*13.615/100,2)</f>
        <v>1029.69</v>
      </c>
      <c r="J514" s="409"/>
      <c r="K514" s="422">
        <f>ROUND(K513*13.615/100,2)</f>
        <v>1126.69</v>
      </c>
      <c r="L514" s="409"/>
      <c r="M514" s="458">
        <f>ROUND(M513*13.615/100,2)</f>
        <v>1223.71</v>
      </c>
    </row>
    <row r="515" spans="1:13" ht="15.5" hidden="1">
      <c r="A515" s="409"/>
      <c r="B515" s="428"/>
      <c r="C515" s="435"/>
      <c r="D515" s="420"/>
      <c r="E515" s="487"/>
      <c r="F515" s="487"/>
      <c r="G515" s="422">
        <f>SUM(G513:G514)</f>
        <v>7783.0017023639994</v>
      </c>
      <c r="H515" s="422"/>
      <c r="I515" s="422">
        <f>SUM(I513:I514)</f>
        <v>8592.6193599999988</v>
      </c>
      <c r="J515" s="409"/>
      <c r="K515" s="422">
        <f>SUM(K513:K514)</f>
        <v>9402.0793600000015</v>
      </c>
      <c r="L515" s="409"/>
      <c r="M515" s="458">
        <f>SUM(M513:M514)</f>
        <v>10211.699359999999</v>
      </c>
    </row>
    <row r="516" spans="1:13" ht="15.5" hidden="1">
      <c r="A516" s="409"/>
      <c r="B516" s="428"/>
      <c r="C516" s="435" t="s">
        <v>1055</v>
      </c>
      <c r="D516" s="420"/>
      <c r="E516" s="487"/>
      <c r="F516" s="487"/>
      <c r="G516" s="422">
        <f>G515/10</f>
        <v>778.30017023639994</v>
      </c>
      <c r="H516" s="409"/>
      <c r="I516" s="422">
        <f>I515/10</f>
        <v>859.26193599999988</v>
      </c>
      <c r="J516" s="409"/>
      <c r="K516" s="422">
        <f>K515/10</f>
        <v>940.20793600000013</v>
      </c>
      <c r="L516" s="409"/>
      <c r="M516" s="486">
        <f>M515/10</f>
        <v>1021.1699359999999</v>
      </c>
    </row>
    <row r="517" spans="1:13" ht="39" customHeight="1">
      <c r="A517" s="411" t="s">
        <v>126</v>
      </c>
      <c r="B517" s="490"/>
      <c r="C517" s="2219" t="s">
        <v>1026</v>
      </c>
      <c r="D517" s="2219"/>
      <c r="E517" s="2219"/>
      <c r="F517" s="2219"/>
      <c r="G517" s="438"/>
      <c r="H517" s="409"/>
      <c r="I517" s="409"/>
      <c r="J517" s="409"/>
      <c r="K517" s="409"/>
      <c r="L517" s="409"/>
    </row>
    <row r="518" spans="1:13">
      <c r="A518" s="411"/>
      <c r="B518" s="490"/>
      <c r="C518" s="437" t="s">
        <v>23</v>
      </c>
      <c r="D518" s="438"/>
      <c r="E518" s="438"/>
      <c r="F518" s="411"/>
      <c r="G518" s="438"/>
      <c r="H518" s="409"/>
      <c r="I518" s="409"/>
      <c r="J518" s="409"/>
      <c r="K518" s="409"/>
      <c r="L518" s="409"/>
    </row>
    <row r="519" spans="1:13">
      <c r="A519" s="411"/>
      <c r="B519" s="490"/>
      <c r="C519" s="437" t="s">
        <v>24</v>
      </c>
      <c r="D519" s="438"/>
      <c r="E519" s="438"/>
      <c r="F519" s="411"/>
      <c r="G519" s="415" t="s">
        <v>613</v>
      </c>
      <c r="H519" s="409"/>
      <c r="I519" s="420" t="s">
        <v>611</v>
      </c>
      <c r="J519" s="409"/>
      <c r="K519" s="420" t="s">
        <v>614</v>
      </c>
      <c r="L519" s="409"/>
      <c r="M519" s="484" t="s">
        <v>620</v>
      </c>
    </row>
    <row r="520" spans="1:13">
      <c r="A520" s="411"/>
      <c r="B520" s="490"/>
      <c r="C520" s="437" t="s">
        <v>1056</v>
      </c>
      <c r="D520" s="491" t="s">
        <v>117</v>
      </c>
      <c r="E520" s="434">
        <v>0.1</v>
      </c>
      <c r="F520" s="412">
        <f>G64</f>
        <v>2783.06</v>
      </c>
      <c r="G520" s="425">
        <f>ROUND(E520*F520,2)</f>
        <v>278.31</v>
      </c>
      <c r="H520" s="409"/>
      <c r="I520" s="442">
        <f>G520</f>
        <v>278.31</v>
      </c>
      <c r="J520" s="409"/>
      <c r="K520" s="442">
        <f>I520</f>
        <v>278.31</v>
      </c>
      <c r="L520" s="409"/>
      <c r="M520" s="453">
        <f>K520</f>
        <v>278.31</v>
      </c>
    </row>
    <row r="521" spans="1:13">
      <c r="A521" s="409"/>
      <c r="B521" s="428"/>
      <c r="C521" s="409" t="s">
        <v>278</v>
      </c>
      <c r="D521" s="428"/>
      <c r="E521" s="428"/>
      <c r="F521" s="428"/>
      <c r="G521" s="438"/>
      <c r="H521" s="409"/>
      <c r="I521" s="442"/>
      <c r="J521" s="409"/>
      <c r="K521" s="442"/>
      <c r="L521" s="409"/>
      <c r="M521" s="453"/>
    </row>
    <row r="522" spans="1:13">
      <c r="A522" s="409"/>
      <c r="B522" s="428"/>
      <c r="C522" s="409" t="s">
        <v>401</v>
      </c>
      <c r="D522" s="428" t="s">
        <v>119</v>
      </c>
      <c r="E522" s="434">
        <v>0.45</v>
      </c>
      <c r="F522" s="434">
        <f>F484</f>
        <v>490</v>
      </c>
      <c r="G522" s="425">
        <f>ROUND((E522*F522),2)</f>
        <v>220.5</v>
      </c>
      <c r="H522" s="409"/>
      <c r="I522" s="442">
        <f>G522</f>
        <v>220.5</v>
      </c>
      <c r="J522" s="409"/>
      <c r="K522" s="442">
        <f>I522</f>
        <v>220.5</v>
      </c>
      <c r="L522" s="409"/>
      <c r="M522" s="453">
        <f>K522</f>
        <v>220.5</v>
      </c>
    </row>
    <row r="523" spans="1:13">
      <c r="A523" s="409"/>
      <c r="B523" s="428"/>
      <c r="C523" s="409" t="s">
        <v>402</v>
      </c>
      <c r="D523" s="428" t="s">
        <v>119</v>
      </c>
      <c r="E523" s="434">
        <v>1.05</v>
      </c>
      <c r="F523" s="434">
        <f>F485</f>
        <v>440</v>
      </c>
      <c r="G523" s="425">
        <f>ROUND((E523*F523),2)</f>
        <v>462</v>
      </c>
      <c r="H523" s="409"/>
      <c r="I523" s="442">
        <f>G523</f>
        <v>462</v>
      </c>
      <c r="J523" s="409"/>
      <c r="K523" s="442">
        <f>I523</f>
        <v>462</v>
      </c>
      <c r="L523" s="409"/>
      <c r="M523" s="453">
        <f>K523</f>
        <v>462</v>
      </c>
    </row>
    <row r="524" spans="1:13">
      <c r="A524" s="409"/>
      <c r="B524" s="428"/>
      <c r="C524" s="409" t="s">
        <v>268</v>
      </c>
      <c r="D524" s="428" t="s">
        <v>119</v>
      </c>
      <c r="E524" s="434">
        <v>2.8</v>
      </c>
      <c r="F524" s="434">
        <f>F486</f>
        <v>400</v>
      </c>
      <c r="G524" s="425">
        <f>ROUND((E524*F524),2)</f>
        <v>1120</v>
      </c>
      <c r="H524" s="409"/>
      <c r="I524" s="442">
        <f>G524</f>
        <v>1120</v>
      </c>
      <c r="J524" s="409"/>
      <c r="K524" s="442">
        <f>I524</f>
        <v>1120</v>
      </c>
      <c r="L524" s="409"/>
      <c r="M524" s="453">
        <f>K524</f>
        <v>1120</v>
      </c>
    </row>
    <row r="525" spans="1:13" ht="13.5" customHeight="1">
      <c r="A525" s="423"/>
      <c r="B525" s="421"/>
      <c r="C525" s="424" t="s">
        <v>615</v>
      </c>
      <c r="D525" s="427"/>
      <c r="E525" s="415"/>
      <c r="F525" s="422"/>
      <c r="G525" s="442"/>
      <c r="H525" s="409"/>
      <c r="I525" s="442">
        <f>SUM(I522:I524)*10/100</f>
        <v>180.25</v>
      </c>
      <c r="J525" s="409"/>
      <c r="K525" s="442">
        <f>SUM(K522:K524)*20/100</f>
        <v>360.5</v>
      </c>
      <c r="L525" s="409"/>
      <c r="M525" s="455">
        <f>SUM(M522:M524)*30/100</f>
        <v>540.75</v>
      </c>
    </row>
    <row r="526" spans="1:13" ht="13.5" customHeight="1">
      <c r="A526" s="423"/>
      <c r="B526" s="421"/>
      <c r="C526" s="424" t="s">
        <v>592</v>
      </c>
      <c r="D526" s="427">
        <f>D508</f>
        <v>0.4</v>
      </c>
      <c r="E526" s="415"/>
      <c r="F526" s="422"/>
      <c r="G526" s="442">
        <f>D526*SUM(G522:G524)</f>
        <v>721</v>
      </c>
      <c r="H526" s="409"/>
      <c r="I526" s="442">
        <f>D526*SUM(I522:I525)</f>
        <v>793.1</v>
      </c>
      <c r="J526" s="409"/>
      <c r="K526" s="442">
        <f>D526*SUM(K522:K525)</f>
        <v>865.2</v>
      </c>
      <c r="L526" s="409"/>
      <c r="M526" s="455">
        <f>D526*SUM(M522:M525)</f>
        <v>937.30000000000007</v>
      </c>
    </row>
    <row r="527" spans="1:13">
      <c r="A527" s="409"/>
      <c r="B527" s="428"/>
      <c r="C527" s="416" t="s">
        <v>295</v>
      </c>
      <c r="D527" s="425"/>
      <c r="E527" s="425"/>
      <c r="F527" s="425"/>
      <c r="G527" s="426"/>
      <c r="H527" s="409"/>
      <c r="I527" s="442"/>
      <c r="J527" s="409"/>
      <c r="K527" s="442"/>
      <c r="L527" s="409"/>
      <c r="M527" s="453"/>
    </row>
    <row r="528" spans="1:13">
      <c r="A528" s="409"/>
      <c r="B528" s="428"/>
      <c r="C528" s="416" t="s">
        <v>419</v>
      </c>
      <c r="D528" s="425" t="s">
        <v>113</v>
      </c>
      <c r="E528" s="425">
        <v>10</v>
      </c>
      <c r="F528" s="425">
        <v>18.37</v>
      </c>
      <c r="G528" s="425">
        <f>ROUND(E528*F528,2)</f>
        <v>183.7</v>
      </c>
      <c r="H528" s="434">
        <v>25.03</v>
      </c>
      <c r="I528" s="434">
        <f>ROUND(E528*H528,2)</f>
        <v>250.3</v>
      </c>
      <c r="J528" s="436">
        <v>31.69</v>
      </c>
      <c r="K528" s="434">
        <f>ROUND(E528*J528,2)</f>
        <v>316.89999999999998</v>
      </c>
      <c r="L528" s="436">
        <v>38.36</v>
      </c>
      <c r="M528" s="461">
        <f>ROUND(E528*L528,2)</f>
        <v>383.6</v>
      </c>
    </row>
    <row r="529" spans="1:13" ht="13.5" customHeight="1">
      <c r="A529" s="423"/>
      <c r="B529" s="421"/>
      <c r="C529" s="424" t="s">
        <v>592</v>
      </c>
      <c r="D529" s="427">
        <f>D526</f>
        <v>0.4</v>
      </c>
      <c r="E529" s="415"/>
      <c r="F529" s="425">
        <v>15.91</v>
      </c>
      <c r="G529" s="425">
        <f>D529*E528*F529</f>
        <v>63.64</v>
      </c>
      <c r="H529" s="434">
        <v>22.57</v>
      </c>
      <c r="I529" s="434">
        <f>D529*E528*H529</f>
        <v>90.28</v>
      </c>
      <c r="J529" s="436">
        <v>29.23</v>
      </c>
      <c r="K529" s="434">
        <f>D529*E528*J529</f>
        <v>116.92</v>
      </c>
      <c r="L529" s="436">
        <v>35.9</v>
      </c>
      <c r="M529" s="461">
        <f>D529*E528*L529</f>
        <v>143.6</v>
      </c>
    </row>
    <row r="530" spans="1:13">
      <c r="A530" s="409"/>
      <c r="B530" s="428"/>
      <c r="C530" s="492" t="s">
        <v>423</v>
      </c>
      <c r="D530" s="428"/>
      <c r="E530" s="428"/>
      <c r="F530" s="428"/>
      <c r="G530" s="425">
        <f>SUM(G520:G529)</f>
        <v>3049.1499999999996</v>
      </c>
      <c r="H530" s="409"/>
      <c r="I530" s="425">
        <f>SUM(I520:I529)</f>
        <v>3394.7400000000002</v>
      </c>
      <c r="J530" s="409"/>
      <c r="K530" s="425">
        <f>SUM(K520:K529)</f>
        <v>3740.3300000000004</v>
      </c>
      <c r="L530" s="409"/>
      <c r="M530" s="451">
        <f>SUM(M520:M529)</f>
        <v>4086.06</v>
      </c>
    </row>
    <row r="531" spans="1:13">
      <c r="A531" s="409"/>
      <c r="B531" s="428"/>
      <c r="C531" s="450" t="s">
        <v>424</v>
      </c>
      <c r="D531" s="428"/>
      <c r="E531" s="428"/>
      <c r="F531" s="428"/>
      <c r="G531" s="434">
        <f>G530/10</f>
        <v>304.91499999999996</v>
      </c>
      <c r="H531" s="409"/>
      <c r="I531" s="434">
        <f>I530/10</f>
        <v>339.47400000000005</v>
      </c>
      <c r="J531" s="409"/>
      <c r="K531" s="434">
        <f>K530/10</f>
        <v>374.03300000000002</v>
      </c>
      <c r="L531" s="409"/>
      <c r="M531" s="461">
        <f>M530/10</f>
        <v>408.60599999999999</v>
      </c>
    </row>
    <row r="532" spans="1:13" ht="26">
      <c r="A532" s="409"/>
      <c r="B532" s="428"/>
      <c r="C532" s="424" t="s">
        <v>578</v>
      </c>
      <c r="D532" s="428"/>
      <c r="E532" s="428"/>
      <c r="F532" s="428"/>
      <c r="G532" s="422">
        <f>G531*13.615/100</f>
        <v>41.514177249999996</v>
      </c>
      <c r="H532" s="409"/>
      <c r="I532" s="422">
        <f>I531*13.615/100</f>
        <v>46.219385100000011</v>
      </c>
      <c r="J532" s="409"/>
      <c r="K532" s="422">
        <f>K531*13.615/100</f>
        <v>50.924592950000005</v>
      </c>
      <c r="L532" s="409"/>
      <c r="M532" s="458">
        <f>M531*13.615/100</f>
        <v>55.631706899999998</v>
      </c>
    </row>
    <row r="533" spans="1:13" ht="15.5">
      <c r="A533" s="409"/>
      <c r="B533" s="428"/>
      <c r="C533" s="450"/>
      <c r="D533" s="428"/>
      <c r="E533" s="428"/>
      <c r="F533" s="428"/>
      <c r="G533" s="422">
        <f>SUM(G531:G532)</f>
        <v>346.42917724999995</v>
      </c>
      <c r="H533" s="409"/>
      <c r="I533" s="422">
        <f>SUM(I531:I532)</f>
        <v>385.69338510000006</v>
      </c>
      <c r="J533" s="409"/>
      <c r="K533" s="422">
        <f>SUM(K531:K532)</f>
        <v>424.95759295000005</v>
      </c>
      <c r="L533" s="409"/>
      <c r="M533" s="458">
        <f>SUM(M531:M532)</f>
        <v>464.23770689999998</v>
      </c>
    </row>
    <row r="534" spans="1:13" ht="29.25" customHeight="1">
      <c r="A534" s="411" t="s">
        <v>126</v>
      </c>
      <c r="B534" s="490"/>
      <c r="C534" s="2219" t="s">
        <v>219</v>
      </c>
      <c r="D534" s="2219"/>
      <c r="E534" s="2219"/>
      <c r="F534" s="2219"/>
      <c r="G534" s="438"/>
      <c r="H534" s="409"/>
      <c r="I534" s="409"/>
      <c r="J534" s="409"/>
      <c r="K534" s="409"/>
      <c r="L534" s="409"/>
    </row>
    <row r="535" spans="1:13">
      <c r="A535" s="411"/>
      <c r="B535" s="490"/>
      <c r="C535" s="437" t="s">
        <v>23</v>
      </c>
      <c r="D535" s="438"/>
      <c r="E535" s="438"/>
      <c r="F535" s="411"/>
      <c r="G535" s="438"/>
      <c r="H535" s="409"/>
      <c r="I535" s="409"/>
      <c r="J535" s="409"/>
      <c r="K535" s="409"/>
      <c r="L535" s="409"/>
    </row>
    <row r="536" spans="1:13">
      <c r="A536" s="411"/>
      <c r="B536" s="490"/>
      <c r="C536" s="437" t="s">
        <v>24</v>
      </c>
      <c r="D536" s="438"/>
      <c r="E536" s="438"/>
      <c r="F536" s="411"/>
      <c r="G536" s="415" t="s">
        <v>613</v>
      </c>
      <c r="H536" s="409"/>
      <c r="I536" s="420" t="s">
        <v>611</v>
      </c>
      <c r="J536" s="409"/>
      <c r="K536" s="420" t="s">
        <v>614</v>
      </c>
      <c r="L536" s="409"/>
      <c r="M536" s="484" t="s">
        <v>614</v>
      </c>
    </row>
    <row r="537" spans="1:13">
      <c r="A537" s="411"/>
      <c r="B537" s="490"/>
      <c r="C537" s="437" t="s">
        <v>422</v>
      </c>
      <c r="D537" s="491" t="s">
        <v>117</v>
      </c>
      <c r="E537" s="434">
        <v>0.15</v>
      </c>
      <c r="F537" s="412">
        <f>F520</f>
        <v>2783.06</v>
      </c>
      <c r="G537" s="425">
        <f>ROUND(E537*F537,2)</f>
        <v>417.46</v>
      </c>
      <c r="H537" s="409"/>
      <c r="I537" s="442">
        <f>G537</f>
        <v>417.46</v>
      </c>
      <c r="J537" s="409"/>
      <c r="K537" s="442">
        <f>I537</f>
        <v>417.46</v>
      </c>
      <c r="L537" s="409"/>
      <c r="M537" s="453">
        <f>K537</f>
        <v>417.46</v>
      </c>
    </row>
    <row r="538" spans="1:13">
      <c r="A538" s="409"/>
      <c r="B538" s="428"/>
      <c r="C538" s="409" t="s">
        <v>278</v>
      </c>
      <c r="D538" s="428"/>
      <c r="E538" s="428"/>
      <c r="F538" s="428"/>
      <c r="G538" s="438"/>
      <c r="H538" s="409"/>
      <c r="I538" s="442"/>
      <c r="J538" s="409"/>
      <c r="K538" s="442"/>
      <c r="L538" s="409"/>
      <c r="M538" s="453"/>
    </row>
    <row r="539" spans="1:13">
      <c r="A539" s="409"/>
      <c r="B539" s="428"/>
      <c r="C539" s="409" t="s">
        <v>401</v>
      </c>
      <c r="D539" s="428" t="s">
        <v>119</v>
      </c>
      <c r="E539" s="434">
        <v>0.45</v>
      </c>
      <c r="F539" s="434">
        <f>F522</f>
        <v>490</v>
      </c>
      <c r="G539" s="425">
        <f>ROUND(E539*F539,2)</f>
        <v>220.5</v>
      </c>
      <c r="H539" s="409"/>
      <c r="I539" s="442">
        <f>G539</f>
        <v>220.5</v>
      </c>
      <c r="J539" s="409"/>
      <c r="K539" s="442">
        <f>I539</f>
        <v>220.5</v>
      </c>
      <c r="L539" s="409"/>
      <c r="M539" s="453">
        <f>K539</f>
        <v>220.5</v>
      </c>
    </row>
    <row r="540" spans="1:13">
      <c r="A540" s="409"/>
      <c r="B540" s="428"/>
      <c r="C540" s="409" t="s">
        <v>402</v>
      </c>
      <c r="D540" s="428" t="s">
        <v>119</v>
      </c>
      <c r="E540" s="434">
        <v>1.05</v>
      </c>
      <c r="F540" s="434">
        <f>F523</f>
        <v>440</v>
      </c>
      <c r="G540" s="425">
        <f>ROUND((E540*F540),2)</f>
        <v>462</v>
      </c>
      <c r="H540" s="409"/>
      <c r="I540" s="442">
        <f>G540</f>
        <v>462</v>
      </c>
      <c r="J540" s="409"/>
      <c r="K540" s="442">
        <f>I540</f>
        <v>462</v>
      </c>
      <c r="L540" s="409"/>
      <c r="M540" s="453">
        <f>K540</f>
        <v>462</v>
      </c>
    </row>
    <row r="541" spans="1:13">
      <c r="A541" s="409"/>
      <c r="B541" s="428"/>
      <c r="C541" s="409" t="s">
        <v>268</v>
      </c>
      <c r="D541" s="428" t="s">
        <v>119</v>
      </c>
      <c r="E541" s="428">
        <v>2.8</v>
      </c>
      <c r="F541" s="434">
        <f>F524</f>
        <v>400</v>
      </c>
      <c r="G541" s="425">
        <f>ROUND(E541*F541,2)</f>
        <v>1120</v>
      </c>
      <c r="H541" s="409"/>
      <c r="I541" s="442">
        <f>G541</f>
        <v>1120</v>
      </c>
      <c r="J541" s="409"/>
      <c r="K541" s="442">
        <f>I541</f>
        <v>1120</v>
      </c>
      <c r="L541" s="409"/>
      <c r="M541" s="453">
        <f>K541</f>
        <v>1120</v>
      </c>
    </row>
    <row r="542" spans="1:13" ht="13.5" customHeight="1">
      <c r="A542" s="423"/>
      <c r="B542" s="421"/>
      <c r="C542" s="424" t="s">
        <v>615</v>
      </c>
      <c r="D542" s="427"/>
      <c r="E542" s="415"/>
      <c r="F542" s="422"/>
      <c r="G542" s="442"/>
      <c r="H542" s="409"/>
      <c r="I542" s="442">
        <f>SUM(I539:I541)*10/100</f>
        <v>180.25</v>
      </c>
      <c r="J542" s="409"/>
      <c r="K542" s="442">
        <f>SUM(K539:K541)*20/100</f>
        <v>360.5</v>
      </c>
      <c r="L542" s="409"/>
      <c r="M542" s="455">
        <f>SUM(M539:M541)*30/100</f>
        <v>540.75</v>
      </c>
    </row>
    <row r="543" spans="1:13" ht="13.5" customHeight="1">
      <c r="A543" s="423"/>
      <c r="B543" s="421"/>
      <c r="C543" s="424" t="s">
        <v>592</v>
      </c>
      <c r="D543" s="427">
        <f>D526</f>
        <v>0.4</v>
      </c>
      <c r="E543" s="415"/>
      <c r="F543" s="422"/>
      <c r="G543" s="442">
        <f>D543*SUM(G539:G541)</f>
        <v>721</v>
      </c>
      <c r="H543" s="409"/>
      <c r="I543" s="442">
        <f>D543*SUM(I539:I542)</f>
        <v>793.1</v>
      </c>
      <c r="J543" s="409"/>
      <c r="K543" s="442">
        <f>D543*SUM(K539:K542)</f>
        <v>865.2</v>
      </c>
      <c r="L543" s="409"/>
      <c r="M543" s="455">
        <f>D543*SUM(M539:M542)</f>
        <v>937.30000000000007</v>
      </c>
    </row>
    <row r="544" spans="1:13">
      <c r="A544" s="409"/>
      <c r="B544" s="428"/>
      <c r="C544" s="416" t="s">
        <v>295</v>
      </c>
      <c r="D544" s="425"/>
      <c r="E544" s="425"/>
      <c r="F544" s="425"/>
      <c r="G544" s="426"/>
      <c r="H544" s="409"/>
      <c r="I544" s="442"/>
      <c r="J544" s="409"/>
      <c r="K544" s="442"/>
      <c r="L544" s="409"/>
      <c r="M544" s="453"/>
    </row>
    <row r="545" spans="1:13">
      <c r="A545" s="409"/>
      <c r="B545" s="428"/>
      <c r="C545" s="416" t="s">
        <v>419</v>
      </c>
      <c r="D545" s="425" t="s">
        <v>113</v>
      </c>
      <c r="E545" s="425">
        <v>10</v>
      </c>
      <c r="F545" s="425">
        <v>8.98</v>
      </c>
      <c r="G545" s="425">
        <f>ROUND(E545*F545,2)</f>
        <v>89.8</v>
      </c>
      <c r="H545" s="434">
        <v>12.41</v>
      </c>
      <c r="I545" s="434">
        <f>ROUND(E545*H545,2)</f>
        <v>124.1</v>
      </c>
      <c r="J545" s="436">
        <v>15.84</v>
      </c>
      <c r="K545" s="434">
        <f>ROUND(E545*J545,2)</f>
        <v>158.4</v>
      </c>
      <c r="L545" s="436">
        <v>19.27</v>
      </c>
      <c r="M545" s="461">
        <f>ROUND(E545*L545,2)</f>
        <v>192.7</v>
      </c>
    </row>
    <row r="546" spans="1:13" ht="13.5" customHeight="1">
      <c r="A546" s="423"/>
      <c r="B546" s="421"/>
      <c r="C546" s="424" t="s">
        <v>592</v>
      </c>
      <c r="D546" s="427">
        <f>D543</f>
        <v>0.4</v>
      </c>
      <c r="E546" s="415"/>
      <c r="F546" s="425">
        <v>7.95</v>
      </c>
      <c r="G546" s="425">
        <f>D546*E545*F546</f>
        <v>31.8</v>
      </c>
      <c r="H546" s="434">
        <v>11.38</v>
      </c>
      <c r="I546" s="434">
        <f>D546*E545*H546</f>
        <v>45.52</v>
      </c>
      <c r="J546" s="436">
        <v>14.81</v>
      </c>
      <c r="K546" s="434">
        <f>D546*E545*J546</f>
        <v>59.24</v>
      </c>
      <c r="L546" s="436">
        <v>18.239999999999998</v>
      </c>
      <c r="M546" s="461">
        <f>D546*E545*L546</f>
        <v>72.959999999999994</v>
      </c>
    </row>
    <row r="547" spans="1:13">
      <c r="A547" s="409"/>
      <c r="B547" s="428"/>
      <c r="C547" s="492" t="s">
        <v>423</v>
      </c>
      <c r="D547" s="428"/>
      <c r="E547" s="428"/>
      <c r="F547" s="428"/>
      <c r="G547" s="425">
        <f>SUM(G537:G546)</f>
        <v>3062.5600000000004</v>
      </c>
      <c r="H547" s="409"/>
      <c r="I547" s="425">
        <f>SUM(I537:I546)</f>
        <v>3362.93</v>
      </c>
      <c r="J547" s="409"/>
      <c r="K547" s="425">
        <f>SUM(K537:K546)</f>
        <v>3663.2999999999997</v>
      </c>
      <c r="L547" s="409"/>
      <c r="M547" s="451">
        <f>SUM(M537:M546)</f>
        <v>3963.67</v>
      </c>
    </row>
    <row r="548" spans="1:13">
      <c r="A548" s="409"/>
      <c r="B548" s="428"/>
      <c r="C548" s="450" t="s">
        <v>424</v>
      </c>
      <c r="D548" s="428"/>
      <c r="E548" s="428"/>
      <c r="F548" s="428"/>
      <c r="G548" s="434">
        <f>G547/10</f>
        <v>306.25600000000003</v>
      </c>
      <c r="H548" s="409"/>
      <c r="I548" s="434">
        <f>I547/10</f>
        <v>336.29300000000001</v>
      </c>
      <c r="J548" s="409"/>
      <c r="K548" s="434">
        <f>K547/10</f>
        <v>366.33</v>
      </c>
      <c r="L548" s="409"/>
      <c r="M548" s="461">
        <f>M547/10</f>
        <v>396.36700000000002</v>
      </c>
    </row>
    <row r="549" spans="1:13" ht="26">
      <c r="A549" s="409"/>
      <c r="B549" s="428"/>
      <c r="C549" s="424" t="s">
        <v>578</v>
      </c>
      <c r="D549" s="428"/>
      <c r="E549" s="428"/>
      <c r="F549" s="428"/>
      <c r="G549" s="422">
        <f>G548*13.615/100</f>
        <v>41.69675440000001</v>
      </c>
      <c r="H549" s="409"/>
      <c r="I549" s="422">
        <f>I548*13.615/100</f>
        <v>45.786291950000006</v>
      </c>
      <c r="J549" s="409"/>
      <c r="K549" s="422">
        <f>K548*13.615/100</f>
        <v>49.875829500000002</v>
      </c>
      <c r="L549" s="409"/>
      <c r="M549" s="458">
        <f>M548*13.615/100</f>
        <v>53.965367050000005</v>
      </c>
    </row>
    <row r="550" spans="1:13" ht="15.5">
      <c r="A550" s="409"/>
      <c r="B550" s="428"/>
      <c r="C550" s="450"/>
      <c r="D550" s="428"/>
      <c r="E550" s="428"/>
      <c r="F550" s="428"/>
      <c r="G550" s="422">
        <f>SUM(G548:G549)</f>
        <v>347.95275440000006</v>
      </c>
      <c r="H550" s="409"/>
      <c r="I550" s="422">
        <f>SUM(I548:I549)</f>
        <v>382.07929195000003</v>
      </c>
      <c r="J550" s="409"/>
      <c r="K550" s="422">
        <f>SUM(K548:K549)</f>
        <v>416.20582949999999</v>
      </c>
      <c r="L550" s="409"/>
      <c r="M550" s="458">
        <f>SUM(M548:M549)</f>
        <v>450.33236705000002</v>
      </c>
    </row>
    <row r="551" spans="1:13" s="439" customFormat="1" ht="39.75" hidden="1" customHeight="1">
      <c r="A551" s="411" t="s">
        <v>111</v>
      </c>
      <c r="B551" s="411"/>
      <c r="C551" s="2219" t="s">
        <v>460</v>
      </c>
      <c r="D551" s="2219"/>
      <c r="E551" s="2219"/>
      <c r="F551" s="2219"/>
      <c r="G551" s="438"/>
      <c r="H551" s="409"/>
      <c r="I551" s="409"/>
      <c r="J551" s="411"/>
      <c r="K551" s="409"/>
      <c r="L551" s="411"/>
      <c r="M551" s="382"/>
    </row>
    <row r="552" spans="1:13" s="439" customFormat="1" ht="15" hidden="1" customHeight="1">
      <c r="A552" s="411"/>
      <c r="B552" s="411"/>
      <c r="C552" s="437" t="s">
        <v>22</v>
      </c>
      <c r="D552" s="438" t="s">
        <v>522</v>
      </c>
      <c r="E552" s="438" t="s">
        <v>522</v>
      </c>
      <c r="F552" s="411" t="s">
        <v>522</v>
      </c>
      <c r="G552" s="415" t="s">
        <v>522</v>
      </c>
      <c r="H552" s="411"/>
      <c r="I552" s="411"/>
      <c r="J552" s="411"/>
      <c r="K552" s="411"/>
      <c r="L552" s="411"/>
      <c r="M552" s="493"/>
    </row>
    <row r="553" spans="1:13" hidden="1">
      <c r="A553" s="409"/>
      <c r="B553" s="428"/>
      <c r="C553" s="416" t="s">
        <v>130</v>
      </c>
      <c r="D553" s="425"/>
      <c r="E553" s="425"/>
      <c r="F553" s="415"/>
      <c r="G553" s="415" t="s">
        <v>613</v>
      </c>
      <c r="H553" s="420" t="s">
        <v>611</v>
      </c>
      <c r="I553" s="420" t="s">
        <v>614</v>
      </c>
      <c r="J553" s="409"/>
      <c r="K553" s="409"/>
      <c r="L553" s="409"/>
    </row>
    <row r="554" spans="1:13" hidden="1">
      <c r="A554" s="409"/>
      <c r="B554" s="428"/>
      <c r="C554" s="416" t="s">
        <v>461</v>
      </c>
      <c r="D554" s="425" t="s">
        <v>182</v>
      </c>
      <c r="E554" s="425">
        <v>1</v>
      </c>
      <c r="F554" s="494">
        <v>180</v>
      </c>
      <c r="G554" s="425">
        <f>ROUND(E554*F554,2)</f>
        <v>180</v>
      </c>
      <c r="H554" s="433">
        <f>G554</f>
        <v>180</v>
      </c>
      <c r="I554" s="433">
        <f>H554</f>
        <v>180</v>
      </c>
      <c r="J554" s="409"/>
      <c r="K554" s="409"/>
      <c r="L554" s="409"/>
    </row>
    <row r="555" spans="1:13" hidden="1">
      <c r="A555" s="409"/>
      <c r="B555" s="428"/>
      <c r="C555" s="409" t="s">
        <v>278</v>
      </c>
      <c r="D555" s="428"/>
      <c r="E555" s="428"/>
      <c r="F555" s="428"/>
      <c r="G555" s="438"/>
      <c r="H555" s="433"/>
      <c r="I555" s="433"/>
      <c r="J555" s="409"/>
      <c r="K555" s="409"/>
      <c r="L555" s="409"/>
    </row>
    <row r="556" spans="1:13" hidden="1">
      <c r="A556" s="409"/>
      <c r="B556" s="428"/>
      <c r="C556" s="409" t="s">
        <v>224</v>
      </c>
      <c r="D556" s="428" t="s">
        <v>119</v>
      </c>
      <c r="E556" s="434">
        <v>0.7</v>
      </c>
      <c r="F556" s="434"/>
      <c r="G556" s="438"/>
      <c r="H556" s="433"/>
      <c r="I556" s="433"/>
      <c r="J556" s="409"/>
      <c r="K556" s="409"/>
      <c r="L556" s="409"/>
    </row>
    <row r="557" spans="1:13" hidden="1">
      <c r="A557" s="409"/>
      <c r="B557" s="428"/>
      <c r="C557" s="409" t="s">
        <v>225</v>
      </c>
      <c r="D557" s="428"/>
      <c r="E557" s="434">
        <f>E556*30/100</f>
        <v>0.21</v>
      </c>
      <c r="F557" s="434">
        <v>550</v>
      </c>
      <c r="G557" s="425">
        <f>ROUND(E557*F557,2)</f>
        <v>115.5</v>
      </c>
      <c r="H557" s="433">
        <f>G557</f>
        <v>115.5</v>
      </c>
      <c r="I557" s="433">
        <f>H557</f>
        <v>115.5</v>
      </c>
      <c r="J557" s="409"/>
      <c r="K557" s="409"/>
      <c r="L557" s="409"/>
    </row>
    <row r="558" spans="1:13" hidden="1">
      <c r="A558" s="409"/>
      <c r="B558" s="428"/>
      <c r="C558" s="409" t="s">
        <v>226</v>
      </c>
      <c r="D558" s="428"/>
      <c r="E558" s="434">
        <f>E556*70/100</f>
        <v>0.49</v>
      </c>
      <c r="F558" s="434">
        <v>440</v>
      </c>
      <c r="G558" s="425">
        <f>ROUND(E558*F558,2)</f>
        <v>215.6</v>
      </c>
      <c r="H558" s="433">
        <f>G558</f>
        <v>215.6</v>
      </c>
      <c r="I558" s="433">
        <f>H558</f>
        <v>215.6</v>
      </c>
      <c r="J558" s="409"/>
      <c r="K558" s="409"/>
      <c r="L558" s="409"/>
    </row>
    <row r="559" spans="1:13" ht="13.5" hidden="1" customHeight="1">
      <c r="A559" s="423"/>
      <c r="B559" s="421"/>
      <c r="C559" s="424" t="s">
        <v>615</v>
      </c>
      <c r="D559" s="427"/>
      <c r="E559" s="415"/>
      <c r="F559" s="422"/>
      <c r="G559" s="442"/>
      <c r="H559" s="465">
        <f>SUM(H557:H558)*10/100</f>
        <v>33.11</v>
      </c>
      <c r="I559" s="465">
        <f>SUM(I557:I558)*20/100</f>
        <v>66.22</v>
      </c>
      <c r="J559" s="409"/>
      <c r="K559" s="409"/>
      <c r="L559" s="409"/>
    </row>
    <row r="560" spans="1:13" ht="13.5" hidden="1" customHeight="1">
      <c r="A560" s="423"/>
      <c r="B560" s="421"/>
      <c r="C560" s="424" t="s">
        <v>592</v>
      </c>
      <c r="D560" s="427">
        <f>D543</f>
        <v>0.4</v>
      </c>
      <c r="E560" s="415"/>
      <c r="F560" s="422"/>
      <c r="G560" s="442">
        <f>D560*SUM(G557:G558)</f>
        <v>132.44000000000003</v>
      </c>
      <c r="H560" s="442">
        <f>D560*SUM(H557:H559)</f>
        <v>145.68400000000003</v>
      </c>
      <c r="I560" s="442">
        <f>D560*SUM(I557:I559)</f>
        <v>158.92800000000003</v>
      </c>
      <c r="J560" s="409"/>
      <c r="K560" s="409"/>
      <c r="L560" s="409"/>
    </row>
    <row r="561" spans="1:12" ht="25" hidden="1">
      <c r="A561" s="409"/>
      <c r="B561" s="428"/>
      <c r="C561" s="416" t="s">
        <v>464</v>
      </c>
      <c r="D561" s="428"/>
      <c r="E561" s="434"/>
      <c r="F561" s="434"/>
      <c r="G561" s="442">
        <f>SUM(G557:G560)*0.5/100</f>
        <v>2.3177000000000003</v>
      </c>
      <c r="H561" s="442">
        <f>SUM(H557:H560)*0.5/100</f>
        <v>2.5494700000000003</v>
      </c>
      <c r="I561" s="442">
        <f>SUM(I557:I560)*0.5/100</f>
        <v>2.7812400000000004</v>
      </c>
      <c r="J561" s="409"/>
      <c r="K561" s="409"/>
      <c r="L561" s="409"/>
    </row>
    <row r="562" spans="1:12" hidden="1">
      <c r="A562" s="409"/>
      <c r="B562" s="428"/>
      <c r="C562" s="416" t="s">
        <v>130</v>
      </c>
      <c r="D562" s="428"/>
      <c r="E562" s="434"/>
      <c r="F562" s="434"/>
      <c r="G562" s="438"/>
      <c r="H562" s="433"/>
      <c r="I562" s="433"/>
      <c r="J562" s="409"/>
      <c r="K562" s="409"/>
      <c r="L562" s="409"/>
    </row>
    <row r="563" spans="1:12" hidden="1">
      <c r="A563" s="409"/>
      <c r="B563" s="428"/>
      <c r="C563" s="416"/>
      <c r="D563" s="428"/>
      <c r="E563" s="434"/>
      <c r="F563" s="434"/>
      <c r="G563" s="438"/>
      <c r="H563" s="433"/>
      <c r="I563" s="433"/>
      <c r="J563" s="409"/>
      <c r="K563" s="409"/>
      <c r="L563" s="409"/>
    </row>
    <row r="564" spans="1:12" hidden="1">
      <c r="A564" s="409"/>
      <c r="B564" s="428"/>
      <c r="C564" s="416" t="s">
        <v>462</v>
      </c>
      <c r="D564" s="425" t="s">
        <v>182</v>
      </c>
      <c r="E564" s="466">
        <v>3.5</v>
      </c>
      <c r="F564" s="494">
        <v>46</v>
      </c>
      <c r="G564" s="425">
        <f>ROUND(E564*F564,2)</f>
        <v>161</v>
      </c>
      <c r="H564" s="433">
        <f>G564</f>
        <v>161</v>
      </c>
      <c r="I564" s="433">
        <f>H564</f>
        <v>161</v>
      </c>
      <c r="J564" s="409"/>
      <c r="K564" s="409"/>
      <c r="L564" s="409"/>
    </row>
    <row r="565" spans="1:12" hidden="1">
      <c r="A565" s="409"/>
      <c r="B565" s="428"/>
      <c r="C565" s="409" t="s">
        <v>278</v>
      </c>
      <c r="D565" s="428"/>
      <c r="E565" s="428"/>
      <c r="F565" s="428"/>
      <c r="G565" s="438"/>
      <c r="H565" s="433"/>
      <c r="I565" s="433"/>
      <c r="J565" s="409"/>
      <c r="K565" s="409"/>
      <c r="L565" s="409"/>
    </row>
    <row r="566" spans="1:12" hidden="1">
      <c r="A566" s="409"/>
      <c r="B566" s="428"/>
      <c r="C566" s="409" t="s">
        <v>224</v>
      </c>
      <c r="D566" s="428" t="s">
        <v>119</v>
      </c>
      <c r="E566" s="434">
        <v>0.5</v>
      </c>
      <c r="F566" s="434"/>
      <c r="G566" s="438"/>
      <c r="H566" s="433"/>
      <c r="I566" s="433"/>
      <c r="J566" s="409"/>
      <c r="K566" s="409"/>
      <c r="L566" s="409"/>
    </row>
    <row r="567" spans="1:12" hidden="1">
      <c r="A567" s="409"/>
      <c r="B567" s="428"/>
      <c r="C567" s="409" t="s">
        <v>225</v>
      </c>
      <c r="D567" s="428"/>
      <c r="E567" s="434">
        <f>E566*30/100</f>
        <v>0.15</v>
      </c>
      <c r="F567" s="434">
        <f>F557</f>
        <v>550</v>
      </c>
      <c r="G567" s="425">
        <f>ROUND(E567*F567,2)</f>
        <v>82.5</v>
      </c>
      <c r="H567" s="433">
        <f t="shared" ref="H567:I569" si="13">G567</f>
        <v>82.5</v>
      </c>
      <c r="I567" s="433">
        <f t="shared" si="13"/>
        <v>82.5</v>
      </c>
      <c r="J567" s="409"/>
      <c r="K567" s="409"/>
      <c r="L567" s="409"/>
    </row>
    <row r="568" spans="1:12" hidden="1">
      <c r="A568" s="409"/>
      <c r="B568" s="428"/>
      <c r="C568" s="409" t="s">
        <v>226</v>
      </c>
      <c r="D568" s="428"/>
      <c r="E568" s="434">
        <f>E566*70/100</f>
        <v>0.35</v>
      </c>
      <c r="F568" s="434">
        <f>F558</f>
        <v>440</v>
      </c>
      <c r="G568" s="425">
        <f>ROUND(E568*F568,2)</f>
        <v>154</v>
      </c>
      <c r="H568" s="433">
        <f t="shared" si="13"/>
        <v>154</v>
      </c>
      <c r="I568" s="433">
        <f t="shared" si="13"/>
        <v>154</v>
      </c>
      <c r="J568" s="409"/>
      <c r="K568" s="409"/>
      <c r="L568" s="409"/>
    </row>
    <row r="569" spans="1:12" s="496" customFormat="1" hidden="1">
      <c r="A569" s="435"/>
      <c r="B569" s="435"/>
      <c r="C569" s="435" t="s">
        <v>268</v>
      </c>
      <c r="D569" s="420" t="s">
        <v>119</v>
      </c>
      <c r="E569" s="495">
        <v>1.5</v>
      </c>
      <c r="F569" s="487">
        <f>F541</f>
        <v>400</v>
      </c>
      <c r="G569" s="425">
        <f>ROUND(E569*F569,2)</f>
        <v>600</v>
      </c>
      <c r="H569" s="433">
        <f t="shared" si="13"/>
        <v>600</v>
      </c>
      <c r="I569" s="433">
        <f t="shared" si="13"/>
        <v>600</v>
      </c>
      <c r="J569" s="435"/>
      <c r="K569" s="435"/>
      <c r="L569" s="435"/>
    </row>
    <row r="570" spans="1:12" ht="13.5" hidden="1" customHeight="1">
      <c r="A570" s="423"/>
      <c r="B570" s="421"/>
      <c r="C570" s="424" t="s">
        <v>615</v>
      </c>
      <c r="D570" s="427"/>
      <c r="E570" s="415"/>
      <c r="F570" s="422"/>
      <c r="G570" s="442"/>
      <c r="H570" s="465">
        <f>SUM(H567:H569)*10/100</f>
        <v>83.65</v>
      </c>
      <c r="I570" s="465">
        <f>SUM(I567:I569)*20/100</f>
        <v>167.3</v>
      </c>
      <c r="J570" s="409"/>
      <c r="K570" s="409"/>
      <c r="L570" s="409"/>
    </row>
    <row r="571" spans="1:12" ht="13.5" hidden="1" customHeight="1">
      <c r="A571" s="423"/>
      <c r="B571" s="421"/>
      <c r="C571" s="424" t="s">
        <v>592</v>
      </c>
      <c r="D571" s="427">
        <f>D560</f>
        <v>0.4</v>
      </c>
      <c r="E571" s="415"/>
      <c r="F571" s="422"/>
      <c r="G571" s="442">
        <f>D571*SUM(G567:G569)</f>
        <v>334.6</v>
      </c>
      <c r="H571" s="442">
        <f>D571*SUM(H567:H570)</f>
        <v>368.06</v>
      </c>
      <c r="I571" s="442">
        <f>D571*SUM(I567:I570)</f>
        <v>401.52</v>
      </c>
      <c r="J571" s="409"/>
      <c r="K571" s="409"/>
      <c r="L571" s="409"/>
    </row>
    <row r="572" spans="1:12" ht="25" hidden="1">
      <c r="A572" s="409"/>
      <c r="B572" s="428"/>
      <c r="C572" s="416" t="s">
        <v>463</v>
      </c>
      <c r="D572" s="425"/>
      <c r="E572" s="466"/>
      <c r="F572" s="494"/>
      <c r="G572" s="442">
        <f>SUM(G567:G569)*1/100</f>
        <v>8.3650000000000002</v>
      </c>
      <c r="H572" s="465">
        <f>SUM(H567:H569)*1/100</f>
        <v>8.3650000000000002</v>
      </c>
      <c r="I572" s="465">
        <f>SUM(I567:I569)*1/100</f>
        <v>8.3650000000000002</v>
      </c>
      <c r="J572" s="409"/>
      <c r="K572" s="409"/>
      <c r="L572" s="409"/>
    </row>
    <row r="573" spans="1:12" ht="23.25" hidden="1" customHeight="1">
      <c r="A573" s="409"/>
      <c r="B573" s="428"/>
      <c r="C573" s="416" t="s">
        <v>134</v>
      </c>
      <c r="D573" s="415"/>
      <c r="E573" s="466"/>
      <c r="F573" s="494"/>
      <c r="G573" s="425">
        <f>SUM(G554:G572)</f>
        <v>1986.3226999999999</v>
      </c>
      <c r="H573" s="497">
        <f>SUM(H554:H572)</f>
        <v>2150.01847</v>
      </c>
      <c r="I573" s="497">
        <f>SUM(I554:I572)</f>
        <v>2313.7142399999998</v>
      </c>
      <c r="J573" s="409"/>
      <c r="K573" s="409"/>
      <c r="L573" s="409"/>
    </row>
    <row r="574" spans="1:12" hidden="1">
      <c r="A574" s="409"/>
      <c r="B574" s="428"/>
      <c r="C574" s="424" t="s">
        <v>421</v>
      </c>
      <c r="D574" s="415"/>
      <c r="E574" s="415"/>
      <c r="F574" s="415"/>
      <c r="G574" s="425">
        <f>G573/10</f>
        <v>198.63227000000001</v>
      </c>
      <c r="H574" s="497">
        <f>H573/10</f>
        <v>215.001847</v>
      </c>
      <c r="I574" s="497">
        <f>I573/10</f>
        <v>231.37142399999999</v>
      </c>
      <c r="J574" s="409"/>
      <c r="K574" s="409"/>
      <c r="L574" s="409"/>
    </row>
    <row r="575" spans="1:12" ht="26" hidden="1">
      <c r="A575" s="409"/>
      <c r="B575" s="428"/>
      <c r="C575" s="424" t="s">
        <v>578</v>
      </c>
      <c r="D575" s="415"/>
      <c r="E575" s="415"/>
      <c r="F575" s="415"/>
      <c r="G575" s="422">
        <f>G574*13.615/100</f>
        <v>27.0437835605</v>
      </c>
      <c r="H575" s="498">
        <f>H574*13.615/100</f>
        <v>29.272501469049999</v>
      </c>
      <c r="I575" s="498">
        <f>I574*13.615/100</f>
        <v>31.501219377600002</v>
      </c>
      <c r="J575" s="409"/>
      <c r="K575" s="409"/>
      <c r="L575" s="409"/>
    </row>
    <row r="576" spans="1:12" ht="15.5" hidden="1">
      <c r="A576" s="409"/>
      <c r="B576" s="428"/>
      <c r="C576" s="424"/>
      <c r="D576" s="415"/>
      <c r="E576" s="415"/>
      <c r="F576" s="415"/>
      <c r="G576" s="422">
        <f>SUM(G574:G575)</f>
        <v>225.67605356050001</v>
      </c>
      <c r="H576" s="498">
        <f>SUM(H574:H575)</f>
        <v>244.27434846904998</v>
      </c>
      <c r="I576" s="498">
        <f>SUM(I574:I575)</f>
        <v>262.87264337760001</v>
      </c>
      <c r="J576" s="409"/>
      <c r="K576" s="409"/>
      <c r="L576" s="409"/>
    </row>
    <row r="577" spans="1:12" ht="78" customHeight="1">
      <c r="A577" s="435" t="s">
        <v>425</v>
      </c>
      <c r="B577" s="435">
        <v>17</v>
      </c>
      <c r="C577" s="2219" t="s">
        <v>426</v>
      </c>
      <c r="D577" s="2219"/>
      <c r="E577" s="2219"/>
      <c r="F577" s="2219"/>
      <c r="G577" s="499"/>
      <c r="H577" s="409"/>
      <c r="I577" s="409"/>
      <c r="J577" s="409"/>
      <c r="K577" s="409"/>
      <c r="L577" s="409"/>
    </row>
    <row r="578" spans="1:12">
      <c r="A578" s="409"/>
      <c r="B578" s="428"/>
      <c r="C578" s="414" t="s">
        <v>129</v>
      </c>
      <c r="D578" s="425"/>
      <c r="E578" s="425"/>
      <c r="F578" s="415"/>
      <c r="G578" s="415"/>
      <c r="H578" s="409"/>
      <c r="I578" s="409"/>
      <c r="J578" s="409"/>
      <c r="K578" s="409"/>
      <c r="L578" s="409"/>
    </row>
    <row r="579" spans="1:12">
      <c r="A579" s="409"/>
      <c r="B579" s="428"/>
      <c r="C579" s="2223" t="s">
        <v>427</v>
      </c>
      <c r="D579" s="2224"/>
      <c r="E579" s="2224"/>
      <c r="F579" s="2224"/>
      <c r="G579" s="415"/>
      <c r="H579" s="409"/>
      <c r="I579" s="409"/>
      <c r="J579" s="409"/>
      <c r="K579" s="409"/>
      <c r="L579" s="409"/>
    </row>
    <row r="580" spans="1:12">
      <c r="A580" s="409"/>
      <c r="B580" s="428"/>
      <c r="C580" s="416" t="s">
        <v>130</v>
      </c>
      <c r="D580" s="425"/>
      <c r="E580" s="425"/>
      <c r="F580" s="415"/>
      <c r="G580" s="415" t="s">
        <v>613</v>
      </c>
      <c r="H580" s="420" t="s">
        <v>611</v>
      </c>
      <c r="I580" s="420" t="s">
        <v>614</v>
      </c>
      <c r="J580" s="409"/>
      <c r="K580" s="409"/>
      <c r="L580" s="409"/>
    </row>
    <row r="581" spans="1:12">
      <c r="A581" s="409"/>
      <c r="B581" s="428"/>
      <c r="C581" s="416" t="s">
        <v>428</v>
      </c>
      <c r="D581" s="425" t="s">
        <v>429</v>
      </c>
      <c r="E581" s="425">
        <v>0.7</v>
      </c>
      <c r="F581" s="494">
        <v>166.4</v>
      </c>
      <c r="G581" s="494">
        <f>ROUND(E581*F581,2)*1.18</f>
        <v>137.44640000000001</v>
      </c>
      <c r="H581" s="433">
        <f>G581</f>
        <v>137.44640000000001</v>
      </c>
      <c r="I581" s="433">
        <f>H581</f>
        <v>137.44640000000001</v>
      </c>
      <c r="J581" s="409"/>
      <c r="K581" s="409"/>
      <c r="L581" s="409"/>
    </row>
    <row r="582" spans="1:12">
      <c r="A582" s="409"/>
      <c r="B582" s="428"/>
      <c r="C582" s="409" t="s">
        <v>278</v>
      </c>
      <c r="D582" s="428"/>
      <c r="E582" s="428"/>
      <c r="F582" s="428"/>
      <c r="G582" s="438"/>
      <c r="H582" s="433"/>
      <c r="I582" s="433"/>
      <c r="J582" s="409"/>
      <c r="K582" s="409"/>
      <c r="L582" s="409"/>
    </row>
    <row r="583" spans="1:12">
      <c r="A583" s="409"/>
      <c r="B583" s="428"/>
      <c r="C583" s="409" t="s">
        <v>224</v>
      </c>
      <c r="D583" s="428" t="s">
        <v>119</v>
      </c>
      <c r="E583" s="434">
        <v>0.7</v>
      </c>
      <c r="F583" s="434"/>
      <c r="G583" s="438"/>
      <c r="H583" s="433"/>
      <c r="I583" s="433"/>
      <c r="J583" s="409"/>
      <c r="K583" s="409"/>
      <c r="L583" s="409"/>
    </row>
    <row r="584" spans="1:12">
      <c r="A584" s="409"/>
      <c r="B584" s="428"/>
      <c r="C584" s="409" t="s">
        <v>225</v>
      </c>
      <c r="D584" s="428"/>
      <c r="E584" s="434">
        <f>0.7*30/100</f>
        <v>0.21</v>
      </c>
      <c r="F584" s="434">
        <f>F557</f>
        <v>550</v>
      </c>
      <c r="G584" s="425">
        <f>ROUND(E584*F584,2)</f>
        <v>115.5</v>
      </c>
      <c r="H584" s="433">
        <f>G584</f>
        <v>115.5</v>
      </c>
      <c r="I584" s="433">
        <f>H584</f>
        <v>115.5</v>
      </c>
      <c r="J584" s="409"/>
      <c r="K584" s="409"/>
      <c r="L584" s="409"/>
    </row>
    <row r="585" spans="1:12">
      <c r="A585" s="409"/>
      <c r="B585" s="428"/>
      <c r="C585" s="409" t="s">
        <v>226</v>
      </c>
      <c r="D585" s="428"/>
      <c r="E585" s="434">
        <f>E583*70/100</f>
        <v>0.49</v>
      </c>
      <c r="F585" s="434">
        <f>F558</f>
        <v>440</v>
      </c>
      <c r="G585" s="425">
        <f>ROUND(E585*F585,2)</f>
        <v>215.6</v>
      </c>
      <c r="H585" s="433">
        <f>G585</f>
        <v>215.6</v>
      </c>
      <c r="I585" s="433">
        <f>H585</f>
        <v>215.6</v>
      </c>
      <c r="J585" s="409"/>
      <c r="K585" s="409"/>
      <c r="L585" s="409"/>
    </row>
    <row r="586" spans="1:12" ht="13.5" customHeight="1">
      <c r="A586" s="423"/>
      <c r="B586" s="421"/>
      <c r="C586" s="424" t="s">
        <v>615</v>
      </c>
      <c r="D586" s="427"/>
      <c r="E586" s="415"/>
      <c r="F586" s="422"/>
      <c r="G586" s="442"/>
      <c r="H586" s="465">
        <f>SUM(H584:H585)*10/100</f>
        <v>33.11</v>
      </c>
      <c r="I586" s="465">
        <f>SUM(I584:I585)*20/100</f>
        <v>66.22</v>
      </c>
      <c r="J586" s="409"/>
      <c r="K586" s="409"/>
      <c r="L586" s="409"/>
    </row>
    <row r="587" spans="1:12" ht="13.5" customHeight="1">
      <c r="A587" s="423"/>
      <c r="B587" s="421"/>
      <c r="C587" s="424" t="s">
        <v>592</v>
      </c>
      <c r="D587" s="427">
        <v>0</v>
      </c>
      <c r="E587" s="464"/>
      <c r="F587" s="422"/>
      <c r="G587" s="442">
        <f>D587*SUM(G584:G585)</f>
        <v>0</v>
      </c>
      <c r="H587" s="465">
        <f>D587*SUM(H584:H586)</f>
        <v>0</v>
      </c>
      <c r="I587" s="465">
        <f>D587*SUM(I584:I586)</f>
        <v>0</v>
      </c>
      <c r="J587" s="409"/>
      <c r="K587" s="409"/>
      <c r="L587" s="409"/>
    </row>
    <row r="588" spans="1:12" ht="13.5" customHeight="1">
      <c r="A588" s="409"/>
      <c r="B588" s="428"/>
      <c r="C588" s="416" t="s">
        <v>1057</v>
      </c>
      <c r="D588" s="425"/>
      <c r="E588" s="466"/>
      <c r="F588" s="494"/>
      <c r="G588" s="442">
        <f>SUM(G584:G587)*1/100</f>
        <v>3.3110000000000004</v>
      </c>
      <c r="H588" s="442">
        <f>SUM(H584:H587)*1/100</f>
        <v>3.6421000000000006</v>
      </c>
      <c r="I588" s="442">
        <f>SUM(I584:I587)*1/100</f>
        <v>3.9732000000000003</v>
      </c>
      <c r="J588" s="409"/>
      <c r="K588" s="409"/>
      <c r="L588" s="409"/>
    </row>
    <row r="589" spans="1:12" ht="25">
      <c r="A589" s="409"/>
      <c r="B589" s="428"/>
      <c r="C589" s="416" t="s">
        <v>430</v>
      </c>
      <c r="D589" s="425" t="s">
        <v>429</v>
      </c>
      <c r="E589" s="466">
        <v>1.2</v>
      </c>
      <c r="F589" s="494">
        <v>288</v>
      </c>
      <c r="G589" s="425">
        <f>ROUND(E589*F589,2)*1.18</f>
        <v>407.80799999999999</v>
      </c>
      <c r="H589" s="433">
        <f>G589</f>
        <v>407.80799999999999</v>
      </c>
      <c r="I589" s="433">
        <f>H589</f>
        <v>407.80799999999999</v>
      </c>
      <c r="J589" s="409"/>
      <c r="K589" s="409"/>
      <c r="L589" s="409"/>
    </row>
    <row r="590" spans="1:12">
      <c r="A590" s="409"/>
      <c r="B590" s="428"/>
      <c r="C590" s="409" t="s">
        <v>278</v>
      </c>
      <c r="D590" s="428"/>
      <c r="E590" s="428"/>
      <c r="F590" s="428"/>
      <c r="G590" s="438"/>
      <c r="H590" s="433"/>
      <c r="I590" s="433"/>
      <c r="J590" s="409"/>
      <c r="K590" s="409"/>
      <c r="L590" s="409"/>
    </row>
    <row r="591" spans="1:12">
      <c r="A591" s="409"/>
      <c r="B591" s="428"/>
      <c r="C591" s="409" t="s">
        <v>224</v>
      </c>
      <c r="D591" s="428" t="s">
        <v>119</v>
      </c>
      <c r="E591" s="434">
        <v>1.2</v>
      </c>
      <c r="F591" s="434"/>
      <c r="G591" s="438"/>
      <c r="H591" s="433"/>
      <c r="I591" s="433"/>
      <c r="J591" s="409"/>
      <c r="K591" s="409"/>
      <c r="L591" s="409"/>
    </row>
    <row r="592" spans="1:12">
      <c r="A592" s="409"/>
      <c r="B592" s="428"/>
      <c r="C592" s="409" t="s">
        <v>225</v>
      </c>
      <c r="D592" s="428"/>
      <c r="E592" s="434">
        <f>E591*30/100</f>
        <v>0.36</v>
      </c>
      <c r="F592" s="434">
        <f>F584</f>
        <v>550</v>
      </c>
      <c r="G592" s="425">
        <f>ROUND(E592*F592,2)</f>
        <v>198</v>
      </c>
      <c r="H592" s="433">
        <f>G592</f>
        <v>198</v>
      </c>
      <c r="I592" s="433">
        <f>H592</f>
        <v>198</v>
      </c>
      <c r="J592" s="409"/>
      <c r="K592" s="409"/>
      <c r="L592" s="409"/>
    </row>
    <row r="593" spans="1:13">
      <c r="A593" s="409"/>
      <c r="B593" s="428"/>
      <c r="C593" s="409" t="s">
        <v>226</v>
      </c>
      <c r="D593" s="428"/>
      <c r="E593" s="434">
        <f>E591*70/100</f>
        <v>0.84</v>
      </c>
      <c r="F593" s="434">
        <f>F585</f>
        <v>440</v>
      </c>
      <c r="G593" s="425">
        <f>ROUND(E593*F593,2)</f>
        <v>369.6</v>
      </c>
      <c r="H593" s="433">
        <f>G593</f>
        <v>369.6</v>
      </c>
      <c r="I593" s="433">
        <f>H593</f>
        <v>369.6</v>
      </c>
      <c r="J593" s="409"/>
      <c r="K593" s="409"/>
      <c r="L593" s="409"/>
    </row>
    <row r="594" spans="1:13" ht="13.5" customHeight="1">
      <c r="A594" s="423"/>
      <c r="B594" s="421"/>
      <c r="C594" s="424" t="s">
        <v>615</v>
      </c>
      <c r="D594" s="427"/>
      <c r="E594" s="415"/>
      <c r="F594" s="422"/>
      <c r="G594" s="442"/>
      <c r="H594" s="465">
        <f>SUM(H592:H593)*10/100</f>
        <v>56.76</v>
      </c>
      <c r="I594" s="465">
        <f>SUM(I592:I593)*20/100</f>
        <v>113.52</v>
      </c>
      <c r="J594" s="409"/>
      <c r="K594" s="409"/>
      <c r="L594" s="409"/>
    </row>
    <row r="595" spans="1:13" ht="13.5" customHeight="1">
      <c r="A595" s="423"/>
      <c r="B595" s="421"/>
      <c r="C595" s="424" t="s">
        <v>592</v>
      </c>
      <c r="D595" s="427">
        <f>D587</f>
        <v>0</v>
      </c>
      <c r="E595" s="415"/>
      <c r="F595" s="422"/>
      <c r="G595" s="442">
        <f>D595*SUM(G592:G593)</f>
        <v>0</v>
      </c>
      <c r="H595" s="465">
        <f>D595*SUM(H592:H594)</f>
        <v>0</v>
      </c>
      <c r="I595" s="465">
        <f>D595*SUM(I592:I594)</f>
        <v>0</v>
      </c>
      <c r="J595" s="409"/>
      <c r="K595" s="409"/>
      <c r="L595" s="409"/>
    </row>
    <row r="596" spans="1:13">
      <c r="A596" s="409"/>
      <c r="B596" s="428"/>
      <c r="C596" s="416" t="s">
        <v>227</v>
      </c>
      <c r="D596" s="425"/>
      <c r="E596" s="466"/>
      <c r="F596" s="494"/>
      <c r="G596" s="425"/>
      <c r="H596" s="409"/>
      <c r="I596" s="409"/>
      <c r="J596" s="409"/>
      <c r="K596" s="409"/>
      <c r="L596" s="409"/>
    </row>
    <row r="597" spans="1:13">
      <c r="A597" s="409"/>
      <c r="B597" s="428"/>
      <c r="C597" s="416" t="s">
        <v>134</v>
      </c>
      <c r="D597" s="415"/>
      <c r="E597" s="466"/>
      <c r="F597" s="494"/>
      <c r="G597" s="425">
        <f>SUM(G581:G596)</f>
        <v>1447.2653999999998</v>
      </c>
      <c r="H597" s="497">
        <f>SUM(H581:H596)</f>
        <v>1537.4665000000002</v>
      </c>
      <c r="I597" s="497">
        <f>SUM(I581:I596)</f>
        <v>1627.6675999999998</v>
      </c>
      <c r="J597" s="409"/>
      <c r="K597" s="409"/>
      <c r="L597" s="409"/>
    </row>
    <row r="598" spans="1:13">
      <c r="A598" s="409"/>
      <c r="B598" s="428"/>
      <c r="C598" s="424" t="s">
        <v>421</v>
      </c>
      <c r="D598" s="415"/>
      <c r="E598" s="415"/>
      <c r="F598" s="415"/>
      <c r="G598" s="434">
        <f>G597/10</f>
        <v>144.72653999999997</v>
      </c>
      <c r="H598" s="500">
        <f>H597/10</f>
        <v>153.74665000000002</v>
      </c>
      <c r="I598" s="500">
        <f>I597/10</f>
        <v>162.76675999999998</v>
      </c>
      <c r="J598" s="409"/>
      <c r="K598" s="409"/>
      <c r="L598" s="409"/>
    </row>
    <row r="599" spans="1:13" ht="26">
      <c r="A599" s="409"/>
      <c r="B599" s="428"/>
      <c r="C599" s="424" t="s">
        <v>578</v>
      </c>
      <c r="D599" s="428"/>
      <c r="E599" s="415"/>
      <c r="F599" s="415"/>
      <c r="G599" s="422">
        <v>0</v>
      </c>
      <c r="H599" s="498">
        <v>0</v>
      </c>
      <c r="I599" s="498">
        <v>0</v>
      </c>
      <c r="J599" s="409"/>
      <c r="K599" s="409"/>
      <c r="L599" s="409"/>
    </row>
    <row r="600" spans="1:13" ht="15.5">
      <c r="A600" s="409"/>
      <c r="B600" s="428"/>
      <c r="C600" s="409"/>
      <c r="D600" s="428"/>
      <c r="E600" s="415"/>
      <c r="F600" s="415"/>
      <c r="G600" s="422">
        <f>SUM(G598:G599)</f>
        <v>144.72653999999997</v>
      </c>
      <c r="H600" s="498">
        <f>SUM(H598:H599)</f>
        <v>153.74665000000002</v>
      </c>
      <c r="I600" s="498">
        <f>SUM(I598:I599)</f>
        <v>162.76675999999998</v>
      </c>
      <c r="J600" s="409"/>
      <c r="K600" s="409"/>
      <c r="L600" s="409"/>
      <c r="M600" s="501"/>
    </row>
    <row r="601" spans="1:13" s="439" customFormat="1" ht="65.25" hidden="1" customHeight="1">
      <c r="A601" s="411" t="s">
        <v>455</v>
      </c>
      <c r="B601" s="411"/>
      <c r="C601" s="2219" t="s">
        <v>458</v>
      </c>
      <c r="D601" s="2219"/>
      <c r="E601" s="2219"/>
      <c r="F601" s="2219"/>
      <c r="G601" s="438"/>
      <c r="H601" s="411"/>
      <c r="I601" s="411"/>
      <c r="J601" s="411"/>
      <c r="K601" s="411"/>
      <c r="L601" s="411"/>
      <c r="M601" s="502"/>
    </row>
    <row r="602" spans="1:13" s="439" customFormat="1" ht="15" hidden="1" customHeight="1">
      <c r="A602" s="411"/>
      <c r="B602" s="411"/>
      <c r="C602" s="448" t="s">
        <v>129</v>
      </c>
      <c r="D602" s="426"/>
      <c r="E602" s="426"/>
      <c r="F602" s="411"/>
      <c r="G602" s="415"/>
      <c r="H602" s="415"/>
      <c r="I602" s="411"/>
      <c r="J602" s="411"/>
      <c r="K602" s="411"/>
      <c r="L602" s="411"/>
      <c r="M602" s="502"/>
    </row>
    <row r="603" spans="1:13" s="439" customFormat="1" ht="15" hidden="1" customHeight="1">
      <c r="A603" s="411"/>
      <c r="B603" s="411"/>
      <c r="C603" s="440" t="s">
        <v>130</v>
      </c>
      <c r="D603" s="426"/>
      <c r="E603" s="426"/>
      <c r="F603" s="411"/>
      <c r="G603" s="415" t="s">
        <v>613</v>
      </c>
      <c r="H603" s="415" t="s">
        <v>611</v>
      </c>
      <c r="I603" s="415" t="s">
        <v>614</v>
      </c>
      <c r="J603" s="411"/>
      <c r="K603" s="411"/>
      <c r="L603" s="411"/>
      <c r="M603" s="502"/>
    </row>
    <row r="604" spans="1:13" s="439" customFormat="1" ht="15" hidden="1" customHeight="1">
      <c r="A604" s="411"/>
      <c r="B604" s="411"/>
      <c r="C604" s="448" t="s">
        <v>456</v>
      </c>
      <c r="D604" s="426" t="s">
        <v>457</v>
      </c>
      <c r="E604" s="426">
        <v>2</v>
      </c>
      <c r="F604" s="426">
        <v>27</v>
      </c>
      <c r="G604" s="425">
        <f>ROUND(E604*F604,2)</f>
        <v>54</v>
      </c>
      <c r="H604" s="412">
        <f>G604</f>
        <v>54</v>
      </c>
      <c r="I604" s="412">
        <f>H604</f>
        <v>54</v>
      </c>
      <c r="J604" s="411"/>
      <c r="K604" s="411"/>
      <c r="L604" s="411"/>
      <c r="M604" s="502"/>
    </row>
    <row r="605" spans="1:13" s="496" customFormat="1" ht="37.5" hidden="1" customHeight="1">
      <c r="A605" s="435"/>
      <c r="B605" s="435"/>
      <c r="C605" s="435" t="s">
        <v>432</v>
      </c>
      <c r="D605" s="420"/>
      <c r="E605" s="420" t="s">
        <v>433</v>
      </c>
      <c r="F605" s="420"/>
      <c r="G605" s="487"/>
      <c r="H605" s="412"/>
      <c r="I605" s="412"/>
      <c r="J605" s="435"/>
      <c r="K605" s="435"/>
      <c r="L605" s="435"/>
      <c r="M605" s="503"/>
    </row>
    <row r="606" spans="1:13" s="496" customFormat="1" hidden="1">
      <c r="A606" s="435"/>
      <c r="B606" s="435"/>
      <c r="C606" s="435" t="s">
        <v>128</v>
      </c>
      <c r="D606" s="420" t="s">
        <v>119</v>
      </c>
      <c r="E606" s="487">
        <v>0.21</v>
      </c>
      <c r="F606" s="420"/>
      <c r="G606" s="487"/>
      <c r="H606" s="412"/>
      <c r="I606" s="412"/>
      <c r="J606" s="435"/>
      <c r="K606" s="435"/>
      <c r="L606" s="435"/>
    </row>
    <row r="607" spans="1:13" s="496" customFormat="1" ht="12.75" hidden="1" customHeight="1">
      <c r="A607" s="435"/>
      <c r="B607" s="435"/>
      <c r="C607" s="435" t="s">
        <v>434</v>
      </c>
      <c r="D607" s="420" t="s">
        <v>119</v>
      </c>
      <c r="E607" s="495">
        <f>E606*30/100</f>
        <v>6.3E-2</v>
      </c>
      <c r="F607" s="487">
        <f>F592</f>
        <v>550</v>
      </c>
      <c r="G607" s="425">
        <f>ROUND(E607*F607,2)</f>
        <v>34.65</v>
      </c>
      <c r="H607" s="412">
        <f t="shared" ref="H607:I609" si="14">G607</f>
        <v>34.65</v>
      </c>
      <c r="I607" s="412">
        <f t="shared" si="14"/>
        <v>34.65</v>
      </c>
      <c r="J607" s="435"/>
      <c r="K607" s="435"/>
      <c r="L607" s="435"/>
    </row>
    <row r="608" spans="1:13" s="496" customFormat="1" ht="12.75" hidden="1" customHeight="1">
      <c r="A608" s="435"/>
      <c r="B608" s="435"/>
      <c r="C608" s="435" t="s">
        <v>435</v>
      </c>
      <c r="D608" s="420" t="s">
        <v>119</v>
      </c>
      <c r="E608" s="495">
        <f>E606*70/100</f>
        <v>0.14699999999999999</v>
      </c>
      <c r="F608" s="487">
        <f>F593</f>
        <v>440</v>
      </c>
      <c r="G608" s="425">
        <f>ROUND(E608*F608,2)</f>
        <v>64.680000000000007</v>
      </c>
      <c r="H608" s="412">
        <f t="shared" si="14"/>
        <v>64.680000000000007</v>
      </c>
      <c r="I608" s="412">
        <f t="shared" si="14"/>
        <v>64.680000000000007</v>
      </c>
      <c r="J608" s="435"/>
      <c r="K608" s="435"/>
      <c r="L608" s="435"/>
    </row>
    <row r="609" spans="1:12" s="496" customFormat="1" hidden="1">
      <c r="A609" s="435"/>
      <c r="B609" s="435"/>
      <c r="C609" s="435" t="s">
        <v>268</v>
      </c>
      <c r="D609" s="420" t="s">
        <v>119</v>
      </c>
      <c r="E609" s="495">
        <v>0.32</v>
      </c>
      <c r="F609" s="487">
        <f>F569</f>
        <v>400</v>
      </c>
      <c r="G609" s="425">
        <f>ROUND(E609*F609,2)</f>
        <v>128</v>
      </c>
      <c r="H609" s="412">
        <f t="shared" si="14"/>
        <v>128</v>
      </c>
      <c r="I609" s="412">
        <f t="shared" si="14"/>
        <v>128</v>
      </c>
      <c r="J609" s="435"/>
      <c r="K609" s="435"/>
      <c r="L609" s="435"/>
    </row>
    <row r="610" spans="1:12" ht="13.5" hidden="1" customHeight="1">
      <c r="A610" s="423"/>
      <c r="B610" s="421"/>
      <c r="C610" s="424" t="s">
        <v>615</v>
      </c>
      <c r="D610" s="427"/>
      <c r="E610" s="415"/>
      <c r="F610" s="422"/>
      <c r="G610" s="442"/>
      <c r="H610" s="442">
        <f>SUM(H607:H609)*10/100</f>
        <v>22.733000000000001</v>
      </c>
      <c r="I610" s="442">
        <f>SUM(I607:I609)*20/100</f>
        <v>45.466000000000001</v>
      </c>
      <c r="J610" s="409"/>
      <c r="K610" s="409"/>
      <c r="L610" s="409"/>
    </row>
    <row r="611" spans="1:12" ht="13.5" hidden="1" customHeight="1">
      <c r="A611" s="423"/>
      <c r="B611" s="421"/>
      <c r="C611" s="424" t="s">
        <v>592</v>
      </c>
      <c r="D611" s="427">
        <f>D587</f>
        <v>0</v>
      </c>
      <c r="E611" s="415"/>
      <c r="F611" s="422"/>
      <c r="G611" s="442">
        <f>D611*SUM(G607:G609)</f>
        <v>0</v>
      </c>
      <c r="H611" s="442">
        <f>D611*SUM(H607:H610)</f>
        <v>0</v>
      </c>
      <c r="I611" s="442">
        <f>D611*SUM(I607:I610)</f>
        <v>0</v>
      </c>
      <c r="J611" s="409"/>
      <c r="K611" s="409"/>
      <c r="L611" s="409"/>
    </row>
    <row r="612" spans="1:12" s="496" customFormat="1" ht="13.5" hidden="1" customHeight="1">
      <c r="A612" s="435"/>
      <c r="B612" s="435"/>
      <c r="C612" s="435" t="s">
        <v>436</v>
      </c>
      <c r="D612" s="420"/>
      <c r="E612" s="487"/>
      <c r="F612" s="420"/>
      <c r="G612" s="442">
        <f>SUM(G607:G611)*1/100</f>
        <v>2.2733000000000003</v>
      </c>
      <c r="H612" s="442">
        <f>SUM(H607:H611)*1/100</f>
        <v>2.5006300000000001</v>
      </c>
      <c r="I612" s="442">
        <f>SUM(I607:I611)*1/100</f>
        <v>2.7279599999999999</v>
      </c>
      <c r="J612" s="435"/>
      <c r="K612" s="435"/>
      <c r="L612" s="435"/>
    </row>
    <row r="613" spans="1:12" s="496" customFormat="1" hidden="1">
      <c r="A613" s="435"/>
      <c r="B613" s="435"/>
      <c r="C613" s="435" t="s">
        <v>132</v>
      </c>
      <c r="D613" s="420"/>
      <c r="E613" s="487"/>
      <c r="F613" s="420"/>
      <c r="G613" s="487">
        <f>SUM(G604:G612)</f>
        <v>283.60330000000005</v>
      </c>
      <c r="H613" s="487">
        <f>SUM(H604:H612)</f>
        <v>306.56363000000005</v>
      </c>
      <c r="I613" s="487">
        <f>SUM(I604:I612)</f>
        <v>329.52396000000005</v>
      </c>
      <c r="J613" s="435"/>
      <c r="K613" s="435"/>
      <c r="L613" s="435"/>
    </row>
    <row r="614" spans="1:12" s="496" customFormat="1" hidden="1">
      <c r="A614" s="435"/>
      <c r="B614" s="435"/>
      <c r="C614" s="435" t="s">
        <v>132</v>
      </c>
      <c r="D614" s="420"/>
      <c r="E614" s="487"/>
      <c r="F614" s="420"/>
      <c r="G614" s="487">
        <f>G613/10</f>
        <v>28.360330000000005</v>
      </c>
      <c r="H614" s="487">
        <f>H613/10</f>
        <v>30.656363000000006</v>
      </c>
      <c r="I614" s="487">
        <f>I613/10</f>
        <v>32.952396000000007</v>
      </c>
      <c r="J614" s="435"/>
      <c r="K614" s="435"/>
      <c r="L614" s="435"/>
    </row>
    <row r="615" spans="1:12" s="496" customFormat="1" ht="26" hidden="1">
      <c r="A615" s="435"/>
      <c r="B615" s="435"/>
      <c r="C615" s="424" t="s">
        <v>578</v>
      </c>
      <c r="D615" s="420"/>
      <c r="E615" s="487"/>
      <c r="F615" s="420"/>
      <c r="G615" s="422">
        <f>G614*13.615/100</f>
        <v>3.8612589295000008</v>
      </c>
      <c r="H615" s="422">
        <f>H614*13.615/100</f>
        <v>4.1738638224500013</v>
      </c>
      <c r="I615" s="422">
        <f>I614*13.615/100</f>
        <v>4.4864687154000009</v>
      </c>
      <c r="J615" s="435"/>
      <c r="K615" s="435"/>
      <c r="L615" s="435"/>
    </row>
    <row r="616" spans="1:12" s="496" customFormat="1" ht="15.5" hidden="1">
      <c r="A616" s="435"/>
      <c r="B616" s="435"/>
      <c r="C616" s="435"/>
      <c r="D616" s="420"/>
      <c r="E616" s="487"/>
      <c r="F616" s="420"/>
      <c r="G616" s="422">
        <f>SUM(G614:G615)</f>
        <v>32.221588929500008</v>
      </c>
      <c r="H616" s="422">
        <f>SUM(H614:H615)</f>
        <v>34.830226822450008</v>
      </c>
      <c r="I616" s="422">
        <f>SUM(I614:I615)</f>
        <v>37.438864715400008</v>
      </c>
      <c r="J616" s="435"/>
      <c r="K616" s="435"/>
      <c r="L616" s="435"/>
    </row>
    <row r="617" spans="1:12" s="496" customFormat="1" ht="67.5" hidden="1" customHeight="1">
      <c r="A617" s="435" t="s">
        <v>105</v>
      </c>
      <c r="B617" s="435"/>
      <c r="C617" s="2219" t="s">
        <v>459</v>
      </c>
      <c r="D617" s="2219"/>
      <c r="E617" s="2219"/>
      <c r="F617" s="2219"/>
      <c r="G617" s="420"/>
      <c r="H617" s="435"/>
      <c r="I617" s="435"/>
      <c r="J617" s="435"/>
      <c r="K617" s="435"/>
      <c r="L617" s="435"/>
    </row>
    <row r="618" spans="1:12" s="496" customFormat="1" hidden="1">
      <c r="A618" s="435"/>
      <c r="B618" s="435"/>
      <c r="C618" s="435" t="s">
        <v>129</v>
      </c>
      <c r="D618" s="420"/>
      <c r="E618" s="487"/>
      <c r="F618" s="420"/>
      <c r="G618" s="420"/>
      <c r="H618" s="435"/>
      <c r="I618" s="435"/>
      <c r="J618" s="435"/>
      <c r="K618" s="435"/>
      <c r="L618" s="435"/>
    </row>
    <row r="619" spans="1:12" s="496" customFormat="1" hidden="1">
      <c r="A619" s="435"/>
      <c r="B619" s="435"/>
      <c r="C619" s="435" t="s">
        <v>130</v>
      </c>
      <c r="D619" s="420"/>
      <c r="E619" s="487"/>
      <c r="F619" s="420"/>
      <c r="G619" s="415" t="s">
        <v>613</v>
      </c>
      <c r="H619" s="415" t="s">
        <v>611</v>
      </c>
      <c r="I619" s="415" t="s">
        <v>614</v>
      </c>
      <c r="J619" s="435"/>
      <c r="K619" s="435"/>
      <c r="L619" s="435"/>
    </row>
    <row r="620" spans="1:12" s="496" customFormat="1" ht="25" hidden="1">
      <c r="A620" s="435"/>
      <c r="B620" s="435"/>
      <c r="C620" s="435" t="s">
        <v>431</v>
      </c>
      <c r="D620" s="420" t="s">
        <v>135</v>
      </c>
      <c r="E620" s="487">
        <v>1.2</v>
      </c>
      <c r="F620" s="487">
        <f>F604</f>
        <v>27</v>
      </c>
      <c r="G620" s="425">
        <f>ROUND(E620*F620,2)</f>
        <v>32.4</v>
      </c>
      <c r="H620" s="412">
        <f>G620</f>
        <v>32.4</v>
      </c>
      <c r="I620" s="412">
        <f>H620</f>
        <v>32.4</v>
      </c>
      <c r="J620" s="435"/>
      <c r="K620" s="435"/>
      <c r="L620" s="435"/>
    </row>
    <row r="621" spans="1:12" s="496" customFormat="1" ht="37.5" hidden="1" customHeight="1">
      <c r="A621" s="435"/>
      <c r="B621" s="435"/>
      <c r="C621" s="435" t="s">
        <v>432</v>
      </c>
      <c r="D621" s="420"/>
      <c r="E621" s="420" t="s">
        <v>433</v>
      </c>
      <c r="F621" s="420"/>
      <c r="G621" s="487"/>
      <c r="H621" s="412"/>
      <c r="I621" s="412"/>
      <c r="J621" s="435"/>
      <c r="K621" s="435"/>
      <c r="L621" s="435"/>
    </row>
    <row r="622" spans="1:12" s="496" customFormat="1" hidden="1">
      <c r="A622" s="435"/>
      <c r="B622" s="435"/>
      <c r="C622" s="435" t="s">
        <v>128</v>
      </c>
      <c r="D622" s="420" t="s">
        <v>119</v>
      </c>
      <c r="E622" s="487">
        <v>0.11</v>
      </c>
      <c r="F622" s="420"/>
      <c r="G622" s="487"/>
      <c r="H622" s="412"/>
      <c r="I622" s="412"/>
      <c r="J622" s="435"/>
      <c r="K622" s="435"/>
      <c r="L622" s="435"/>
    </row>
    <row r="623" spans="1:12" s="496" customFormat="1" ht="12.75" hidden="1" customHeight="1">
      <c r="A623" s="435"/>
      <c r="B623" s="435"/>
      <c r="C623" s="435" t="s">
        <v>434</v>
      </c>
      <c r="D623" s="420" t="s">
        <v>119</v>
      </c>
      <c r="E623" s="495">
        <f>E622*30/100</f>
        <v>3.3000000000000002E-2</v>
      </c>
      <c r="F623" s="487">
        <f>F607</f>
        <v>550</v>
      </c>
      <c r="G623" s="425">
        <f>ROUND(E623*F623,2)</f>
        <v>18.149999999999999</v>
      </c>
      <c r="H623" s="412">
        <f t="shared" ref="H623:I625" si="15">G623</f>
        <v>18.149999999999999</v>
      </c>
      <c r="I623" s="412">
        <f t="shared" si="15"/>
        <v>18.149999999999999</v>
      </c>
      <c r="J623" s="435"/>
      <c r="K623" s="435"/>
      <c r="L623" s="435"/>
    </row>
    <row r="624" spans="1:12" s="496" customFormat="1" ht="12.75" hidden="1" customHeight="1">
      <c r="A624" s="435"/>
      <c r="B624" s="435"/>
      <c r="C624" s="435" t="s">
        <v>435</v>
      </c>
      <c r="D624" s="420" t="s">
        <v>119</v>
      </c>
      <c r="E624" s="495">
        <f>E622*70/100</f>
        <v>7.6999999999999999E-2</v>
      </c>
      <c r="F624" s="487">
        <f>F608</f>
        <v>440</v>
      </c>
      <c r="G624" s="425">
        <f>ROUND(E624*F624,2)</f>
        <v>33.880000000000003</v>
      </c>
      <c r="H624" s="412">
        <f t="shared" si="15"/>
        <v>33.880000000000003</v>
      </c>
      <c r="I624" s="412">
        <f t="shared" si="15"/>
        <v>33.880000000000003</v>
      </c>
      <c r="J624" s="435"/>
      <c r="K624" s="435"/>
      <c r="L624" s="435"/>
    </row>
    <row r="625" spans="1:14" s="496" customFormat="1" hidden="1">
      <c r="A625" s="435"/>
      <c r="B625" s="435"/>
      <c r="C625" s="435" t="s">
        <v>268</v>
      </c>
      <c r="D625" s="420" t="s">
        <v>119</v>
      </c>
      <c r="E625" s="495">
        <v>0.22</v>
      </c>
      <c r="F625" s="487">
        <f>F609</f>
        <v>400</v>
      </c>
      <c r="G625" s="425">
        <f>ROUND(E625*F625,2)</f>
        <v>88</v>
      </c>
      <c r="H625" s="412">
        <f t="shared" si="15"/>
        <v>88</v>
      </c>
      <c r="I625" s="412">
        <f t="shared" si="15"/>
        <v>88</v>
      </c>
      <c r="J625" s="435"/>
      <c r="K625" s="435"/>
      <c r="L625" s="435"/>
    </row>
    <row r="626" spans="1:14" ht="13.5" hidden="1" customHeight="1">
      <c r="A626" s="423"/>
      <c r="B626" s="421"/>
      <c r="C626" s="424" t="s">
        <v>615</v>
      </c>
      <c r="D626" s="427"/>
      <c r="E626" s="415"/>
      <c r="F626" s="422"/>
      <c r="G626" s="442"/>
      <c r="H626" s="442">
        <f>SUM(H623:H625)*10/100</f>
        <v>14.003</v>
      </c>
      <c r="I626" s="442">
        <f>SUM(I623:I625)*20/100</f>
        <v>28.006</v>
      </c>
      <c r="J626" s="409"/>
      <c r="K626" s="409"/>
      <c r="L626" s="409"/>
    </row>
    <row r="627" spans="1:14" ht="13.5" hidden="1" customHeight="1">
      <c r="A627" s="423"/>
      <c r="B627" s="421"/>
      <c r="C627" s="424" t="s">
        <v>592</v>
      </c>
      <c r="D627" s="427">
        <f>D611</f>
        <v>0</v>
      </c>
      <c r="E627" s="415"/>
      <c r="F627" s="422"/>
      <c r="G627" s="442">
        <f>D627*SUM(G623:G625)</f>
        <v>0</v>
      </c>
      <c r="H627" s="442">
        <f>D627*SUM(H623:H626)</f>
        <v>0</v>
      </c>
      <c r="I627" s="442">
        <f>D627*SUM(I623:I626)</f>
        <v>0</v>
      </c>
      <c r="J627" s="409"/>
      <c r="K627" s="409"/>
      <c r="L627" s="409"/>
    </row>
    <row r="628" spans="1:14" s="496" customFormat="1" hidden="1">
      <c r="A628" s="435"/>
      <c r="B628" s="435"/>
      <c r="C628" s="435" t="s">
        <v>552</v>
      </c>
      <c r="D628" s="420"/>
      <c r="E628" s="487"/>
      <c r="F628" s="420"/>
      <c r="G628" s="442">
        <f>SUM(G623:G627)*0.5/100</f>
        <v>0.70015000000000005</v>
      </c>
      <c r="H628" s="442">
        <f>SUM(H623:H627)*0.5/100</f>
        <v>0.7701650000000001</v>
      </c>
      <c r="I628" s="442">
        <f>SUM(I623:I627)*0.5/100</f>
        <v>0.84018000000000004</v>
      </c>
      <c r="J628" s="435"/>
      <c r="K628" s="435"/>
      <c r="L628" s="435"/>
    </row>
    <row r="629" spans="1:14" s="496" customFormat="1" hidden="1">
      <c r="A629" s="435"/>
      <c r="B629" s="435"/>
      <c r="C629" s="435" t="s">
        <v>132</v>
      </c>
      <c r="D629" s="420"/>
      <c r="E629" s="487"/>
      <c r="F629" s="420"/>
      <c r="G629" s="487">
        <f>SUM(G620:G628)</f>
        <v>173.13015000000001</v>
      </c>
      <c r="H629" s="487">
        <f>SUM(H620:H628)</f>
        <v>187.20316499999998</v>
      </c>
      <c r="I629" s="487">
        <f>SUM(I620:I628)</f>
        <v>201.27618000000001</v>
      </c>
      <c r="J629" s="435"/>
      <c r="K629" s="435"/>
      <c r="L629" s="435"/>
    </row>
    <row r="630" spans="1:14" s="496" customFormat="1" hidden="1">
      <c r="A630" s="435"/>
      <c r="B630" s="435"/>
      <c r="C630" s="435" t="s">
        <v>39</v>
      </c>
      <c r="D630" s="420"/>
      <c r="E630" s="487"/>
      <c r="F630" s="420"/>
      <c r="G630" s="487">
        <f>G629/10</f>
        <v>17.313015</v>
      </c>
      <c r="H630" s="487">
        <f>H629/10</f>
        <v>18.720316499999999</v>
      </c>
      <c r="I630" s="487">
        <f>I629/10</f>
        <v>20.127618000000002</v>
      </c>
      <c r="J630" s="435"/>
      <c r="K630" s="435"/>
      <c r="L630" s="435"/>
    </row>
    <row r="631" spans="1:14" ht="30.75" hidden="1" customHeight="1">
      <c r="A631" s="409"/>
      <c r="B631" s="409"/>
      <c r="C631" s="435" t="s">
        <v>578</v>
      </c>
      <c r="D631" s="435"/>
      <c r="E631" s="435"/>
      <c r="F631" s="435"/>
      <c r="G631" s="422">
        <f>G630*13.615/100</f>
        <v>2.3571669922500003</v>
      </c>
      <c r="H631" s="422">
        <f>H630*13.615/100</f>
        <v>2.5487710914749999</v>
      </c>
      <c r="I631" s="422">
        <f>I630*13.615/100</f>
        <v>2.7403751907000005</v>
      </c>
      <c r="J631" s="409"/>
      <c r="K631" s="409"/>
      <c r="L631" s="409"/>
    </row>
    <row r="632" spans="1:14" ht="15.5" hidden="1">
      <c r="A632" s="409"/>
      <c r="B632" s="409"/>
      <c r="C632" s="448"/>
      <c r="D632" s="448"/>
      <c r="E632" s="448"/>
      <c r="F632" s="448"/>
      <c r="G632" s="422">
        <f>SUM(G630:G631)</f>
        <v>19.670181992250001</v>
      </c>
      <c r="H632" s="422">
        <f>SUM(H630:H631)</f>
        <v>21.269087591474999</v>
      </c>
      <c r="I632" s="422">
        <f>SUM(I630:I631)</f>
        <v>22.867993190700002</v>
      </c>
      <c r="J632" s="409"/>
      <c r="K632" s="409"/>
      <c r="L632" s="409"/>
    </row>
    <row r="633" spans="1:14" ht="82.5" hidden="1" customHeight="1">
      <c r="A633" s="411" t="s">
        <v>107</v>
      </c>
      <c r="B633" s="411">
        <v>32</v>
      </c>
      <c r="C633" s="2219" t="s">
        <v>396</v>
      </c>
      <c r="D633" s="2219"/>
      <c r="E633" s="2219"/>
      <c r="F633" s="2219"/>
      <c r="G633" s="409"/>
      <c r="H633" s="409"/>
      <c r="I633" s="409"/>
      <c r="J633" s="409"/>
      <c r="K633" s="409"/>
      <c r="L633" s="409"/>
      <c r="M633" s="504"/>
      <c r="N633" s="505"/>
    </row>
    <row r="634" spans="1:14" hidden="1">
      <c r="A634" s="411"/>
      <c r="B634" s="417"/>
      <c r="C634" s="450" t="s">
        <v>383</v>
      </c>
      <c r="D634" s="506"/>
      <c r="E634" s="506"/>
      <c r="F634" s="506"/>
      <c r="G634" s="415" t="s">
        <v>613</v>
      </c>
      <c r="H634" s="415" t="s">
        <v>611</v>
      </c>
      <c r="I634" s="415" t="s">
        <v>614</v>
      </c>
      <c r="J634" s="409"/>
      <c r="K634" s="409"/>
      <c r="L634" s="409"/>
      <c r="M634" s="504"/>
      <c r="N634" s="505"/>
    </row>
    <row r="635" spans="1:14" hidden="1">
      <c r="A635" s="423"/>
      <c r="B635" s="417"/>
      <c r="C635" s="450" t="s">
        <v>357</v>
      </c>
      <c r="D635" s="506" t="s">
        <v>131</v>
      </c>
      <c r="E635" s="426">
        <v>1</v>
      </c>
      <c r="F635" s="426">
        <v>141</v>
      </c>
      <c r="G635" s="487">
        <f>E635*F635</f>
        <v>141</v>
      </c>
      <c r="H635" s="434">
        <f t="shared" ref="H635:I637" si="16">G635</f>
        <v>141</v>
      </c>
      <c r="I635" s="434">
        <f t="shared" si="16"/>
        <v>141</v>
      </c>
      <c r="J635" s="409"/>
      <c r="K635" s="409"/>
      <c r="L635" s="409"/>
      <c r="M635" s="504"/>
      <c r="N635" s="505"/>
    </row>
    <row r="636" spans="1:14" hidden="1">
      <c r="A636" s="423"/>
      <c r="B636" s="417"/>
      <c r="C636" s="450" t="s">
        <v>362</v>
      </c>
      <c r="D636" s="417" t="s">
        <v>119</v>
      </c>
      <c r="E636" s="426">
        <v>0.21</v>
      </c>
      <c r="F636" s="426">
        <f>F623</f>
        <v>550</v>
      </c>
      <c r="G636" s="487">
        <f>E636*F636</f>
        <v>115.5</v>
      </c>
      <c r="H636" s="434">
        <f t="shared" si="16"/>
        <v>115.5</v>
      </c>
      <c r="I636" s="434">
        <f t="shared" si="16"/>
        <v>115.5</v>
      </c>
      <c r="J636" s="409"/>
      <c r="K636" s="409"/>
      <c r="L636" s="409"/>
      <c r="M636" s="504"/>
      <c r="N636" s="505"/>
    </row>
    <row r="637" spans="1:14" hidden="1">
      <c r="A637" s="423"/>
      <c r="B637" s="417"/>
      <c r="C637" s="450" t="s">
        <v>359</v>
      </c>
      <c r="D637" s="417" t="s">
        <v>119</v>
      </c>
      <c r="E637" s="426">
        <v>0.49</v>
      </c>
      <c r="F637" s="426">
        <f>F624</f>
        <v>440</v>
      </c>
      <c r="G637" s="487">
        <f>E637*F637</f>
        <v>215.6</v>
      </c>
      <c r="H637" s="434">
        <f t="shared" si="16"/>
        <v>215.6</v>
      </c>
      <c r="I637" s="434">
        <f t="shared" si="16"/>
        <v>215.6</v>
      </c>
      <c r="J637" s="409"/>
      <c r="K637" s="409"/>
      <c r="L637" s="409"/>
      <c r="M637" s="504"/>
      <c r="N637" s="505"/>
    </row>
    <row r="638" spans="1:14" ht="13.5" hidden="1" customHeight="1">
      <c r="A638" s="423"/>
      <c r="B638" s="421"/>
      <c r="C638" s="424" t="s">
        <v>615</v>
      </c>
      <c r="D638" s="427"/>
      <c r="E638" s="415"/>
      <c r="F638" s="422"/>
      <c r="G638" s="442"/>
      <c r="H638" s="442">
        <f>SUM(H636:H637)*10/100</f>
        <v>33.11</v>
      </c>
      <c r="I638" s="442">
        <f>SUM(I636:I637)*20/100</f>
        <v>66.22</v>
      </c>
      <c r="J638" s="409"/>
      <c r="K638" s="409"/>
      <c r="L638" s="409"/>
    </row>
    <row r="639" spans="1:14" ht="13.5" hidden="1" customHeight="1">
      <c r="A639" s="423"/>
      <c r="B639" s="421"/>
      <c r="C639" s="424" t="s">
        <v>592</v>
      </c>
      <c r="D639" s="427">
        <f>D627</f>
        <v>0</v>
      </c>
      <c r="E639" s="415"/>
      <c r="F639" s="422"/>
      <c r="G639" s="442">
        <f>D639*SUM(G636:G637)</f>
        <v>0</v>
      </c>
      <c r="H639" s="442">
        <f>D639*SUM(H636:H638)</f>
        <v>0</v>
      </c>
      <c r="I639" s="442">
        <f>D639*SUM(I636:I638)</f>
        <v>0</v>
      </c>
      <c r="J639" s="409"/>
      <c r="K639" s="409"/>
      <c r="L639" s="409"/>
    </row>
    <row r="640" spans="1:14" hidden="1">
      <c r="A640" s="507"/>
      <c r="B640" s="417"/>
      <c r="C640" s="450" t="s">
        <v>384</v>
      </c>
      <c r="D640" s="506" t="s">
        <v>131</v>
      </c>
      <c r="E640" s="426">
        <v>3.5</v>
      </c>
      <c r="F640" s="426">
        <v>46</v>
      </c>
      <c r="G640" s="487">
        <f>E640*F640</f>
        <v>161</v>
      </c>
      <c r="H640" s="434">
        <f t="shared" ref="H640:I643" si="17">G640</f>
        <v>161</v>
      </c>
      <c r="I640" s="434">
        <f t="shared" si="17"/>
        <v>161</v>
      </c>
      <c r="J640" s="409"/>
      <c r="K640" s="409"/>
      <c r="L640" s="409"/>
      <c r="M640" s="504"/>
      <c r="N640" s="505"/>
    </row>
    <row r="641" spans="1:17" hidden="1">
      <c r="A641" s="507"/>
      <c r="B641" s="417"/>
      <c r="C641" s="450" t="s">
        <v>358</v>
      </c>
      <c r="D641" s="417" t="s">
        <v>119</v>
      </c>
      <c r="E641" s="426">
        <v>0.15</v>
      </c>
      <c r="F641" s="426">
        <f>F636</f>
        <v>550</v>
      </c>
      <c r="G641" s="487">
        <f>E641*F641</f>
        <v>82.5</v>
      </c>
      <c r="H641" s="434">
        <f t="shared" si="17"/>
        <v>82.5</v>
      </c>
      <c r="I641" s="434">
        <f t="shared" si="17"/>
        <v>82.5</v>
      </c>
      <c r="J641" s="409"/>
      <c r="K641" s="409"/>
      <c r="L641" s="409"/>
      <c r="M641" s="504"/>
      <c r="N641" s="505"/>
    </row>
    <row r="642" spans="1:17" hidden="1">
      <c r="A642" s="507"/>
      <c r="B642" s="417"/>
      <c r="C642" s="450" t="s">
        <v>359</v>
      </c>
      <c r="D642" s="417" t="s">
        <v>119</v>
      </c>
      <c r="E642" s="426">
        <v>0.35</v>
      </c>
      <c r="F642" s="426">
        <f>F637</f>
        <v>440</v>
      </c>
      <c r="G642" s="487">
        <f>E642*F642</f>
        <v>154</v>
      </c>
      <c r="H642" s="434">
        <f t="shared" si="17"/>
        <v>154</v>
      </c>
      <c r="I642" s="434">
        <f t="shared" si="17"/>
        <v>154</v>
      </c>
      <c r="J642" s="409"/>
      <c r="K642" s="409"/>
      <c r="L642" s="409"/>
      <c r="M642" s="504"/>
      <c r="N642" s="505"/>
    </row>
    <row r="643" spans="1:17" hidden="1">
      <c r="A643" s="507"/>
      <c r="B643" s="417"/>
      <c r="C643" s="450" t="s">
        <v>268</v>
      </c>
      <c r="D643" s="417" t="s">
        <v>119</v>
      </c>
      <c r="E643" s="426">
        <v>1.5</v>
      </c>
      <c r="F643" s="426">
        <f>F625</f>
        <v>400</v>
      </c>
      <c r="G643" s="487">
        <f>E643*F643</f>
        <v>600</v>
      </c>
      <c r="H643" s="434">
        <f t="shared" si="17"/>
        <v>600</v>
      </c>
      <c r="I643" s="434">
        <f t="shared" si="17"/>
        <v>600</v>
      </c>
      <c r="J643" s="409"/>
      <c r="K643" s="409"/>
      <c r="L643" s="409"/>
      <c r="M643" s="504"/>
      <c r="N643" s="505"/>
    </row>
    <row r="644" spans="1:17" ht="13.5" hidden="1" customHeight="1">
      <c r="A644" s="423"/>
      <c r="B644" s="421"/>
      <c r="C644" s="424" t="s">
        <v>615</v>
      </c>
      <c r="D644" s="427"/>
      <c r="E644" s="415"/>
      <c r="F644" s="422"/>
      <c r="G644" s="442"/>
      <c r="H644" s="442">
        <f>SUM(H641:H643)*10/100</f>
        <v>83.65</v>
      </c>
      <c r="I644" s="442">
        <f>SUM(I641:I643)*20/100</f>
        <v>167.3</v>
      </c>
      <c r="J644" s="409"/>
      <c r="K644" s="409"/>
      <c r="L644" s="409"/>
    </row>
    <row r="645" spans="1:17" ht="13.5" hidden="1" customHeight="1">
      <c r="A645" s="423"/>
      <c r="B645" s="421"/>
      <c r="C645" s="424" t="s">
        <v>592</v>
      </c>
      <c r="D645" s="427">
        <f>D627</f>
        <v>0</v>
      </c>
      <c r="E645" s="415"/>
      <c r="F645" s="422"/>
      <c r="G645" s="442">
        <f>D645*SUM(G641:G643)</f>
        <v>0</v>
      </c>
      <c r="H645" s="442">
        <f>D645*SUM(H641:H644)</f>
        <v>0</v>
      </c>
      <c r="I645" s="442">
        <f>D645*SUM(I641:I644)</f>
        <v>0</v>
      </c>
      <c r="J645" s="409"/>
      <c r="K645" s="409"/>
      <c r="L645" s="409"/>
    </row>
    <row r="646" spans="1:17" hidden="1">
      <c r="A646" s="507"/>
      <c r="B646" s="417"/>
      <c r="C646" s="492" t="s">
        <v>423</v>
      </c>
      <c r="D646" s="508"/>
      <c r="E646" s="506"/>
      <c r="F646" s="508"/>
      <c r="G646" s="487">
        <f>SUM(G635:G645)</f>
        <v>1469.6</v>
      </c>
      <c r="H646" s="487">
        <f>SUM(H635:H645)</f>
        <v>1586.3600000000001</v>
      </c>
      <c r="I646" s="487">
        <f>SUM(I635:I645)</f>
        <v>1703.1200000000001</v>
      </c>
      <c r="J646" s="409"/>
      <c r="K646" s="409"/>
      <c r="L646" s="409"/>
      <c r="M646" s="504"/>
      <c r="N646" s="505"/>
    </row>
    <row r="647" spans="1:17" hidden="1">
      <c r="A647" s="409"/>
      <c r="B647" s="428"/>
      <c r="C647" s="450" t="s">
        <v>424</v>
      </c>
      <c r="D647" s="409"/>
      <c r="E647" s="409"/>
      <c r="F647" s="409"/>
      <c r="G647" s="487">
        <f>G646/10</f>
        <v>146.95999999999998</v>
      </c>
      <c r="H647" s="487">
        <f>H646/10</f>
        <v>158.63600000000002</v>
      </c>
      <c r="I647" s="487">
        <f>I646/10</f>
        <v>170.31200000000001</v>
      </c>
      <c r="J647" s="409"/>
      <c r="K647" s="409"/>
      <c r="L647" s="409"/>
      <c r="M647" s="504"/>
      <c r="N647" s="505"/>
    </row>
    <row r="648" spans="1:17" ht="30.75" hidden="1" customHeight="1">
      <c r="A648" s="409"/>
      <c r="B648" s="409"/>
      <c r="C648" s="435" t="s">
        <v>578</v>
      </c>
      <c r="D648" s="435"/>
      <c r="E648" s="435"/>
      <c r="F648" s="435"/>
      <c r="G648" s="487">
        <f>G647*13.615/100</f>
        <v>20.008603999999998</v>
      </c>
      <c r="H648" s="487">
        <f>H647*13.615/100</f>
        <v>21.598291400000004</v>
      </c>
      <c r="I648" s="487">
        <f>I647*13.615/100</f>
        <v>23.1879788</v>
      </c>
      <c r="J648" s="409"/>
      <c r="K648" s="409"/>
      <c r="L648" s="409"/>
    </row>
    <row r="649" spans="1:17" ht="15.5" hidden="1">
      <c r="A649" s="409"/>
      <c r="B649" s="409"/>
      <c r="C649" s="450" t="s">
        <v>424</v>
      </c>
      <c r="D649" s="448"/>
      <c r="E649" s="448"/>
      <c r="F649" s="448"/>
      <c r="G649" s="422">
        <f>SUM(G647:G648)</f>
        <v>166.96860399999997</v>
      </c>
      <c r="H649" s="422">
        <f>SUM(H647:H648)</f>
        <v>180.23429140000002</v>
      </c>
      <c r="I649" s="422">
        <f>SUM(I647:I648)</f>
        <v>193.49997880000001</v>
      </c>
      <c r="J649" s="409"/>
      <c r="K649" s="409"/>
      <c r="L649" s="409"/>
    </row>
    <row r="650" spans="1:17" ht="122.25" customHeight="1">
      <c r="A650" s="435" t="s">
        <v>356</v>
      </c>
      <c r="B650" s="435">
        <v>16</v>
      </c>
      <c r="C650" s="2219" t="s">
        <v>11</v>
      </c>
      <c r="D650" s="2219"/>
      <c r="E650" s="2219"/>
      <c r="F650" s="2219"/>
      <c r="G650" s="509"/>
      <c r="H650" s="509"/>
      <c r="I650" s="509"/>
      <c r="J650" s="509"/>
      <c r="K650" s="509"/>
      <c r="L650" s="509"/>
      <c r="M650" s="510"/>
      <c r="N650" s="511"/>
      <c r="O650" s="512"/>
      <c r="P650" s="512"/>
      <c r="Q650" s="512"/>
    </row>
    <row r="651" spans="1:17">
      <c r="A651" s="409"/>
      <c r="B651" s="409"/>
      <c r="C651" s="414" t="s">
        <v>129</v>
      </c>
      <c r="D651" s="416"/>
      <c r="E651" s="513"/>
      <c r="F651" s="416"/>
      <c r="G651" s="415" t="s">
        <v>613</v>
      </c>
      <c r="H651" s="415" t="s">
        <v>611</v>
      </c>
      <c r="I651" s="415" t="s">
        <v>614</v>
      </c>
      <c r="J651" s="409"/>
      <c r="K651" s="409"/>
      <c r="L651" s="409"/>
      <c r="M651" s="504"/>
      <c r="N651" s="505"/>
    </row>
    <row r="652" spans="1:17">
      <c r="A652" s="409"/>
      <c r="B652" s="409"/>
      <c r="C652" s="414" t="s">
        <v>357</v>
      </c>
      <c r="D652" s="414" t="s">
        <v>182</v>
      </c>
      <c r="E652" s="416">
        <v>1</v>
      </c>
      <c r="F652" s="416">
        <v>141</v>
      </c>
      <c r="G652" s="425">
        <f>ROUND(E652*F652,2)</f>
        <v>141</v>
      </c>
      <c r="H652" s="442">
        <f t="shared" ref="H652:I654" si="18">G652</f>
        <v>141</v>
      </c>
      <c r="I652" s="442">
        <f t="shared" si="18"/>
        <v>141</v>
      </c>
      <c r="J652" s="409"/>
      <c r="K652" s="409"/>
      <c r="L652" s="409"/>
      <c r="M652" s="504"/>
      <c r="N652" s="505"/>
    </row>
    <row r="653" spans="1:17">
      <c r="A653" s="409"/>
      <c r="B653" s="409"/>
      <c r="C653" s="416" t="s">
        <v>358</v>
      </c>
      <c r="D653" s="414" t="s">
        <v>119</v>
      </c>
      <c r="E653" s="513">
        <v>0.21</v>
      </c>
      <c r="F653" s="416">
        <f>F623</f>
        <v>550</v>
      </c>
      <c r="G653" s="425">
        <f>ROUND(E653*F653,2)</f>
        <v>115.5</v>
      </c>
      <c r="H653" s="442">
        <f t="shared" si="18"/>
        <v>115.5</v>
      </c>
      <c r="I653" s="442">
        <f t="shared" si="18"/>
        <v>115.5</v>
      </c>
      <c r="J653" s="409"/>
      <c r="K653" s="409"/>
      <c r="L653" s="409"/>
      <c r="M653" s="504"/>
      <c r="N653" s="505"/>
    </row>
    <row r="654" spans="1:17">
      <c r="A654" s="409"/>
      <c r="B654" s="409"/>
      <c r="C654" s="416" t="s">
        <v>359</v>
      </c>
      <c r="D654" s="414" t="s">
        <v>119</v>
      </c>
      <c r="E654" s="414">
        <v>0.49</v>
      </c>
      <c r="F654" s="416">
        <f>F624</f>
        <v>440</v>
      </c>
      <c r="G654" s="425">
        <f>ROUND(E654*F654,2)</f>
        <v>215.6</v>
      </c>
      <c r="H654" s="442">
        <f t="shared" si="18"/>
        <v>215.6</v>
      </c>
      <c r="I654" s="442">
        <f t="shared" si="18"/>
        <v>215.6</v>
      </c>
      <c r="J654" s="409"/>
      <c r="K654" s="409"/>
      <c r="L654" s="409"/>
      <c r="M654" s="504"/>
      <c r="N654" s="505"/>
    </row>
    <row r="655" spans="1:17" ht="13.5" customHeight="1">
      <c r="A655" s="423"/>
      <c r="B655" s="421"/>
      <c r="C655" s="424" t="s">
        <v>615</v>
      </c>
      <c r="D655" s="427"/>
      <c r="E655" s="415"/>
      <c r="F655" s="422"/>
      <c r="G655" s="442"/>
      <c r="H655" s="442">
        <f>SUM(H653:H654)*10/100</f>
        <v>33.11</v>
      </c>
      <c r="I655" s="442">
        <f>SUM(I653:I654)*20/100</f>
        <v>66.22</v>
      </c>
      <c r="J655" s="409"/>
      <c r="K655" s="409"/>
      <c r="L655" s="409"/>
    </row>
    <row r="656" spans="1:17" ht="15.5">
      <c r="A656" s="423"/>
      <c r="B656" s="421"/>
      <c r="C656" s="424" t="s">
        <v>592</v>
      </c>
      <c r="D656" s="427">
        <v>0</v>
      </c>
      <c r="E656" s="415"/>
      <c r="F656" s="422"/>
      <c r="G656" s="442">
        <f>D656*SUM(G653:G654)</f>
        <v>0</v>
      </c>
      <c r="H656" s="442">
        <f>D656*SUM(H653:H655)</f>
        <v>0</v>
      </c>
      <c r="I656" s="442">
        <f>D656*SUM(I653:I655)</f>
        <v>0</v>
      </c>
      <c r="J656" s="409"/>
      <c r="K656" s="409"/>
      <c r="L656" s="409"/>
    </row>
    <row r="657" spans="1:17" ht="13.5" customHeight="1">
      <c r="A657" s="409"/>
      <c r="B657" s="409"/>
      <c r="C657" s="514" t="s">
        <v>360</v>
      </c>
      <c r="D657" s="414"/>
      <c r="E657" s="414"/>
      <c r="F657" s="416"/>
      <c r="G657" s="442">
        <f>SUM(G653:G656)*0.5/100</f>
        <v>1.6555000000000002</v>
      </c>
      <c r="H657" s="442">
        <f>SUM(H653:H656)*0.5/100</f>
        <v>1.8210500000000003</v>
      </c>
      <c r="I657" s="442">
        <f>SUM(I653:I656)*0.5/100</f>
        <v>1.9866000000000001</v>
      </c>
      <c r="J657" s="409"/>
      <c r="K657" s="409"/>
      <c r="L657" s="409"/>
      <c r="M657" s="504"/>
      <c r="N657" s="505"/>
    </row>
    <row r="658" spans="1:17" ht="25">
      <c r="A658" s="409"/>
      <c r="B658" s="409"/>
      <c r="C658" s="416" t="s">
        <v>361</v>
      </c>
      <c r="D658" s="414" t="s">
        <v>182</v>
      </c>
      <c r="E658" s="515">
        <v>0.8</v>
      </c>
      <c r="F658" s="416">
        <v>249.6</v>
      </c>
      <c r="G658" s="425">
        <f>ROUND(E658*F658,2)</f>
        <v>199.68</v>
      </c>
      <c r="H658" s="442">
        <f t="shared" ref="H658:I660" si="19">G658</f>
        <v>199.68</v>
      </c>
      <c r="I658" s="442">
        <f t="shared" si="19"/>
        <v>199.68</v>
      </c>
      <c r="J658" s="409"/>
      <c r="K658" s="409"/>
      <c r="L658" s="409"/>
      <c r="M658" s="504"/>
      <c r="N658" s="505"/>
    </row>
    <row r="659" spans="1:17">
      <c r="A659" s="409"/>
      <c r="B659" s="409"/>
      <c r="C659" s="414" t="s">
        <v>362</v>
      </c>
      <c r="D659" s="414" t="s">
        <v>119</v>
      </c>
      <c r="E659" s="513">
        <v>0.36</v>
      </c>
      <c r="F659" s="416">
        <f>F653</f>
        <v>550</v>
      </c>
      <c r="G659" s="425">
        <f>ROUND(E659*F659,2)</f>
        <v>198</v>
      </c>
      <c r="H659" s="442">
        <f t="shared" si="19"/>
        <v>198</v>
      </c>
      <c r="I659" s="442">
        <f t="shared" si="19"/>
        <v>198</v>
      </c>
      <c r="J659" s="409"/>
      <c r="K659" s="409"/>
      <c r="L659" s="409"/>
      <c r="M659" s="504"/>
      <c r="N659" s="505"/>
    </row>
    <row r="660" spans="1:17">
      <c r="A660" s="409"/>
      <c r="B660" s="409"/>
      <c r="C660" s="416" t="s">
        <v>359</v>
      </c>
      <c r="D660" s="414" t="s">
        <v>119</v>
      </c>
      <c r="E660" s="414">
        <v>0.84</v>
      </c>
      <c r="F660" s="416">
        <f>F654</f>
        <v>440</v>
      </c>
      <c r="G660" s="425">
        <f>ROUND(E660*F660,2)</f>
        <v>369.6</v>
      </c>
      <c r="H660" s="442">
        <f t="shared" si="19"/>
        <v>369.6</v>
      </c>
      <c r="I660" s="442">
        <f t="shared" si="19"/>
        <v>369.6</v>
      </c>
      <c r="J660" s="409"/>
      <c r="K660" s="409"/>
      <c r="L660" s="409"/>
      <c r="M660" s="504"/>
      <c r="N660" s="505"/>
    </row>
    <row r="661" spans="1:17" ht="13.5" customHeight="1">
      <c r="A661" s="423"/>
      <c r="B661" s="421"/>
      <c r="C661" s="424" t="s">
        <v>615</v>
      </c>
      <c r="D661" s="427"/>
      <c r="E661" s="415"/>
      <c r="F661" s="422"/>
      <c r="G661" s="442"/>
      <c r="H661" s="442">
        <f>SUM(H659:H660)*10/100</f>
        <v>56.76</v>
      </c>
      <c r="I661" s="442">
        <f>SUM(I659:I660)*20/100</f>
        <v>113.52</v>
      </c>
      <c r="J661" s="409"/>
      <c r="K661" s="409"/>
      <c r="L661" s="409"/>
    </row>
    <row r="662" spans="1:17" ht="13.5" customHeight="1">
      <c r="A662" s="423"/>
      <c r="B662" s="421"/>
      <c r="C662" s="424" t="s">
        <v>592</v>
      </c>
      <c r="D662" s="427">
        <v>0</v>
      </c>
      <c r="E662" s="415"/>
      <c r="F662" s="422"/>
      <c r="G662" s="442">
        <f>D662*SUM(G659:G660)</f>
        <v>0</v>
      </c>
      <c r="H662" s="442">
        <f>D662*SUM(H659:H661)</f>
        <v>0</v>
      </c>
      <c r="I662" s="442">
        <f>D662*SUM(I659:I661)</f>
        <v>0</v>
      </c>
      <c r="J662" s="409"/>
      <c r="K662" s="409"/>
      <c r="L662" s="409"/>
    </row>
    <row r="663" spans="1:17">
      <c r="A663" s="409"/>
      <c r="B663" s="409"/>
      <c r="C663" s="424" t="s">
        <v>134</v>
      </c>
      <c r="D663" s="414"/>
      <c r="E663" s="516"/>
      <c r="F663" s="416"/>
      <c r="G663" s="425">
        <f>SUM(G652:G662)</f>
        <v>1241.0355</v>
      </c>
      <c r="H663" s="425">
        <f>SUM(H652:H662)</f>
        <v>1331.0710500000002</v>
      </c>
      <c r="I663" s="425">
        <f>SUM(I652:I662)</f>
        <v>1421.1066000000001</v>
      </c>
      <c r="J663" s="409"/>
      <c r="K663" s="409"/>
      <c r="L663" s="409"/>
      <c r="M663" s="504"/>
      <c r="N663" s="505"/>
    </row>
    <row r="664" spans="1:17" ht="15.5">
      <c r="A664" s="409"/>
      <c r="B664" s="409"/>
      <c r="C664" s="424" t="s">
        <v>421</v>
      </c>
      <c r="D664" s="409"/>
      <c r="E664" s="414"/>
      <c r="F664" s="414"/>
      <c r="G664" s="517">
        <f>G663/10</f>
        <v>124.10355</v>
      </c>
      <c r="H664" s="517">
        <f>H663/10</f>
        <v>133.10710500000002</v>
      </c>
      <c r="I664" s="517">
        <f>I663/10</f>
        <v>142.11066</v>
      </c>
      <c r="J664" s="409"/>
      <c r="K664" s="409"/>
      <c r="L664" s="409"/>
      <c r="M664" s="504"/>
      <c r="N664" s="505"/>
    </row>
    <row r="665" spans="1:17" ht="30.75" customHeight="1">
      <c r="A665" s="409"/>
      <c r="B665" s="409"/>
      <c r="C665" s="435" t="s">
        <v>578</v>
      </c>
      <c r="D665" s="435"/>
      <c r="E665" s="435"/>
      <c r="F665" s="435"/>
      <c r="G665" s="422">
        <f>G664*13.615/100*0</f>
        <v>0</v>
      </c>
      <c r="H665" s="422">
        <f>H664*13.615/100*0</f>
        <v>0</v>
      </c>
      <c r="I665" s="422">
        <f>I664*13.615/100</f>
        <v>19.348366359</v>
      </c>
      <c r="J665" s="409"/>
      <c r="K665" s="409"/>
      <c r="L665" s="409"/>
    </row>
    <row r="666" spans="1:17" ht="15.5">
      <c r="A666" s="409"/>
      <c r="B666" s="409"/>
      <c r="C666" s="424" t="s">
        <v>421</v>
      </c>
      <c r="D666" s="448"/>
      <c r="E666" s="448"/>
      <c r="F666" s="448"/>
      <c r="G666" s="422">
        <f>SUM(G664:G665)</f>
        <v>124.10355</v>
      </c>
      <c r="H666" s="422">
        <f>SUM(H664:H665)</f>
        <v>133.10710500000002</v>
      </c>
      <c r="I666" s="422">
        <f>SUM(I664:I665)</f>
        <v>161.45902635900001</v>
      </c>
      <c r="J666" s="409"/>
      <c r="K666" s="409"/>
      <c r="L666" s="409"/>
    </row>
    <row r="667" spans="1:17" ht="121.5" hidden="1" customHeight="1">
      <c r="A667" s="435" t="s">
        <v>622</v>
      </c>
      <c r="B667" s="435">
        <v>16</v>
      </c>
      <c r="C667" s="2219" t="s">
        <v>621</v>
      </c>
      <c r="D667" s="2219"/>
      <c r="E667" s="2219"/>
      <c r="F667" s="2219"/>
      <c r="G667" s="509"/>
      <c r="H667" s="509"/>
      <c r="I667" s="509"/>
      <c r="J667" s="509"/>
      <c r="K667" s="509"/>
      <c r="L667" s="509"/>
      <c r="M667" s="518"/>
      <c r="N667" s="511"/>
      <c r="O667" s="512"/>
      <c r="P667" s="512"/>
      <c r="Q667" s="512"/>
    </row>
    <row r="668" spans="1:17" hidden="1">
      <c r="A668" s="409"/>
      <c r="B668" s="409"/>
      <c r="C668" s="414" t="s">
        <v>129</v>
      </c>
      <c r="D668" s="416"/>
      <c r="E668" s="513"/>
      <c r="F668" s="416"/>
      <c r="G668" s="415" t="s">
        <v>613</v>
      </c>
      <c r="H668" s="415" t="s">
        <v>611</v>
      </c>
      <c r="I668" s="415" t="s">
        <v>614</v>
      </c>
      <c r="J668" s="409"/>
      <c r="K668" s="409"/>
      <c r="L668" s="409"/>
      <c r="M668" s="504"/>
      <c r="N668" s="505"/>
    </row>
    <row r="669" spans="1:17" hidden="1">
      <c r="A669" s="409"/>
      <c r="B669" s="409"/>
      <c r="C669" s="414" t="s">
        <v>357</v>
      </c>
      <c r="D669" s="414" t="s">
        <v>182</v>
      </c>
      <c r="E669" s="416">
        <v>1</v>
      </c>
      <c r="F669" s="416">
        <v>180</v>
      </c>
      <c r="G669" s="425">
        <f>ROUND(E669*F669,2)</f>
        <v>180</v>
      </c>
      <c r="H669" s="442">
        <f t="shared" ref="H669:I671" si="20">G669</f>
        <v>180</v>
      </c>
      <c r="I669" s="442">
        <f t="shared" si="20"/>
        <v>180</v>
      </c>
      <c r="J669" s="409"/>
      <c r="K669" s="409"/>
      <c r="L669" s="409"/>
      <c r="M669" s="504"/>
      <c r="N669" s="505"/>
    </row>
    <row r="670" spans="1:17" hidden="1">
      <c r="A670" s="409"/>
      <c r="B670" s="409"/>
      <c r="C670" s="416" t="s">
        <v>358</v>
      </c>
      <c r="D670" s="414" t="s">
        <v>119</v>
      </c>
      <c r="E670" s="513">
        <v>0.21</v>
      </c>
      <c r="F670" s="416">
        <f>F653</f>
        <v>550</v>
      </c>
      <c r="G670" s="425">
        <f>ROUND(E670*F670,2)</f>
        <v>115.5</v>
      </c>
      <c r="H670" s="442">
        <f t="shared" si="20"/>
        <v>115.5</v>
      </c>
      <c r="I670" s="442">
        <f t="shared" si="20"/>
        <v>115.5</v>
      </c>
      <c r="J670" s="409"/>
      <c r="K670" s="409"/>
      <c r="L670" s="409"/>
      <c r="M670" s="504"/>
      <c r="N670" s="505"/>
    </row>
    <row r="671" spans="1:17" hidden="1">
      <c r="A671" s="409"/>
      <c r="B671" s="409"/>
      <c r="C671" s="416" t="s">
        <v>359</v>
      </c>
      <c r="D671" s="414" t="s">
        <v>119</v>
      </c>
      <c r="E671" s="414">
        <v>0.49</v>
      </c>
      <c r="F671" s="416">
        <f>F654</f>
        <v>440</v>
      </c>
      <c r="G671" s="425">
        <f>ROUND(E671*F671,2)</f>
        <v>215.6</v>
      </c>
      <c r="H671" s="442">
        <f t="shared" si="20"/>
        <v>215.6</v>
      </c>
      <c r="I671" s="442">
        <f t="shared" si="20"/>
        <v>215.6</v>
      </c>
      <c r="J671" s="409"/>
      <c r="K671" s="409"/>
      <c r="L671" s="409"/>
      <c r="M671" s="504"/>
      <c r="N671" s="505"/>
    </row>
    <row r="672" spans="1:17" ht="13.5" hidden="1" customHeight="1">
      <c r="A672" s="423"/>
      <c r="B672" s="421"/>
      <c r="C672" s="424" t="s">
        <v>615</v>
      </c>
      <c r="D672" s="427"/>
      <c r="E672" s="415"/>
      <c r="F672" s="422"/>
      <c r="G672" s="442"/>
      <c r="H672" s="442">
        <f>SUM(H670:H671)*10/100</f>
        <v>33.11</v>
      </c>
      <c r="I672" s="442">
        <f>SUM(I670:I671)*20/100</f>
        <v>66.22</v>
      </c>
      <c r="J672" s="409"/>
      <c r="K672" s="409"/>
      <c r="L672" s="409"/>
    </row>
    <row r="673" spans="1:14" ht="13.5" hidden="1" customHeight="1">
      <c r="A673" s="423"/>
      <c r="B673" s="421"/>
      <c r="C673" s="424" t="s">
        <v>592</v>
      </c>
      <c r="D673" s="427">
        <f>D662</f>
        <v>0</v>
      </c>
      <c r="E673" s="415"/>
      <c r="F673" s="422"/>
      <c r="G673" s="442">
        <f>D673*SUM(G670:G671)</f>
        <v>0</v>
      </c>
      <c r="H673" s="442">
        <f>D673*SUM(H670:H672)</f>
        <v>0</v>
      </c>
      <c r="I673" s="442">
        <f>D673*SUM(I670:I672)</f>
        <v>0</v>
      </c>
      <c r="J673" s="409"/>
      <c r="K673" s="409"/>
      <c r="L673" s="409"/>
    </row>
    <row r="674" spans="1:14" hidden="1">
      <c r="A674" s="409"/>
      <c r="B674" s="409"/>
      <c r="C674" s="514" t="s">
        <v>360</v>
      </c>
      <c r="D674" s="414"/>
      <c r="E674" s="414"/>
      <c r="F674" s="416"/>
      <c r="G674" s="442">
        <f>SUM(G670:G673)*0.5/100</f>
        <v>1.6555000000000002</v>
      </c>
      <c r="H674" s="442">
        <f>SUM(H670:H673)*0.5/100</f>
        <v>1.8210500000000003</v>
      </c>
      <c r="I674" s="442">
        <f>SUM(I670:I673)*0.5/100</f>
        <v>1.9866000000000001</v>
      </c>
      <c r="J674" s="409"/>
      <c r="K674" s="409"/>
      <c r="L674" s="409"/>
      <c r="M674" s="504"/>
      <c r="N674" s="505"/>
    </row>
    <row r="675" spans="1:14" ht="25" hidden="1">
      <c r="A675" s="409"/>
      <c r="B675" s="409"/>
      <c r="C675" s="416" t="s">
        <v>361</v>
      </c>
      <c r="D675" s="414" t="s">
        <v>182</v>
      </c>
      <c r="E675" s="515">
        <v>0.8</v>
      </c>
      <c r="F675" s="416">
        <v>168</v>
      </c>
      <c r="G675" s="425">
        <f>ROUND(E675*F675,2)</f>
        <v>134.4</v>
      </c>
      <c r="H675" s="442">
        <f t="shared" ref="H675:I677" si="21">G675</f>
        <v>134.4</v>
      </c>
      <c r="I675" s="442">
        <f t="shared" si="21"/>
        <v>134.4</v>
      </c>
      <c r="J675" s="409"/>
      <c r="K675" s="409"/>
      <c r="L675" s="409"/>
      <c r="M675" s="504"/>
      <c r="N675" s="505"/>
    </row>
    <row r="676" spans="1:14" hidden="1">
      <c r="A676" s="409"/>
      <c r="B676" s="409"/>
      <c r="C676" s="414" t="s">
        <v>362</v>
      </c>
      <c r="D676" s="414" t="s">
        <v>119</v>
      </c>
      <c r="E676" s="497">
        <v>0.21</v>
      </c>
      <c r="F676" s="416">
        <f>F670</f>
        <v>550</v>
      </c>
      <c r="G676" s="425">
        <f>ROUND(E676*F676,2)</f>
        <v>115.5</v>
      </c>
      <c r="H676" s="442">
        <f t="shared" si="21"/>
        <v>115.5</v>
      </c>
      <c r="I676" s="442">
        <f t="shared" si="21"/>
        <v>115.5</v>
      </c>
      <c r="J676" s="409"/>
      <c r="K676" s="409"/>
      <c r="L676" s="409"/>
      <c r="M676" s="504"/>
      <c r="N676" s="505"/>
    </row>
    <row r="677" spans="1:14" hidden="1">
      <c r="A677" s="409"/>
      <c r="B677" s="409"/>
      <c r="C677" s="416" t="s">
        <v>359</v>
      </c>
      <c r="D677" s="414" t="s">
        <v>119</v>
      </c>
      <c r="E677" s="497">
        <v>0.49</v>
      </c>
      <c r="F677" s="416">
        <f>F671</f>
        <v>440</v>
      </c>
      <c r="G677" s="425">
        <f>ROUND(E677*F677,2)</f>
        <v>215.6</v>
      </c>
      <c r="H677" s="442">
        <f t="shared" si="21"/>
        <v>215.6</v>
      </c>
      <c r="I677" s="442">
        <f t="shared" si="21"/>
        <v>215.6</v>
      </c>
      <c r="J677" s="409"/>
      <c r="K677" s="409"/>
      <c r="L677" s="409"/>
      <c r="M677" s="504"/>
      <c r="N677" s="505"/>
    </row>
    <row r="678" spans="1:14" hidden="1">
      <c r="A678" s="409"/>
      <c r="B678" s="428"/>
      <c r="C678" s="409" t="s">
        <v>268</v>
      </c>
      <c r="D678" s="409" t="s">
        <v>119</v>
      </c>
      <c r="E678" s="465">
        <v>1.5</v>
      </c>
      <c r="F678" s="434">
        <f>F693</f>
        <v>400</v>
      </c>
      <c r="G678" s="425">
        <f>ROUND(E678*F678,2)</f>
        <v>600</v>
      </c>
      <c r="H678" s="442">
        <f>G678</f>
        <v>600</v>
      </c>
      <c r="I678" s="442">
        <f>G678</f>
        <v>600</v>
      </c>
      <c r="J678" s="409"/>
      <c r="K678" s="442"/>
      <c r="L678" s="409"/>
      <c r="M678" s="453"/>
    </row>
    <row r="679" spans="1:14" ht="13.5" hidden="1" customHeight="1">
      <c r="A679" s="423"/>
      <c r="B679" s="421"/>
      <c r="C679" s="424" t="s">
        <v>615</v>
      </c>
      <c r="D679" s="427"/>
      <c r="E679" s="415"/>
      <c r="F679" s="422"/>
      <c r="G679" s="442"/>
      <c r="H679" s="442">
        <f>SUM(H676:H678)*10/100</f>
        <v>93.11</v>
      </c>
      <c r="I679" s="442">
        <f>SUM(I676:I678)*20/100</f>
        <v>186.22</v>
      </c>
      <c r="J679" s="409"/>
      <c r="K679" s="409"/>
      <c r="L679" s="409"/>
    </row>
    <row r="680" spans="1:14" ht="13.5" hidden="1" customHeight="1">
      <c r="A680" s="423"/>
      <c r="B680" s="421"/>
      <c r="C680" s="424" t="s">
        <v>592</v>
      </c>
      <c r="D680" s="427">
        <f>D673</f>
        <v>0</v>
      </c>
      <c r="E680" s="415"/>
      <c r="F680" s="422"/>
      <c r="G680" s="442">
        <f>D680*SUM(G676:G678)</f>
        <v>0</v>
      </c>
      <c r="H680" s="442">
        <f>D680*SUM(H676:H679)</f>
        <v>0</v>
      </c>
      <c r="I680" s="442">
        <f>D680*SUM(I676:I679)</f>
        <v>0</v>
      </c>
      <c r="J680" s="409"/>
      <c r="K680" s="409"/>
      <c r="L680" s="409"/>
    </row>
    <row r="681" spans="1:14" hidden="1">
      <c r="A681" s="409"/>
      <c r="B681" s="409"/>
      <c r="C681" s="424" t="s">
        <v>134</v>
      </c>
      <c r="D681" s="414"/>
      <c r="E681" s="516"/>
      <c r="F681" s="416"/>
      <c r="G681" s="425">
        <f>SUM(G669:G680)</f>
        <v>1578.2555</v>
      </c>
      <c r="H681" s="425">
        <f>SUM(H669:H680)</f>
        <v>1704.64105</v>
      </c>
      <c r="I681" s="425">
        <f>SUM(I669:I680)</f>
        <v>1831.0265999999999</v>
      </c>
      <c r="J681" s="409"/>
      <c r="K681" s="409"/>
      <c r="L681" s="409"/>
      <c r="M681" s="504"/>
      <c r="N681" s="505"/>
    </row>
    <row r="682" spans="1:14" ht="15.5" hidden="1">
      <c r="A682" s="409"/>
      <c r="B682" s="409"/>
      <c r="C682" s="424" t="s">
        <v>421</v>
      </c>
      <c r="D682" s="409"/>
      <c r="E682" s="414"/>
      <c r="F682" s="414"/>
      <c r="G682" s="517">
        <f>G681/10</f>
        <v>157.82554999999999</v>
      </c>
      <c r="H682" s="517">
        <f>H681/10</f>
        <v>170.46410499999999</v>
      </c>
      <c r="I682" s="517">
        <f>I681/10</f>
        <v>183.10265999999999</v>
      </c>
      <c r="J682" s="409"/>
      <c r="K682" s="409"/>
      <c r="L682" s="409"/>
      <c r="M682" s="504"/>
      <c r="N682" s="505"/>
    </row>
    <row r="683" spans="1:14" ht="30.75" hidden="1" customHeight="1">
      <c r="A683" s="409"/>
      <c r="B683" s="409"/>
      <c r="C683" s="435" t="s">
        <v>578</v>
      </c>
      <c r="D683" s="435"/>
      <c r="E683" s="435"/>
      <c r="F683" s="435"/>
      <c r="G683" s="422">
        <f>G682*13.615/100</f>
        <v>21.487948632499997</v>
      </c>
      <c r="H683" s="422">
        <f>H682*13.615/100</f>
        <v>23.20868789575</v>
      </c>
      <c r="I683" s="422">
        <f>I682*13.615/100</f>
        <v>24.929427158999996</v>
      </c>
      <c r="J683" s="409"/>
      <c r="K683" s="409"/>
      <c r="L683" s="409"/>
    </row>
    <row r="684" spans="1:14" ht="15.5" hidden="1">
      <c r="A684" s="409"/>
      <c r="B684" s="409"/>
      <c r="C684" s="424" t="s">
        <v>421</v>
      </c>
      <c r="D684" s="448"/>
      <c r="E684" s="448"/>
      <c r="F684" s="448"/>
      <c r="G684" s="422">
        <f>SUM(G682:G683)</f>
        <v>179.3134986325</v>
      </c>
      <c r="H684" s="422">
        <f>SUM(H682:H683)</f>
        <v>193.67279289574998</v>
      </c>
      <c r="I684" s="422">
        <f>SUM(I682:I683)</f>
        <v>208.03208715899999</v>
      </c>
      <c r="J684" s="409"/>
      <c r="K684" s="409"/>
      <c r="L684" s="409"/>
    </row>
    <row r="685" spans="1:14" ht="96.75" customHeight="1">
      <c r="A685" s="435" t="s">
        <v>101</v>
      </c>
      <c r="B685" s="409"/>
      <c r="C685" s="2219" t="s">
        <v>437</v>
      </c>
      <c r="D685" s="2219"/>
      <c r="E685" s="2219"/>
      <c r="F685" s="2219"/>
      <c r="G685" s="425"/>
      <c r="H685" s="414"/>
      <c r="I685" s="414"/>
      <c r="J685" s="409"/>
      <c r="K685" s="409"/>
      <c r="L685" s="409"/>
    </row>
    <row r="686" spans="1:14">
      <c r="A686" s="409"/>
      <c r="B686" s="409"/>
      <c r="C686" s="416" t="s">
        <v>23</v>
      </c>
      <c r="D686" s="425"/>
      <c r="E686" s="425"/>
      <c r="F686" s="425"/>
      <c r="G686" s="425"/>
      <c r="H686" s="414"/>
      <c r="I686" s="414"/>
      <c r="J686" s="409"/>
      <c r="K686" s="409"/>
      <c r="L686" s="409"/>
    </row>
    <row r="687" spans="1:14">
      <c r="A687" s="409"/>
      <c r="B687" s="409"/>
      <c r="C687" s="416" t="s">
        <v>24</v>
      </c>
      <c r="D687" s="425"/>
      <c r="E687" s="425"/>
      <c r="F687" s="425"/>
      <c r="G687" s="415" t="s">
        <v>613</v>
      </c>
      <c r="H687" s="415" t="s">
        <v>611</v>
      </c>
      <c r="I687" s="415" t="s">
        <v>614</v>
      </c>
      <c r="J687" s="409"/>
      <c r="K687" s="409"/>
      <c r="L687" s="409"/>
    </row>
    <row r="688" spans="1:14">
      <c r="A688" s="409"/>
      <c r="B688" s="409"/>
      <c r="C688" s="416" t="s">
        <v>438</v>
      </c>
      <c r="D688" s="425" t="s">
        <v>117</v>
      </c>
      <c r="E688" s="425">
        <v>0.21</v>
      </c>
      <c r="F688" s="425">
        <f>G64</f>
        <v>2783.06</v>
      </c>
      <c r="G688" s="425">
        <f>E688*F688</f>
        <v>584.44259999999997</v>
      </c>
      <c r="H688" s="425">
        <f>G688</f>
        <v>584.44259999999997</v>
      </c>
      <c r="I688" s="425">
        <f>H688</f>
        <v>584.44259999999997</v>
      </c>
      <c r="J688" s="409"/>
      <c r="K688" s="409"/>
      <c r="L688" s="409"/>
    </row>
    <row r="689" spans="1:13">
      <c r="A689" s="409"/>
      <c r="B689" s="409"/>
      <c r="C689" s="416" t="s">
        <v>439</v>
      </c>
      <c r="D689" s="425" t="s">
        <v>131</v>
      </c>
      <c r="E689" s="425">
        <v>2</v>
      </c>
      <c r="F689" s="425">
        <v>73</v>
      </c>
      <c r="G689" s="425">
        <f>E689*F689</f>
        <v>146</v>
      </c>
      <c r="H689" s="425">
        <f>G689</f>
        <v>146</v>
      </c>
      <c r="I689" s="425">
        <f>H689</f>
        <v>146</v>
      </c>
      <c r="J689" s="409"/>
      <c r="K689" s="409"/>
      <c r="L689" s="409"/>
    </row>
    <row r="690" spans="1:13">
      <c r="A690" s="409"/>
      <c r="B690" s="409"/>
      <c r="C690" s="416" t="s">
        <v>128</v>
      </c>
      <c r="D690" s="425"/>
      <c r="E690" s="466"/>
      <c r="F690" s="425"/>
      <c r="G690" s="425"/>
      <c r="H690" s="425"/>
      <c r="I690" s="425"/>
      <c r="J690" s="409"/>
      <c r="K690" s="409"/>
      <c r="L690" s="409"/>
    </row>
    <row r="691" spans="1:13" ht="14.5">
      <c r="A691" s="409"/>
      <c r="B691" s="409"/>
      <c r="C691" s="416" t="s">
        <v>1047</v>
      </c>
      <c r="D691" s="425" t="s">
        <v>119</v>
      </c>
      <c r="E691" s="466">
        <v>0.66</v>
      </c>
      <c r="F691" s="425">
        <v>490</v>
      </c>
      <c r="G691" s="425">
        <f>ROUND(E691*F691,2)</f>
        <v>323.39999999999998</v>
      </c>
      <c r="H691" s="425">
        <f t="shared" ref="H691:I693" si="22">G691</f>
        <v>323.39999999999998</v>
      </c>
      <c r="I691" s="425">
        <f t="shared" si="22"/>
        <v>323.39999999999998</v>
      </c>
      <c r="J691" s="409"/>
      <c r="K691" s="409"/>
      <c r="L691" s="409"/>
    </row>
    <row r="692" spans="1:13" ht="14.5">
      <c r="A692" s="409"/>
      <c r="B692" s="409"/>
      <c r="C692" s="416" t="s">
        <v>1048</v>
      </c>
      <c r="D692" s="425" t="s">
        <v>119</v>
      </c>
      <c r="E692" s="466">
        <v>1.54</v>
      </c>
      <c r="F692" s="425">
        <v>440</v>
      </c>
      <c r="G692" s="425">
        <f>ROUND(E692*F692,2)</f>
        <v>677.6</v>
      </c>
      <c r="H692" s="425">
        <f t="shared" si="22"/>
        <v>677.6</v>
      </c>
      <c r="I692" s="425">
        <f t="shared" si="22"/>
        <v>677.6</v>
      </c>
      <c r="J692" s="409"/>
      <c r="K692" s="409"/>
      <c r="L692" s="409"/>
    </row>
    <row r="693" spans="1:13">
      <c r="A693" s="409"/>
      <c r="B693" s="409"/>
      <c r="C693" s="416" t="s">
        <v>440</v>
      </c>
      <c r="D693" s="425" t="s">
        <v>119</v>
      </c>
      <c r="E693" s="425">
        <v>3.7</v>
      </c>
      <c r="F693" s="425">
        <v>400</v>
      </c>
      <c r="G693" s="425">
        <f>ROUND(E693*F693,2)</f>
        <v>1480</v>
      </c>
      <c r="H693" s="425">
        <f t="shared" si="22"/>
        <v>1480</v>
      </c>
      <c r="I693" s="425">
        <f t="shared" si="22"/>
        <v>1480</v>
      </c>
      <c r="J693" s="409"/>
      <c r="K693" s="409"/>
      <c r="L693" s="409"/>
    </row>
    <row r="694" spans="1:13" ht="13.5" customHeight="1">
      <c r="A694" s="423"/>
      <c r="B694" s="421"/>
      <c r="C694" s="424" t="s">
        <v>615</v>
      </c>
      <c r="D694" s="427"/>
      <c r="E694" s="415"/>
      <c r="F694" s="422"/>
      <c r="G694" s="442"/>
      <c r="H694" s="442">
        <f>SUM(H691:H693)*10/100</f>
        <v>248.1</v>
      </c>
      <c r="I694" s="442">
        <f>SUM(I691:I693)*20/100</f>
        <v>496.2</v>
      </c>
      <c r="J694" s="409"/>
      <c r="K694" s="409"/>
      <c r="L694" s="409"/>
    </row>
    <row r="695" spans="1:13" ht="13.5" customHeight="1">
      <c r="A695" s="423"/>
      <c r="B695" s="421"/>
      <c r="C695" s="424" t="s">
        <v>592</v>
      </c>
      <c r="D695" s="427">
        <f>D662</f>
        <v>0</v>
      </c>
      <c r="E695" s="415"/>
      <c r="F695" s="422"/>
      <c r="G695" s="442">
        <f>D695*SUM(G691:G693)</f>
        <v>0</v>
      </c>
      <c r="H695" s="442">
        <f>D695*SUM(H691:H694)</f>
        <v>0</v>
      </c>
      <c r="I695" s="442">
        <f>D695*SUM(I691:I694)</f>
        <v>0</v>
      </c>
      <c r="J695" s="409"/>
      <c r="K695" s="409"/>
      <c r="L695" s="409"/>
    </row>
    <row r="696" spans="1:13">
      <c r="A696" s="409"/>
      <c r="B696" s="409"/>
      <c r="C696" s="424" t="s">
        <v>420</v>
      </c>
      <c r="D696" s="425"/>
      <c r="E696" s="425"/>
      <c r="F696" s="425"/>
      <c r="G696" s="425">
        <f>SUM(G688:G695)</f>
        <v>3211.4425999999999</v>
      </c>
      <c r="H696" s="425">
        <f>SUM(H688:H695)</f>
        <v>3459.5425999999998</v>
      </c>
      <c r="I696" s="425">
        <f>SUM(I688:I695)</f>
        <v>3707.6425999999997</v>
      </c>
      <c r="J696" s="409"/>
      <c r="K696" s="409"/>
      <c r="L696" s="409"/>
    </row>
    <row r="697" spans="1:13">
      <c r="A697" s="409"/>
      <c r="B697" s="409"/>
      <c r="C697" s="424" t="s">
        <v>421</v>
      </c>
      <c r="D697" s="428"/>
      <c r="E697" s="415"/>
      <c r="F697" s="415"/>
      <c r="G697" s="434">
        <f>G696/10</f>
        <v>321.14425999999997</v>
      </c>
      <c r="H697" s="434">
        <f>H696/10</f>
        <v>345.95425999999998</v>
      </c>
      <c r="I697" s="434">
        <f>I696/10</f>
        <v>370.76425999999998</v>
      </c>
      <c r="J697" s="409"/>
      <c r="K697" s="409"/>
      <c r="L697" s="409"/>
    </row>
    <row r="698" spans="1:13" ht="25">
      <c r="A698" s="409"/>
      <c r="B698" s="409"/>
      <c r="C698" s="435" t="s">
        <v>578</v>
      </c>
      <c r="D698" s="428"/>
      <c r="E698" s="415"/>
      <c r="F698" s="415"/>
      <c r="G698" s="422">
        <f>G697*13.615/100</f>
        <v>43.723790998999995</v>
      </c>
      <c r="H698" s="422">
        <f>H697*13.615/100</f>
        <v>47.101672498999996</v>
      </c>
      <c r="I698" s="422">
        <f>I697*13.615/100</f>
        <v>50.479553998999997</v>
      </c>
      <c r="J698" s="409"/>
      <c r="K698" s="409"/>
      <c r="L698" s="409"/>
    </row>
    <row r="699" spans="1:13" ht="15.5">
      <c r="A699" s="409"/>
      <c r="B699" s="409"/>
      <c r="C699" s="424"/>
      <c r="D699" s="428"/>
      <c r="E699" s="415"/>
      <c r="F699" s="415"/>
      <c r="G699" s="422">
        <f>SUM(G697:G698)</f>
        <v>364.86805099899999</v>
      </c>
      <c r="H699" s="422">
        <f>SUM(H697:H698)</f>
        <v>393.05593249899999</v>
      </c>
      <c r="I699" s="422">
        <f>SUM(I697:I698)</f>
        <v>421.243813999</v>
      </c>
      <c r="J699" s="409"/>
      <c r="K699" s="409"/>
      <c r="L699" s="409"/>
    </row>
    <row r="700" spans="1:13" ht="15.5">
      <c r="A700" s="414" t="s">
        <v>256</v>
      </c>
      <c r="B700" s="420">
        <v>10</v>
      </c>
      <c r="C700" s="2222" t="s">
        <v>1058</v>
      </c>
      <c r="D700" s="2222"/>
      <c r="E700" s="2222"/>
      <c r="F700" s="2222"/>
      <c r="G700" s="2222"/>
      <c r="H700" s="409"/>
      <c r="I700" s="409"/>
      <c r="J700" s="409"/>
      <c r="K700" s="409"/>
      <c r="L700" s="409"/>
    </row>
    <row r="701" spans="1:13" ht="170.25" customHeight="1">
      <c r="A701" s="435" t="s">
        <v>593</v>
      </c>
      <c r="B701" s="420"/>
      <c r="C701" s="2219" t="s">
        <v>594</v>
      </c>
      <c r="D701" s="2219"/>
      <c r="E701" s="2219"/>
      <c r="F701" s="2219"/>
      <c r="G701" s="444"/>
      <c r="H701" s="445"/>
      <c r="I701" s="409" t="s">
        <v>1059</v>
      </c>
      <c r="J701" s="409"/>
      <c r="K701" s="409" t="s">
        <v>1059</v>
      </c>
      <c r="L701" s="409"/>
      <c r="M701" s="382" t="s">
        <v>1059</v>
      </c>
    </row>
    <row r="702" spans="1:13" ht="15.5">
      <c r="A702" s="423"/>
      <c r="B702" s="420" t="s">
        <v>144</v>
      </c>
      <c r="C702" s="446" t="s">
        <v>322</v>
      </c>
      <c r="D702" s="426"/>
      <c r="E702" s="426"/>
      <c r="F702" s="426"/>
      <c r="G702" s="426"/>
      <c r="H702" s="409"/>
      <c r="I702" s="409"/>
      <c r="J702" s="409"/>
      <c r="K702" s="409"/>
      <c r="L702" s="409"/>
    </row>
    <row r="703" spans="1:13">
      <c r="A703" s="423"/>
      <c r="B703" s="420"/>
      <c r="C703" s="440" t="s">
        <v>24</v>
      </c>
      <c r="D703" s="426"/>
      <c r="E703" s="426"/>
      <c r="F703" s="426"/>
      <c r="G703" s="426"/>
      <c r="H703" s="409"/>
      <c r="I703" s="409"/>
      <c r="J703" s="409"/>
      <c r="K703" s="409"/>
      <c r="L703" s="409"/>
    </row>
    <row r="704" spans="1:13">
      <c r="A704" s="423"/>
      <c r="B704" s="420"/>
      <c r="C704" s="440" t="s">
        <v>276</v>
      </c>
      <c r="D704" s="426" t="s">
        <v>117</v>
      </c>
      <c r="E704" s="443">
        <v>0.8</v>
      </c>
      <c r="F704" s="425">
        <v>1610.64</v>
      </c>
      <c r="G704" s="425">
        <f>ROUND(E704*F704,2)</f>
        <v>1288.51</v>
      </c>
      <c r="H704" s="409"/>
      <c r="I704" s="409"/>
      <c r="J704" s="409"/>
      <c r="K704" s="409"/>
      <c r="L704" s="409"/>
    </row>
    <row r="705" spans="1:12">
      <c r="A705" s="423"/>
      <c r="B705" s="420"/>
      <c r="C705" s="440" t="s">
        <v>277</v>
      </c>
      <c r="D705" s="426" t="s">
        <v>117</v>
      </c>
      <c r="E705" s="443">
        <v>0.4</v>
      </c>
      <c r="F705" s="425">
        <v>267.58</v>
      </c>
      <c r="G705" s="425">
        <f>ROUND(E705*F705,2)</f>
        <v>107.03</v>
      </c>
      <c r="H705" s="409"/>
      <c r="I705" s="409"/>
      <c r="J705" s="409"/>
      <c r="K705" s="409"/>
      <c r="L705" s="409"/>
    </row>
    <row r="706" spans="1:12">
      <c r="A706" s="423"/>
      <c r="B706" s="420"/>
      <c r="C706" s="440" t="s">
        <v>218</v>
      </c>
      <c r="D706" s="426" t="s">
        <v>207</v>
      </c>
      <c r="E706" s="432">
        <v>340</v>
      </c>
      <c r="F706" s="425">
        <v>4.8</v>
      </c>
      <c r="G706" s="425">
        <f>ROUND(E706*F706,2)</f>
        <v>1632</v>
      </c>
      <c r="H706" s="409"/>
      <c r="I706" s="409"/>
      <c r="J706" s="409"/>
      <c r="K706" s="409"/>
      <c r="L706" s="409"/>
    </row>
    <row r="707" spans="1:12">
      <c r="A707" s="423"/>
      <c r="B707" s="420"/>
      <c r="C707" s="440" t="s">
        <v>278</v>
      </c>
      <c r="D707" s="426"/>
      <c r="E707" s="443"/>
      <c r="F707" s="425"/>
      <c r="G707" s="425"/>
      <c r="H707" s="409"/>
      <c r="I707" s="409"/>
      <c r="J707" s="409"/>
      <c r="K707" s="409"/>
      <c r="L707" s="409"/>
    </row>
    <row r="708" spans="1:12">
      <c r="A708" s="423"/>
      <c r="B708" s="420"/>
      <c r="C708" s="440" t="s">
        <v>279</v>
      </c>
      <c r="D708" s="426" t="s">
        <v>119</v>
      </c>
      <c r="E708" s="443">
        <v>0.1</v>
      </c>
      <c r="F708" s="425">
        <v>490</v>
      </c>
      <c r="G708" s="425">
        <f>ROUND(E708*F708,2)</f>
        <v>49</v>
      </c>
      <c r="H708" s="409"/>
      <c r="I708" s="409"/>
      <c r="J708" s="409"/>
      <c r="K708" s="409"/>
      <c r="L708" s="409"/>
    </row>
    <row r="709" spans="1:12">
      <c r="A709" s="423"/>
      <c r="B709" s="420"/>
      <c r="C709" s="440" t="s">
        <v>280</v>
      </c>
      <c r="D709" s="426" t="s">
        <v>119</v>
      </c>
      <c r="E709" s="443">
        <v>0.2</v>
      </c>
      <c r="F709" s="425">
        <v>440</v>
      </c>
      <c r="G709" s="425">
        <f>ROUND(E709*F709,2)</f>
        <v>88</v>
      </c>
      <c r="H709" s="409"/>
      <c r="I709" s="409"/>
      <c r="J709" s="409"/>
      <c r="K709" s="409"/>
      <c r="L709" s="409"/>
    </row>
    <row r="710" spans="1:12">
      <c r="A710" s="423"/>
      <c r="B710" s="420"/>
      <c r="C710" s="440" t="s">
        <v>281</v>
      </c>
      <c r="D710" s="426" t="s">
        <v>119</v>
      </c>
      <c r="E710" s="443">
        <v>3.45</v>
      </c>
      <c r="F710" s="425">
        <v>400</v>
      </c>
      <c r="G710" s="425">
        <f>ROUND(E710*F710,2)</f>
        <v>1380</v>
      </c>
      <c r="H710" s="409"/>
      <c r="I710" s="409"/>
      <c r="J710" s="409"/>
      <c r="K710" s="409"/>
      <c r="L710" s="409"/>
    </row>
    <row r="711" spans="1:12" ht="13.5" customHeight="1">
      <c r="A711" s="423"/>
      <c r="B711" s="421"/>
      <c r="C711" s="424" t="s">
        <v>592</v>
      </c>
      <c r="D711" s="427">
        <f>D695</f>
        <v>0</v>
      </c>
      <c r="E711" s="415"/>
      <c r="F711" s="422"/>
      <c r="G711" s="442">
        <f>D711*SUM(G708:G710)</f>
        <v>0</v>
      </c>
      <c r="H711" s="425"/>
      <c r="I711" s="409"/>
      <c r="J711" s="409"/>
      <c r="K711" s="409"/>
      <c r="L711" s="409"/>
    </row>
    <row r="712" spans="1:12">
      <c r="A712" s="423"/>
      <c r="B712" s="420"/>
      <c r="C712" s="440" t="s">
        <v>252</v>
      </c>
      <c r="D712" s="426"/>
      <c r="E712" s="443"/>
      <c r="F712" s="425"/>
      <c r="G712" s="425"/>
      <c r="H712" s="409"/>
      <c r="I712" s="409"/>
      <c r="J712" s="409"/>
      <c r="K712" s="409"/>
      <c r="L712" s="409"/>
    </row>
    <row r="713" spans="1:12" ht="26.25" customHeight="1">
      <c r="A713" s="423"/>
      <c r="B713" s="420"/>
      <c r="C713" s="440" t="s">
        <v>567</v>
      </c>
      <c r="D713" s="426" t="s">
        <v>267</v>
      </c>
      <c r="E713" s="426">
        <v>1</v>
      </c>
      <c r="F713" s="426">
        <v>525.5</v>
      </c>
      <c r="G713" s="426">
        <f>ROUND(E713*F713,2)</f>
        <v>525.5</v>
      </c>
      <c r="H713" s="409"/>
      <c r="I713" s="409"/>
      <c r="J713" s="409"/>
      <c r="K713" s="409"/>
      <c r="L713" s="409"/>
    </row>
    <row r="714" spans="1:12">
      <c r="A714" s="423"/>
      <c r="B714" s="420"/>
      <c r="C714" s="416" t="s">
        <v>264</v>
      </c>
      <c r="D714" s="425" t="s">
        <v>265</v>
      </c>
      <c r="E714" s="443">
        <v>1.2</v>
      </c>
      <c r="F714" s="426">
        <v>203.5</v>
      </c>
      <c r="G714" s="426"/>
      <c r="H714" s="409"/>
      <c r="I714" s="409"/>
      <c r="J714" s="409"/>
      <c r="K714" s="409"/>
      <c r="L714" s="409"/>
    </row>
    <row r="715" spans="1:12" ht="15.5">
      <c r="A715" s="423"/>
      <c r="B715" s="420"/>
      <c r="C715" s="440" t="s">
        <v>284</v>
      </c>
      <c r="D715" s="426"/>
      <c r="E715" s="425"/>
      <c r="F715" s="425"/>
      <c r="G715" s="422">
        <f>SUM(G704:G714,0)</f>
        <v>5070.04</v>
      </c>
      <c r="H715" s="447"/>
      <c r="I715" s="409"/>
      <c r="J715" s="409"/>
      <c r="K715" s="409"/>
      <c r="L715" s="409"/>
    </row>
    <row r="716" spans="1:12" ht="180" customHeight="1">
      <c r="A716" s="409"/>
      <c r="B716" s="428"/>
      <c r="C716" s="2219" t="s">
        <v>441</v>
      </c>
      <c r="D716" s="2219"/>
      <c r="E716" s="2219"/>
      <c r="F716" s="2219"/>
      <c r="G716" s="428"/>
      <c r="H716" s="409"/>
      <c r="I716" s="409"/>
      <c r="J716" s="409"/>
      <c r="K716" s="409"/>
      <c r="L716" s="409"/>
    </row>
    <row r="717" spans="1:12" ht="15.75" hidden="1" customHeight="1">
      <c r="A717" s="409"/>
      <c r="B717" s="428"/>
      <c r="C717" s="489" t="s">
        <v>106</v>
      </c>
      <c r="D717" s="489"/>
      <c r="E717" s="489"/>
      <c r="F717" s="489"/>
      <c r="G717" s="409"/>
      <c r="H717" s="409"/>
      <c r="I717" s="409"/>
      <c r="J717" s="409"/>
      <c r="K717" s="409"/>
      <c r="L717" s="409"/>
    </row>
    <row r="718" spans="1:12" hidden="1">
      <c r="A718" s="409"/>
      <c r="B718" s="428"/>
      <c r="C718" s="409" t="s">
        <v>443</v>
      </c>
      <c r="D718" s="409" t="s">
        <v>117</v>
      </c>
      <c r="E718" s="519">
        <v>0.16600000000000001</v>
      </c>
      <c r="F718" s="436">
        <f>G715</f>
        <v>5070.04</v>
      </c>
      <c r="G718" s="425">
        <f>ROUND(E718*F718,2)</f>
        <v>841.63</v>
      </c>
      <c r="H718" s="409"/>
      <c r="I718" s="409"/>
      <c r="J718" s="409"/>
      <c r="K718" s="409"/>
      <c r="L718" s="409"/>
    </row>
    <row r="719" spans="1:12" hidden="1">
      <c r="A719" s="409"/>
      <c r="B719" s="428"/>
      <c r="C719" s="409" t="s">
        <v>448</v>
      </c>
      <c r="D719" s="409" t="s">
        <v>119</v>
      </c>
      <c r="E719" s="436">
        <f>3.5*0.526</f>
        <v>1.8410000000000002</v>
      </c>
      <c r="F719" s="436">
        <f>F727</f>
        <v>400</v>
      </c>
      <c r="G719" s="425">
        <f>ROUND(E719*F719,2)</f>
        <v>736.4</v>
      </c>
      <c r="H719" s="409"/>
      <c r="I719" s="409"/>
      <c r="J719" s="409"/>
      <c r="K719" s="409"/>
      <c r="L719" s="409"/>
    </row>
    <row r="720" spans="1:12" hidden="1">
      <c r="A720" s="409"/>
      <c r="B720" s="428"/>
      <c r="C720" s="409" t="s">
        <v>449</v>
      </c>
      <c r="D720" s="409" t="s">
        <v>119</v>
      </c>
      <c r="E720" s="436">
        <f>2*0.56</f>
        <v>1.1200000000000001</v>
      </c>
      <c r="F720" s="436">
        <f>F728</f>
        <v>400</v>
      </c>
      <c r="G720" s="425">
        <f>ROUND(E720*F720,2)</f>
        <v>448</v>
      </c>
      <c r="H720" s="409"/>
      <c r="I720" s="409"/>
      <c r="J720" s="409"/>
      <c r="K720" s="409"/>
      <c r="L720" s="409"/>
    </row>
    <row r="721" spans="1:12" ht="13.5" hidden="1" customHeight="1">
      <c r="A721" s="423"/>
      <c r="B721" s="421"/>
      <c r="C721" s="424" t="s">
        <v>592</v>
      </c>
      <c r="D721" s="427">
        <f>D695</f>
        <v>0</v>
      </c>
      <c r="E721" s="415"/>
      <c r="F721" s="422"/>
      <c r="G721" s="442">
        <f>D721*SUM(G719:G720)</f>
        <v>0</v>
      </c>
      <c r="H721" s="422"/>
      <c r="I721" s="409"/>
      <c r="J721" s="409"/>
      <c r="K721" s="409"/>
      <c r="L721" s="409"/>
    </row>
    <row r="722" spans="1:12" hidden="1">
      <c r="A722" s="409"/>
      <c r="B722" s="428"/>
      <c r="C722" s="409"/>
      <c r="D722" s="409"/>
      <c r="E722" s="436"/>
      <c r="F722" s="436"/>
      <c r="G722" s="425">
        <f>SUM(G718:G721)</f>
        <v>2026.03</v>
      </c>
      <c r="H722" s="409"/>
      <c r="I722" s="409"/>
      <c r="J722" s="409"/>
      <c r="K722" s="409"/>
      <c r="L722" s="409"/>
    </row>
    <row r="723" spans="1:12" ht="25" hidden="1">
      <c r="A723" s="409"/>
      <c r="B723" s="428"/>
      <c r="C723" s="435" t="s">
        <v>578</v>
      </c>
      <c r="D723" s="428"/>
      <c r="E723" s="434"/>
      <c r="F723" s="434"/>
      <c r="G723" s="422">
        <f>G722*13.615/100</f>
        <v>275.84398450000003</v>
      </c>
      <c r="H723" s="409"/>
      <c r="I723" s="409"/>
      <c r="J723" s="409"/>
      <c r="K723" s="409"/>
      <c r="L723" s="409"/>
    </row>
    <row r="724" spans="1:12" ht="15.5" hidden="1">
      <c r="A724" s="409"/>
      <c r="B724" s="428"/>
      <c r="C724" s="409"/>
      <c r="D724" s="428"/>
      <c r="E724" s="434"/>
      <c r="F724" s="434"/>
      <c r="G724" s="422">
        <f>SUM(G722:G723)</f>
        <v>2301.8739845</v>
      </c>
      <c r="H724" s="409"/>
      <c r="I724" s="409"/>
      <c r="J724" s="409"/>
      <c r="K724" s="409"/>
      <c r="L724" s="409"/>
    </row>
    <row r="725" spans="1:12" ht="15.75" hidden="1" customHeight="1">
      <c r="A725" s="409"/>
      <c r="B725" s="428"/>
      <c r="C725" s="489" t="s">
        <v>447</v>
      </c>
      <c r="D725" s="420"/>
      <c r="E725" s="420"/>
      <c r="F725" s="420"/>
      <c r="G725" s="428"/>
      <c r="H725" s="409"/>
      <c r="I725" s="409"/>
      <c r="J725" s="409"/>
      <c r="K725" s="409"/>
      <c r="L725" s="409"/>
    </row>
    <row r="726" spans="1:12" hidden="1">
      <c r="A726" s="409"/>
      <c r="B726" s="428"/>
      <c r="C726" s="409" t="s">
        <v>443</v>
      </c>
      <c r="D726" s="428" t="s">
        <v>117</v>
      </c>
      <c r="E726" s="520">
        <v>0.28199999999999997</v>
      </c>
      <c r="F726" s="434">
        <f>F718</f>
        <v>5070.04</v>
      </c>
      <c r="G726" s="425">
        <f>ROUND(E726*F726,2)</f>
        <v>1429.75</v>
      </c>
      <c r="H726" s="409"/>
      <c r="I726" s="409"/>
      <c r="J726" s="409"/>
      <c r="K726" s="409"/>
      <c r="L726" s="409"/>
    </row>
    <row r="727" spans="1:12" hidden="1">
      <c r="A727" s="409"/>
      <c r="B727" s="428"/>
      <c r="C727" s="409" t="s">
        <v>448</v>
      </c>
      <c r="D727" s="428" t="s">
        <v>119</v>
      </c>
      <c r="E727" s="434">
        <f>3.5*0.526</f>
        <v>1.8410000000000002</v>
      </c>
      <c r="F727" s="434">
        <v>400</v>
      </c>
      <c r="G727" s="425">
        <f>ROUND(E727*F727,2)</f>
        <v>736.4</v>
      </c>
      <c r="H727" s="409"/>
      <c r="I727" s="409"/>
      <c r="J727" s="409"/>
      <c r="K727" s="409"/>
      <c r="L727" s="409"/>
    </row>
    <row r="728" spans="1:12" hidden="1">
      <c r="A728" s="409"/>
      <c r="B728" s="428"/>
      <c r="C728" s="409" t="s">
        <v>449</v>
      </c>
      <c r="D728" s="428" t="s">
        <v>119</v>
      </c>
      <c r="E728" s="434">
        <f>2*0.56</f>
        <v>1.1200000000000001</v>
      </c>
      <c r="F728" s="434">
        <f>F727</f>
        <v>400</v>
      </c>
      <c r="G728" s="425">
        <f>ROUND(E728*F728,2)</f>
        <v>448</v>
      </c>
      <c r="H728" s="409"/>
      <c r="I728" s="409"/>
      <c r="J728" s="409"/>
      <c r="K728" s="409"/>
      <c r="L728" s="409"/>
    </row>
    <row r="729" spans="1:12" ht="13.5" hidden="1" customHeight="1">
      <c r="A729" s="423"/>
      <c r="B729" s="421"/>
      <c r="C729" s="424" t="s">
        <v>592</v>
      </c>
      <c r="D729" s="427">
        <f>D721</f>
        <v>0</v>
      </c>
      <c r="E729" s="415"/>
      <c r="F729" s="422"/>
      <c r="G729" s="442">
        <f>D729*SUM(G727:G728)</f>
        <v>0</v>
      </c>
      <c r="H729" s="422"/>
      <c r="I729" s="409"/>
      <c r="J729" s="409"/>
      <c r="K729" s="409"/>
      <c r="L729" s="409"/>
    </row>
    <row r="730" spans="1:12" hidden="1">
      <c r="A730" s="409"/>
      <c r="B730" s="428"/>
      <c r="C730" s="409"/>
      <c r="D730" s="428"/>
      <c r="E730" s="434"/>
      <c r="F730" s="434"/>
      <c r="G730" s="425">
        <f>SUM(G726:G729)</f>
        <v>2614.15</v>
      </c>
      <c r="H730" s="409"/>
      <c r="I730" s="409"/>
      <c r="J730" s="409"/>
      <c r="K730" s="409"/>
      <c r="L730" s="409"/>
    </row>
    <row r="731" spans="1:12" ht="25" hidden="1">
      <c r="A731" s="409"/>
      <c r="B731" s="428"/>
      <c r="C731" s="435" t="s">
        <v>578</v>
      </c>
      <c r="D731" s="428"/>
      <c r="E731" s="434"/>
      <c r="F731" s="434"/>
      <c r="G731" s="422">
        <f>G730*13.615/100</f>
        <v>355.91652249999999</v>
      </c>
      <c r="H731" s="409"/>
      <c r="I731" s="409"/>
      <c r="J731" s="409"/>
      <c r="K731" s="409"/>
      <c r="L731" s="409"/>
    </row>
    <row r="732" spans="1:12" ht="15.5" hidden="1">
      <c r="A732" s="409"/>
      <c r="B732" s="428"/>
      <c r="C732" s="409"/>
      <c r="D732" s="428"/>
      <c r="E732" s="434"/>
      <c r="F732" s="434"/>
      <c r="G732" s="422">
        <f>SUM(G730:G731)</f>
        <v>2970.0665225000002</v>
      </c>
      <c r="H732" s="409"/>
      <c r="I732" s="409"/>
      <c r="J732" s="409"/>
      <c r="K732" s="409"/>
      <c r="L732" s="409"/>
    </row>
    <row r="733" spans="1:12" ht="12" hidden="1" customHeight="1">
      <c r="A733" s="409"/>
      <c r="B733" s="428"/>
      <c r="C733" s="489" t="s">
        <v>273</v>
      </c>
      <c r="D733" s="420"/>
      <c r="E733" s="420"/>
      <c r="F733" s="420"/>
      <c r="G733" s="428"/>
      <c r="H733" s="409"/>
      <c r="I733" s="409"/>
      <c r="J733" s="409"/>
      <c r="K733" s="409"/>
      <c r="L733" s="409"/>
    </row>
    <row r="734" spans="1:12" ht="12" hidden="1" customHeight="1">
      <c r="A734" s="409"/>
      <c r="B734" s="428"/>
      <c r="C734" s="409" t="s">
        <v>443</v>
      </c>
      <c r="D734" s="428" t="s">
        <v>117</v>
      </c>
      <c r="E734" s="520">
        <v>0.438</v>
      </c>
      <c r="F734" s="434">
        <f>F726</f>
        <v>5070.04</v>
      </c>
      <c r="G734" s="425">
        <f>ROUND(E734*F734,2)</f>
        <v>2220.6799999999998</v>
      </c>
      <c r="H734" s="409"/>
      <c r="I734" s="409"/>
      <c r="J734" s="409"/>
      <c r="K734" s="409"/>
      <c r="L734" s="409"/>
    </row>
    <row r="735" spans="1:12" ht="12" hidden="1" customHeight="1">
      <c r="A735" s="409"/>
      <c r="B735" s="428"/>
      <c r="C735" s="409" t="s">
        <v>448</v>
      </c>
      <c r="D735" s="428" t="s">
        <v>119</v>
      </c>
      <c r="E735" s="434">
        <f>3.5*0.526</f>
        <v>1.8410000000000002</v>
      </c>
      <c r="F735" s="434">
        <f>F727</f>
        <v>400</v>
      </c>
      <c r="G735" s="425">
        <f>ROUND(E735*F735,2)</f>
        <v>736.4</v>
      </c>
      <c r="H735" s="409"/>
      <c r="I735" s="409"/>
      <c r="J735" s="409"/>
      <c r="K735" s="409"/>
      <c r="L735" s="409"/>
    </row>
    <row r="736" spans="1:12" ht="12" hidden="1" customHeight="1">
      <c r="A736" s="409"/>
      <c r="B736" s="428"/>
      <c r="C736" s="409" t="s">
        <v>449</v>
      </c>
      <c r="D736" s="428" t="s">
        <v>119</v>
      </c>
      <c r="E736" s="434">
        <f>2*0.56</f>
        <v>1.1200000000000001</v>
      </c>
      <c r="F736" s="434">
        <f>F728</f>
        <v>400</v>
      </c>
      <c r="G736" s="425">
        <f>ROUND(E736*F736,2)</f>
        <v>448</v>
      </c>
      <c r="H736" s="409"/>
      <c r="I736" s="409"/>
      <c r="J736" s="409"/>
      <c r="K736" s="409"/>
      <c r="L736" s="409"/>
    </row>
    <row r="737" spans="1:12" ht="13.5" hidden="1" customHeight="1">
      <c r="A737" s="423"/>
      <c r="B737" s="421"/>
      <c r="C737" s="424" t="s">
        <v>592</v>
      </c>
      <c r="D737" s="427">
        <f>D729</f>
        <v>0</v>
      </c>
      <c r="E737" s="415"/>
      <c r="F737" s="422"/>
      <c r="G737" s="442">
        <f>D737*SUM(G735:G736)</f>
        <v>0</v>
      </c>
      <c r="H737" s="422"/>
      <c r="I737" s="409"/>
      <c r="J737" s="409"/>
      <c r="K737" s="409"/>
      <c r="L737" s="409"/>
    </row>
    <row r="738" spans="1:12" ht="12" hidden="1" customHeight="1">
      <c r="A738" s="409"/>
      <c r="B738" s="428"/>
      <c r="C738" s="489"/>
      <c r="D738" s="420"/>
      <c r="E738" s="420"/>
      <c r="F738" s="420"/>
      <c r="G738" s="425">
        <f>SUM(G734:G737)</f>
        <v>3405.08</v>
      </c>
      <c r="H738" s="409"/>
      <c r="I738" s="409"/>
      <c r="J738" s="409"/>
      <c r="K738" s="409"/>
      <c r="L738" s="409"/>
    </row>
    <row r="739" spans="1:12" ht="24.75" hidden="1" customHeight="1">
      <c r="A739" s="409"/>
      <c r="B739" s="428"/>
      <c r="C739" s="435" t="s">
        <v>578</v>
      </c>
      <c r="D739" s="420"/>
      <c r="E739" s="420"/>
      <c r="F739" s="420"/>
      <c r="G739" s="422">
        <f>G738*13.615/100</f>
        <v>463.60164199999997</v>
      </c>
      <c r="H739" s="409"/>
      <c r="I739" s="409"/>
      <c r="J739" s="409"/>
      <c r="K739" s="409"/>
      <c r="L739" s="409"/>
    </row>
    <row r="740" spans="1:12" ht="15.5">
      <c r="A740" s="409"/>
      <c r="B740" s="428"/>
      <c r="C740" s="489"/>
      <c r="D740" s="420"/>
      <c r="E740" s="420"/>
      <c r="F740" s="420"/>
      <c r="G740" s="422">
        <f>SUM(G738:G739)</f>
        <v>3868.681642</v>
      </c>
      <c r="H740" s="409"/>
      <c r="I740" s="409"/>
      <c r="J740" s="409"/>
      <c r="K740" s="409"/>
      <c r="L740" s="409"/>
    </row>
    <row r="741" spans="1:12" ht="12" customHeight="1">
      <c r="A741" s="409"/>
      <c r="B741" s="428"/>
      <c r="C741" s="489" t="s">
        <v>274</v>
      </c>
      <c r="D741" s="489"/>
      <c r="E741" s="489"/>
      <c r="F741" s="489"/>
      <c r="G741" s="409"/>
      <c r="H741" s="409"/>
      <c r="I741" s="409"/>
      <c r="J741" s="409"/>
      <c r="K741" s="409"/>
      <c r="L741" s="409"/>
    </row>
    <row r="742" spans="1:12" ht="12" customHeight="1">
      <c r="A742" s="409"/>
      <c r="B742" s="428"/>
      <c r="C742" s="409" t="s">
        <v>443</v>
      </c>
      <c r="D742" s="409" t="s">
        <v>117</v>
      </c>
      <c r="E742" s="519">
        <v>0.45600000000000002</v>
      </c>
      <c r="F742" s="436">
        <f>F734</f>
        <v>5070.04</v>
      </c>
      <c r="G742" s="425">
        <f>ROUND(E742*F742,2)</f>
        <v>2311.94</v>
      </c>
      <c r="H742" s="409"/>
      <c r="I742" s="409"/>
      <c r="J742" s="409"/>
      <c r="K742" s="409"/>
      <c r="L742" s="409"/>
    </row>
    <row r="743" spans="1:12" ht="12" customHeight="1">
      <c r="A743" s="409"/>
      <c r="B743" s="428"/>
      <c r="C743" s="409" t="s">
        <v>553</v>
      </c>
      <c r="D743" s="428" t="s">
        <v>119</v>
      </c>
      <c r="E743" s="436">
        <f>3.75*0.526</f>
        <v>1.9725000000000001</v>
      </c>
      <c r="F743" s="436">
        <f>F736</f>
        <v>400</v>
      </c>
      <c r="G743" s="425">
        <f>ROUND(E743*F743,2)</f>
        <v>789</v>
      </c>
      <c r="H743" s="409"/>
      <c r="I743" s="409"/>
      <c r="J743" s="409"/>
      <c r="K743" s="409"/>
      <c r="L743" s="409"/>
    </row>
    <row r="744" spans="1:12" ht="12" customHeight="1">
      <c r="A744" s="409"/>
      <c r="B744" s="428"/>
      <c r="C744" s="409" t="s">
        <v>449</v>
      </c>
      <c r="D744" s="428" t="s">
        <v>119</v>
      </c>
      <c r="E744" s="436">
        <f>2*0.56</f>
        <v>1.1200000000000001</v>
      </c>
      <c r="F744" s="436">
        <f>F735</f>
        <v>400</v>
      </c>
      <c r="G744" s="425">
        <f>ROUND(E744*F744,2)</f>
        <v>448</v>
      </c>
      <c r="H744" s="409"/>
      <c r="I744" s="409"/>
      <c r="J744" s="409"/>
      <c r="K744" s="409"/>
      <c r="L744" s="409"/>
    </row>
    <row r="745" spans="1:12" ht="13.5" customHeight="1">
      <c r="A745" s="423"/>
      <c r="B745" s="421"/>
      <c r="C745" s="424" t="s">
        <v>592</v>
      </c>
      <c r="D745" s="427">
        <f>D737</f>
        <v>0</v>
      </c>
      <c r="E745" s="415"/>
      <c r="F745" s="422"/>
      <c r="G745" s="442">
        <f>D745*SUM(G743:G744)</f>
        <v>0</v>
      </c>
      <c r="H745" s="422"/>
      <c r="I745" s="409"/>
      <c r="J745" s="409"/>
      <c r="K745" s="409"/>
      <c r="L745" s="409"/>
    </row>
    <row r="746" spans="1:12" ht="12" customHeight="1">
      <c r="A746" s="409"/>
      <c r="B746" s="428"/>
      <c r="C746" s="489"/>
      <c r="D746" s="489"/>
      <c r="E746" s="489"/>
      <c r="F746" s="489"/>
      <c r="G746" s="425">
        <f>SUM(G742:G745)</f>
        <v>3548.94</v>
      </c>
      <c r="H746" s="409"/>
      <c r="I746" s="409"/>
      <c r="J746" s="409"/>
      <c r="K746" s="409"/>
      <c r="L746" s="409"/>
    </row>
    <row r="747" spans="1:12" ht="24.75" customHeight="1">
      <c r="A747" s="409"/>
      <c r="B747" s="428"/>
      <c r="C747" s="435" t="s">
        <v>578</v>
      </c>
      <c r="D747" s="420"/>
      <c r="E747" s="420"/>
      <c r="F747" s="420"/>
      <c r="G747" s="422">
        <f>G746*13.615/100</f>
        <v>483.18818100000004</v>
      </c>
      <c r="H747" s="409"/>
      <c r="I747" s="409"/>
      <c r="J747" s="409"/>
      <c r="K747" s="409"/>
      <c r="L747" s="409"/>
    </row>
    <row r="748" spans="1:12" ht="18.75" customHeight="1">
      <c r="A748" s="409"/>
      <c r="B748" s="428"/>
      <c r="C748" s="489"/>
      <c r="D748" s="420"/>
      <c r="E748" s="420"/>
      <c r="F748" s="420"/>
      <c r="G748" s="422">
        <f>SUM(G746:G747)</f>
        <v>4032.128181</v>
      </c>
      <c r="H748" s="409"/>
      <c r="I748" s="409"/>
      <c r="J748" s="409"/>
      <c r="K748" s="409"/>
      <c r="L748" s="409"/>
    </row>
    <row r="749" spans="1:12" ht="12" hidden="1" customHeight="1">
      <c r="A749" s="409"/>
      <c r="B749" s="428"/>
      <c r="C749" s="489" t="s">
        <v>352</v>
      </c>
      <c r="D749" s="489"/>
      <c r="E749" s="489"/>
      <c r="F749" s="489"/>
      <c r="G749" s="409"/>
      <c r="H749" s="409"/>
      <c r="I749" s="409"/>
      <c r="J749" s="409"/>
      <c r="K749" s="409"/>
      <c r="L749" s="409"/>
    </row>
    <row r="750" spans="1:12" ht="12" hidden="1" customHeight="1">
      <c r="A750" s="409"/>
      <c r="B750" s="428"/>
      <c r="C750" s="409" t="s">
        <v>443</v>
      </c>
      <c r="D750" s="409" t="s">
        <v>117</v>
      </c>
      <c r="E750" s="519">
        <v>0.48099999999999998</v>
      </c>
      <c r="F750" s="436">
        <f>F758</f>
        <v>5070.04</v>
      </c>
      <c r="G750" s="425">
        <f>ROUND(E750*F750,2)</f>
        <v>2438.69</v>
      </c>
      <c r="H750" s="409"/>
      <c r="I750" s="409"/>
      <c r="J750" s="409"/>
      <c r="K750" s="409"/>
      <c r="L750" s="409"/>
    </row>
    <row r="751" spans="1:12" ht="12" hidden="1" customHeight="1">
      <c r="A751" s="409"/>
      <c r="B751" s="428"/>
      <c r="C751" s="409" t="s">
        <v>353</v>
      </c>
      <c r="D751" s="428" t="s">
        <v>119</v>
      </c>
      <c r="E751" s="436">
        <f>4.1*0.526</f>
        <v>2.1566000000000001</v>
      </c>
      <c r="F751" s="436">
        <f>F760</f>
        <v>400</v>
      </c>
      <c r="G751" s="425">
        <f>ROUND(E751*F751,2)</f>
        <v>862.64</v>
      </c>
      <c r="H751" s="409"/>
      <c r="I751" s="409"/>
      <c r="J751" s="409"/>
      <c r="K751" s="409"/>
      <c r="L751" s="409"/>
    </row>
    <row r="752" spans="1:12" ht="12" hidden="1" customHeight="1">
      <c r="A752" s="409"/>
      <c r="B752" s="428"/>
      <c r="C752" s="409" t="s">
        <v>449</v>
      </c>
      <c r="D752" s="428" t="s">
        <v>119</v>
      </c>
      <c r="E752" s="436">
        <f>2*0.56</f>
        <v>1.1200000000000001</v>
      </c>
      <c r="F752" s="436">
        <f>F759</f>
        <v>400</v>
      </c>
      <c r="G752" s="425">
        <f>ROUND(E752*F752,2)</f>
        <v>448</v>
      </c>
      <c r="H752" s="409"/>
      <c r="I752" s="409"/>
      <c r="J752" s="409"/>
      <c r="K752" s="409"/>
      <c r="L752" s="409"/>
    </row>
    <row r="753" spans="1:12" ht="13.5" hidden="1" customHeight="1">
      <c r="A753" s="423"/>
      <c r="B753" s="421"/>
      <c r="C753" s="424" t="s">
        <v>592</v>
      </c>
      <c r="D753" s="427">
        <f>D745</f>
        <v>0</v>
      </c>
      <c r="E753" s="415"/>
      <c r="F753" s="422"/>
      <c r="G753" s="442">
        <f>D753*SUM(G751:G752)</f>
        <v>0</v>
      </c>
      <c r="H753" s="422"/>
      <c r="I753" s="409"/>
      <c r="J753" s="409"/>
      <c r="K753" s="409"/>
      <c r="L753" s="409"/>
    </row>
    <row r="754" spans="1:12" ht="12" hidden="1" customHeight="1">
      <c r="A754" s="409"/>
      <c r="B754" s="428"/>
      <c r="C754" s="489"/>
      <c r="D754" s="489"/>
      <c r="E754" s="489"/>
      <c r="F754" s="489"/>
      <c r="G754" s="425">
        <f>SUM(G750:G753)</f>
        <v>3749.33</v>
      </c>
      <c r="H754" s="409"/>
      <c r="I754" s="409"/>
      <c r="J754" s="409"/>
      <c r="K754" s="409"/>
      <c r="L754" s="409"/>
    </row>
    <row r="755" spans="1:12" ht="25" hidden="1">
      <c r="A755" s="409"/>
      <c r="B755" s="428"/>
      <c r="C755" s="435" t="s">
        <v>578</v>
      </c>
      <c r="D755" s="428"/>
      <c r="E755" s="434"/>
      <c r="F755" s="434"/>
      <c r="G755" s="422">
        <f>G754*13.615/100</f>
        <v>510.47127950000004</v>
      </c>
      <c r="H755" s="409"/>
      <c r="I755" s="409"/>
      <c r="J755" s="409"/>
      <c r="K755" s="409"/>
      <c r="L755" s="409"/>
    </row>
    <row r="756" spans="1:12" ht="15.5" hidden="1">
      <c r="A756" s="409"/>
      <c r="B756" s="428"/>
      <c r="C756" s="435"/>
      <c r="D756" s="428"/>
      <c r="E756" s="434"/>
      <c r="F756" s="434"/>
      <c r="G756" s="422">
        <f>SUM(G754:G755)</f>
        <v>4259.8012794999995</v>
      </c>
      <c r="H756" s="409"/>
      <c r="I756" s="409"/>
      <c r="J756" s="409"/>
      <c r="K756" s="409"/>
      <c r="L756" s="409"/>
    </row>
    <row r="757" spans="1:12" ht="15.75" hidden="1" customHeight="1">
      <c r="A757" s="409"/>
      <c r="B757" s="428"/>
      <c r="C757" s="489" t="s">
        <v>442</v>
      </c>
      <c r="D757" s="420"/>
      <c r="E757" s="420"/>
      <c r="F757" s="420"/>
      <c r="G757" s="428"/>
      <c r="H757" s="409"/>
      <c r="I757" s="409"/>
      <c r="J757" s="409"/>
      <c r="K757" s="409"/>
      <c r="L757" s="409"/>
    </row>
    <row r="758" spans="1:12" hidden="1">
      <c r="A758" s="409"/>
      <c r="B758" s="428"/>
      <c r="C758" s="409" t="s">
        <v>443</v>
      </c>
      <c r="D758" s="428" t="s">
        <v>117</v>
      </c>
      <c r="E758" s="520">
        <v>0.78700000000000003</v>
      </c>
      <c r="F758" s="434">
        <f>F726</f>
        <v>5070.04</v>
      </c>
      <c r="G758" s="425">
        <f>ROUND(E758*F758,2)</f>
        <v>3990.12</v>
      </c>
      <c r="H758" s="409"/>
      <c r="I758" s="409"/>
      <c r="J758" s="409"/>
      <c r="K758" s="409"/>
      <c r="L758" s="409"/>
    </row>
    <row r="759" spans="1:12" hidden="1">
      <c r="A759" s="409"/>
      <c r="B759" s="428"/>
      <c r="C759" s="409" t="s">
        <v>444</v>
      </c>
      <c r="D759" s="428" t="s">
        <v>119</v>
      </c>
      <c r="E759" s="434">
        <f>3.75*0.631</f>
        <v>2.36625</v>
      </c>
      <c r="F759" s="434">
        <f>F735</f>
        <v>400</v>
      </c>
      <c r="G759" s="425">
        <f>ROUND(E759*F759,2)</f>
        <v>946.5</v>
      </c>
      <c r="H759" s="409"/>
      <c r="I759" s="409"/>
      <c r="J759" s="409"/>
      <c r="K759" s="409"/>
      <c r="L759" s="409"/>
    </row>
    <row r="760" spans="1:12" hidden="1">
      <c r="A760" s="409"/>
      <c r="B760" s="428"/>
      <c r="C760" s="409" t="s">
        <v>446</v>
      </c>
      <c r="D760" s="428" t="s">
        <v>119</v>
      </c>
      <c r="E760" s="434">
        <f>2*0.789</f>
        <v>1.5780000000000001</v>
      </c>
      <c r="F760" s="434">
        <f>F736</f>
        <v>400</v>
      </c>
      <c r="G760" s="425">
        <f>ROUND(E760*F760,2)</f>
        <v>631.20000000000005</v>
      </c>
      <c r="H760" s="409"/>
      <c r="I760" s="409"/>
      <c r="J760" s="409"/>
      <c r="K760" s="409"/>
      <c r="L760" s="409"/>
    </row>
    <row r="761" spans="1:12" ht="13.5" hidden="1" customHeight="1">
      <c r="A761" s="423"/>
      <c r="B761" s="421"/>
      <c r="C761" s="424" t="s">
        <v>592</v>
      </c>
      <c r="D761" s="427">
        <f>D753</f>
        <v>0</v>
      </c>
      <c r="E761" s="415"/>
      <c r="F761" s="422"/>
      <c r="G761" s="442">
        <f>D761*SUM(G759:G760)</f>
        <v>0</v>
      </c>
      <c r="H761" s="422"/>
      <c r="I761" s="409"/>
      <c r="J761" s="409"/>
      <c r="K761" s="409"/>
      <c r="L761" s="409"/>
    </row>
    <row r="762" spans="1:12" hidden="1">
      <c r="A762" s="409"/>
      <c r="B762" s="428"/>
      <c r="C762" s="409"/>
      <c r="D762" s="428"/>
      <c r="E762" s="434"/>
      <c r="F762" s="434"/>
      <c r="G762" s="425">
        <f>SUM(G758:G761)</f>
        <v>5567.82</v>
      </c>
      <c r="H762" s="409"/>
      <c r="I762" s="409"/>
      <c r="J762" s="409"/>
      <c r="K762" s="409"/>
      <c r="L762" s="409"/>
    </row>
    <row r="763" spans="1:12" ht="25" hidden="1">
      <c r="A763" s="409"/>
      <c r="B763" s="428"/>
      <c r="C763" s="435" t="s">
        <v>578</v>
      </c>
      <c r="D763" s="428"/>
      <c r="E763" s="434"/>
      <c r="F763" s="434"/>
      <c r="G763" s="422">
        <f>G762*13.615/100</f>
        <v>758.05869299999995</v>
      </c>
      <c r="H763" s="409"/>
      <c r="I763" s="409"/>
      <c r="J763" s="409"/>
      <c r="K763" s="409"/>
      <c r="L763" s="409"/>
    </row>
    <row r="764" spans="1:12" ht="15.5" hidden="1">
      <c r="A764" s="409"/>
      <c r="B764" s="428"/>
      <c r="C764" s="435"/>
      <c r="D764" s="428"/>
      <c r="E764" s="434"/>
      <c r="F764" s="434"/>
      <c r="G764" s="422">
        <f>SUM(G762:G763)</f>
        <v>6325.8786929999997</v>
      </c>
      <c r="H764" s="409"/>
      <c r="I764" s="409"/>
      <c r="J764" s="409"/>
      <c r="K764" s="409"/>
      <c r="L764" s="409"/>
    </row>
    <row r="765" spans="1:12" ht="15.75" hidden="1" customHeight="1">
      <c r="A765" s="409"/>
      <c r="B765" s="428"/>
      <c r="C765" s="489" t="s">
        <v>342</v>
      </c>
      <c r="D765" s="420"/>
      <c r="E765" s="420"/>
      <c r="F765" s="420"/>
      <c r="G765" s="428"/>
      <c r="H765" s="409"/>
      <c r="I765" s="409"/>
      <c r="J765" s="409"/>
      <c r="K765" s="409"/>
      <c r="L765" s="409"/>
    </row>
    <row r="766" spans="1:12" hidden="1">
      <c r="A766" s="409"/>
      <c r="B766" s="428"/>
      <c r="C766" s="409" t="s">
        <v>443</v>
      </c>
      <c r="D766" s="428" t="s">
        <v>117</v>
      </c>
      <c r="E766" s="521">
        <v>0.95399999999999996</v>
      </c>
      <c r="F766" s="434">
        <f>F734</f>
        <v>5070.04</v>
      </c>
      <c r="G766" s="425">
        <f>ROUND(E766*F766,2)</f>
        <v>4836.82</v>
      </c>
      <c r="H766" s="409"/>
      <c r="I766" s="409"/>
      <c r="J766" s="409"/>
      <c r="K766" s="409"/>
      <c r="L766" s="409"/>
    </row>
    <row r="767" spans="1:12" hidden="1">
      <c r="A767" s="409"/>
      <c r="B767" s="428"/>
      <c r="C767" s="409" t="s">
        <v>343</v>
      </c>
      <c r="D767" s="428" t="s">
        <v>119</v>
      </c>
      <c r="E767" s="434">
        <f>4*0.631</f>
        <v>2.524</v>
      </c>
      <c r="F767" s="434">
        <f>F759</f>
        <v>400</v>
      </c>
      <c r="G767" s="425">
        <f>ROUND(E767*F767,2)</f>
        <v>1009.6</v>
      </c>
      <c r="H767" s="409"/>
      <c r="I767" s="409"/>
      <c r="J767" s="409"/>
      <c r="K767" s="409"/>
      <c r="L767" s="409"/>
    </row>
    <row r="768" spans="1:12" hidden="1">
      <c r="A768" s="409"/>
      <c r="B768" s="428"/>
      <c r="C768" s="409" t="s">
        <v>446</v>
      </c>
      <c r="D768" s="428" t="s">
        <v>119</v>
      </c>
      <c r="E768" s="434">
        <f>2*0.789</f>
        <v>1.5780000000000001</v>
      </c>
      <c r="F768" s="434">
        <f>F760</f>
        <v>400</v>
      </c>
      <c r="G768" s="425">
        <f>ROUND(E768*F768,2)</f>
        <v>631.20000000000005</v>
      </c>
      <c r="H768" s="409"/>
      <c r="I768" s="409"/>
      <c r="J768" s="409"/>
      <c r="K768" s="409"/>
      <c r="L768" s="409"/>
    </row>
    <row r="769" spans="1:12" ht="13.5" hidden="1" customHeight="1">
      <c r="A769" s="423"/>
      <c r="B769" s="421"/>
      <c r="C769" s="424" t="s">
        <v>592</v>
      </c>
      <c r="D769" s="427">
        <f>D761</f>
        <v>0</v>
      </c>
      <c r="E769" s="415"/>
      <c r="F769" s="422"/>
      <c r="G769" s="442">
        <f>D769*SUM(G767:G768)</f>
        <v>0</v>
      </c>
      <c r="H769" s="422"/>
      <c r="I769" s="409"/>
      <c r="J769" s="409"/>
      <c r="K769" s="409"/>
      <c r="L769" s="409"/>
    </row>
    <row r="770" spans="1:12" hidden="1">
      <c r="A770" s="409"/>
      <c r="B770" s="428"/>
      <c r="C770" s="409"/>
      <c r="D770" s="428"/>
      <c r="E770" s="434"/>
      <c r="F770" s="434"/>
      <c r="G770" s="425">
        <f>SUM(G766:G769)</f>
        <v>6477.62</v>
      </c>
      <c r="H770" s="409"/>
      <c r="I770" s="409"/>
      <c r="J770" s="409"/>
      <c r="K770" s="409"/>
      <c r="L770" s="409"/>
    </row>
    <row r="771" spans="1:12" ht="25" hidden="1">
      <c r="A771" s="409"/>
      <c r="B771" s="428"/>
      <c r="C771" s="435" t="s">
        <v>578</v>
      </c>
      <c r="D771" s="428"/>
      <c r="E771" s="434"/>
      <c r="F771" s="434"/>
      <c r="G771" s="422">
        <f>G770*13.615/100</f>
        <v>881.92796299999998</v>
      </c>
      <c r="H771" s="409"/>
      <c r="I771" s="409"/>
      <c r="J771" s="409"/>
      <c r="K771" s="409"/>
      <c r="L771" s="409"/>
    </row>
    <row r="772" spans="1:12" ht="15.5" hidden="1">
      <c r="A772" s="409"/>
      <c r="B772" s="428"/>
      <c r="C772" s="435"/>
      <c r="D772" s="428"/>
      <c r="E772" s="434"/>
      <c r="F772" s="434"/>
      <c r="G772" s="422">
        <f>SUM(G770:G771)</f>
        <v>7359.547963</v>
      </c>
      <c r="H772" s="409"/>
      <c r="I772" s="409"/>
      <c r="J772" s="409"/>
      <c r="K772" s="409"/>
      <c r="L772" s="409"/>
    </row>
    <row r="773" spans="1:12" ht="40.5" hidden="1" customHeight="1">
      <c r="A773" s="411" t="s">
        <v>330</v>
      </c>
      <c r="B773" s="428"/>
      <c r="C773" s="2219" t="s">
        <v>331</v>
      </c>
      <c r="D773" s="2219"/>
      <c r="E773" s="2219"/>
      <c r="F773" s="2219"/>
      <c r="G773" s="428"/>
      <c r="H773" s="409"/>
      <c r="I773" s="409"/>
      <c r="J773" s="409"/>
      <c r="K773" s="409"/>
      <c r="L773" s="409"/>
    </row>
    <row r="774" spans="1:12" hidden="1">
      <c r="A774" s="409"/>
      <c r="B774" s="428"/>
      <c r="C774" s="435" t="s">
        <v>332</v>
      </c>
      <c r="D774" s="428"/>
      <c r="E774" s="428"/>
      <c r="F774" s="428"/>
      <c r="G774" s="428" t="s">
        <v>613</v>
      </c>
      <c r="H774" s="428" t="s">
        <v>611</v>
      </c>
      <c r="I774" s="428" t="s">
        <v>614</v>
      </c>
      <c r="J774" s="409"/>
      <c r="K774" s="409"/>
      <c r="L774" s="409"/>
    </row>
    <row r="775" spans="1:12" hidden="1">
      <c r="A775" s="409"/>
      <c r="B775" s="428"/>
      <c r="C775" s="437" t="s">
        <v>333</v>
      </c>
      <c r="D775" s="411" t="s">
        <v>181</v>
      </c>
      <c r="E775" s="438">
        <v>1</v>
      </c>
      <c r="F775" s="438">
        <f>G117</f>
        <v>3252.0491999999999</v>
      </c>
      <c r="G775" s="487">
        <f>ROUND(E775*F775,2)</f>
        <v>3252.05</v>
      </c>
      <c r="H775" s="436">
        <f t="shared" ref="H775:I777" si="23">G775</f>
        <v>3252.05</v>
      </c>
      <c r="I775" s="436">
        <f t="shared" si="23"/>
        <v>3252.05</v>
      </c>
      <c r="J775" s="409"/>
      <c r="K775" s="409"/>
      <c r="L775" s="409"/>
    </row>
    <row r="776" spans="1:12" hidden="1">
      <c r="A776" s="409"/>
      <c r="B776" s="428"/>
      <c r="C776" s="437" t="s">
        <v>334</v>
      </c>
      <c r="D776" s="411" t="s">
        <v>181</v>
      </c>
      <c r="E776" s="438">
        <v>0.25</v>
      </c>
      <c r="F776" s="438">
        <v>1288.6400000000001</v>
      </c>
      <c r="G776" s="487">
        <f>E776*F776</f>
        <v>322.16000000000003</v>
      </c>
      <c r="H776" s="436">
        <f t="shared" si="23"/>
        <v>322.16000000000003</v>
      </c>
      <c r="I776" s="436">
        <f t="shared" si="23"/>
        <v>322.16000000000003</v>
      </c>
      <c r="J776" s="409"/>
      <c r="K776" s="409"/>
      <c r="L776" s="409"/>
    </row>
    <row r="777" spans="1:12" hidden="1">
      <c r="A777" s="409"/>
      <c r="B777" s="428"/>
      <c r="C777" s="437" t="s">
        <v>218</v>
      </c>
      <c r="D777" s="411" t="s">
        <v>207</v>
      </c>
      <c r="E777" s="438">
        <v>120</v>
      </c>
      <c r="F777" s="438">
        <v>4.8</v>
      </c>
      <c r="G777" s="487">
        <f>E777*F777</f>
        <v>576</v>
      </c>
      <c r="H777" s="436">
        <f t="shared" si="23"/>
        <v>576</v>
      </c>
      <c r="I777" s="436">
        <f t="shared" si="23"/>
        <v>576</v>
      </c>
      <c r="J777" s="409"/>
      <c r="K777" s="409"/>
      <c r="L777" s="409"/>
    </row>
    <row r="778" spans="1:12" hidden="1">
      <c r="A778" s="409"/>
      <c r="B778" s="428"/>
      <c r="C778" s="435" t="s">
        <v>278</v>
      </c>
      <c r="D778" s="420"/>
      <c r="E778" s="487"/>
      <c r="F778" s="487"/>
      <c r="G778" s="487"/>
      <c r="H778" s="436"/>
      <c r="I778" s="436"/>
      <c r="J778" s="409"/>
      <c r="K778" s="409"/>
      <c r="L778" s="409"/>
    </row>
    <row r="779" spans="1:12" hidden="1">
      <c r="A779" s="409"/>
      <c r="B779" s="428"/>
      <c r="C779" s="435" t="s">
        <v>401</v>
      </c>
      <c r="D779" s="420" t="s">
        <v>119</v>
      </c>
      <c r="E779" s="487">
        <v>0.15</v>
      </c>
      <c r="F779" s="487">
        <f>F691</f>
        <v>490</v>
      </c>
      <c r="G779" s="487">
        <f>E779*F779</f>
        <v>73.5</v>
      </c>
      <c r="H779" s="436">
        <f t="shared" ref="H779:I781" si="24">G779</f>
        <v>73.5</v>
      </c>
      <c r="I779" s="436">
        <f t="shared" si="24"/>
        <v>73.5</v>
      </c>
      <c r="J779" s="409"/>
      <c r="K779" s="409"/>
      <c r="L779" s="409"/>
    </row>
    <row r="780" spans="1:12" hidden="1">
      <c r="A780" s="409"/>
      <c r="B780" s="428"/>
      <c r="C780" s="435" t="s">
        <v>402</v>
      </c>
      <c r="D780" s="420" t="s">
        <v>119</v>
      </c>
      <c r="E780" s="487">
        <v>0.35</v>
      </c>
      <c r="F780" s="487">
        <f>F692</f>
        <v>440</v>
      </c>
      <c r="G780" s="487">
        <f>E780*F780</f>
        <v>154</v>
      </c>
      <c r="H780" s="436">
        <f t="shared" si="24"/>
        <v>154</v>
      </c>
      <c r="I780" s="436">
        <f t="shared" si="24"/>
        <v>154</v>
      </c>
      <c r="J780" s="409"/>
      <c r="K780" s="409"/>
      <c r="L780" s="409"/>
    </row>
    <row r="781" spans="1:12" hidden="1">
      <c r="A781" s="409"/>
      <c r="B781" s="428"/>
      <c r="C781" s="435" t="s">
        <v>268</v>
      </c>
      <c r="D781" s="420" t="s">
        <v>119</v>
      </c>
      <c r="E781" s="487">
        <v>5.4</v>
      </c>
      <c r="F781" s="487">
        <f>F693</f>
        <v>400</v>
      </c>
      <c r="G781" s="487">
        <f>E781*F781</f>
        <v>2160</v>
      </c>
      <c r="H781" s="436">
        <f t="shared" si="24"/>
        <v>2160</v>
      </c>
      <c r="I781" s="436">
        <f t="shared" si="24"/>
        <v>2160</v>
      </c>
      <c r="J781" s="409"/>
      <c r="K781" s="409"/>
      <c r="L781" s="409"/>
    </row>
    <row r="782" spans="1:12" ht="13.5" hidden="1" customHeight="1">
      <c r="A782" s="423"/>
      <c r="B782" s="421"/>
      <c r="C782" s="424" t="s">
        <v>615</v>
      </c>
      <c r="D782" s="427"/>
      <c r="E782" s="415"/>
      <c r="F782" s="422"/>
      <c r="G782" s="442"/>
      <c r="H782" s="442">
        <f>SUM(H779:H781)*10/100</f>
        <v>238.75</v>
      </c>
      <c r="I782" s="442">
        <f>SUM(I779:I781)*20/100</f>
        <v>477.5</v>
      </c>
      <c r="J782" s="409"/>
      <c r="K782" s="409"/>
      <c r="L782" s="409"/>
    </row>
    <row r="783" spans="1:12" ht="13.5" hidden="1" customHeight="1">
      <c r="A783" s="423"/>
      <c r="B783" s="421"/>
      <c r="C783" s="424" t="s">
        <v>592</v>
      </c>
      <c r="D783" s="427">
        <f>D769</f>
        <v>0</v>
      </c>
      <c r="E783" s="415"/>
      <c r="F783" s="422"/>
      <c r="G783" s="442">
        <f>D783*SUM(G779:G781)</f>
        <v>0</v>
      </c>
      <c r="H783" s="442">
        <f>D783*SUM(H779:H782)</f>
        <v>0</v>
      </c>
      <c r="I783" s="442">
        <f>D783*SUM(I779:I782)</f>
        <v>0</v>
      </c>
      <c r="J783" s="409"/>
      <c r="K783" s="409"/>
      <c r="L783" s="409"/>
    </row>
    <row r="784" spans="1:12" hidden="1">
      <c r="A784" s="409"/>
      <c r="B784" s="428"/>
      <c r="C784" s="435" t="s">
        <v>488</v>
      </c>
      <c r="D784" s="420"/>
      <c r="E784" s="487"/>
      <c r="F784" s="487"/>
      <c r="G784" s="487"/>
      <c r="H784" s="409"/>
      <c r="I784" s="409"/>
      <c r="J784" s="409"/>
      <c r="K784" s="409"/>
      <c r="L784" s="409"/>
    </row>
    <row r="785" spans="1:12" hidden="1">
      <c r="A785" s="409"/>
      <c r="B785" s="428"/>
      <c r="C785" s="435" t="s">
        <v>335</v>
      </c>
      <c r="D785" s="420"/>
      <c r="E785" s="487"/>
      <c r="F785" s="487"/>
      <c r="G785" s="425">
        <f>SUM(G775:G784)</f>
        <v>6537.71</v>
      </c>
      <c r="H785" s="425">
        <f>SUM(H775:H784)</f>
        <v>6776.46</v>
      </c>
      <c r="I785" s="425">
        <f>SUM(I775:I784)</f>
        <v>7015.21</v>
      </c>
      <c r="J785" s="409"/>
      <c r="K785" s="409"/>
      <c r="L785" s="409"/>
    </row>
    <row r="786" spans="1:12" ht="17.25" hidden="1" customHeight="1">
      <c r="A786" s="409"/>
      <c r="B786" s="428"/>
      <c r="C786" s="435" t="s">
        <v>336</v>
      </c>
      <c r="D786" s="420"/>
      <c r="E786" s="487"/>
      <c r="F786" s="487"/>
      <c r="G786" s="487">
        <f>G785/10</f>
        <v>653.77099999999996</v>
      </c>
      <c r="H786" s="487">
        <f>H785/10</f>
        <v>677.64599999999996</v>
      </c>
      <c r="I786" s="487">
        <f>I785/10</f>
        <v>701.52099999999996</v>
      </c>
      <c r="J786" s="409"/>
      <c r="K786" s="409"/>
      <c r="L786" s="409"/>
    </row>
    <row r="787" spans="1:12" ht="15.5" hidden="1">
      <c r="A787" s="409"/>
      <c r="B787" s="428"/>
      <c r="C787" s="435"/>
      <c r="D787" s="420"/>
      <c r="E787" s="487"/>
      <c r="F787" s="487"/>
      <c r="G787" s="422">
        <f>SUM(G786:G786)</f>
        <v>653.77099999999996</v>
      </c>
      <c r="H787" s="422">
        <f>SUM(H786:H786)</f>
        <v>677.64599999999996</v>
      </c>
      <c r="I787" s="409"/>
      <c r="J787" s="409"/>
      <c r="K787" s="409"/>
      <c r="L787" s="409"/>
    </row>
    <row r="788" spans="1:12" s="496" customFormat="1" ht="27.75" hidden="1" customHeight="1">
      <c r="A788" s="411" t="s">
        <v>102</v>
      </c>
      <c r="B788" s="411">
        <v>19</v>
      </c>
      <c r="C788" s="2219" t="s">
        <v>344</v>
      </c>
      <c r="D788" s="2219"/>
      <c r="E788" s="2219"/>
      <c r="F788" s="2219"/>
      <c r="G788" s="420"/>
      <c r="H788" s="435"/>
      <c r="I788" s="435"/>
      <c r="J788" s="435"/>
      <c r="K788" s="435"/>
      <c r="L788" s="435"/>
    </row>
    <row r="789" spans="1:12" s="496" customFormat="1" hidden="1">
      <c r="A789" s="411"/>
      <c r="B789" s="411"/>
      <c r="C789" s="435" t="s">
        <v>23</v>
      </c>
      <c r="D789" s="420"/>
      <c r="E789" s="420"/>
      <c r="F789" s="420"/>
      <c r="G789" s="420"/>
      <c r="H789" s="435"/>
      <c r="I789" s="435"/>
      <c r="J789" s="435"/>
      <c r="K789" s="435"/>
      <c r="L789" s="435"/>
    </row>
    <row r="790" spans="1:12" s="496" customFormat="1" hidden="1">
      <c r="A790" s="411"/>
      <c r="B790" s="411"/>
      <c r="C790" s="435" t="s">
        <v>24</v>
      </c>
      <c r="D790" s="420"/>
      <c r="E790" s="420"/>
      <c r="F790" s="420"/>
      <c r="G790" s="420"/>
      <c r="H790" s="435"/>
      <c r="I790" s="435"/>
      <c r="J790" s="435"/>
      <c r="K790" s="435"/>
      <c r="L790" s="435"/>
    </row>
    <row r="791" spans="1:12" s="496" customFormat="1" hidden="1">
      <c r="A791" s="411"/>
      <c r="B791" s="411"/>
      <c r="C791" s="435" t="s">
        <v>345</v>
      </c>
      <c r="D791" s="420"/>
      <c r="E791" s="420"/>
      <c r="F791" s="420"/>
      <c r="G791" s="428" t="s">
        <v>613</v>
      </c>
      <c r="H791" s="428" t="s">
        <v>611</v>
      </c>
      <c r="I791" s="428" t="s">
        <v>614</v>
      </c>
      <c r="J791" s="435"/>
      <c r="K791" s="435"/>
      <c r="L791" s="435"/>
    </row>
    <row r="792" spans="1:12" s="496" customFormat="1" hidden="1">
      <c r="A792" s="411"/>
      <c r="B792" s="411"/>
      <c r="C792" s="435" t="s">
        <v>218</v>
      </c>
      <c r="D792" s="420" t="s">
        <v>131</v>
      </c>
      <c r="E792" s="420">
        <v>39.6</v>
      </c>
      <c r="F792" s="487">
        <v>4.8</v>
      </c>
      <c r="G792" s="487">
        <f>E792*F792</f>
        <v>190.08</v>
      </c>
      <c r="H792" s="522">
        <f>G792</f>
        <v>190.08</v>
      </c>
      <c r="I792" s="522">
        <f>H792</f>
        <v>190.08</v>
      </c>
      <c r="J792" s="435"/>
      <c r="K792" s="435"/>
      <c r="L792" s="435"/>
    </row>
    <row r="793" spans="1:12" s="496" customFormat="1" hidden="1">
      <c r="A793" s="411"/>
      <c r="B793" s="411"/>
      <c r="C793" s="435" t="s">
        <v>263</v>
      </c>
      <c r="D793" s="420" t="s">
        <v>117</v>
      </c>
      <c r="E793" s="420">
        <v>0.11</v>
      </c>
      <c r="F793" s="487">
        <v>349.58</v>
      </c>
      <c r="G793" s="487">
        <f>E793*F793</f>
        <v>38.453800000000001</v>
      </c>
      <c r="H793" s="522">
        <f>G793</f>
        <v>38.453800000000001</v>
      </c>
      <c r="I793" s="522">
        <f>H793</f>
        <v>38.453800000000001</v>
      </c>
      <c r="J793" s="435"/>
      <c r="K793" s="435"/>
      <c r="L793" s="435"/>
    </row>
    <row r="794" spans="1:12" s="496" customFormat="1" hidden="1">
      <c r="A794" s="411"/>
      <c r="B794" s="411"/>
      <c r="C794" s="435" t="s">
        <v>346</v>
      </c>
      <c r="D794" s="420"/>
      <c r="E794" s="420"/>
      <c r="F794" s="420"/>
      <c r="G794" s="487"/>
      <c r="H794" s="522"/>
      <c r="I794" s="522"/>
      <c r="J794" s="435"/>
      <c r="K794" s="435"/>
      <c r="L794" s="435"/>
    </row>
    <row r="795" spans="1:12" s="496" customFormat="1" hidden="1">
      <c r="A795" s="411"/>
      <c r="B795" s="411"/>
      <c r="C795" s="435" t="s">
        <v>218</v>
      </c>
      <c r="D795" s="420" t="s">
        <v>131</v>
      </c>
      <c r="E795" s="420">
        <v>28.8</v>
      </c>
      <c r="F795" s="487">
        <f>F792</f>
        <v>4.8</v>
      </c>
      <c r="G795" s="487">
        <f>E795*F795</f>
        <v>138.24</v>
      </c>
      <c r="H795" s="522">
        <f>G795</f>
        <v>138.24</v>
      </c>
      <c r="I795" s="522">
        <f>H795</f>
        <v>138.24</v>
      </c>
      <c r="J795" s="435"/>
      <c r="K795" s="435"/>
      <c r="L795" s="435"/>
    </row>
    <row r="796" spans="1:12" s="496" customFormat="1" hidden="1">
      <c r="A796" s="411"/>
      <c r="B796" s="411"/>
      <c r="C796" s="435" t="s">
        <v>263</v>
      </c>
      <c r="D796" s="420" t="s">
        <v>117</v>
      </c>
      <c r="E796" s="420">
        <v>0.04</v>
      </c>
      <c r="F796" s="487">
        <f>F793</f>
        <v>349.58</v>
      </c>
      <c r="G796" s="487">
        <f>E796*F796</f>
        <v>13.9832</v>
      </c>
      <c r="H796" s="522">
        <f>G796</f>
        <v>13.9832</v>
      </c>
      <c r="I796" s="522">
        <f>H796</f>
        <v>13.9832</v>
      </c>
      <c r="J796" s="435"/>
      <c r="K796" s="435"/>
      <c r="L796" s="435"/>
    </row>
    <row r="797" spans="1:12" s="496" customFormat="1" hidden="1">
      <c r="A797" s="411"/>
      <c r="B797" s="411"/>
      <c r="C797" s="435" t="s">
        <v>278</v>
      </c>
      <c r="D797" s="420"/>
      <c r="E797" s="420"/>
      <c r="F797" s="420"/>
      <c r="G797" s="487"/>
      <c r="H797" s="522"/>
      <c r="I797" s="522"/>
      <c r="J797" s="435"/>
      <c r="K797" s="435"/>
      <c r="L797" s="435"/>
    </row>
    <row r="798" spans="1:12" s="496" customFormat="1" hidden="1">
      <c r="A798" s="411"/>
      <c r="B798" s="411"/>
      <c r="C798" s="435" t="s">
        <v>401</v>
      </c>
      <c r="D798" s="420" t="s">
        <v>119</v>
      </c>
      <c r="E798" s="420">
        <v>0.63</v>
      </c>
      <c r="F798" s="487">
        <v>490</v>
      </c>
      <c r="G798" s="487">
        <f>E798*F798</f>
        <v>308.7</v>
      </c>
      <c r="H798" s="522">
        <f t="shared" ref="H798:I800" si="25">G798</f>
        <v>308.7</v>
      </c>
      <c r="I798" s="522">
        <f t="shared" si="25"/>
        <v>308.7</v>
      </c>
      <c r="J798" s="435"/>
      <c r="K798" s="435"/>
      <c r="L798" s="435"/>
    </row>
    <row r="799" spans="1:12" s="496" customFormat="1" hidden="1">
      <c r="A799" s="411"/>
      <c r="B799" s="411"/>
      <c r="C799" s="435" t="s">
        <v>402</v>
      </c>
      <c r="D799" s="420" t="s">
        <v>119</v>
      </c>
      <c r="E799" s="420">
        <v>1.47</v>
      </c>
      <c r="F799" s="487">
        <v>440</v>
      </c>
      <c r="G799" s="487">
        <f>E799*F799</f>
        <v>646.79999999999995</v>
      </c>
      <c r="H799" s="522">
        <f t="shared" si="25"/>
        <v>646.79999999999995</v>
      </c>
      <c r="I799" s="522">
        <f t="shared" si="25"/>
        <v>646.79999999999995</v>
      </c>
      <c r="J799" s="435"/>
      <c r="K799" s="435"/>
      <c r="L799" s="435"/>
    </row>
    <row r="800" spans="1:12" s="496" customFormat="1" hidden="1">
      <c r="A800" s="411"/>
      <c r="B800" s="411"/>
      <c r="C800" s="435" t="s">
        <v>268</v>
      </c>
      <c r="D800" s="420" t="s">
        <v>119</v>
      </c>
      <c r="E800" s="420">
        <v>3.9</v>
      </c>
      <c r="F800" s="487">
        <v>400</v>
      </c>
      <c r="G800" s="487">
        <f>E800*F800</f>
        <v>1560</v>
      </c>
      <c r="H800" s="522">
        <f t="shared" si="25"/>
        <v>1560</v>
      </c>
      <c r="I800" s="522">
        <f t="shared" si="25"/>
        <v>1560</v>
      </c>
      <c r="J800" s="435"/>
      <c r="K800" s="435"/>
      <c r="L800" s="435"/>
    </row>
    <row r="801" spans="1:12" ht="13.5" hidden="1" customHeight="1">
      <c r="A801" s="423"/>
      <c r="B801" s="421"/>
      <c r="C801" s="424" t="s">
        <v>615</v>
      </c>
      <c r="D801" s="427"/>
      <c r="E801" s="415"/>
      <c r="F801" s="422"/>
      <c r="G801" s="442"/>
      <c r="H801" s="465">
        <f>SUM(H798:H800)*10/100</f>
        <v>251.55</v>
      </c>
      <c r="I801" s="465">
        <f>SUM(I798:I800)*20/100</f>
        <v>503.1</v>
      </c>
      <c r="J801" s="409"/>
      <c r="K801" s="409"/>
      <c r="L801" s="409"/>
    </row>
    <row r="802" spans="1:12" ht="13.5" hidden="1" customHeight="1">
      <c r="A802" s="423"/>
      <c r="B802" s="421"/>
      <c r="C802" s="424" t="s">
        <v>592</v>
      </c>
      <c r="D802" s="427">
        <f>D783</f>
        <v>0</v>
      </c>
      <c r="E802" s="415"/>
      <c r="F802" s="422"/>
      <c r="G802" s="442">
        <f>D802*SUM(G798:G800)</f>
        <v>0</v>
      </c>
      <c r="H802" s="465">
        <f>D802*SUM(H798:H801)</f>
        <v>0</v>
      </c>
      <c r="I802" s="465">
        <f>D802*SUM(I798:I801)</f>
        <v>0</v>
      </c>
      <c r="J802" s="409"/>
      <c r="K802" s="409"/>
      <c r="L802" s="409"/>
    </row>
    <row r="803" spans="1:12" s="496" customFormat="1" hidden="1">
      <c r="A803" s="411"/>
      <c r="B803" s="411"/>
      <c r="C803" s="435" t="s">
        <v>335</v>
      </c>
      <c r="D803" s="420"/>
      <c r="E803" s="420"/>
      <c r="F803" s="420"/>
      <c r="G803" s="487">
        <f>SUM(G792:G802)</f>
        <v>2896.2570000000001</v>
      </c>
      <c r="H803" s="523">
        <f>SUM(H792:H802)</f>
        <v>3147.8070000000002</v>
      </c>
      <c r="I803" s="523">
        <f>SUM(I792:I802)</f>
        <v>3399.357</v>
      </c>
      <c r="J803" s="435"/>
      <c r="K803" s="435"/>
      <c r="L803" s="435"/>
    </row>
    <row r="804" spans="1:12" s="496" customFormat="1" hidden="1">
      <c r="A804" s="411"/>
      <c r="B804" s="411"/>
      <c r="C804" s="435" t="s">
        <v>336</v>
      </c>
      <c r="D804" s="420"/>
      <c r="E804" s="420"/>
      <c r="F804" s="420"/>
      <c r="G804" s="487">
        <f>G803/10</f>
        <v>289.62569999999999</v>
      </c>
      <c r="H804" s="523">
        <f>H803/10</f>
        <v>314.78070000000002</v>
      </c>
      <c r="I804" s="523">
        <f>I803/10</f>
        <v>339.9357</v>
      </c>
      <c r="J804" s="435"/>
      <c r="K804" s="435"/>
      <c r="L804" s="435"/>
    </row>
    <row r="805" spans="1:12" s="496" customFormat="1" ht="108.75" hidden="1" customHeight="1">
      <c r="A805" s="411" t="s">
        <v>26</v>
      </c>
      <c r="B805" s="411">
        <v>20</v>
      </c>
      <c r="C805" s="2219" t="s">
        <v>27</v>
      </c>
      <c r="D805" s="2219"/>
      <c r="E805" s="2219"/>
      <c r="F805" s="2219"/>
      <c r="G805" s="420"/>
      <c r="H805" s="435"/>
      <c r="I805" s="435"/>
      <c r="J805" s="435"/>
      <c r="K805" s="435"/>
      <c r="L805" s="435"/>
    </row>
    <row r="806" spans="1:12" s="496" customFormat="1" hidden="1">
      <c r="A806" s="411"/>
      <c r="B806" s="411"/>
      <c r="C806" s="435" t="s">
        <v>332</v>
      </c>
      <c r="D806" s="420"/>
      <c r="E806" s="420"/>
      <c r="F806" s="420"/>
      <c r="G806" s="420"/>
      <c r="H806" s="435"/>
      <c r="I806" s="435"/>
      <c r="J806" s="435"/>
      <c r="K806" s="435"/>
      <c r="L806" s="435"/>
    </row>
    <row r="807" spans="1:12" s="496" customFormat="1" hidden="1">
      <c r="A807" s="411"/>
      <c r="B807" s="411"/>
      <c r="C807" s="435" t="s">
        <v>28</v>
      </c>
      <c r="D807" s="420"/>
      <c r="E807" s="420"/>
      <c r="F807" s="420"/>
      <c r="G807" s="428" t="s">
        <v>613</v>
      </c>
      <c r="H807" s="428" t="s">
        <v>611</v>
      </c>
      <c r="I807" s="428" t="s">
        <v>614</v>
      </c>
      <c r="J807" s="435"/>
      <c r="K807" s="435"/>
      <c r="L807" s="435"/>
    </row>
    <row r="808" spans="1:12" s="496" customFormat="1" ht="13.5" hidden="1" customHeight="1">
      <c r="A808" s="411"/>
      <c r="B808" s="411"/>
      <c r="C808" s="435" t="s">
        <v>29</v>
      </c>
      <c r="D808" s="420" t="s">
        <v>113</v>
      </c>
      <c r="E808" s="487">
        <v>13.3</v>
      </c>
      <c r="F808" s="487">
        <v>15</v>
      </c>
      <c r="G808" s="487">
        <f>E808*F808</f>
        <v>199.5</v>
      </c>
      <c r="H808" s="487">
        <f t="shared" ref="H808:I811" si="26">G808</f>
        <v>199.5</v>
      </c>
      <c r="I808" s="487">
        <f t="shared" si="26"/>
        <v>199.5</v>
      </c>
      <c r="J808" s="435"/>
      <c r="K808" s="435"/>
      <c r="L808" s="435"/>
    </row>
    <row r="809" spans="1:12" s="496" customFormat="1" ht="13.5" hidden="1" customHeight="1">
      <c r="A809" s="411"/>
      <c r="B809" s="411"/>
      <c r="C809" s="435" t="s">
        <v>30</v>
      </c>
      <c r="D809" s="420" t="s">
        <v>117</v>
      </c>
      <c r="E809" s="487">
        <v>0.25</v>
      </c>
      <c r="F809" s="487">
        <f>G64</f>
        <v>2783.06</v>
      </c>
      <c r="G809" s="487">
        <f>E809*F809</f>
        <v>695.76499999999999</v>
      </c>
      <c r="H809" s="487">
        <f t="shared" si="26"/>
        <v>695.76499999999999</v>
      </c>
      <c r="I809" s="487">
        <f t="shared" si="26"/>
        <v>695.76499999999999</v>
      </c>
      <c r="J809" s="435"/>
      <c r="K809" s="435"/>
      <c r="L809" s="435"/>
    </row>
    <row r="810" spans="1:12" s="496" customFormat="1" ht="13.5" hidden="1" customHeight="1">
      <c r="A810" s="411"/>
      <c r="B810" s="411"/>
      <c r="C810" s="435" t="s">
        <v>31</v>
      </c>
      <c r="D810" s="420" t="s">
        <v>131</v>
      </c>
      <c r="E810" s="487">
        <v>50</v>
      </c>
      <c r="F810" s="487">
        <v>4.8</v>
      </c>
      <c r="G810" s="487">
        <f>E810*F810</f>
        <v>240</v>
      </c>
      <c r="H810" s="487">
        <f t="shared" si="26"/>
        <v>240</v>
      </c>
      <c r="I810" s="487">
        <f t="shared" si="26"/>
        <v>240</v>
      </c>
      <c r="J810" s="435"/>
      <c r="K810" s="435"/>
      <c r="L810" s="435"/>
    </row>
    <row r="811" spans="1:12" s="496" customFormat="1" ht="13.5" hidden="1" customHeight="1">
      <c r="A811" s="411"/>
      <c r="B811" s="411"/>
      <c r="C811" s="435" t="s">
        <v>32</v>
      </c>
      <c r="D811" s="420" t="s">
        <v>113</v>
      </c>
      <c r="E811" s="487">
        <v>21.8</v>
      </c>
      <c r="F811" s="487">
        <f>G804</f>
        <v>289.62569999999999</v>
      </c>
      <c r="G811" s="487">
        <f>E811*F811</f>
        <v>6313.8402599999999</v>
      </c>
      <c r="H811" s="487">
        <f t="shared" si="26"/>
        <v>6313.8402599999999</v>
      </c>
      <c r="I811" s="487">
        <f t="shared" si="26"/>
        <v>6313.8402599999999</v>
      </c>
      <c r="J811" s="435"/>
      <c r="K811" s="435"/>
      <c r="L811" s="435"/>
    </row>
    <row r="812" spans="1:12" s="496" customFormat="1" ht="13.5" hidden="1" customHeight="1">
      <c r="A812" s="411"/>
      <c r="B812" s="411"/>
      <c r="C812" s="435" t="s">
        <v>33</v>
      </c>
      <c r="D812" s="420"/>
      <c r="E812" s="487"/>
      <c r="F812" s="487"/>
      <c r="G812" s="487"/>
      <c r="H812" s="487"/>
      <c r="I812" s="487"/>
      <c r="J812" s="435"/>
      <c r="K812" s="435"/>
      <c r="L812" s="435"/>
    </row>
    <row r="813" spans="1:12" s="496" customFormat="1" ht="13.5" hidden="1" customHeight="1">
      <c r="A813" s="411"/>
      <c r="B813" s="411"/>
      <c r="C813" s="435" t="s">
        <v>34</v>
      </c>
      <c r="D813" s="420"/>
      <c r="E813" s="487"/>
      <c r="F813" s="487"/>
      <c r="G813" s="487"/>
      <c r="H813" s="487"/>
      <c r="I813" s="487"/>
      <c r="J813" s="435"/>
      <c r="K813" s="435"/>
      <c r="L813" s="435"/>
    </row>
    <row r="814" spans="1:12" s="496" customFormat="1" ht="13.5" hidden="1" customHeight="1">
      <c r="A814" s="411"/>
      <c r="B814" s="411"/>
      <c r="C814" s="435" t="s">
        <v>279</v>
      </c>
      <c r="D814" s="420" t="s">
        <v>119</v>
      </c>
      <c r="E814" s="487">
        <v>8</v>
      </c>
      <c r="F814" s="487">
        <f>F798</f>
        <v>490</v>
      </c>
      <c r="G814" s="487">
        <f>E814*F814</f>
        <v>3920</v>
      </c>
      <c r="H814" s="487">
        <f t="shared" ref="H814:I816" si="27">G814</f>
        <v>3920</v>
      </c>
      <c r="I814" s="487">
        <f t="shared" si="27"/>
        <v>3920</v>
      </c>
      <c r="J814" s="435"/>
      <c r="K814" s="435"/>
      <c r="L814" s="435"/>
    </row>
    <row r="815" spans="1:12" s="496" customFormat="1" ht="13.5" hidden="1" customHeight="1">
      <c r="A815" s="411"/>
      <c r="B815" s="411"/>
      <c r="C815" s="435" t="s">
        <v>35</v>
      </c>
      <c r="D815" s="420" t="s">
        <v>119</v>
      </c>
      <c r="E815" s="487">
        <v>1</v>
      </c>
      <c r="F815" s="487">
        <f>F814</f>
        <v>490</v>
      </c>
      <c r="G815" s="487">
        <f>E815*F815</f>
        <v>490</v>
      </c>
      <c r="H815" s="487">
        <f t="shared" si="27"/>
        <v>490</v>
      </c>
      <c r="I815" s="487">
        <f t="shared" si="27"/>
        <v>490</v>
      </c>
      <c r="J815" s="435"/>
      <c r="K815" s="435"/>
      <c r="L815" s="435"/>
    </row>
    <row r="816" spans="1:12" s="496" customFormat="1" ht="13.5" hidden="1" customHeight="1">
      <c r="A816" s="411"/>
      <c r="B816" s="411"/>
      <c r="C816" s="435" t="s">
        <v>268</v>
      </c>
      <c r="D816" s="420" t="s">
        <v>119</v>
      </c>
      <c r="E816" s="487">
        <v>10</v>
      </c>
      <c r="F816" s="487">
        <f>F800</f>
        <v>400</v>
      </c>
      <c r="G816" s="487">
        <f>E816*F816</f>
        <v>4000</v>
      </c>
      <c r="H816" s="487">
        <f t="shared" si="27"/>
        <v>4000</v>
      </c>
      <c r="I816" s="487">
        <f t="shared" si="27"/>
        <v>4000</v>
      </c>
      <c r="J816" s="435"/>
      <c r="K816" s="435"/>
      <c r="L816" s="435"/>
    </row>
    <row r="817" spans="1:13" ht="13.5" hidden="1" customHeight="1">
      <c r="A817" s="423"/>
      <c r="B817" s="421"/>
      <c r="C817" s="424" t="s">
        <v>615</v>
      </c>
      <c r="D817" s="427"/>
      <c r="E817" s="415"/>
      <c r="F817" s="422"/>
      <c r="G817" s="442"/>
      <c r="H817" s="442">
        <f>SUM(H814:H816)*10/100</f>
        <v>841</v>
      </c>
      <c r="I817" s="442">
        <f>SUM(I814:I816)*20/100</f>
        <v>1682</v>
      </c>
      <c r="J817" s="409"/>
      <c r="K817" s="409"/>
      <c r="L817" s="409"/>
    </row>
    <row r="818" spans="1:13" ht="13.5" hidden="1" customHeight="1">
      <c r="A818" s="423"/>
      <c r="B818" s="421"/>
      <c r="C818" s="424" t="s">
        <v>592</v>
      </c>
      <c r="D818" s="427">
        <f>D802</f>
        <v>0</v>
      </c>
      <c r="E818" s="415"/>
      <c r="F818" s="422"/>
      <c r="G818" s="442">
        <f>D818*SUM(G814:G816)</f>
        <v>0</v>
      </c>
      <c r="H818" s="442">
        <f>D818*SUM(H814:H817)</f>
        <v>0</v>
      </c>
      <c r="I818" s="442">
        <f>D818*SUM(I814:I817)</f>
        <v>0</v>
      </c>
      <c r="J818" s="409"/>
      <c r="K818" s="409"/>
      <c r="L818" s="409"/>
    </row>
    <row r="819" spans="1:13" s="496" customFormat="1" ht="13.5" hidden="1" customHeight="1">
      <c r="A819" s="411"/>
      <c r="B819" s="411"/>
      <c r="C819" s="435" t="s">
        <v>36</v>
      </c>
      <c r="D819" s="420"/>
      <c r="E819" s="487"/>
      <c r="F819" s="487"/>
      <c r="G819" s="487"/>
      <c r="H819" s="442"/>
      <c r="I819" s="442"/>
      <c r="J819" s="435"/>
      <c r="K819" s="435"/>
      <c r="L819" s="435"/>
    </row>
    <row r="820" spans="1:13" s="496" customFormat="1" ht="13.5" hidden="1" customHeight="1">
      <c r="A820" s="411"/>
      <c r="B820" s="411"/>
      <c r="C820" s="435" t="s">
        <v>37</v>
      </c>
      <c r="D820" s="420" t="s">
        <v>445</v>
      </c>
      <c r="E820" s="487">
        <v>2</v>
      </c>
      <c r="F820" s="487">
        <v>525.5</v>
      </c>
      <c r="G820" s="487">
        <f>E820*F820</f>
        <v>1051</v>
      </c>
      <c r="H820" s="442">
        <f>SUM(H816:H817)*10/100</f>
        <v>484.1</v>
      </c>
      <c r="I820" s="442">
        <f>SUM(I816:I817)*10/100</f>
        <v>568.20000000000005</v>
      </c>
      <c r="J820" s="435"/>
      <c r="K820" s="435"/>
      <c r="L820" s="435"/>
    </row>
    <row r="821" spans="1:13" s="496" customFormat="1" ht="13.5" hidden="1" customHeight="1">
      <c r="A821" s="411"/>
      <c r="B821" s="411"/>
      <c r="C821" s="435" t="s">
        <v>38</v>
      </c>
      <c r="D821" s="420"/>
      <c r="E821" s="420"/>
      <c r="F821" s="420"/>
      <c r="G821" s="487">
        <f>SUM(G808:G820)</f>
        <v>16910.10526</v>
      </c>
      <c r="H821" s="487">
        <f>SUM(H808:H820)</f>
        <v>17184.205259999999</v>
      </c>
      <c r="I821" s="487">
        <f>SUM(I808:I820)</f>
        <v>18109.305260000001</v>
      </c>
      <c r="J821" s="435"/>
      <c r="K821" s="435"/>
      <c r="L821" s="435"/>
    </row>
    <row r="822" spans="1:13" s="496" customFormat="1" ht="13.5" hidden="1" customHeight="1">
      <c r="A822" s="411"/>
      <c r="B822" s="411"/>
      <c r="C822" s="435"/>
      <c r="D822" s="420"/>
      <c r="E822" s="420"/>
      <c r="F822" s="420"/>
      <c r="G822" s="487">
        <f>G821/10</f>
        <v>1691.010526</v>
      </c>
      <c r="H822" s="487">
        <f>H821/10</f>
        <v>1718.4205259999999</v>
      </c>
      <c r="I822" s="487">
        <f>I821/10</f>
        <v>1810.9305260000001</v>
      </c>
      <c r="J822" s="435"/>
      <c r="K822" s="435"/>
      <c r="L822" s="435"/>
    </row>
    <row r="823" spans="1:13" s="496" customFormat="1" ht="25" hidden="1">
      <c r="A823" s="411"/>
      <c r="B823" s="411"/>
      <c r="C823" s="435" t="s">
        <v>578</v>
      </c>
      <c r="D823" s="420"/>
      <c r="E823" s="420"/>
      <c r="F823" s="420"/>
      <c r="G823" s="422">
        <f>G822*13.615/100</f>
        <v>230.2310831149</v>
      </c>
      <c r="H823" s="422">
        <f>H822*13.615/100</f>
        <v>233.96295461489999</v>
      </c>
      <c r="I823" s="422">
        <f>I822*13.615/100</f>
        <v>246.55819111490001</v>
      </c>
      <c r="J823" s="435"/>
      <c r="K823" s="435"/>
      <c r="L823" s="435"/>
    </row>
    <row r="824" spans="1:13" s="496" customFormat="1" ht="15.5" hidden="1">
      <c r="A824" s="411"/>
      <c r="B824" s="411"/>
      <c r="C824" s="435" t="s">
        <v>336</v>
      </c>
      <c r="D824" s="420"/>
      <c r="E824" s="420"/>
      <c r="F824" s="420"/>
      <c r="G824" s="422">
        <f>SUM(G822:G823)</f>
        <v>1921.2416091149</v>
      </c>
      <c r="H824" s="422">
        <f>SUM(H822:H823)</f>
        <v>1952.3834806148998</v>
      </c>
      <c r="I824" s="422">
        <f>SUM(I822:I823)</f>
        <v>2057.4887171149003</v>
      </c>
      <c r="J824" s="435"/>
      <c r="K824" s="435"/>
      <c r="L824" s="435"/>
    </row>
    <row r="825" spans="1:13" s="439" customFormat="1" ht="93.75" customHeight="1">
      <c r="A825" s="411" t="s">
        <v>133</v>
      </c>
      <c r="B825" s="411"/>
      <c r="C825" s="2219" t="s">
        <v>42</v>
      </c>
      <c r="D825" s="2219"/>
      <c r="E825" s="2219"/>
      <c r="F825" s="2219"/>
      <c r="G825" s="490"/>
      <c r="H825" s="411"/>
      <c r="I825" s="411"/>
      <c r="J825" s="411"/>
      <c r="K825" s="411"/>
      <c r="L825" s="411"/>
      <c r="M825" s="502"/>
    </row>
    <row r="826" spans="1:13" s="439" customFormat="1" ht="15" customHeight="1">
      <c r="A826" s="411"/>
      <c r="B826" s="411"/>
      <c r="C826" s="440" t="s">
        <v>23</v>
      </c>
      <c r="D826" s="490" t="s">
        <v>522</v>
      </c>
      <c r="E826" s="438" t="s">
        <v>522</v>
      </c>
      <c r="F826" s="411" t="s">
        <v>522</v>
      </c>
      <c r="G826" s="490" t="s">
        <v>522</v>
      </c>
      <c r="H826" s="411"/>
      <c r="I826" s="411"/>
      <c r="J826" s="411"/>
      <c r="K826" s="411"/>
      <c r="L826" s="411"/>
      <c r="M826" s="502"/>
    </row>
    <row r="827" spans="1:13" s="439" customFormat="1" ht="15" customHeight="1">
      <c r="A827" s="411"/>
      <c r="B827" s="411"/>
      <c r="C827" s="440" t="s">
        <v>24</v>
      </c>
      <c r="D827" s="490" t="s">
        <v>522</v>
      </c>
      <c r="E827" s="438" t="s">
        <v>522</v>
      </c>
      <c r="F827" s="411" t="s">
        <v>522</v>
      </c>
      <c r="G827" s="428" t="s">
        <v>613</v>
      </c>
      <c r="H827" s="428" t="s">
        <v>611</v>
      </c>
      <c r="I827" s="428" t="s">
        <v>614</v>
      </c>
      <c r="J827" s="411"/>
      <c r="K827" s="411"/>
      <c r="L827" s="411"/>
      <c r="M827" s="502"/>
    </row>
    <row r="828" spans="1:13" s="439" customFormat="1" ht="17.25" customHeight="1">
      <c r="A828" s="411"/>
      <c r="B828" s="411"/>
      <c r="C828" s="440" t="s">
        <v>1060</v>
      </c>
      <c r="D828" s="426" t="s">
        <v>113</v>
      </c>
      <c r="E828" s="426">
        <v>10.5</v>
      </c>
      <c r="F828" s="426">
        <v>522.74</v>
      </c>
      <c r="G828" s="425">
        <f t="shared" ref="G828:G833" si="28">ROUND(E828*F828,2)</f>
        <v>5488.77</v>
      </c>
      <c r="H828" s="412">
        <f t="shared" ref="H828:I833" si="29">G828</f>
        <v>5488.77</v>
      </c>
      <c r="I828" s="412">
        <f t="shared" si="29"/>
        <v>5488.77</v>
      </c>
      <c r="J828" s="411"/>
      <c r="K828" s="411" t="s">
        <v>1061</v>
      </c>
      <c r="L828" s="411"/>
      <c r="M828" s="502"/>
    </row>
    <row r="829" spans="1:13" s="439" customFormat="1" ht="19.5" customHeight="1">
      <c r="A829" s="411"/>
      <c r="B829" s="411"/>
      <c r="C829" s="440" t="s">
        <v>121</v>
      </c>
      <c r="D829" s="426" t="s">
        <v>115</v>
      </c>
      <c r="E829" s="426">
        <v>21.6</v>
      </c>
      <c r="F829" s="426">
        <v>4.8</v>
      </c>
      <c r="G829" s="425">
        <f t="shared" si="28"/>
        <v>103.68</v>
      </c>
      <c r="H829" s="412">
        <f t="shared" si="29"/>
        <v>103.68</v>
      </c>
      <c r="I829" s="412">
        <f t="shared" si="29"/>
        <v>103.68</v>
      </c>
      <c r="J829" s="411"/>
      <c r="K829" s="411"/>
      <c r="L829" s="411"/>
      <c r="M829" s="502"/>
    </row>
    <row r="830" spans="1:13" s="439" customFormat="1" ht="15" customHeight="1">
      <c r="A830" s="411"/>
      <c r="B830" s="411"/>
      <c r="C830" s="440" t="s">
        <v>122</v>
      </c>
      <c r="D830" s="426" t="s">
        <v>115</v>
      </c>
      <c r="E830" s="426">
        <v>33</v>
      </c>
      <c r="F830" s="426">
        <f>F829</f>
        <v>4.8</v>
      </c>
      <c r="G830" s="425">
        <f t="shared" si="28"/>
        <v>158.4</v>
      </c>
      <c r="H830" s="412">
        <f t="shared" si="29"/>
        <v>158.4</v>
      </c>
      <c r="I830" s="412">
        <f t="shared" si="29"/>
        <v>158.4</v>
      </c>
      <c r="J830" s="411"/>
      <c r="K830" s="411">
        <f>443*18%+443</f>
        <v>522.74</v>
      </c>
      <c r="L830" s="411"/>
      <c r="M830" s="502"/>
    </row>
    <row r="831" spans="1:13" s="439" customFormat="1" ht="15" customHeight="1">
      <c r="A831" s="411"/>
      <c r="B831" s="411"/>
      <c r="C831" s="440" t="s">
        <v>123</v>
      </c>
      <c r="D831" s="426" t="s">
        <v>115</v>
      </c>
      <c r="E831" s="524">
        <v>6</v>
      </c>
      <c r="F831" s="426">
        <f>F830</f>
        <v>4.8</v>
      </c>
      <c r="G831" s="425">
        <f t="shared" si="28"/>
        <v>28.8</v>
      </c>
      <c r="H831" s="412">
        <f t="shared" si="29"/>
        <v>28.8</v>
      </c>
      <c r="I831" s="412">
        <f t="shared" si="29"/>
        <v>28.8</v>
      </c>
      <c r="J831" s="411"/>
      <c r="K831" s="411"/>
      <c r="L831" s="411"/>
      <c r="M831" s="502"/>
    </row>
    <row r="832" spans="1:13" s="439" customFormat="1" ht="15" customHeight="1">
      <c r="A832" s="411"/>
      <c r="B832" s="411"/>
      <c r="C832" s="440" t="s">
        <v>124</v>
      </c>
      <c r="D832" s="426" t="s">
        <v>117</v>
      </c>
      <c r="E832" s="426">
        <v>0.12</v>
      </c>
      <c r="F832" s="426">
        <f>F796</f>
        <v>349.58</v>
      </c>
      <c r="G832" s="425">
        <f t="shared" si="28"/>
        <v>41.95</v>
      </c>
      <c r="H832" s="412">
        <f t="shared" si="29"/>
        <v>41.95</v>
      </c>
      <c r="I832" s="412">
        <f t="shared" si="29"/>
        <v>41.95</v>
      </c>
      <c r="J832" s="411"/>
      <c r="K832" s="411"/>
      <c r="L832" s="411"/>
      <c r="M832" s="502"/>
    </row>
    <row r="833" spans="1:13" s="439" customFormat="1" ht="15" customHeight="1">
      <c r="A833" s="411"/>
      <c r="B833" s="411"/>
      <c r="C833" s="440" t="s">
        <v>125</v>
      </c>
      <c r="D833" s="426" t="s">
        <v>117</v>
      </c>
      <c r="E833" s="524">
        <v>0.02</v>
      </c>
      <c r="F833" s="426">
        <f>F832</f>
        <v>349.58</v>
      </c>
      <c r="G833" s="425">
        <f t="shared" si="28"/>
        <v>6.99</v>
      </c>
      <c r="H833" s="412">
        <f t="shared" si="29"/>
        <v>6.99</v>
      </c>
      <c r="I833" s="412">
        <f t="shared" si="29"/>
        <v>6.99</v>
      </c>
      <c r="J833" s="411"/>
      <c r="K833" s="411"/>
      <c r="L833" s="411"/>
      <c r="M833" s="502"/>
    </row>
    <row r="834" spans="1:13">
      <c r="A834" s="409"/>
      <c r="B834" s="409"/>
      <c r="C834" s="416" t="s">
        <v>128</v>
      </c>
      <c r="D834" s="416"/>
      <c r="E834" s="425"/>
      <c r="F834" s="425"/>
      <c r="G834" s="425"/>
      <c r="H834" s="412"/>
      <c r="I834" s="412"/>
      <c r="J834" s="409"/>
      <c r="K834" s="409"/>
      <c r="L834" s="409"/>
    </row>
    <row r="835" spans="1:13" ht="14.5">
      <c r="A835" s="409"/>
      <c r="B835" s="409"/>
      <c r="C835" s="416" t="s">
        <v>1047</v>
      </c>
      <c r="D835" s="416" t="s">
        <v>119</v>
      </c>
      <c r="E835" s="425">
        <v>0.96</v>
      </c>
      <c r="F835" s="425">
        <f>F798</f>
        <v>490</v>
      </c>
      <c r="G835" s="425">
        <f>ROUND(E835*F835,2)</f>
        <v>470.4</v>
      </c>
      <c r="H835" s="412">
        <f t="shared" ref="H835:I837" si="30">G835</f>
        <v>470.4</v>
      </c>
      <c r="I835" s="412">
        <f t="shared" si="30"/>
        <v>470.4</v>
      </c>
      <c r="J835" s="409"/>
      <c r="K835" s="409"/>
      <c r="L835" s="409"/>
    </row>
    <row r="836" spans="1:13" ht="14.5">
      <c r="A836" s="409"/>
      <c r="B836" s="409"/>
      <c r="C836" s="416" t="s">
        <v>1048</v>
      </c>
      <c r="D836" s="416" t="s">
        <v>119</v>
      </c>
      <c r="E836" s="425">
        <v>2.2400000000000002</v>
      </c>
      <c r="F836" s="425">
        <f>F799</f>
        <v>440</v>
      </c>
      <c r="G836" s="425">
        <f>ROUND(E836*F836,2)</f>
        <v>985.6</v>
      </c>
      <c r="H836" s="412">
        <f t="shared" si="30"/>
        <v>985.6</v>
      </c>
      <c r="I836" s="412">
        <f t="shared" si="30"/>
        <v>985.6</v>
      </c>
      <c r="J836" s="409"/>
      <c r="K836" s="409"/>
      <c r="L836" s="409"/>
    </row>
    <row r="837" spans="1:13">
      <c r="A837" s="409"/>
      <c r="B837" s="409"/>
      <c r="C837" s="416" t="s">
        <v>440</v>
      </c>
      <c r="D837" s="416" t="s">
        <v>119</v>
      </c>
      <c r="E837" s="425">
        <v>3.3</v>
      </c>
      <c r="F837" s="425">
        <f>F800</f>
        <v>400</v>
      </c>
      <c r="G837" s="425">
        <f>ROUND(E837*F837,2)</f>
        <v>1320</v>
      </c>
      <c r="H837" s="412">
        <f t="shared" si="30"/>
        <v>1320</v>
      </c>
      <c r="I837" s="412">
        <f t="shared" si="30"/>
        <v>1320</v>
      </c>
      <c r="J837" s="409"/>
      <c r="K837" s="409"/>
      <c r="L837" s="409"/>
    </row>
    <row r="838" spans="1:13" ht="13.5" customHeight="1">
      <c r="A838" s="423"/>
      <c r="B838" s="421"/>
      <c r="C838" s="424" t="s">
        <v>615</v>
      </c>
      <c r="D838" s="427"/>
      <c r="E838" s="415"/>
      <c r="F838" s="422"/>
      <c r="G838" s="442"/>
      <c r="H838" s="442">
        <f>SUM(H835:H837)*10/100</f>
        <v>277.60000000000002</v>
      </c>
      <c r="I838" s="442">
        <f>SUM(I835:I837)*20/100</f>
        <v>555.20000000000005</v>
      </c>
      <c r="J838" s="433">
        <f>G841</f>
        <v>8604.59</v>
      </c>
      <c r="K838" s="433">
        <f>G841</f>
        <v>8604.59</v>
      </c>
      <c r="L838" s="433"/>
    </row>
    <row r="839" spans="1:13" ht="13.5" customHeight="1">
      <c r="A839" s="423"/>
      <c r="B839" s="421"/>
      <c r="C839" s="424" t="s">
        <v>592</v>
      </c>
      <c r="D839" s="427">
        <f>D818</f>
        <v>0</v>
      </c>
      <c r="E839" s="415"/>
      <c r="F839" s="422"/>
      <c r="G839" s="442">
        <f>D839*SUM(G835:G837)</f>
        <v>0</v>
      </c>
      <c r="H839" s="442">
        <f>D839*SUM(H835:H838)</f>
        <v>0</v>
      </c>
      <c r="I839" s="442">
        <f>D839*SUM(I835:I838)</f>
        <v>0</v>
      </c>
      <c r="J839" s="433">
        <f>H838</f>
        <v>277.60000000000002</v>
      </c>
      <c r="K839" s="433">
        <f>I838</f>
        <v>555.20000000000005</v>
      </c>
      <c r="L839" s="409"/>
    </row>
    <row r="840" spans="1:13">
      <c r="A840" s="409"/>
      <c r="B840" s="409"/>
      <c r="C840" s="416" t="s">
        <v>478</v>
      </c>
      <c r="D840" s="416"/>
      <c r="E840" s="525">
        <v>0.01</v>
      </c>
      <c r="F840" s="425"/>
      <c r="G840" s="415"/>
      <c r="H840" s="414"/>
      <c r="I840" s="414"/>
      <c r="J840" s="442">
        <f>D839*SUM(J839:J839)</f>
        <v>0</v>
      </c>
      <c r="K840" s="442">
        <f>D839*SUM(K839:K839)</f>
        <v>0</v>
      </c>
      <c r="L840" s="409"/>
    </row>
    <row r="841" spans="1:13">
      <c r="A841" s="409"/>
      <c r="B841" s="409"/>
      <c r="C841" s="416" t="s">
        <v>120</v>
      </c>
      <c r="D841" s="416"/>
      <c r="E841" s="425"/>
      <c r="F841" s="425"/>
      <c r="G841" s="425">
        <f>SUM(G828:G840)</f>
        <v>8604.59</v>
      </c>
      <c r="H841" s="425">
        <f>SUM(H828:H840)</f>
        <v>8882.19</v>
      </c>
      <c r="I841" s="425">
        <f>SUM(I828:I840)</f>
        <v>9159.7900000000009</v>
      </c>
      <c r="J841" s="425">
        <f>SUM(J828:J840)</f>
        <v>8882.19</v>
      </c>
      <c r="K841" s="425">
        <f>SUM(K828:K840)</f>
        <v>9682.5300000000007</v>
      </c>
      <c r="L841" s="409"/>
    </row>
    <row r="842" spans="1:13">
      <c r="A842" s="409"/>
      <c r="B842" s="409"/>
      <c r="C842" s="416" t="s">
        <v>479</v>
      </c>
      <c r="D842" s="416"/>
      <c r="E842" s="425"/>
      <c r="F842" s="425"/>
      <c r="G842" s="494">
        <f>G841/10</f>
        <v>860.45900000000006</v>
      </c>
      <c r="H842" s="494">
        <f>H841/10</f>
        <v>888.21900000000005</v>
      </c>
      <c r="I842" s="494">
        <f>I841/10</f>
        <v>915.97900000000004</v>
      </c>
      <c r="J842" s="494"/>
      <c r="K842" s="494"/>
      <c r="L842" s="409"/>
    </row>
    <row r="843" spans="1:13" s="496" customFormat="1" ht="25">
      <c r="A843" s="411"/>
      <c r="B843" s="411"/>
      <c r="C843" s="435" t="s">
        <v>578</v>
      </c>
      <c r="D843" s="420"/>
      <c r="E843" s="420"/>
      <c r="F843" s="420"/>
      <c r="G843" s="422">
        <f>G842*13.615/100*0</f>
        <v>0</v>
      </c>
      <c r="H843" s="422">
        <f>H842*13.615/100*0</f>
        <v>0</v>
      </c>
      <c r="I843" s="422">
        <f>I842*13.615/100</f>
        <v>124.71054085000002</v>
      </c>
      <c r="J843" s="422">
        <f>J841*13.615/100</f>
        <v>1209.3101685000001</v>
      </c>
      <c r="K843" s="422">
        <f>K841*13.615/100</f>
        <v>1318.2764595000001</v>
      </c>
      <c r="L843" s="435"/>
    </row>
    <row r="844" spans="1:13" s="496" customFormat="1" ht="15.5">
      <c r="A844" s="411"/>
      <c r="B844" s="411"/>
      <c r="C844" s="435"/>
      <c r="D844" s="420"/>
      <c r="E844" s="420"/>
      <c r="F844" s="420"/>
      <c r="G844" s="422">
        <f>SUM(G842:G843)</f>
        <v>860.45900000000006</v>
      </c>
      <c r="H844" s="422">
        <f>SUM(H842:H843)</f>
        <v>888.21900000000005</v>
      </c>
      <c r="I844" s="422">
        <f>SUM(I842:I843)</f>
        <v>1040.68954085</v>
      </c>
      <c r="J844" s="422">
        <f>SUM(J841:J843)</f>
        <v>10091.500168500001</v>
      </c>
      <c r="K844" s="422">
        <f>SUM(K841:K843)</f>
        <v>11000.806459500001</v>
      </c>
      <c r="L844" s="435"/>
    </row>
    <row r="845" spans="1:13" s="439" customFormat="1" ht="93.75" customHeight="1">
      <c r="A845" s="411" t="s">
        <v>595</v>
      </c>
      <c r="B845" s="411"/>
      <c r="C845" s="2219" t="s">
        <v>596</v>
      </c>
      <c r="D845" s="2219"/>
      <c r="E845" s="2219"/>
      <c r="F845" s="2219"/>
      <c r="G845" s="490"/>
      <c r="H845" s="490"/>
      <c r="I845" s="411"/>
      <c r="J845" s="411"/>
      <c r="K845" s="411"/>
      <c r="L845" s="411"/>
    </row>
    <row r="846" spans="1:13" s="439" customFormat="1" ht="15" customHeight="1">
      <c r="A846" s="411"/>
      <c r="B846" s="411"/>
      <c r="C846" s="440" t="s">
        <v>23</v>
      </c>
      <c r="D846" s="490" t="s">
        <v>522</v>
      </c>
      <c r="E846" s="438" t="s">
        <v>522</v>
      </c>
      <c r="F846" s="411" t="s">
        <v>522</v>
      </c>
      <c r="G846" s="490" t="s">
        <v>522</v>
      </c>
      <c r="H846" s="411"/>
      <c r="I846" s="411"/>
      <c r="J846" s="411"/>
      <c r="K846" s="411"/>
      <c r="L846" s="411"/>
    </row>
    <row r="847" spans="1:13" s="439" customFormat="1" ht="15" customHeight="1">
      <c r="A847" s="411"/>
      <c r="B847" s="411"/>
      <c r="C847" s="440" t="s">
        <v>24</v>
      </c>
      <c r="D847" s="490" t="s">
        <v>522</v>
      </c>
      <c r="E847" s="438" t="s">
        <v>522</v>
      </c>
      <c r="F847" s="411" t="s">
        <v>522</v>
      </c>
      <c r="G847" s="428" t="s">
        <v>613</v>
      </c>
      <c r="H847" s="428" t="s">
        <v>611</v>
      </c>
      <c r="I847" s="428" t="s">
        <v>614</v>
      </c>
      <c r="J847" s="411"/>
      <c r="K847" s="411"/>
      <c r="L847" s="411"/>
    </row>
    <row r="848" spans="1:13" s="439" customFormat="1" ht="17.25" customHeight="1">
      <c r="A848" s="411"/>
      <c r="B848" s="411"/>
      <c r="C848" s="440" t="s">
        <v>1060</v>
      </c>
      <c r="D848" s="426" t="s">
        <v>113</v>
      </c>
      <c r="E848" s="426">
        <v>10.5</v>
      </c>
      <c r="F848" s="426">
        <f>F828</f>
        <v>522.74</v>
      </c>
      <c r="G848" s="425">
        <f>ROUND(E848*F848,2)</f>
        <v>5488.77</v>
      </c>
      <c r="H848" s="412">
        <f t="shared" ref="H848:I852" si="31">G848</f>
        <v>5488.77</v>
      </c>
      <c r="I848" s="412">
        <f t="shared" si="31"/>
        <v>5488.77</v>
      </c>
      <c r="J848" s="411"/>
      <c r="K848" s="411" t="s">
        <v>1061</v>
      </c>
      <c r="L848" s="411"/>
    </row>
    <row r="849" spans="1:12" s="439" customFormat="1" ht="15" customHeight="1">
      <c r="A849" s="411"/>
      <c r="B849" s="411"/>
      <c r="C849" s="440" t="s">
        <v>597</v>
      </c>
      <c r="D849" s="426" t="s">
        <v>117</v>
      </c>
      <c r="E849" s="426">
        <v>0.12</v>
      </c>
      <c r="F849" s="426">
        <v>349.58</v>
      </c>
      <c r="G849" s="425">
        <f>ROUND(E849*F849,2)</f>
        <v>41.95</v>
      </c>
      <c r="H849" s="412">
        <f t="shared" si="31"/>
        <v>41.95</v>
      </c>
      <c r="I849" s="412">
        <f t="shared" si="31"/>
        <v>41.95</v>
      </c>
      <c r="J849" s="411"/>
      <c r="K849" s="411"/>
      <c r="L849" s="411"/>
    </row>
    <row r="850" spans="1:12" s="439" customFormat="1" ht="19.5" customHeight="1">
      <c r="A850" s="411"/>
      <c r="B850" s="411"/>
      <c r="C850" s="440" t="s">
        <v>598</v>
      </c>
      <c r="D850" s="426" t="s">
        <v>115</v>
      </c>
      <c r="E850" s="426">
        <v>34.56</v>
      </c>
      <c r="F850" s="426">
        <v>4.8</v>
      </c>
      <c r="G850" s="425">
        <f>ROUND(E850*F850,2)</f>
        <v>165.89</v>
      </c>
      <c r="H850" s="412">
        <f t="shared" si="31"/>
        <v>165.89</v>
      </c>
      <c r="I850" s="412">
        <f t="shared" si="31"/>
        <v>165.89</v>
      </c>
      <c r="J850" s="411"/>
      <c r="K850" s="411"/>
      <c r="L850" s="411"/>
    </row>
    <row r="851" spans="1:12" s="439" customFormat="1" ht="15" customHeight="1">
      <c r="A851" s="411"/>
      <c r="B851" s="411"/>
      <c r="C851" s="440" t="s">
        <v>122</v>
      </c>
      <c r="D851" s="426" t="s">
        <v>115</v>
      </c>
      <c r="E851" s="426">
        <v>33</v>
      </c>
      <c r="F851" s="426">
        <f>F850</f>
        <v>4.8</v>
      </c>
      <c r="G851" s="425">
        <f>ROUND(E851*F851,2)</f>
        <v>158.4</v>
      </c>
      <c r="H851" s="412">
        <f t="shared" si="31"/>
        <v>158.4</v>
      </c>
      <c r="I851" s="412">
        <f t="shared" si="31"/>
        <v>158.4</v>
      </c>
      <c r="J851" s="411"/>
      <c r="K851" s="411"/>
      <c r="L851" s="411"/>
    </row>
    <row r="852" spans="1:12" s="439" customFormat="1" ht="15" customHeight="1">
      <c r="A852" s="411"/>
      <c r="B852" s="411"/>
      <c r="C852" s="440" t="s">
        <v>599</v>
      </c>
      <c r="D852" s="426" t="s">
        <v>115</v>
      </c>
      <c r="E852" s="524">
        <v>2</v>
      </c>
      <c r="F852" s="426">
        <v>27</v>
      </c>
      <c r="G852" s="425">
        <f>ROUND(E852*F852,2)</f>
        <v>54</v>
      </c>
      <c r="H852" s="412">
        <f t="shared" si="31"/>
        <v>54</v>
      </c>
      <c r="I852" s="412">
        <f t="shared" si="31"/>
        <v>54</v>
      </c>
      <c r="J852" s="411"/>
      <c r="K852" s="411"/>
      <c r="L852" s="411"/>
    </row>
    <row r="853" spans="1:12">
      <c r="A853" s="409"/>
      <c r="B853" s="409"/>
      <c r="C853" s="416" t="s">
        <v>128</v>
      </c>
      <c r="D853" s="416"/>
      <c r="E853" s="425"/>
      <c r="F853" s="425"/>
      <c r="G853" s="425"/>
      <c r="H853" s="412"/>
      <c r="I853" s="412"/>
      <c r="J853" s="409"/>
      <c r="K853" s="409"/>
      <c r="L853" s="409"/>
    </row>
    <row r="854" spans="1:12" ht="14.5">
      <c r="A854" s="409"/>
      <c r="B854" s="409"/>
      <c r="C854" s="416" t="s">
        <v>1047</v>
      </c>
      <c r="D854" s="416" t="s">
        <v>119</v>
      </c>
      <c r="E854" s="425">
        <v>0.96</v>
      </c>
      <c r="F854" s="425">
        <f>F835</f>
        <v>490</v>
      </c>
      <c r="G854" s="425">
        <f>ROUND(E854*F854,2)</f>
        <v>470.4</v>
      </c>
      <c r="H854" s="412">
        <f t="shared" ref="H854:I856" si="32">G854</f>
        <v>470.4</v>
      </c>
      <c r="I854" s="412">
        <f t="shared" si="32"/>
        <v>470.4</v>
      </c>
      <c r="J854" s="409"/>
      <c r="K854" s="409"/>
      <c r="L854" s="409"/>
    </row>
    <row r="855" spans="1:12" ht="14.5">
      <c r="A855" s="409"/>
      <c r="B855" s="409"/>
      <c r="C855" s="416" t="s">
        <v>1048</v>
      </c>
      <c r="D855" s="416" t="s">
        <v>119</v>
      </c>
      <c r="E855" s="425">
        <v>2.2400000000000002</v>
      </c>
      <c r="F855" s="425">
        <f>F836</f>
        <v>440</v>
      </c>
      <c r="G855" s="425">
        <f>ROUND(E855*F855,2)</f>
        <v>985.6</v>
      </c>
      <c r="H855" s="412">
        <f t="shared" si="32"/>
        <v>985.6</v>
      </c>
      <c r="I855" s="412">
        <f t="shared" si="32"/>
        <v>985.6</v>
      </c>
      <c r="J855" s="409"/>
      <c r="K855" s="409"/>
      <c r="L855" s="409"/>
    </row>
    <row r="856" spans="1:12">
      <c r="A856" s="409"/>
      <c r="B856" s="409"/>
      <c r="C856" s="416" t="s">
        <v>440</v>
      </c>
      <c r="D856" s="416" t="s">
        <v>119</v>
      </c>
      <c r="E856" s="425">
        <v>3.3</v>
      </c>
      <c r="F856" s="425">
        <f>F837</f>
        <v>400</v>
      </c>
      <c r="G856" s="425">
        <f>ROUND(E856*F856,2)</f>
        <v>1320</v>
      </c>
      <c r="H856" s="412">
        <f t="shared" si="32"/>
        <v>1320</v>
      </c>
      <c r="I856" s="412">
        <f t="shared" si="32"/>
        <v>1320</v>
      </c>
      <c r="J856" s="409"/>
      <c r="K856" s="409"/>
      <c r="L856" s="409"/>
    </row>
    <row r="857" spans="1:12" ht="13.5" customHeight="1">
      <c r="A857" s="423"/>
      <c r="B857" s="421"/>
      <c r="C857" s="424" t="s">
        <v>615</v>
      </c>
      <c r="D857" s="427"/>
      <c r="E857" s="415"/>
      <c r="F857" s="422"/>
      <c r="G857" s="442"/>
      <c r="H857" s="442">
        <f>SUM(H854:H856)*10/100</f>
        <v>277.60000000000002</v>
      </c>
      <c r="I857" s="442">
        <f>SUM(I854:I856)*20/100</f>
        <v>555.20000000000005</v>
      </c>
      <c r="J857" s="409"/>
      <c r="K857" s="409"/>
      <c r="L857" s="409"/>
    </row>
    <row r="858" spans="1:12" ht="13.5" customHeight="1">
      <c r="A858" s="423"/>
      <c r="B858" s="421"/>
      <c r="C858" s="424" t="s">
        <v>592</v>
      </c>
      <c r="D858" s="427">
        <f>D839</f>
        <v>0</v>
      </c>
      <c r="E858" s="415"/>
      <c r="F858" s="422"/>
      <c r="G858" s="442">
        <f>D858*SUM(G854:G856)</f>
        <v>0</v>
      </c>
      <c r="H858" s="442">
        <f>D858*SUM(H854:H857)</f>
        <v>0</v>
      </c>
      <c r="I858" s="442">
        <f>D858*SUM(I854:I857)</f>
        <v>0</v>
      </c>
      <c r="J858" s="409"/>
      <c r="K858" s="409"/>
      <c r="L858" s="409"/>
    </row>
    <row r="859" spans="1:12">
      <c r="A859" s="409"/>
      <c r="B859" s="409"/>
      <c r="C859" s="416" t="s">
        <v>478</v>
      </c>
      <c r="D859" s="416"/>
      <c r="E859" s="525">
        <v>0.01</v>
      </c>
      <c r="F859" s="425"/>
      <c r="G859" s="415"/>
      <c r="H859" s="414"/>
      <c r="I859" s="414"/>
      <c r="J859" s="409"/>
      <c r="K859" s="409"/>
      <c r="L859" s="409"/>
    </row>
    <row r="860" spans="1:12">
      <c r="A860" s="409"/>
      <c r="B860" s="409"/>
      <c r="C860" s="416" t="s">
        <v>120</v>
      </c>
      <c r="D860" s="416"/>
      <c r="E860" s="425"/>
      <c r="F860" s="425"/>
      <c r="G860" s="425">
        <f>SUM(G848:G859)</f>
        <v>8685.01</v>
      </c>
      <c r="H860" s="425">
        <f>SUM(H848:H859)</f>
        <v>8962.61</v>
      </c>
      <c r="I860" s="425">
        <f>SUM(I848:I859)</f>
        <v>9240.2100000000009</v>
      </c>
      <c r="J860" s="409"/>
      <c r="K860" s="409"/>
      <c r="L860" s="409"/>
    </row>
    <row r="861" spans="1:12">
      <c r="A861" s="409"/>
      <c r="B861" s="409"/>
      <c r="C861" s="416" t="s">
        <v>479</v>
      </c>
      <c r="D861" s="416"/>
      <c r="E861" s="425"/>
      <c r="F861" s="425"/>
      <c r="G861" s="494">
        <f>G860/10</f>
        <v>868.50099999999998</v>
      </c>
      <c r="H861" s="494">
        <f>H860/10</f>
        <v>896.26100000000008</v>
      </c>
      <c r="I861" s="494">
        <f>I860/10</f>
        <v>924.02100000000007</v>
      </c>
      <c r="J861" s="409"/>
      <c r="K861" s="409"/>
      <c r="L861" s="409"/>
    </row>
    <row r="862" spans="1:12" s="496" customFormat="1" ht="25">
      <c r="A862" s="411"/>
      <c r="B862" s="411"/>
      <c r="C862" s="435" t="s">
        <v>578</v>
      </c>
      <c r="D862" s="420"/>
      <c r="E862" s="420"/>
      <c r="F862" s="420"/>
      <c r="G862" s="494">
        <f>G861*13.615/100*0</f>
        <v>0</v>
      </c>
      <c r="H862" s="494">
        <f>H861*13.615/100*0</f>
        <v>0</v>
      </c>
      <c r="I862" s="494">
        <f>I861*13.615/100</f>
        <v>125.80545915</v>
      </c>
      <c r="J862" s="435"/>
      <c r="K862" s="435"/>
      <c r="L862" s="435"/>
    </row>
    <row r="863" spans="1:12" s="496" customFormat="1" ht="13">
      <c r="A863" s="411"/>
      <c r="B863" s="411"/>
      <c r="C863" s="435"/>
      <c r="D863" s="420"/>
      <c r="E863" s="420"/>
      <c r="F863" s="420"/>
      <c r="G863" s="590">
        <f>SUM(G861:G862)</f>
        <v>868.50099999999998</v>
      </c>
      <c r="H863" s="494">
        <f>SUM(H861:H862)</f>
        <v>896.26100000000008</v>
      </c>
      <c r="I863" s="494">
        <f>SUM(I861:I862)</f>
        <v>1049.8264591500001</v>
      </c>
      <c r="J863" s="435"/>
      <c r="K863" s="435"/>
      <c r="L863" s="435"/>
    </row>
    <row r="864" spans="1:12" ht="76.5" customHeight="1">
      <c r="A864" s="435" t="s">
        <v>450</v>
      </c>
      <c r="B864" s="409"/>
      <c r="C864" s="2219" t="s">
        <v>476</v>
      </c>
      <c r="D864" s="2219"/>
      <c r="E864" s="2219"/>
      <c r="F864" s="2219"/>
      <c r="G864" s="426"/>
      <c r="H864" s="414"/>
      <c r="I864" s="409"/>
      <c r="J864" s="409"/>
      <c r="K864" s="409"/>
      <c r="L864" s="409"/>
    </row>
    <row r="865" spans="1:12">
      <c r="A865" s="409"/>
      <c r="B865" s="409"/>
      <c r="C865" s="416" t="s">
        <v>23</v>
      </c>
      <c r="D865" s="425"/>
      <c r="E865" s="425"/>
      <c r="F865" s="425"/>
      <c r="G865" s="425"/>
      <c r="H865" s="414"/>
      <c r="I865" s="409"/>
      <c r="J865" s="409"/>
      <c r="K865" s="409"/>
      <c r="L865" s="409"/>
    </row>
    <row r="866" spans="1:12">
      <c r="A866" s="409"/>
      <c r="B866" s="409"/>
      <c r="C866" s="416" t="s">
        <v>24</v>
      </c>
      <c r="D866" s="425"/>
      <c r="E866" s="425"/>
      <c r="F866" s="425"/>
      <c r="G866" s="428" t="s">
        <v>613</v>
      </c>
      <c r="H866" s="428" t="s">
        <v>611</v>
      </c>
      <c r="I866" s="428" t="s">
        <v>614</v>
      </c>
      <c r="J866" s="409"/>
      <c r="K866" s="411" t="s">
        <v>1061</v>
      </c>
      <c r="L866" s="409"/>
    </row>
    <row r="867" spans="1:12">
      <c r="A867" s="409"/>
      <c r="B867" s="409"/>
      <c r="C867" s="416" t="s">
        <v>477</v>
      </c>
      <c r="D867" s="425" t="s">
        <v>113</v>
      </c>
      <c r="E867" s="425">
        <v>10.5</v>
      </c>
      <c r="F867" s="425">
        <f>Bldg.rates!F37</f>
        <v>374</v>
      </c>
      <c r="G867" s="425">
        <f>ROUND(E867*F867,2)</f>
        <v>3927</v>
      </c>
      <c r="H867" s="425">
        <f t="shared" ref="H867:I871" si="33">G867</f>
        <v>3927</v>
      </c>
      <c r="I867" s="425">
        <f t="shared" si="33"/>
        <v>3927</v>
      </c>
      <c r="J867" s="409"/>
      <c r="K867" s="409"/>
      <c r="L867" s="409"/>
    </row>
    <row r="868" spans="1:12">
      <c r="A868" s="409"/>
      <c r="B868" s="409"/>
      <c r="C868" s="416" t="s">
        <v>127</v>
      </c>
      <c r="D868" s="425" t="s">
        <v>115</v>
      </c>
      <c r="E868" s="425">
        <v>21.6</v>
      </c>
      <c r="F868" s="425">
        <f>F795</f>
        <v>4.8</v>
      </c>
      <c r="G868" s="425">
        <f>ROUND(E868*F868,2)</f>
        <v>103.68</v>
      </c>
      <c r="H868" s="425">
        <f t="shared" si="33"/>
        <v>103.68</v>
      </c>
      <c r="I868" s="425">
        <f t="shared" si="33"/>
        <v>103.68</v>
      </c>
      <c r="J868" s="409"/>
      <c r="K868" s="409"/>
      <c r="L868" s="409"/>
    </row>
    <row r="869" spans="1:12">
      <c r="A869" s="409"/>
      <c r="B869" s="409"/>
      <c r="C869" s="416" t="s">
        <v>122</v>
      </c>
      <c r="D869" s="425" t="s">
        <v>115</v>
      </c>
      <c r="E869" s="425">
        <v>33</v>
      </c>
      <c r="F869" s="425">
        <f>F868</f>
        <v>4.8</v>
      </c>
      <c r="G869" s="425">
        <f>ROUND(E869*F869,2)</f>
        <v>158.4</v>
      </c>
      <c r="H869" s="425">
        <f t="shared" si="33"/>
        <v>158.4</v>
      </c>
      <c r="I869" s="425">
        <f t="shared" si="33"/>
        <v>158.4</v>
      </c>
      <c r="J869" s="409"/>
      <c r="K869" s="409"/>
      <c r="L869" s="409"/>
    </row>
    <row r="870" spans="1:12">
      <c r="A870" s="409"/>
      <c r="B870" s="409"/>
      <c r="C870" s="416" t="s">
        <v>194</v>
      </c>
      <c r="D870" s="425" t="s">
        <v>115</v>
      </c>
      <c r="E870" s="425">
        <v>2</v>
      </c>
      <c r="F870" s="425">
        <v>27</v>
      </c>
      <c r="G870" s="425">
        <f>ROUND(E870*F870,2)</f>
        <v>54</v>
      </c>
      <c r="H870" s="425">
        <f t="shared" si="33"/>
        <v>54</v>
      </c>
      <c r="I870" s="425">
        <f t="shared" si="33"/>
        <v>54</v>
      </c>
      <c r="J870" s="409"/>
      <c r="K870" s="409"/>
      <c r="L870" s="409"/>
    </row>
    <row r="871" spans="1:12">
      <c r="A871" s="409"/>
      <c r="B871" s="409"/>
      <c r="C871" s="416" t="s">
        <v>124</v>
      </c>
      <c r="D871" s="425" t="s">
        <v>117</v>
      </c>
      <c r="E871" s="425">
        <v>0.12</v>
      </c>
      <c r="F871" s="425">
        <v>349.58</v>
      </c>
      <c r="G871" s="425">
        <f>ROUND(E871*F871,2)</f>
        <v>41.95</v>
      </c>
      <c r="H871" s="425">
        <f t="shared" si="33"/>
        <v>41.95</v>
      </c>
      <c r="I871" s="425">
        <f t="shared" si="33"/>
        <v>41.95</v>
      </c>
      <c r="J871" s="409"/>
      <c r="K871" s="409"/>
      <c r="L871" s="409"/>
    </row>
    <row r="872" spans="1:12">
      <c r="A872" s="409"/>
      <c r="B872" s="409"/>
      <c r="C872" s="416"/>
      <c r="D872" s="425"/>
      <c r="E872" s="425"/>
      <c r="F872" s="425"/>
      <c r="G872" s="425"/>
      <c r="H872" s="425"/>
      <c r="I872" s="425"/>
      <c r="J872" s="409"/>
      <c r="K872" s="409"/>
      <c r="L872" s="409"/>
    </row>
    <row r="873" spans="1:12">
      <c r="A873" s="409"/>
      <c r="B873" s="409"/>
      <c r="C873" s="416" t="s">
        <v>128</v>
      </c>
      <c r="D873" s="425"/>
      <c r="E873" s="425"/>
      <c r="F873" s="425"/>
      <c r="G873" s="425"/>
      <c r="H873" s="425"/>
      <c r="I873" s="425"/>
      <c r="J873" s="409"/>
      <c r="K873" s="409"/>
      <c r="L873" s="409"/>
    </row>
    <row r="874" spans="1:12" ht="14.5">
      <c r="A874" s="409"/>
      <c r="B874" s="409"/>
      <c r="C874" s="416" t="s">
        <v>1047</v>
      </c>
      <c r="D874" s="425" t="s">
        <v>119</v>
      </c>
      <c r="E874" s="425">
        <v>0.96</v>
      </c>
      <c r="F874" s="425">
        <f>F798</f>
        <v>490</v>
      </c>
      <c r="G874" s="425">
        <f>ROUND(E874*F874,2)</f>
        <v>470.4</v>
      </c>
      <c r="H874" s="425">
        <f t="shared" ref="H874:I876" si="34">G874</f>
        <v>470.4</v>
      </c>
      <c r="I874" s="425">
        <f t="shared" si="34"/>
        <v>470.4</v>
      </c>
      <c r="J874" s="409"/>
      <c r="K874" s="409"/>
      <c r="L874" s="409"/>
    </row>
    <row r="875" spans="1:12" ht="14.5">
      <c r="A875" s="409"/>
      <c r="B875" s="409"/>
      <c r="C875" s="416" t="s">
        <v>1048</v>
      </c>
      <c r="D875" s="425" t="s">
        <v>119</v>
      </c>
      <c r="E875" s="425">
        <v>2.2400000000000002</v>
      </c>
      <c r="F875" s="425">
        <f>F799</f>
        <v>440</v>
      </c>
      <c r="G875" s="425">
        <f>ROUND(E875*F875,2)</f>
        <v>985.6</v>
      </c>
      <c r="H875" s="425">
        <f t="shared" si="34"/>
        <v>985.6</v>
      </c>
      <c r="I875" s="425">
        <f t="shared" si="34"/>
        <v>985.6</v>
      </c>
      <c r="J875" s="409"/>
      <c r="K875" s="409"/>
      <c r="L875" s="409"/>
    </row>
    <row r="876" spans="1:12">
      <c r="A876" s="409"/>
      <c r="B876" s="409"/>
      <c r="C876" s="416" t="s">
        <v>440</v>
      </c>
      <c r="D876" s="425" t="s">
        <v>119</v>
      </c>
      <c r="E876" s="425">
        <v>3.3</v>
      </c>
      <c r="F876" s="425">
        <f>F800</f>
        <v>400</v>
      </c>
      <c r="G876" s="425">
        <f>ROUND(E876*F876,2)</f>
        <v>1320</v>
      </c>
      <c r="H876" s="425">
        <f t="shared" si="34"/>
        <v>1320</v>
      </c>
      <c r="I876" s="425">
        <f t="shared" si="34"/>
        <v>1320</v>
      </c>
      <c r="J876" s="409"/>
      <c r="K876" s="409"/>
      <c r="L876" s="409"/>
    </row>
    <row r="877" spans="1:12" ht="13.5" customHeight="1">
      <c r="A877" s="423"/>
      <c r="B877" s="421"/>
      <c r="C877" s="424" t="s">
        <v>615</v>
      </c>
      <c r="D877" s="427"/>
      <c r="E877" s="415"/>
      <c r="F877" s="422"/>
      <c r="G877" s="442"/>
      <c r="H877" s="442">
        <f>SUM(H874:H876)*10/100</f>
        <v>277.60000000000002</v>
      </c>
      <c r="I877" s="442">
        <f>SUM(I874:I876)*20/100</f>
        <v>555.20000000000005</v>
      </c>
      <c r="J877" s="433">
        <f>G880</f>
        <v>7061.03</v>
      </c>
      <c r="K877" s="433">
        <f>G880</f>
        <v>7061.03</v>
      </c>
      <c r="L877" s="409"/>
    </row>
    <row r="878" spans="1:12" ht="13.5" customHeight="1">
      <c r="A878" s="423"/>
      <c r="B878" s="421"/>
      <c r="C878" s="424" t="s">
        <v>592</v>
      </c>
      <c r="D878" s="427">
        <f>D839</f>
        <v>0</v>
      </c>
      <c r="E878" s="415"/>
      <c r="F878" s="422"/>
      <c r="G878" s="442">
        <f>D878*SUM(G874:G876)</f>
        <v>0</v>
      </c>
      <c r="H878" s="442">
        <f>D878*SUM(H874:H877)</f>
        <v>0</v>
      </c>
      <c r="I878" s="442">
        <f>D878*SUM(I874:I877)</f>
        <v>0</v>
      </c>
      <c r="J878" s="433">
        <f>H877</f>
        <v>277.60000000000002</v>
      </c>
      <c r="K878" s="433">
        <f>I877</f>
        <v>555.20000000000005</v>
      </c>
      <c r="L878" s="409"/>
    </row>
    <row r="879" spans="1:12">
      <c r="A879" s="409"/>
      <c r="B879" s="409"/>
      <c r="C879" s="416" t="s">
        <v>478</v>
      </c>
      <c r="D879" s="425"/>
      <c r="E879" s="525">
        <v>0.01</v>
      </c>
      <c r="F879" s="425"/>
      <c r="G879" s="415"/>
      <c r="H879" s="414"/>
      <c r="I879" s="414"/>
      <c r="J879" s="442">
        <f>D878*SUM(J878:J878)</f>
        <v>0</v>
      </c>
      <c r="K879" s="442">
        <f>D878*SUM(K878:K878)</f>
        <v>0</v>
      </c>
      <c r="L879" s="409"/>
    </row>
    <row r="880" spans="1:12">
      <c r="A880" s="409"/>
      <c r="B880" s="409"/>
      <c r="C880" s="416" t="s">
        <v>120</v>
      </c>
      <c r="D880" s="425"/>
      <c r="E880" s="425"/>
      <c r="F880" s="425"/>
      <c r="G880" s="425">
        <f>SUM(G867:G879)</f>
        <v>7061.03</v>
      </c>
      <c r="H880" s="425">
        <f>SUM(H867:H879)</f>
        <v>7338.63</v>
      </c>
      <c r="I880" s="425">
        <f>SUM(I867:I879)</f>
        <v>7616.23</v>
      </c>
      <c r="J880" s="425">
        <f>SUM(J867:J879)</f>
        <v>7338.63</v>
      </c>
      <c r="K880" s="425">
        <f>SUM(K867:K879)</f>
        <v>7616.23</v>
      </c>
      <c r="L880" s="409"/>
    </row>
    <row r="881" spans="1:12">
      <c r="A881" s="409"/>
      <c r="B881" s="409"/>
      <c r="C881" s="416" t="s">
        <v>1062</v>
      </c>
      <c r="D881" s="425"/>
      <c r="E881" s="425"/>
      <c r="F881" s="425"/>
      <c r="G881" s="425">
        <f>G880*13.615%*0</f>
        <v>0</v>
      </c>
      <c r="H881" s="425">
        <f>H880*13.615%*0</f>
        <v>0</v>
      </c>
      <c r="I881" s="425">
        <v>0</v>
      </c>
      <c r="J881" s="425"/>
      <c r="K881" s="425"/>
      <c r="L881" s="409"/>
    </row>
    <row r="882" spans="1:12">
      <c r="A882" s="409"/>
      <c r="B882" s="409"/>
      <c r="C882" s="416"/>
      <c r="D882" s="425"/>
      <c r="E882" s="425"/>
      <c r="F882" s="425"/>
      <c r="G882" s="425">
        <f>SUM(G880:G881)</f>
        <v>7061.03</v>
      </c>
      <c r="H882" s="425">
        <f>SUM(H880:H881)</f>
        <v>7338.63</v>
      </c>
      <c r="I882" s="425">
        <f>SUM(I880:I881)</f>
        <v>7616.23</v>
      </c>
      <c r="J882" s="425"/>
      <c r="K882" s="425"/>
      <c r="L882" s="409"/>
    </row>
    <row r="883" spans="1:12">
      <c r="A883" s="409"/>
      <c r="B883" s="409"/>
      <c r="C883" s="416" t="s">
        <v>479</v>
      </c>
      <c r="D883" s="425"/>
      <c r="E883" s="425"/>
      <c r="F883" s="425"/>
      <c r="G883" s="494">
        <f>ROUND(G882/10,2)</f>
        <v>706.1</v>
      </c>
      <c r="H883" s="494">
        <f>ROUND(H882/10,2)</f>
        <v>733.86</v>
      </c>
      <c r="I883" s="494">
        <f>ROUND(I882/10,2)</f>
        <v>761.62</v>
      </c>
      <c r="J883" s="494"/>
      <c r="K883" s="494"/>
      <c r="L883" s="409"/>
    </row>
    <row r="884" spans="1:12" ht="15.5">
      <c r="A884" s="409"/>
      <c r="B884" s="409"/>
      <c r="C884" s="416"/>
      <c r="D884" s="425"/>
      <c r="E884" s="425"/>
      <c r="F884" s="425"/>
      <c r="G884" s="438">
        <f>SUM(G883:G883)</f>
        <v>706.1</v>
      </c>
      <c r="H884" s="438">
        <f>SUM(H883:H883)</f>
        <v>733.86</v>
      </c>
      <c r="I884" s="438">
        <f>SUM(I883:I883)</f>
        <v>761.62</v>
      </c>
      <c r="J884" s="422">
        <f>SUM(J880:J883)</f>
        <v>7338.63</v>
      </c>
      <c r="K884" s="422">
        <f>SUM(K880:K883)</f>
        <v>7616.23</v>
      </c>
      <c r="L884" s="409"/>
    </row>
    <row r="885" spans="1:12" s="439" customFormat="1" ht="93" hidden="1" customHeight="1">
      <c r="A885" s="411" t="s">
        <v>600</v>
      </c>
      <c r="B885" s="411"/>
      <c r="C885" s="2225" t="s">
        <v>601</v>
      </c>
      <c r="D885" s="2225"/>
      <c r="E885" s="2225"/>
      <c r="F885" s="2225"/>
      <c r="G885" s="412"/>
      <c r="H885" s="411"/>
      <c r="I885" s="411"/>
      <c r="J885" s="411"/>
      <c r="K885" s="411"/>
      <c r="L885" s="411"/>
    </row>
    <row r="886" spans="1:12" s="439" customFormat="1" hidden="1">
      <c r="A886" s="411"/>
      <c r="B886" s="411"/>
      <c r="C886" s="526" t="s">
        <v>23</v>
      </c>
      <c r="D886" s="412"/>
      <c r="E886" s="412"/>
      <c r="F886" s="412"/>
      <c r="G886" s="412"/>
      <c r="H886" s="411"/>
      <c r="I886" s="411"/>
      <c r="J886" s="411"/>
      <c r="K886" s="411"/>
      <c r="L886" s="411"/>
    </row>
    <row r="887" spans="1:12" s="439" customFormat="1" hidden="1">
      <c r="A887" s="411"/>
      <c r="B887" s="411"/>
      <c r="C887" s="526" t="s">
        <v>24</v>
      </c>
      <c r="D887" s="412"/>
      <c r="E887" s="412"/>
      <c r="F887" s="412"/>
      <c r="G887" s="428" t="s">
        <v>613</v>
      </c>
      <c r="H887" s="428" t="s">
        <v>611</v>
      </c>
      <c r="I887" s="428" t="s">
        <v>614</v>
      </c>
      <c r="J887" s="411"/>
      <c r="K887" s="411"/>
      <c r="L887" s="411"/>
    </row>
    <row r="888" spans="1:12" s="439" customFormat="1" hidden="1">
      <c r="A888" s="411"/>
      <c r="B888" s="411"/>
      <c r="C888" s="526" t="s">
        <v>477</v>
      </c>
      <c r="D888" s="412" t="s">
        <v>113</v>
      </c>
      <c r="E888" s="412">
        <v>10.5</v>
      </c>
      <c r="F888" s="412">
        <f>F867</f>
        <v>374</v>
      </c>
      <c r="G888" s="412">
        <f>ROUND(E888*F888,2)</f>
        <v>3927</v>
      </c>
      <c r="H888" s="412">
        <f t="shared" ref="H888:I892" si="35">G888</f>
        <v>3927</v>
      </c>
      <c r="I888" s="412">
        <f t="shared" si="35"/>
        <v>3927</v>
      </c>
      <c r="J888" s="411"/>
      <c r="K888" s="411" t="s">
        <v>1061</v>
      </c>
      <c r="L888" s="411"/>
    </row>
    <row r="889" spans="1:12" s="439" customFormat="1" hidden="1">
      <c r="A889" s="411"/>
      <c r="B889" s="411"/>
      <c r="C889" s="526" t="s">
        <v>602</v>
      </c>
      <c r="D889" s="412" t="s">
        <v>117</v>
      </c>
      <c r="E889" s="412">
        <v>0.12</v>
      </c>
      <c r="F889" s="412">
        <f>F871</f>
        <v>349.58</v>
      </c>
      <c r="G889" s="412">
        <f>ROUND(E889*F889,2)</f>
        <v>41.95</v>
      </c>
      <c r="H889" s="412">
        <f t="shared" si="35"/>
        <v>41.95</v>
      </c>
      <c r="I889" s="412">
        <f t="shared" si="35"/>
        <v>41.95</v>
      </c>
      <c r="J889" s="411"/>
      <c r="K889" s="411"/>
      <c r="L889" s="411"/>
    </row>
    <row r="890" spans="1:12" s="439" customFormat="1" hidden="1">
      <c r="A890" s="411"/>
      <c r="B890" s="411"/>
      <c r="C890" s="526" t="s">
        <v>603</v>
      </c>
      <c r="D890" s="412" t="s">
        <v>115</v>
      </c>
      <c r="E890" s="412">
        <v>57.6</v>
      </c>
      <c r="F890" s="412">
        <v>4.8</v>
      </c>
      <c r="G890" s="412">
        <f>ROUND(E890*F890,2)</f>
        <v>276.48</v>
      </c>
      <c r="H890" s="412">
        <f t="shared" si="35"/>
        <v>276.48</v>
      </c>
      <c r="I890" s="412">
        <f t="shared" si="35"/>
        <v>276.48</v>
      </c>
      <c r="J890" s="411"/>
      <c r="K890" s="411"/>
      <c r="L890" s="411"/>
    </row>
    <row r="891" spans="1:12" s="439" customFormat="1" hidden="1">
      <c r="A891" s="411"/>
      <c r="B891" s="411"/>
      <c r="C891" s="526" t="s">
        <v>122</v>
      </c>
      <c r="D891" s="412" t="s">
        <v>115</v>
      </c>
      <c r="E891" s="412">
        <v>33</v>
      </c>
      <c r="F891" s="412">
        <f>F890</f>
        <v>4.8</v>
      </c>
      <c r="G891" s="412">
        <f>ROUND(E891*F891,2)</f>
        <v>158.4</v>
      </c>
      <c r="H891" s="412">
        <f t="shared" si="35"/>
        <v>158.4</v>
      </c>
      <c r="I891" s="412">
        <f t="shared" si="35"/>
        <v>158.4</v>
      </c>
      <c r="J891" s="411"/>
      <c r="K891" s="411"/>
      <c r="L891" s="411"/>
    </row>
    <row r="892" spans="1:12" s="439" customFormat="1" hidden="1">
      <c r="A892" s="411"/>
      <c r="B892" s="411"/>
      <c r="C892" s="526" t="s">
        <v>194</v>
      </c>
      <c r="D892" s="412" t="s">
        <v>115</v>
      </c>
      <c r="E892" s="412">
        <v>6</v>
      </c>
      <c r="F892" s="412">
        <v>27</v>
      </c>
      <c r="G892" s="412">
        <f>ROUND(E892*F892,2)</f>
        <v>162</v>
      </c>
      <c r="H892" s="412">
        <f t="shared" si="35"/>
        <v>162</v>
      </c>
      <c r="I892" s="412">
        <f t="shared" si="35"/>
        <v>162</v>
      </c>
      <c r="J892" s="411"/>
      <c r="K892" s="411"/>
      <c r="L892" s="411"/>
    </row>
    <row r="893" spans="1:12" s="439" customFormat="1" hidden="1">
      <c r="A893" s="411"/>
      <c r="B893" s="411"/>
      <c r="C893" s="526"/>
      <c r="D893" s="412"/>
      <c r="E893" s="412"/>
      <c r="F893" s="412"/>
      <c r="G893" s="412"/>
      <c r="H893" s="412"/>
      <c r="I893" s="412"/>
      <c r="J893" s="411"/>
      <c r="K893" s="411"/>
      <c r="L893" s="411"/>
    </row>
    <row r="894" spans="1:12" s="439" customFormat="1" hidden="1">
      <c r="A894" s="411"/>
      <c r="B894" s="411"/>
      <c r="C894" s="526" t="s">
        <v>128</v>
      </c>
      <c r="D894" s="412"/>
      <c r="E894" s="412"/>
      <c r="F894" s="412"/>
      <c r="G894" s="412"/>
      <c r="H894" s="412"/>
      <c r="I894" s="412"/>
      <c r="J894" s="411"/>
      <c r="K894" s="411"/>
      <c r="L894" s="411"/>
    </row>
    <row r="895" spans="1:12" s="439" customFormat="1" ht="14.5" hidden="1">
      <c r="A895" s="411"/>
      <c r="B895" s="411"/>
      <c r="C895" s="526" t="s">
        <v>1047</v>
      </c>
      <c r="D895" s="412" t="s">
        <v>119</v>
      </c>
      <c r="E895" s="412">
        <v>0.77</v>
      </c>
      <c r="F895" s="412">
        <f>F874</f>
        <v>490</v>
      </c>
      <c r="G895" s="412">
        <f>ROUND(E895*F895,2)</f>
        <v>377.3</v>
      </c>
      <c r="H895" s="412">
        <f>G895</f>
        <v>377.3</v>
      </c>
      <c r="I895" s="412">
        <f>H895</f>
        <v>377.3</v>
      </c>
      <c r="J895" s="411"/>
      <c r="K895" s="411"/>
      <c r="L895" s="411"/>
    </row>
    <row r="896" spans="1:12" s="439" customFormat="1" hidden="1">
      <c r="A896" s="411"/>
      <c r="B896" s="411"/>
      <c r="C896" s="526" t="s">
        <v>440</v>
      </c>
      <c r="D896" s="412" t="s">
        <v>119</v>
      </c>
      <c r="E896" s="412">
        <v>0.8</v>
      </c>
      <c r="F896" s="412">
        <f>F876</f>
        <v>400</v>
      </c>
      <c r="G896" s="412">
        <f>ROUND(E896*F896,2)</f>
        <v>320</v>
      </c>
      <c r="H896" s="412">
        <f>G896</f>
        <v>320</v>
      </c>
      <c r="I896" s="412">
        <f>H896</f>
        <v>320</v>
      </c>
      <c r="J896" s="411"/>
      <c r="K896" s="411"/>
      <c r="L896" s="411"/>
    </row>
    <row r="897" spans="1:12" ht="13.5" hidden="1" customHeight="1">
      <c r="A897" s="423"/>
      <c r="B897" s="421"/>
      <c r="C897" s="424" t="s">
        <v>615</v>
      </c>
      <c r="D897" s="427"/>
      <c r="E897" s="415"/>
      <c r="F897" s="422"/>
      <c r="G897" s="442"/>
      <c r="H897" s="442">
        <f>SUM(H894:H896)*10/100</f>
        <v>69.73</v>
      </c>
      <c r="I897" s="442">
        <f>SUM(I894:I896)*20/100</f>
        <v>139.46</v>
      </c>
      <c r="J897" s="409"/>
      <c r="K897" s="409"/>
      <c r="L897" s="409"/>
    </row>
    <row r="898" spans="1:12" ht="13.5" hidden="1" customHeight="1">
      <c r="A898" s="423"/>
      <c r="B898" s="421"/>
      <c r="C898" s="424" t="s">
        <v>592</v>
      </c>
      <c r="D898" s="427">
        <f>D878</f>
        <v>0</v>
      </c>
      <c r="E898" s="415"/>
      <c r="F898" s="422"/>
      <c r="G898" s="442">
        <f>D898*SUM(G895:G896)</f>
        <v>0</v>
      </c>
      <c r="H898" s="442">
        <f>D898*SUM(H895:H897)</f>
        <v>0</v>
      </c>
      <c r="I898" s="442">
        <f>D898*SUM(I895:I897)</f>
        <v>0</v>
      </c>
      <c r="J898" s="409"/>
      <c r="K898" s="409"/>
      <c r="L898" s="409"/>
    </row>
    <row r="899" spans="1:12" s="439" customFormat="1" hidden="1">
      <c r="A899" s="411"/>
      <c r="B899" s="411"/>
      <c r="C899" s="526" t="s">
        <v>120</v>
      </c>
      <c r="D899" s="412"/>
      <c r="E899" s="412"/>
      <c r="F899" s="412"/>
      <c r="G899" s="412">
        <f>SUM(G888:G898)</f>
        <v>5263.13</v>
      </c>
      <c r="H899" s="412">
        <f>SUM(H888:H898)</f>
        <v>5332.86</v>
      </c>
      <c r="I899" s="412">
        <f>SUM(I888:I898)</f>
        <v>5402.59</v>
      </c>
      <c r="J899" s="411"/>
      <c r="K899" s="411"/>
      <c r="L899" s="411"/>
    </row>
    <row r="900" spans="1:12" s="439" customFormat="1" hidden="1">
      <c r="A900" s="411"/>
      <c r="B900" s="411"/>
      <c r="C900" s="526" t="s">
        <v>479</v>
      </c>
      <c r="D900" s="412"/>
      <c r="E900" s="412"/>
      <c r="F900" s="412"/>
      <c r="G900" s="438">
        <f>ROUND(G899/10,2)</f>
        <v>526.30999999999995</v>
      </c>
      <c r="H900" s="438">
        <f>ROUND(H899/10,2)</f>
        <v>533.29</v>
      </c>
      <c r="I900" s="438">
        <f>ROUND(I899/10,2)</f>
        <v>540.26</v>
      </c>
      <c r="J900" s="411"/>
      <c r="K900" s="411"/>
      <c r="L900" s="411"/>
    </row>
    <row r="901" spans="1:12" ht="25" hidden="1">
      <c r="A901" s="409"/>
      <c r="B901" s="409"/>
      <c r="C901" s="435" t="s">
        <v>578</v>
      </c>
      <c r="D901" s="425"/>
      <c r="E901" s="425"/>
      <c r="F901" s="425"/>
      <c r="G901" s="438">
        <f>G900*13.615/100</f>
        <v>71.657106499999998</v>
      </c>
      <c r="H901" s="438">
        <f>H900*13.615/100</f>
        <v>72.607433499999999</v>
      </c>
      <c r="I901" s="438">
        <f>I900*13.615/100</f>
        <v>73.556398999999999</v>
      </c>
      <c r="J901" s="409"/>
      <c r="K901" s="409"/>
      <c r="L901" s="409"/>
    </row>
    <row r="902" spans="1:12" hidden="1">
      <c r="A902" s="409"/>
      <c r="B902" s="409"/>
      <c r="C902" s="416"/>
      <c r="D902" s="425"/>
      <c r="E902" s="425"/>
      <c r="F902" s="425"/>
      <c r="G902" s="438">
        <f>SUM(G900:G901)</f>
        <v>597.9671065</v>
      </c>
      <c r="H902" s="438">
        <f>SUM(H900:H901)</f>
        <v>605.89743349999992</v>
      </c>
      <c r="I902" s="438">
        <f>SUM(I900:I901)</f>
        <v>613.81639900000005</v>
      </c>
      <c r="J902" s="409"/>
      <c r="K902" s="409"/>
      <c r="L902" s="409"/>
    </row>
    <row r="903" spans="1:12" ht="91.5" customHeight="1">
      <c r="A903" s="435" t="s">
        <v>600</v>
      </c>
      <c r="B903" s="409"/>
      <c r="C903" s="2223" t="s">
        <v>604</v>
      </c>
      <c r="D903" s="2224"/>
      <c r="E903" s="2224"/>
      <c r="F903" s="2224"/>
      <c r="G903" s="426"/>
      <c r="H903" s="414"/>
      <c r="I903" s="414"/>
      <c r="J903" s="409"/>
      <c r="K903" s="409"/>
      <c r="L903" s="409"/>
    </row>
    <row r="904" spans="1:12">
      <c r="A904" s="409"/>
      <c r="B904" s="409"/>
      <c r="C904" s="416" t="s">
        <v>23</v>
      </c>
      <c r="D904" s="425"/>
      <c r="E904" s="425"/>
      <c r="F904" s="425"/>
      <c r="G904" s="425"/>
      <c r="H904" s="414"/>
      <c r="I904" s="409"/>
      <c r="J904" s="409"/>
      <c r="K904" s="409"/>
      <c r="L904" s="409"/>
    </row>
    <row r="905" spans="1:12">
      <c r="A905" s="409"/>
      <c r="B905" s="409"/>
      <c r="C905" s="416" t="s">
        <v>24</v>
      </c>
      <c r="D905" s="425"/>
      <c r="E905" s="425"/>
      <c r="F905" s="425"/>
      <c r="G905" s="428" t="s">
        <v>613</v>
      </c>
      <c r="H905" s="428" t="s">
        <v>611</v>
      </c>
      <c r="I905" s="428" t="s">
        <v>614</v>
      </c>
      <c r="J905" s="409"/>
      <c r="K905" s="409"/>
      <c r="L905" s="409"/>
    </row>
    <row r="906" spans="1:12">
      <c r="A906" s="409"/>
      <c r="B906" s="409"/>
      <c r="C906" s="416" t="s">
        <v>477</v>
      </c>
      <c r="D906" s="425" t="s">
        <v>113</v>
      </c>
      <c r="E906" s="425">
        <v>10.5</v>
      </c>
      <c r="F906" s="425">
        <f>Bldg.rates!F37</f>
        <v>374</v>
      </c>
      <c r="G906" s="425">
        <f>ROUND(E906*F906,2)</f>
        <v>3927</v>
      </c>
      <c r="H906" s="425">
        <f t="shared" ref="H906:I910" si="36">G906</f>
        <v>3927</v>
      </c>
      <c r="I906" s="425">
        <f t="shared" si="36"/>
        <v>3927</v>
      </c>
      <c r="J906" s="409"/>
      <c r="K906" s="411" t="s">
        <v>1061</v>
      </c>
      <c r="L906" s="409"/>
    </row>
    <row r="907" spans="1:12">
      <c r="A907" s="409"/>
      <c r="B907" s="409"/>
      <c r="C907" s="416" t="s">
        <v>605</v>
      </c>
      <c r="D907" s="425" t="s">
        <v>117</v>
      </c>
      <c r="E907" s="425">
        <v>0.12</v>
      </c>
      <c r="F907" s="425">
        <f>F889</f>
        <v>349.58</v>
      </c>
      <c r="G907" s="425">
        <f>ROUND(E907*F907,2)</f>
        <v>41.95</v>
      </c>
      <c r="H907" s="425">
        <f t="shared" si="36"/>
        <v>41.95</v>
      </c>
      <c r="I907" s="425">
        <f t="shared" si="36"/>
        <v>41.95</v>
      </c>
      <c r="J907" s="409"/>
      <c r="K907" s="409"/>
      <c r="L907" s="409"/>
    </row>
    <row r="908" spans="1:12">
      <c r="A908" s="409"/>
      <c r="B908" s="409"/>
      <c r="C908" s="416" t="s">
        <v>603</v>
      </c>
      <c r="D908" s="425" t="s">
        <v>115</v>
      </c>
      <c r="E908" s="425">
        <v>57.6</v>
      </c>
      <c r="F908" s="425">
        <v>4.8</v>
      </c>
      <c r="G908" s="425">
        <f>ROUND(E908*F908,2)</f>
        <v>276.48</v>
      </c>
      <c r="H908" s="425">
        <f t="shared" si="36"/>
        <v>276.48</v>
      </c>
      <c r="I908" s="425">
        <f t="shared" si="36"/>
        <v>276.48</v>
      </c>
      <c r="J908" s="409"/>
      <c r="K908" s="409"/>
      <c r="L908" s="409"/>
    </row>
    <row r="909" spans="1:12">
      <c r="A909" s="409"/>
      <c r="B909" s="409"/>
      <c r="C909" s="416" t="s">
        <v>122</v>
      </c>
      <c r="D909" s="425" t="s">
        <v>115</v>
      </c>
      <c r="E909" s="425">
        <v>33</v>
      </c>
      <c r="F909" s="425">
        <f>F908</f>
        <v>4.8</v>
      </c>
      <c r="G909" s="425">
        <f>ROUND(E909*F909,2)</f>
        <v>158.4</v>
      </c>
      <c r="H909" s="425">
        <f t="shared" si="36"/>
        <v>158.4</v>
      </c>
      <c r="I909" s="425">
        <f t="shared" si="36"/>
        <v>158.4</v>
      </c>
      <c r="J909" s="409"/>
      <c r="K909" s="409"/>
      <c r="L909" s="409"/>
    </row>
    <row r="910" spans="1:12">
      <c r="A910" s="409"/>
      <c r="B910" s="409"/>
      <c r="C910" s="440" t="s">
        <v>599</v>
      </c>
      <c r="D910" s="425" t="s">
        <v>115</v>
      </c>
      <c r="E910" s="425">
        <v>6</v>
      </c>
      <c r="F910" s="425">
        <f>F892</f>
        <v>27</v>
      </c>
      <c r="G910" s="425">
        <f>ROUND(E910*F910,2)</f>
        <v>162</v>
      </c>
      <c r="H910" s="425">
        <f t="shared" si="36"/>
        <v>162</v>
      </c>
      <c r="I910" s="425">
        <f t="shared" si="36"/>
        <v>162</v>
      </c>
      <c r="J910" s="409"/>
      <c r="K910" s="409"/>
      <c r="L910" s="409"/>
    </row>
    <row r="911" spans="1:12">
      <c r="A911" s="409"/>
      <c r="B911" s="409"/>
      <c r="C911" s="416"/>
      <c r="D911" s="425"/>
      <c r="E911" s="425"/>
      <c r="F911" s="425"/>
      <c r="G911" s="425"/>
      <c r="H911" s="425"/>
      <c r="I911" s="425"/>
      <c r="J911" s="409"/>
      <c r="K911" s="409"/>
      <c r="L911" s="409"/>
    </row>
    <row r="912" spans="1:12">
      <c r="A912" s="409"/>
      <c r="B912" s="409"/>
      <c r="C912" s="416" t="s">
        <v>128</v>
      </c>
      <c r="D912" s="425"/>
      <c r="E912" s="425"/>
      <c r="F912" s="425"/>
      <c r="G912" s="425"/>
      <c r="H912" s="425"/>
      <c r="I912" s="425"/>
      <c r="J912" s="409"/>
      <c r="K912" s="409"/>
      <c r="L912" s="409"/>
    </row>
    <row r="913" spans="1:14" ht="14.5">
      <c r="A913" s="409"/>
      <c r="B913" s="409"/>
      <c r="C913" s="416" t="s">
        <v>1047</v>
      </c>
      <c r="D913" s="425" t="s">
        <v>119</v>
      </c>
      <c r="E913" s="425">
        <v>0.77</v>
      </c>
      <c r="F913" s="425">
        <f>F895</f>
        <v>490</v>
      </c>
      <c r="G913" s="425">
        <f>ROUND(E913*F913,2)</f>
        <v>377.3</v>
      </c>
      <c r="H913" s="425">
        <f>G913</f>
        <v>377.3</v>
      </c>
      <c r="I913" s="425">
        <f>H913</f>
        <v>377.3</v>
      </c>
      <c r="J913" s="409"/>
      <c r="K913" s="409"/>
      <c r="L913" s="409"/>
    </row>
    <row r="914" spans="1:14">
      <c r="A914" s="409"/>
      <c r="B914" s="409"/>
      <c r="C914" s="416" t="s">
        <v>440</v>
      </c>
      <c r="D914" s="425" t="s">
        <v>119</v>
      </c>
      <c r="E914" s="425">
        <v>0.8</v>
      </c>
      <c r="F914" s="425">
        <f>F896</f>
        <v>400</v>
      </c>
      <c r="G914" s="425">
        <f>ROUND(E914*F914,2)</f>
        <v>320</v>
      </c>
      <c r="H914" s="425">
        <f>G914</f>
        <v>320</v>
      </c>
      <c r="I914" s="425">
        <f>H914</f>
        <v>320</v>
      </c>
      <c r="J914" s="409"/>
      <c r="K914" s="409"/>
      <c r="L914" s="409"/>
    </row>
    <row r="915" spans="1:14" ht="13.5" customHeight="1">
      <c r="A915" s="423"/>
      <c r="B915" s="421"/>
      <c r="C915" s="424" t="s">
        <v>615</v>
      </c>
      <c r="D915" s="427"/>
      <c r="E915" s="415"/>
      <c r="F915" s="422"/>
      <c r="G915" s="442"/>
      <c r="H915" s="442">
        <f>SUM(H912:H914)*10/100</f>
        <v>69.73</v>
      </c>
      <c r="I915" s="442">
        <f>SUM(I912:I914)*20/100</f>
        <v>139.46</v>
      </c>
      <c r="J915" s="409"/>
      <c r="K915" s="409"/>
      <c r="L915" s="409"/>
    </row>
    <row r="916" spans="1:14" ht="13.5" customHeight="1">
      <c r="A916" s="423"/>
      <c r="B916" s="421"/>
      <c r="C916" s="424" t="s">
        <v>592</v>
      </c>
      <c r="D916" s="427">
        <f>D898</f>
        <v>0</v>
      </c>
      <c r="E916" s="415"/>
      <c r="F916" s="422"/>
      <c r="G916" s="442">
        <f>D916*SUM(G913:G914)</f>
        <v>0</v>
      </c>
      <c r="H916" s="442">
        <f>D916*SUM(H913:H915)</f>
        <v>0</v>
      </c>
      <c r="I916" s="442">
        <f>D916*SUM(I913:I915)</f>
        <v>0</v>
      </c>
      <c r="J916" s="409"/>
      <c r="K916" s="409"/>
      <c r="L916" s="409"/>
    </row>
    <row r="917" spans="1:14">
      <c r="A917" s="409"/>
      <c r="B917" s="409"/>
      <c r="C917" s="416" t="s">
        <v>120</v>
      </c>
      <c r="D917" s="425"/>
      <c r="E917" s="425"/>
      <c r="F917" s="425"/>
      <c r="G917" s="425">
        <f>SUM(G906:G916)</f>
        <v>5263.13</v>
      </c>
      <c r="H917" s="425">
        <f>SUM(H906:H916)</f>
        <v>5332.86</v>
      </c>
      <c r="I917" s="425">
        <f>SUM(I906:I916)</f>
        <v>5402.59</v>
      </c>
      <c r="J917" s="409"/>
      <c r="K917" s="409"/>
      <c r="L917" s="409"/>
    </row>
    <row r="918" spans="1:14">
      <c r="A918" s="409"/>
      <c r="B918" s="409"/>
      <c r="C918" s="416" t="s">
        <v>479</v>
      </c>
      <c r="D918" s="425"/>
      <c r="E918" s="425"/>
      <c r="F918" s="425"/>
      <c r="G918" s="494">
        <f>ROUND(G917/10,2)</f>
        <v>526.30999999999995</v>
      </c>
      <c r="H918" s="494">
        <f>ROUND(H917/10,2)</f>
        <v>533.29</v>
      </c>
      <c r="I918" s="494">
        <f>ROUND(I917/10,2)</f>
        <v>540.26</v>
      </c>
      <c r="J918" s="409"/>
      <c r="K918" s="409"/>
      <c r="L918" s="409"/>
    </row>
    <row r="919" spans="1:14" ht="25">
      <c r="A919" s="409"/>
      <c r="B919" s="409"/>
      <c r="C919" s="435" t="s">
        <v>578</v>
      </c>
      <c r="D919" s="425"/>
      <c r="E919" s="425"/>
      <c r="F919" s="425"/>
      <c r="G919" s="438">
        <f>G918*13.615/100*0</f>
        <v>0</v>
      </c>
      <c r="H919" s="438">
        <f>H918*13.615/100*0</f>
        <v>0</v>
      </c>
      <c r="I919" s="438">
        <f>I918*13.615/100</f>
        <v>73.556398999999999</v>
      </c>
      <c r="J919" s="409"/>
      <c r="K919" s="409"/>
      <c r="L919" s="409"/>
    </row>
    <row r="920" spans="1:14">
      <c r="A920" s="409"/>
      <c r="B920" s="409"/>
      <c r="C920" s="416"/>
      <c r="D920" s="425"/>
      <c r="E920" s="425"/>
      <c r="F920" s="425"/>
      <c r="G920" s="438">
        <f>SUM(G918:G919)</f>
        <v>526.30999999999995</v>
      </c>
      <c r="H920" s="438">
        <f>SUM(H918:H919)</f>
        <v>533.29</v>
      </c>
      <c r="I920" s="438">
        <f>SUM(I918:I919)</f>
        <v>613.81639900000005</v>
      </c>
      <c r="J920" s="409"/>
      <c r="K920" s="409"/>
      <c r="L920" s="409"/>
    </row>
    <row r="921" spans="1:14" ht="88.5" hidden="1" customHeight="1">
      <c r="A921" s="435" t="s">
        <v>103</v>
      </c>
      <c r="B921" s="435">
        <v>28</v>
      </c>
      <c r="C921" s="2219" t="s">
        <v>385</v>
      </c>
      <c r="D921" s="2219"/>
      <c r="E921" s="2219"/>
      <c r="F921" s="2219"/>
      <c r="G921" s="428"/>
      <c r="H921" s="409"/>
      <c r="I921" s="409"/>
      <c r="J921" s="409"/>
      <c r="K921" s="409"/>
      <c r="L921" s="409"/>
      <c r="M921" s="504"/>
      <c r="N921" s="505"/>
    </row>
    <row r="922" spans="1:14" hidden="1">
      <c r="A922" s="409"/>
      <c r="B922" s="409"/>
      <c r="C922" s="416" t="s">
        <v>23</v>
      </c>
      <c r="D922" s="425"/>
      <c r="E922" s="425"/>
      <c r="F922" s="425"/>
      <c r="G922" s="415"/>
      <c r="H922" s="414"/>
      <c r="I922" s="409"/>
      <c r="J922" s="409"/>
      <c r="K922" s="409"/>
      <c r="L922" s="409"/>
      <c r="M922" s="504"/>
      <c r="N922" s="505"/>
    </row>
    <row r="923" spans="1:14" hidden="1">
      <c r="A923" s="409"/>
      <c r="B923" s="409"/>
      <c r="C923" s="416" t="s">
        <v>24</v>
      </c>
      <c r="D923" s="425"/>
      <c r="E923" s="425"/>
      <c r="F923" s="425"/>
      <c r="G923" s="428" t="s">
        <v>613</v>
      </c>
      <c r="H923" s="428" t="s">
        <v>611</v>
      </c>
      <c r="I923" s="428" t="s">
        <v>614</v>
      </c>
      <c r="J923" s="409"/>
      <c r="K923" s="409"/>
      <c r="L923" s="409"/>
      <c r="M923" s="504"/>
      <c r="N923" s="505"/>
    </row>
    <row r="924" spans="1:14" ht="25" hidden="1">
      <c r="A924" s="409"/>
      <c r="B924" s="409"/>
      <c r="C924" s="416" t="s">
        <v>363</v>
      </c>
      <c r="D924" s="425" t="s">
        <v>113</v>
      </c>
      <c r="E924" s="425">
        <v>11</v>
      </c>
      <c r="F924" s="425">
        <v>161</v>
      </c>
      <c r="G924" s="425">
        <f>ROUND(E924*F924,2)</f>
        <v>1771</v>
      </c>
      <c r="H924" s="425">
        <f t="shared" ref="H924:I928" si="37">G924</f>
        <v>1771</v>
      </c>
      <c r="I924" s="425">
        <f t="shared" si="37"/>
        <v>1771</v>
      </c>
      <c r="J924" s="409"/>
      <c r="K924" s="436"/>
      <c r="L924" s="409"/>
      <c r="M924" s="527"/>
      <c r="N924" s="505"/>
    </row>
    <row r="925" spans="1:14" ht="18" hidden="1" customHeight="1">
      <c r="A925" s="409"/>
      <c r="B925" s="409"/>
      <c r="C925" s="416" t="s">
        <v>114</v>
      </c>
      <c r="D925" s="425" t="s">
        <v>115</v>
      </c>
      <c r="E925" s="425">
        <v>21.6</v>
      </c>
      <c r="F925" s="425">
        <f>F868</f>
        <v>4.8</v>
      </c>
      <c r="G925" s="425">
        <f>ROUND(E925*F925,2)</f>
        <v>103.68</v>
      </c>
      <c r="H925" s="425">
        <f t="shared" si="37"/>
        <v>103.68</v>
      </c>
      <c r="I925" s="425">
        <f t="shared" si="37"/>
        <v>103.68</v>
      </c>
      <c r="J925" s="409"/>
      <c r="K925" s="436"/>
      <c r="L925" s="409"/>
      <c r="M925" s="527"/>
      <c r="N925" s="505"/>
    </row>
    <row r="926" spans="1:14" hidden="1">
      <c r="A926" s="409"/>
      <c r="B926" s="409"/>
      <c r="C926" s="416" t="s">
        <v>122</v>
      </c>
      <c r="D926" s="425" t="s">
        <v>115</v>
      </c>
      <c r="E926" s="425">
        <v>33</v>
      </c>
      <c r="F926" s="425">
        <f>F925</f>
        <v>4.8</v>
      </c>
      <c r="G926" s="425">
        <f>ROUND(E926*F926,2)</f>
        <v>158.4</v>
      </c>
      <c r="H926" s="425">
        <f t="shared" si="37"/>
        <v>158.4</v>
      </c>
      <c r="I926" s="425">
        <f t="shared" si="37"/>
        <v>158.4</v>
      </c>
      <c r="J926" s="409"/>
      <c r="K926" s="436"/>
      <c r="L926" s="409"/>
      <c r="M926" s="527"/>
      <c r="N926" s="505"/>
    </row>
    <row r="927" spans="1:14" hidden="1">
      <c r="A927" s="409"/>
      <c r="B927" s="409"/>
      <c r="C927" s="416" t="s">
        <v>364</v>
      </c>
      <c r="D927" s="425" t="s">
        <v>115</v>
      </c>
      <c r="E927" s="425">
        <v>20</v>
      </c>
      <c r="F927" s="425">
        <f>F926</f>
        <v>4.8</v>
      </c>
      <c r="G927" s="425">
        <f>ROUND(E927*F927,2)</f>
        <v>96</v>
      </c>
      <c r="H927" s="425">
        <f t="shared" si="37"/>
        <v>96</v>
      </c>
      <c r="I927" s="425">
        <f t="shared" si="37"/>
        <v>96</v>
      </c>
      <c r="J927" s="409"/>
      <c r="K927" s="436"/>
      <c r="L927" s="409"/>
      <c r="M927" s="527"/>
      <c r="N927" s="505"/>
    </row>
    <row r="928" spans="1:14" hidden="1">
      <c r="A928" s="409"/>
      <c r="B928" s="409"/>
      <c r="C928" s="416" t="s">
        <v>116</v>
      </c>
      <c r="D928" s="425" t="s">
        <v>117</v>
      </c>
      <c r="E928" s="425">
        <v>0.12</v>
      </c>
      <c r="F928" s="425">
        <f>F871</f>
        <v>349.58</v>
      </c>
      <c r="G928" s="425">
        <f>ROUND(E928*F928,2)</f>
        <v>41.95</v>
      </c>
      <c r="H928" s="425">
        <f t="shared" si="37"/>
        <v>41.95</v>
      </c>
      <c r="I928" s="425">
        <f t="shared" si="37"/>
        <v>41.95</v>
      </c>
      <c r="J928" s="409"/>
      <c r="K928" s="436"/>
      <c r="L928" s="409"/>
      <c r="M928" s="527"/>
      <c r="N928" s="505"/>
    </row>
    <row r="929" spans="1:14" hidden="1">
      <c r="A929" s="409"/>
      <c r="B929" s="409"/>
      <c r="C929" s="416" t="s">
        <v>278</v>
      </c>
      <c r="D929" s="425"/>
      <c r="E929" s="425"/>
      <c r="F929" s="425"/>
      <c r="G929" s="425"/>
      <c r="H929" s="425"/>
      <c r="I929" s="425"/>
      <c r="J929" s="409"/>
      <c r="K929" s="436"/>
      <c r="L929" s="409"/>
      <c r="M929" s="527"/>
      <c r="N929" s="505"/>
    </row>
    <row r="930" spans="1:14" ht="14.5" hidden="1">
      <c r="A930" s="409"/>
      <c r="B930" s="409"/>
      <c r="C930" s="416" t="s">
        <v>1047</v>
      </c>
      <c r="D930" s="425" t="s">
        <v>119</v>
      </c>
      <c r="E930" s="425">
        <v>3.1</v>
      </c>
      <c r="F930" s="425">
        <f>F874</f>
        <v>490</v>
      </c>
      <c r="G930" s="425">
        <f>ROUND(E930*F930,2)</f>
        <v>1519</v>
      </c>
      <c r="H930" s="425">
        <f t="shared" ref="H930:I932" si="38">G930</f>
        <v>1519</v>
      </c>
      <c r="I930" s="425">
        <f t="shared" si="38"/>
        <v>1519</v>
      </c>
      <c r="J930" s="409"/>
      <c r="K930" s="436"/>
      <c r="L930" s="409"/>
      <c r="M930" s="527"/>
      <c r="N930" s="505"/>
    </row>
    <row r="931" spans="1:14" ht="14.5" hidden="1">
      <c r="A931" s="409"/>
      <c r="B931" s="409"/>
      <c r="C931" s="416" t="s">
        <v>1048</v>
      </c>
      <c r="D931" s="425" t="s">
        <v>119</v>
      </c>
      <c r="E931" s="425">
        <v>1.1000000000000001</v>
      </c>
      <c r="F931" s="425">
        <f>F875</f>
        <v>440</v>
      </c>
      <c r="G931" s="425">
        <f>ROUND(E931*F931,2)</f>
        <v>484</v>
      </c>
      <c r="H931" s="425">
        <f t="shared" si="38"/>
        <v>484</v>
      </c>
      <c r="I931" s="425">
        <f t="shared" si="38"/>
        <v>484</v>
      </c>
      <c r="J931" s="409"/>
      <c r="K931" s="436"/>
      <c r="L931" s="409"/>
      <c r="M931" s="527"/>
      <c r="N931" s="505"/>
    </row>
    <row r="932" spans="1:14" hidden="1">
      <c r="A932" s="409"/>
      <c r="B932" s="409"/>
      <c r="C932" s="416" t="s">
        <v>268</v>
      </c>
      <c r="D932" s="425" t="s">
        <v>119</v>
      </c>
      <c r="E932" s="425">
        <v>0.86</v>
      </c>
      <c r="F932" s="425">
        <f>F876</f>
        <v>400</v>
      </c>
      <c r="G932" s="425">
        <f>ROUND(E932*F932,2)</f>
        <v>344</v>
      </c>
      <c r="H932" s="425">
        <f t="shared" si="38"/>
        <v>344</v>
      </c>
      <c r="I932" s="425">
        <f t="shared" si="38"/>
        <v>344</v>
      </c>
      <c r="J932" s="409"/>
      <c r="K932" s="436"/>
      <c r="L932" s="409"/>
      <c r="M932" s="527"/>
      <c r="N932" s="505"/>
    </row>
    <row r="933" spans="1:14" ht="13.5" hidden="1" customHeight="1">
      <c r="A933" s="423"/>
      <c r="B933" s="421"/>
      <c r="C933" s="424" t="s">
        <v>615</v>
      </c>
      <c r="D933" s="427"/>
      <c r="E933" s="415"/>
      <c r="F933" s="422"/>
      <c r="G933" s="442"/>
      <c r="H933" s="442">
        <f>SUM(H930:H932)*10/100</f>
        <v>234.7</v>
      </c>
      <c r="I933" s="442">
        <f>SUM(I930:I932)*20/100</f>
        <v>469.4</v>
      </c>
      <c r="J933" s="409"/>
      <c r="K933" s="409"/>
      <c r="L933" s="409"/>
    </row>
    <row r="934" spans="1:14" ht="13.5" hidden="1" customHeight="1">
      <c r="A934" s="423"/>
      <c r="B934" s="421"/>
      <c r="C934" s="424" t="s">
        <v>592</v>
      </c>
      <c r="D934" s="427">
        <f>D878</f>
        <v>0</v>
      </c>
      <c r="E934" s="415"/>
      <c r="F934" s="422"/>
      <c r="G934" s="442">
        <f>D934*SUM(G930:G932)</f>
        <v>0</v>
      </c>
      <c r="H934" s="442">
        <f>D934*SUM(H930:H933)</f>
        <v>0</v>
      </c>
      <c r="I934" s="442">
        <f>D934*SUM(I930:I933)</f>
        <v>0</v>
      </c>
      <c r="J934" s="409"/>
      <c r="K934" s="409"/>
      <c r="L934" s="409"/>
    </row>
    <row r="935" spans="1:14" hidden="1">
      <c r="A935" s="409"/>
      <c r="B935" s="409"/>
      <c r="C935" s="416" t="s">
        <v>478</v>
      </c>
      <c r="D935" s="425"/>
      <c r="E935" s="425"/>
      <c r="F935" s="425"/>
      <c r="G935" s="415"/>
      <c r="H935" s="425"/>
      <c r="I935" s="425"/>
      <c r="J935" s="409"/>
      <c r="K935" s="414"/>
      <c r="L935" s="409"/>
      <c r="M935" s="528"/>
      <c r="N935" s="505"/>
    </row>
    <row r="936" spans="1:14" hidden="1">
      <c r="A936" s="409"/>
      <c r="B936" s="409"/>
      <c r="C936" s="416" t="s">
        <v>120</v>
      </c>
      <c r="D936" s="425"/>
      <c r="E936" s="425"/>
      <c r="F936" s="425"/>
      <c r="G936" s="494">
        <f>SUM(G924:G935)</f>
        <v>4518.03</v>
      </c>
      <c r="H936" s="494">
        <f>SUM(H924:H935)</f>
        <v>4752.7299999999996</v>
      </c>
      <c r="I936" s="494">
        <f>SUM(I924:I935)</f>
        <v>4987.4299999999994</v>
      </c>
      <c r="J936" s="409"/>
      <c r="K936" s="515"/>
      <c r="L936" s="409"/>
      <c r="M936" s="529"/>
      <c r="N936" s="505"/>
    </row>
    <row r="937" spans="1:14" hidden="1">
      <c r="A937" s="409"/>
      <c r="B937" s="409"/>
      <c r="C937" s="416" t="s">
        <v>479</v>
      </c>
      <c r="D937" s="425"/>
      <c r="E937" s="425"/>
      <c r="F937" s="425"/>
      <c r="G937" s="494">
        <f>ROUND(G936/10,2)</f>
        <v>451.8</v>
      </c>
      <c r="H937" s="494">
        <f>ROUND(H936/10,2)</f>
        <v>475.27</v>
      </c>
      <c r="I937" s="494">
        <f>ROUND(I936/10,2)</f>
        <v>498.74</v>
      </c>
      <c r="J937" s="436"/>
      <c r="K937" s="515"/>
      <c r="L937" s="436"/>
      <c r="M937" s="529"/>
      <c r="N937" s="530"/>
    </row>
    <row r="938" spans="1:14" ht="25" hidden="1">
      <c r="A938" s="409"/>
      <c r="B938" s="409"/>
      <c r="C938" s="435" t="s">
        <v>578</v>
      </c>
      <c r="D938" s="425"/>
      <c r="E938" s="425"/>
      <c r="F938" s="425"/>
      <c r="G938" s="422">
        <f>G937*13.615/100</f>
        <v>61.512570000000004</v>
      </c>
      <c r="H938" s="422">
        <f>H937*13.615/100</f>
        <v>64.7080105</v>
      </c>
      <c r="I938" s="422">
        <f>I937*13.615/100</f>
        <v>67.903451000000004</v>
      </c>
      <c r="J938" s="436"/>
      <c r="K938" s="515"/>
      <c r="L938" s="436"/>
      <c r="M938" s="529"/>
      <c r="N938" s="530"/>
    </row>
    <row r="939" spans="1:14" ht="15.5" hidden="1">
      <c r="A939" s="409"/>
      <c r="B939" s="409"/>
      <c r="C939" s="416"/>
      <c r="D939" s="425"/>
      <c r="E939" s="425"/>
      <c r="F939" s="425"/>
      <c r="G939" s="422">
        <f>SUM(G937:G938)</f>
        <v>513.31257000000005</v>
      </c>
      <c r="H939" s="422">
        <f>SUM(H937:H938)</f>
        <v>539.97801049999998</v>
      </c>
      <c r="I939" s="422">
        <f>SUM(I937:I938)</f>
        <v>566.64345100000003</v>
      </c>
      <c r="J939" s="436"/>
      <c r="K939" s="515"/>
      <c r="L939" s="436"/>
      <c r="M939" s="529"/>
      <c r="N939" s="530"/>
    </row>
    <row r="940" spans="1:14" ht="84" hidden="1" customHeight="1">
      <c r="A940" s="435" t="s">
        <v>104</v>
      </c>
      <c r="B940" s="428"/>
      <c r="C940" s="2219" t="s">
        <v>25</v>
      </c>
      <c r="D940" s="2219"/>
      <c r="E940" s="2219"/>
      <c r="F940" s="2219"/>
      <c r="G940" s="426"/>
      <c r="H940" s="448"/>
      <c r="I940" s="409"/>
      <c r="J940" s="409"/>
      <c r="K940" s="409"/>
      <c r="L940" s="409"/>
    </row>
    <row r="941" spans="1:14" hidden="1">
      <c r="A941" s="409"/>
      <c r="B941" s="428"/>
      <c r="C941" s="440" t="s">
        <v>23</v>
      </c>
      <c r="D941" s="426"/>
      <c r="E941" s="426"/>
      <c r="F941" s="426"/>
      <c r="G941" s="426"/>
      <c r="H941" s="448"/>
      <c r="I941" s="409"/>
      <c r="J941" s="409"/>
      <c r="K941" s="409"/>
      <c r="L941" s="409"/>
    </row>
    <row r="942" spans="1:14" hidden="1">
      <c r="A942" s="409"/>
      <c r="B942" s="428"/>
      <c r="C942" s="440" t="s">
        <v>24</v>
      </c>
      <c r="D942" s="426"/>
      <c r="E942" s="426"/>
      <c r="F942" s="426"/>
      <c r="G942" s="428" t="s">
        <v>613</v>
      </c>
      <c r="H942" s="428" t="s">
        <v>611</v>
      </c>
      <c r="I942" s="428" t="s">
        <v>614</v>
      </c>
      <c r="J942" s="409"/>
      <c r="K942" s="409"/>
      <c r="L942" s="409"/>
    </row>
    <row r="943" spans="1:14" ht="25" hidden="1">
      <c r="A943" s="409"/>
      <c r="B943" s="428"/>
      <c r="C943" s="440" t="s">
        <v>112</v>
      </c>
      <c r="D943" s="426" t="s">
        <v>113</v>
      </c>
      <c r="E943" s="426">
        <v>10.5</v>
      </c>
      <c r="F943" s="426">
        <v>94</v>
      </c>
      <c r="G943" s="425">
        <f>ROUND(E943*F943,2)</f>
        <v>987</v>
      </c>
      <c r="H943" s="426">
        <f t="shared" ref="H943:I947" si="39">G943</f>
        <v>987</v>
      </c>
      <c r="I943" s="426">
        <f t="shared" si="39"/>
        <v>987</v>
      </c>
      <c r="J943" s="409"/>
      <c r="K943" s="409"/>
      <c r="L943" s="409"/>
    </row>
    <row r="944" spans="1:14" hidden="1">
      <c r="A944" s="409"/>
      <c r="B944" s="428"/>
      <c r="C944" s="440" t="s">
        <v>114</v>
      </c>
      <c r="D944" s="426" t="s">
        <v>115</v>
      </c>
      <c r="E944" s="426">
        <v>21.6</v>
      </c>
      <c r="F944" s="426">
        <f>F927</f>
        <v>4.8</v>
      </c>
      <c r="G944" s="425">
        <f>ROUND(E944*F944,2)</f>
        <v>103.68</v>
      </c>
      <c r="H944" s="426">
        <f t="shared" si="39"/>
        <v>103.68</v>
      </c>
      <c r="I944" s="426">
        <f t="shared" si="39"/>
        <v>103.68</v>
      </c>
      <c r="J944" s="409"/>
      <c r="K944" s="409"/>
      <c r="L944" s="409"/>
    </row>
    <row r="945" spans="1:14" hidden="1">
      <c r="A945" s="409"/>
      <c r="B945" s="428"/>
      <c r="C945" s="440" t="s">
        <v>405</v>
      </c>
      <c r="D945" s="426" t="s">
        <v>115</v>
      </c>
      <c r="E945" s="426">
        <v>9.6</v>
      </c>
      <c r="F945" s="426">
        <f>F944</f>
        <v>4.8</v>
      </c>
      <c r="G945" s="425">
        <f>ROUND(E945*F945,2)</f>
        <v>46.08</v>
      </c>
      <c r="H945" s="426">
        <f t="shared" si="39"/>
        <v>46.08</v>
      </c>
      <c r="I945" s="426">
        <f t="shared" si="39"/>
        <v>46.08</v>
      </c>
      <c r="J945" s="409"/>
      <c r="K945" s="409"/>
      <c r="L945" s="409"/>
    </row>
    <row r="946" spans="1:14" hidden="1">
      <c r="A946" s="409"/>
      <c r="B946" s="428"/>
      <c r="C946" s="440" t="s">
        <v>116</v>
      </c>
      <c r="D946" s="426" t="s">
        <v>117</v>
      </c>
      <c r="E946" s="426">
        <v>0.12</v>
      </c>
      <c r="F946" s="426">
        <f>F928</f>
        <v>349.58</v>
      </c>
      <c r="G946" s="425">
        <f>ROUND(E946*F946,2)</f>
        <v>41.95</v>
      </c>
      <c r="H946" s="426">
        <f t="shared" si="39"/>
        <v>41.95</v>
      </c>
      <c r="I946" s="426">
        <f t="shared" si="39"/>
        <v>41.95</v>
      </c>
      <c r="J946" s="409"/>
      <c r="K946" s="409"/>
      <c r="L946" s="409"/>
    </row>
    <row r="947" spans="1:14" hidden="1">
      <c r="A947" s="409"/>
      <c r="B947" s="428"/>
      <c r="C947" s="440" t="s">
        <v>118</v>
      </c>
      <c r="D947" s="426" t="s">
        <v>117</v>
      </c>
      <c r="E947" s="426">
        <v>0.02</v>
      </c>
      <c r="F947" s="426">
        <f>F946</f>
        <v>349.58</v>
      </c>
      <c r="G947" s="425">
        <f>ROUND(E947*F947,2)</f>
        <v>6.99</v>
      </c>
      <c r="H947" s="426">
        <f t="shared" si="39"/>
        <v>6.99</v>
      </c>
      <c r="I947" s="426">
        <f t="shared" si="39"/>
        <v>6.99</v>
      </c>
      <c r="J947" s="409"/>
      <c r="K947" s="409"/>
      <c r="L947" s="409"/>
    </row>
    <row r="948" spans="1:14" hidden="1">
      <c r="A948" s="409"/>
      <c r="B948" s="428"/>
      <c r="C948" s="483" t="s">
        <v>278</v>
      </c>
      <c r="D948" s="483"/>
      <c r="E948" s="426"/>
      <c r="F948" s="425"/>
      <c r="G948" s="425"/>
      <c r="H948" s="426"/>
      <c r="I948" s="426"/>
      <c r="J948" s="409"/>
      <c r="K948" s="409"/>
      <c r="L948" s="409"/>
    </row>
    <row r="949" spans="1:14" ht="14.5" hidden="1">
      <c r="A949" s="409"/>
      <c r="B949" s="428"/>
      <c r="C949" s="483" t="s">
        <v>1047</v>
      </c>
      <c r="D949" s="483" t="s">
        <v>119</v>
      </c>
      <c r="E949" s="426">
        <v>0.96</v>
      </c>
      <c r="F949" s="425">
        <f>F930</f>
        <v>490</v>
      </c>
      <c r="G949" s="425">
        <f>ROUND(E949*F949,2)</f>
        <v>470.4</v>
      </c>
      <c r="H949" s="426">
        <f t="shared" ref="H949:I951" si="40">G949</f>
        <v>470.4</v>
      </c>
      <c r="I949" s="426">
        <f t="shared" si="40"/>
        <v>470.4</v>
      </c>
      <c r="J949" s="409"/>
      <c r="K949" s="409"/>
      <c r="L949" s="409"/>
    </row>
    <row r="950" spans="1:14" ht="14.5" hidden="1">
      <c r="A950" s="409"/>
      <c r="B950" s="428"/>
      <c r="C950" s="483" t="s">
        <v>1048</v>
      </c>
      <c r="D950" s="483" t="s">
        <v>119</v>
      </c>
      <c r="E950" s="426">
        <v>2.2400000000000002</v>
      </c>
      <c r="F950" s="425">
        <f>F931</f>
        <v>440</v>
      </c>
      <c r="G950" s="425">
        <f>ROUND(E950*F950,2)</f>
        <v>985.6</v>
      </c>
      <c r="H950" s="426">
        <f t="shared" si="40"/>
        <v>985.6</v>
      </c>
      <c r="I950" s="426">
        <f t="shared" si="40"/>
        <v>985.6</v>
      </c>
      <c r="J950" s="409"/>
      <c r="K950" s="409"/>
      <c r="L950" s="409"/>
    </row>
    <row r="951" spans="1:14" hidden="1">
      <c r="A951" s="409"/>
      <c r="B951" s="428"/>
      <c r="C951" s="483" t="s">
        <v>268</v>
      </c>
      <c r="D951" s="483" t="s">
        <v>119</v>
      </c>
      <c r="E951" s="426">
        <v>3.3</v>
      </c>
      <c r="F951" s="425">
        <f>F932</f>
        <v>400</v>
      </c>
      <c r="G951" s="425">
        <f>ROUND(E951*F951,2)</f>
        <v>1320</v>
      </c>
      <c r="H951" s="426">
        <f t="shared" si="40"/>
        <v>1320</v>
      </c>
      <c r="I951" s="426">
        <f t="shared" si="40"/>
        <v>1320</v>
      </c>
      <c r="J951" s="409"/>
      <c r="K951" s="409"/>
      <c r="L951" s="409"/>
    </row>
    <row r="952" spans="1:14" ht="13.5" hidden="1" customHeight="1">
      <c r="A952" s="423"/>
      <c r="B952" s="421"/>
      <c r="C952" s="424" t="s">
        <v>615</v>
      </c>
      <c r="D952" s="427"/>
      <c r="E952" s="415"/>
      <c r="F952" s="422"/>
      <c r="G952" s="442"/>
      <c r="H952" s="442">
        <f>SUM(H949:H951)*10/100</f>
        <v>277.60000000000002</v>
      </c>
      <c r="I952" s="442">
        <f>SUM(I949:I951)*20/100</f>
        <v>555.20000000000005</v>
      </c>
      <c r="J952" s="409"/>
      <c r="K952" s="409"/>
      <c r="L952" s="409"/>
    </row>
    <row r="953" spans="1:14" ht="13.5" hidden="1" customHeight="1">
      <c r="A953" s="423"/>
      <c r="B953" s="421"/>
      <c r="C953" s="424" t="s">
        <v>592</v>
      </c>
      <c r="D953" s="427">
        <f>D934</f>
        <v>0</v>
      </c>
      <c r="E953" s="415"/>
      <c r="F953" s="422"/>
      <c r="G953" s="442">
        <f>D953*SUM(G949:G951)</f>
        <v>0</v>
      </c>
      <c r="H953" s="442">
        <f>D953*SUM(H949:H952)</f>
        <v>0</v>
      </c>
      <c r="I953" s="442">
        <f>D953*SUM(I949:I952)</f>
        <v>0</v>
      </c>
      <c r="J953" s="409"/>
      <c r="K953" s="409"/>
      <c r="L953" s="409"/>
    </row>
    <row r="954" spans="1:14" hidden="1">
      <c r="A954" s="409"/>
      <c r="B954" s="428"/>
      <c r="C954" s="483" t="s">
        <v>488</v>
      </c>
      <c r="D954" s="426"/>
      <c r="E954" s="426"/>
      <c r="F954" s="426"/>
      <c r="G954" s="425">
        <f>SUM(G943:G953)</f>
        <v>3961.7</v>
      </c>
      <c r="H954" s="425">
        <f>SUM(H943:H953)</f>
        <v>4239.3</v>
      </c>
      <c r="I954" s="425">
        <f>SUM(I943:I953)</f>
        <v>4516.8999999999996</v>
      </c>
      <c r="J954" s="409"/>
      <c r="K954" s="409"/>
      <c r="L954" s="409"/>
    </row>
    <row r="955" spans="1:14" hidden="1">
      <c r="A955" s="409"/>
      <c r="B955" s="409"/>
      <c r="C955" s="416" t="s">
        <v>479</v>
      </c>
      <c r="D955" s="425"/>
      <c r="E955" s="425"/>
      <c r="F955" s="425"/>
      <c r="G955" s="494">
        <f>ROUND(G954/10,2)</f>
        <v>396.17</v>
      </c>
      <c r="H955" s="494">
        <f>ROUND(H954/10,2)</f>
        <v>423.93</v>
      </c>
      <c r="I955" s="494">
        <f>ROUND(I954/10,2)</f>
        <v>451.69</v>
      </c>
      <c r="J955" s="436"/>
      <c r="K955" s="515"/>
      <c r="L955" s="436"/>
      <c r="M955" s="529"/>
      <c r="N955" s="530"/>
    </row>
    <row r="956" spans="1:14" ht="25" hidden="1">
      <c r="A956" s="409"/>
      <c r="B956" s="409"/>
      <c r="C956" s="435" t="s">
        <v>578</v>
      </c>
      <c r="D956" s="425"/>
      <c r="E956" s="425"/>
      <c r="F956" s="425"/>
      <c r="G956" s="422">
        <f>G955*13.615/100</f>
        <v>53.938545500000004</v>
      </c>
      <c r="H956" s="422">
        <f>H955*13.615/100</f>
        <v>57.718069499999999</v>
      </c>
      <c r="I956" s="422">
        <f>I955*13.615/100</f>
        <v>61.497593500000001</v>
      </c>
      <c r="J956" s="436"/>
      <c r="K956" s="515"/>
      <c r="L956" s="436"/>
      <c r="M956" s="529"/>
      <c r="N956" s="530"/>
    </row>
    <row r="957" spans="1:14" ht="15.5" hidden="1">
      <c r="A957" s="409"/>
      <c r="B957" s="409"/>
      <c r="C957" s="416"/>
      <c r="D957" s="425"/>
      <c r="E957" s="425"/>
      <c r="F957" s="425"/>
      <c r="G957" s="422">
        <f>SUM(G955:G956)</f>
        <v>450.10854549999999</v>
      </c>
      <c r="H957" s="422">
        <f>SUM(H955:H956)</f>
        <v>481.64806950000002</v>
      </c>
      <c r="I957" s="422">
        <f>SUM(I955:I956)</f>
        <v>513.18759350000005</v>
      </c>
      <c r="J957" s="436"/>
      <c r="K957" s="515"/>
      <c r="L957" s="436"/>
      <c r="M957" s="529"/>
      <c r="N957" s="530"/>
    </row>
    <row r="958" spans="1:14" ht="104.25" hidden="1" customHeight="1">
      <c r="A958" s="411" t="s">
        <v>365</v>
      </c>
      <c r="B958" s="435">
        <v>30</v>
      </c>
      <c r="C958" s="2223" t="s">
        <v>394</v>
      </c>
      <c r="D958" s="2224"/>
      <c r="E958" s="2224"/>
      <c r="F958" s="2224"/>
      <c r="G958" s="428" t="s">
        <v>613</v>
      </c>
      <c r="H958" s="428" t="s">
        <v>611</v>
      </c>
      <c r="I958" s="428" t="s">
        <v>614</v>
      </c>
      <c r="J958" s="409"/>
      <c r="K958" s="428"/>
      <c r="L958" s="409"/>
      <c r="M958" s="531"/>
      <c r="N958" s="505"/>
    </row>
    <row r="959" spans="1:14" hidden="1">
      <c r="A959" s="409"/>
      <c r="B959" s="409"/>
      <c r="C959" s="435" t="s">
        <v>366</v>
      </c>
      <c r="D959" s="420" t="s">
        <v>184</v>
      </c>
      <c r="E959" s="487">
        <v>10.5</v>
      </c>
      <c r="F959" s="532">
        <v>383</v>
      </c>
      <c r="G959" s="425">
        <f>ROUND(E959*F959,2)</f>
        <v>4021.5</v>
      </c>
      <c r="H959" s="442">
        <f t="shared" ref="H959:I963" si="41">G959</f>
        <v>4021.5</v>
      </c>
      <c r="I959" s="442">
        <f t="shared" si="41"/>
        <v>4021.5</v>
      </c>
      <c r="J959" s="409"/>
      <c r="K959" s="436"/>
      <c r="L959" s="409"/>
      <c r="M959" s="527"/>
      <c r="N959" s="505"/>
    </row>
    <row r="960" spans="1:14" hidden="1">
      <c r="A960" s="409"/>
      <c r="B960" s="409"/>
      <c r="C960" s="435" t="s">
        <v>367</v>
      </c>
      <c r="D960" s="420" t="s">
        <v>207</v>
      </c>
      <c r="E960" s="487">
        <v>2</v>
      </c>
      <c r="F960" s="532">
        <f>F870</f>
        <v>27</v>
      </c>
      <c r="G960" s="425">
        <f>ROUND(E960*F960,2)</f>
        <v>54</v>
      </c>
      <c r="H960" s="442">
        <f t="shared" si="41"/>
        <v>54</v>
      </c>
      <c r="I960" s="442">
        <f t="shared" si="41"/>
        <v>54</v>
      </c>
      <c r="J960" s="409"/>
      <c r="K960" s="436"/>
      <c r="L960" s="409"/>
      <c r="M960" s="527"/>
      <c r="N960" s="505"/>
    </row>
    <row r="961" spans="1:14" hidden="1">
      <c r="A961" s="409"/>
      <c r="B961" s="409"/>
      <c r="C961" s="435" t="s">
        <v>369</v>
      </c>
      <c r="D961" s="420" t="s">
        <v>182</v>
      </c>
      <c r="E961" s="487">
        <v>33</v>
      </c>
      <c r="F961" s="532">
        <f>F927</f>
        <v>4.8</v>
      </c>
      <c r="G961" s="425">
        <f>ROUND(E961*F961,2)</f>
        <v>158.4</v>
      </c>
      <c r="H961" s="442">
        <f t="shared" si="41"/>
        <v>158.4</v>
      </c>
      <c r="I961" s="442">
        <f t="shared" si="41"/>
        <v>158.4</v>
      </c>
      <c r="J961" s="409"/>
      <c r="K961" s="436"/>
      <c r="L961" s="409"/>
      <c r="M961" s="527"/>
      <c r="N961" s="505"/>
    </row>
    <row r="962" spans="1:14" hidden="1">
      <c r="A962" s="409"/>
      <c r="B962" s="409"/>
      <c r="C962" s="435" t="s">
        <v>370</v>
      </c>
      <c r="D962" s="420" t="s">
        <v>182</v>
      </c>
      <c r="E962" s="487">
        <v>34.56</v>
      </c>
      <c r="F962" s="532">
        <f>F927</f>
        <v>4.8</v>
      </c>
      <c r="G962" s="425">
        <f>ROUND(E962*F962,2)</f>
        <v>165.89</v>
      </c>
      <c r="H962" s="442">
        <f t="shared" si="41"/>
        <v>165.89</v>
      </c>
      <c r="I962" s="442">
        <f t="shared" si="41"/>
        <v>165.89</v>
      </c>
      <c r="J962" s="409"/>
      <c r="K962" s="436"/>
      <c r="L962" s="409"/>
      <c r="M962" s="527"/>
      <c r="N962" s="505"/>
    </row>
    <row r="963" spans="1:14" hidden="1">
      <c r="A963" s="409"/>
      <c r="B963" s="409"/>
      <c r="C963" s="435" t="s">
        <v>347</v>
      </c>
      <c r="D963" s="420" t="s">
        <v>181</v>
      </c>
      <c r="E963" s="487">
        <v>0.12</v>
      </c>
      <c r="F963" s="532">
        <f>F928</f>
        <v>349.58</v>
      </c>
      <c r="G963" s="425">
        <f>ROUND(E963*F963,2)</f>
        <v>41.95</v>
      </c>
      <c r="H963" s="442">
        <f t="shared" si="41"/>
        <v>41.95</v>
      </c>
      <c r="I963" s="442">
        <f t="shared" si="41"/>
        <v>41.95</v>
      </c>
      <c r="J963" s="409"/>
      <c r="K963" s="436"/>
      <c r="L963" s="409"/>
      <c r="M963" s="527"/>
      <c r="N963" s="505"/>
    </row>
    <row r="964" spans="1:14" hidden="1">
      <c r="A964" s="409"/>
      <c r="B964" s="409"/>
      <c r="C964" s="435" t="s">
        <v>210</v>
      </c>
      <c r="D964" s="420"/>
      <c r="E964" s="487"/>
      <c r="F964" s="532"/>
      <c r="G964" s="425"/>
      <c r="H964" s="442"/>
      <c r="I964" s="442"/>
      <c r="J964" s="409"/>
      <c r="K964" s="436"/>
      <c r="L964" s="409"/>
      <c r="M964" s="527"/>
      <c r="N964" s="505"/>
    </row>
    <row r="965" spans="1:14" hidden="1">
      <c r="A965" s="409"/>
      <c r="B965" s="409"/>
      <c r="C965" s="435" t="s">
        <v>371</v>
      </c>
      <c r="D965" s="420" t="s">
        <v>217</v>
      </c>
      <c r="E965" s="487">
        <v>0.96</v>
      </c>
      <c r="F965" s="532">
        <f>F930</f>
        <v>490</v>
      </c>
      <c r="G965" s="425">
        <f>ROUND(E965*F965,2)</f>
        <v>470.4</v>
      </c>
      <c r="H965" s="442">
        <f t="shared" ref="H965:I967" si="42">G965</f>
        <v>470.4</v>
      </c>
      <c r="I965" s="442">
        <f t="shared" si="42"/>
        <v>470.4</v>
      </c>
      <c r="J965" s="409"/>
      <c r="K965" s="436"/>
      <c r="L965" s="409"/>
      <c r="M965" s="527"/>
      <c r="N965" s="505"/>
    </row>
    <row r="966" spans="1:14" hidden="1">
      <c r="A966" s="409"/>
      <c r="B966" s="409"/>
      <c r="C966" s="435" t="s">
        <v>372</v>
      </c>
      <c r="D966" s="420" t="s">
        <v>217</v>
      </c>
      <c r="E966" s="487">
        <v>2.2400000000000002</v>
      </c>
      <c r="F966" s="532">
        <f>F931</f>
        <v>440</v>
      </c>
      <c r="G966" s="425">
        <f>ROUND(E966*F966,2)</f>
        <v>985.6</v>
      </c>
      <c r="H966" s="442">
        <f t="shared" si="42"/>
        <v>985.6</v>
      </c>
      <c r="I966" s="442">
        <f t="shared" si="42"/>
        <v>985.6</v>
      </c>
      <c r="J966" s="409"/>
      <c r="K966" s="436"/>
      <c r="L966" s="409"/>
      <c r="M966" s="527"/>
      <c r="N966" s="505"/>
    </row>
    <row r="967" spans="1:14" hidden="1">
      <c r="A967" s="409"/>
      <c r="B967" s="409"/>
      <c r="C967" s="435" t="s">
        <v>373</v>
      </c>
      <c r="D967" s="420" t="s">
        <v>217</v>
      </c>
      <c r="E967" s="487">
        <v>3.3</v>
      </c>
      <c r="F967" s="532">
        <f>F932</f>
        <v>400</v>
      </c>
      <c r="G967" s="425">
        <f>ROUND(E967*F967,2)</f>
        <v>1320</v>
      </c>
      <c r="H967" s="442">
        <f t="shared" si="42"/>
        <v>1320</v>
      </c>
      <c r="I967" s="442">
        <f t="shared" si="42"/>
        <v>1320</v>
      </c>
      <c r="J967" s="409"/>
      <c r="K967" s="436"/>
      <c r="L967" s="409"/>
      <c r="M967" s="527"/>
      <c r="N967" s="505"/>
    </row>
    <row r="968" spans="1:14" ht="13.5" hidden="1" customHeight="1">
      <c r="A968" s="423"/>
      <c r="B968" s="421"/>
      <c r="C968" s="424" t="s">
        <v>615</v>
      </c>
      <c r="D968" s="427"/>
      <c r="E968" s="415"/>
      <c r="F968" s="422"/>
      <c r="G968" s="442"/>
      <c r="H968" s="442">
        <f>SUM(H965:H967)*10/100</f>
        <v>277.60000000000002</v>
      </c>
      <c r="I968" s="442">
        <f>SUM(I965:I967)*20/100</f>
        <v>555.20000000000005</v>
      </c>
      <c r="J968" s="409"/>
      <c r="K968" s="409"/>
      <c r="L968" s="409"/>
    </row>
    <row r="969" spans="1:14" ht="13.5" hidden="1" customHeight="1">
      <c r="A969" s="423"/>
      <c r="B969" s="421"/>
      <c r="C969" s="424" t="s">
        <v>592</v>
      </c>
      <c r="D969" s="427">
        <f>D953</f>
        <v>0</v>
      </c>
      <c r="E969" s="415"/>
      <c r="F969" s="422"/>
      <c r="G969" s="442">
        <f>D969*SUM(G965:G967)</f>
        <v>0</v>
      </c>
      <c r="H969" s="442">
        <f>D969*SUM(H965:H968)</f>
        <v>0</v>
      </c>
      <c r="I969" s="442">
        <f>D969*SUM(I965:I968)</f>
        <v>0</v>
      </c>
      <c r="J969" s="409"/>
      <c r="K969" s="409"/>
      <c r="L969" s="409"/>
    </row>
    <row r="970" spans="1:14" hidden="1">
      <c r="A970" s="409"/>
      <c r="B970" s="409"/>
      <c r="C970" s="435" t="s">
        <v>374</v>
      </c>
      <c r="D970" s="420"/>
      <c r="E970" s="487"/>
      <c r="F970" s="532"/>
      <c r="G970" s="425"/>
      <c r="H970" s="442"/>
      <c r="I970" s="442"/>
      <c r="J970" s="409"/>
      <c r="K970" s="416"/>
      <c r="L970" s="409"/>
      <c r="M970" s="533"/>
      <c r="N970" s="505"/>
    </row>
    <row r="971" spans="1:14" hidden="1">
      <c r="A971" s="409"/>
      <c r="B971" s="409"/>
      <c r="C971" s="416" t="s">
        <v>120</v>
      </c>
      <c r="D971" s="428"/>
      <c r="E971" s="428" t="s">
        <v>522</v>
      </c>
      <c r="F971" s="428"/>
      <c r="G971" s="494">
        <f>SUM(G959:G970)</f>
        <v>7217.74</v>
      </c>
      <c r="H971" s="494">
        <f>SUM(H959:H970)</f>
        <v>7495.34</v>
      </c>
      <c r="I971" s="494">
        <f>SUM(I959:I970)</f>
        <v>7772.94</v>
      </c>
      <c r="J971" s="409"/>
      <c r="K971" s="515"/>
      <c r="L971" s="409"/>
      <c r="M971" s="529"/>
      <c r="N971" s="505"/>
    </row>
    <row r="972" spans="1:14" ht="15.5" hidden="1">
      <c r="A972" s="409"/>
      <c r="B972" s="409"/>
      <c r="C972" s="416" t="s">
        <v>479</v>
      </c>
      <c r="D972" s="425"/>
      <c r="E972" s="425"/>
      <c r="F972" s="425"/>
      <c r="G972" s="534">
        <f>ROUND(G971/10,2)</f>
        <v>721.77</v>
      </c>
      <c r="H972" s="534">
        <f>ROUND(H971/10,2)</f>
        <v>749.53</v>
      </c>
      <c r="I972" s="534">
        <f>ROUND(I971/10,2)</f>
        <v>777.29</v>
      </c>
      <c r="J972" s="436"/>
      <c r="K972" s="436"/>
      <c r="L972" s="436"/>
      <c r="M972" s="527"/>
      <c r="N972" s="530"/>
    </row>
    <row r="973" spans="1:14" ht="25" hidden="1">
      <c r="A973" s="409"/>
      <c r="B973" s="409"/>
      <c r="C973" s="435" t="s">
        <v>578</v>
      </c>
      <c r="D973" s="425"/>
      <c r="E973" s="425"/>
      <c r="F973" s="425"/>
      <c r="G973" s="422">
        <f>G972*13.615/100</f>
        <v>98.268985499999999</v>
      </c>
      <c r="H973" s="422">
        <f>H972*13.615/100</f>
        <v>102.04850949999999</v>
      </c>
      <c r="I973" s="422">
        <f>I972*13.615/100</f>
        <v>105.8280335</v>
      </c>
      <c r="J973" s="436"/>
      <c r="K973" s="436"/>
      <c r="L973" s="436"/>
      <c r="M973" s="535"/>
      <c r="N973" s="535"/>
    </row>
    <row r="974" spans="1:14" ht="15.5" hidden="1">
      <c r="A974" s="409"/>
      <c r="B974" s="409"/>
      <c r="C974" s="416"/>
      <c r="D974" s="425"/>
      <c r="E974" s="425"/>
      <c r="F974" s="425"/>
      <c r="G974" s="422">
        <f>SUM(G972:G973)</f>
        <v>820.03898549999997</v>
      </c>
      <c r="H974" s="422">
        <f>SUM(H972:H973)</f>
        <v>851.5785095</v>
      </c>
      <c r="I974" s="422">
        <f>SUM(I972:I973)</f>
        <v>883.11803349999991</v>
      </c>
      <c r="J974" s="436"/>
      <c r="K974" s="436"/>
      <c r="L974" s="436"/>
      <c r="M974" s="535"/>
      <c r="N974" s="535"/>
    </row>
    <row r="975" spans="1:14" ht="91.5" hidden="1" customHeight="1">
      <c r="A975" s="411" t="s">
        <v>375</v>
      </c>
      <c r="B975" s="411">
        <v>31</v>
      </c>
      <c r="C975" s="2223" t="s">
        <v>395</v>
      </c>
      <c r="D975" s="2224"/>
      <c r="E975" s="2224"/>
      <c r="F975" s="2224"/>
      <c r="G975" s="417"/>
      <c r="H975" s="409"/>
      <c r="I975" s="409"/>
      <c r="J975" s="409"/>
      <c r="K975" s="409"/>
      <c r="L975" s="409"/>
    </row>
    <row r="976" spans="1:14" hidden="1">
      <c r="A976" s="507"/>
      <c r="B976" s="409"/>
      <c r="C976" s="536" t="s">
        <v>23</v>
      </c>
      <c r="D976" s="508"/>
      <c r="E976" s="508"/>
      <c r="F976" s="508"/>
      <c r="G976" s="537"/>
      <c r="H976" s="409"/>
      <c r="I976" s="409"/>
      <c r="J976" s="409"/>
      <c r="K976" s="409"/>
      <c r="L976" s="409"/>
    </row>
    <row r="977" spans="1:20" ht="12.75" hidden="1" customHeight="1">
      <c r="A977" s="507"/>
      <c r="B977" s="409"/>
      <c r="C977" s="536" t="s">
        <v>24</v>
      </c>
      <c r="D977" s="508"/>
      <c r="E977" s="508"/>
      <c r="F977" s="508"/>
      <c r="G977" s="428" t="s">
        <v>613</v>
      </c>
      <c r="H977" s="428" t="s">
        <v>611</v>
      </c>
      <c r="I977" s="428" t="s">
        <v>614</v>
      </c>
      <c r="J977" s="409"/>
      <c r="K977" s="409"/>
      <c r="L977" s="409"/>
    </row>
    <row r="978" spans="1:20" ht="12.75" hidden="1" customHeight="1">
      <c r="A978" s="507"/>
      <c r="B978" s="409"/>
      <c r="C978" s="450" t="s">
        <v>376</v>
      </c>
      <c r="D978" s="417" t="s">
        <v>113</v>
      </c>
      <c r="E978" s="426">
        <v>11</v>
      </c>
      <c r="F978" s="426">
        <f>F924</f>
        <v>161</v>
      </c>
      <c r="G978" s="487">
        <f>E978*F978</f>
        <v>1771</v>
      </c>
      <c r="H978" s="434">
        <f t="shared" ref="H978:I981" si="43">G978</f>
        <v>1771</v>
      </c>
      <c r="I978" s="434">
        <f t="shared" si="43"/>
        <v>1771</v>
      </c>
      <c r="J978" s="409"/>
      <c r="K978" s="409"/>
      <c r="L978" s="409"/>
    </row>
    <row r="979" spans="1:20" hidden="1">
      <c r="A979" s="507"/>
      <c r="B979" s="409"/>
      <c r="C979" s="450" t="s">
        <v>377</v>
      </c>
      <c r="D979" s="417" t="s">
        <v>117</v>
      </c>
      <c r="E979" s="426">
        <v>0.12</v>
      </c>
      <c r="F979" s="426">
        <f>F928</f>
        <v>349.58</v>
      </c>
      <c r="G979" s="487">
        <f>E979*F979</f>
        <v>41.949599999999997</v>
      </c>
      <c r="H979" s="434">
        <f t="shared" si="43"/>
        <v>41.949599999999997</v>
      </c>
      <c r="I979" s="434">
        <f t="shared" si="43"/>
        <v>41.949599999999997</v>
      </c>
      <c r="J979" s="409"/>
      <c r="K979" s="409"/>
      <c r="L979" s="409"/>
    </row>
    <row r="980" spans="1:20" hidden="1">
      <c r="A980" s="507"/>
      <c r="B980" s="409"/>
      <c r="C980" s="450" t="s">
        <v>378</v>
      </c>
      <c r="D980" s="417" t="s">
        <v>379</v>
      </c>
      <c r="E980" s="426">
        <v>34.56</v>
      </c>
      <c r="F980" s="426">
        <f>F962</f>
        <v>4.8</v>
      </c>
      <c r="G980" s="487">
        <f>E980*F980</f>
        <v>165.88800000000001</v>
      </c>
      <c r="H980" s="434">
        <f t="shared" si="43"/>
        <v>165.88800000000001</v>
      </c>
      <c r="I980" s="434">
        <f t="shared" si="43"/>
        <v>165.88800000000001</v>
      </c>
      <c r="J980" s="409"/>
      <c r="K980" s="409"/>
      <c r="L980" s="409"/>
    </row>
    <row r="981" spans="1:20" hidden="1">
      <c r="A981" s="507"/>
      <c r="B981" s="409"/>
      <c r="C981" s="450" t="s">
        <v>380</v>
      </c>
      <c r="D981" s="417" t="s">
        <v>379</v>
      </c>
      <c r="E981" s="426">
        <v>33</v>
      </c>
      <c r="F981" s="426">
        <f>F962</f>
        <v>4.8</v>
      </c>
      <c r="G981" s="487">
        <f>E981*F981</f>
        <v>158.4</v>
      </c>
      <c r="H981" s="434">
        <f t="shared" si="43"/>
        <v>158.4</v>
      </c>
      <c r="I981" s="434">
        <f t="shared" si="43"/>
        <v>158.4</v>
      </c>
      <c r="J981" s="409"/>
      <c r="K981" s="409"/>
      <c r="L981" s="409"/>
    </row>
    <row r="982" spans="1:20" hidden="1">
      <c r="A982" s="507"/>
      <c r="B982" s="409"/>
      <c r="C982" s="536" t="s">
        <v>128</v>
      </c>
      <c r="D982" s="506"/>
      <c r="E982" s="426"/>
      <c r="F982" s="426"/>
      <c r="G982" s="420"/>
      <c r="H982" s="434"/>
      <c r="I982" s="434"/>
      <c r="J982" s="409"/>
      <c r="K982" s="409"/>
      <c r="L982" s="409"/>
      <c r="Q982" s="2227"/>
      <c r="R982" s="2228"/>
      <c r="S982" s="2228"/>
      <c r="T982" s="2228"/>
    </row>
    <row r="983" spans="1:20" hidden="1">
      <c r="A983" s="507"/>
      <c r="B983" s="409"/>
      <c r="C983" s="450" t="s">
        <v>381</v>
      </c>
      <c r="D983" s="417" t="s">
        <v>119</v>
      </c>
      <c r="E983" s="426">
        <v>0.96</v>
      </c>
      <c r="F983" s="426">
        <f>F965</f>
        <v>490</v>
      </c>
      <c r="G983" s="487">
        <f>E983*F983</f>
        <v>470.4</v>
      </c>
      <c r="H983" s="434">
        <f t="shared" ref="H983:I985" si="44">G983</f>
        <v>470.4</v>
      </c>
      <c r="I983" s="434">
        <f t="shared" si="44"/>
        <v>470.4</v>
      </c>
      <c r="J983" s="409"/>
      <c r="K983" s="409"/>
      <c r="L983" s="409"/>
    </row>
    <row r="984" spans="1:20" hidden="1">
      <c r="A984" s="507"/>
      <c r="B984" s="409"/>
      <c r="C984" s="450" t="s">
        <v>402</v>
      </c>
      <c r="D984" s="417" t="s">
        <v>119</v>
      </c>
      <c r="E984" s="426">
        <v>2.2400000000000002</v>
      </c>
      <c r="F984" s="426">
        <f>F966</f>
        <v>440</v>
      </c>
      <c r="G984" s="487">
        <f>E984*F984</f>
        <v>985.60000000000014</v>
      </c>
      <c r="H984" s="434">
        <f t="shared" si="44"/>
        <v>985.60000000000014</v>
      </c>
      <c r="I984" s="434">
        <f t="shared" si="44"/>
        <v>985.60000000000014</v>
      </c>
      <c r="J984" s="409"/>
      <c r="K984" s="409"/>
      <c r="L984" s="409"/>
    </row>
    <row r="985" spans="1:20" hidden="1">
      <c r="A985" s="507"/>
      <c r="B985" s="409"/>
      <c r="C985" s="536" t="s">
        <v>440</v>
      </c>
      <c r="D985" s="506" t="s">
        <v>119</v>
      </c>
      <c r="E985" s="426">
        <v>3.1</v>
      </c>
      <c r="F985" s="426">
        <f>F967</f>
        <v>400</v>
      </c>
      <c r="G985" s="487">
        <f>E985*F985</f>
        <v>1240</v>
      </c>
      <c r="H985" s="434">
        <f t="shared" si="44"/>
        <v>1240</v>
      </c>
      <c r="I985" s="434">
        <f t="shared" si="44"/>
        <v>1240</v>
      </c>
      <c r="J985" s="409"/>
      <c r="K985" s="409"/>
      <c r="L985" s="409"/>
    </row>
    <row r="986" spans="1:20" ht="13.5" hidden="1" customHeight="1">
      <c r="A986" s="423"/>
      <c r="B986" s="421"/>
      <c r="C986" s="424" t="s">
        <v>615</v>
      </c>
      <c r="D986" s="427"/>
      <c r="E986" s="415"/>
      <c r="F986" s="422"/>
      <c r="G986" s="442"/>
      <c r="H986" s="442">
        <f>SUM(H983:H985)*10/100</f>
        <v>269.60000000000002</v>
      </c>
      <c r="I986" s="442">
        <f>SUM(I983:I985)*20/100</f>
        <v>539.20000000000005</v>
      </c>
      <c r="J986" s="409"/>
      <c r="K986" s="409"/>
      <c r="L986" s="409"/>
    </row>
    <row r="987" spans="1:20" ht="13.5" hidden="1" customHeight="1">
      <c r="A987" s="423"/>
      <c r="B987" s="421"/>
      <c r="C987" s="424" t="s">
        <v>592</v>
      </c>
      <c r="D987" s="427">
        <f>D969</f>
        <v>0</v>
      </c>
      <c r="E987" s="415"/>
      <c r="F987" s="422"/>
      <c r="G987" s="442">
        <f>D987*SUM(G983:G985)</f>
        <v>0</v>
      </c>
      <c r="H987" s="442">
        <f>D987*SUM(H983:H986)</f>
        <v>0</v>
      </c>
      <c r="I987" s="442">
        <f>D987*SUM(I983:I986)</f>
        <v>0</v>
      </c>
      <c r="J987" s="409"/>
      <c r="K987" s="409"/>
      <c r="L987" s="409"/>
    </row>
    <row r="988" spans="1:20" hidden="1">
      <c r="A988" s="423"/>
      <c r="B988" s="409"/>
      <c r="C988" s="536" t="s">
        <v>478</v>
      </c>
      <c r="D988" s="506"/>
      <c r="E988" s="538">
        <v>0.01</v>
      </c>
      <c r="F988" s="426"/>
      <c r="G988" s="426"/>
      <c r="H988" s="434"/>
      <c r="I988" s="434"/>
      <c r="J988" s="409"/>
      <c r="K988" s="409"/>
      <c r="L988" s="409"/>
    </row>
    <row r="989" spans="1:20" hidden="1">
      <c r="A989" s="507"/>
      <c r="B989" s="409"/>
      <c r="C989" s="492" t="s">
        <v>120</v>
      </c>
      <c r="D989" s="506"/>
      <c r="E989" s="539"/>
      <c r="F989" s="508"/>
      <c r="G989" s="487">
        <f>SUM(G978:G988)</f>
        <v>4833.2376000000004</v>
      </c>
      <c r="H989" s="487">
        <f>SUM(H978:H988)</f>
        <v>5102.8376000000007</v>
      </c>
      <c r="I989" s="487">
        <f>SUM(I978:I988)</f>
        <v>5372.4376000000002</v>
      </c>
      <c r="J989" s="409"/>
      <c r="K989" s="409"/>
      <c r="L989" s="409"/>
    </row>
    <row r="990" spans="1:20" hidden="1">
      <c r="A990" s="409"/>
      <c r="B990" s="409"/>
      <c r="C990" s="536" t="s">
        <v>382</v>
      </c>
      <c r="D990" s="428"/>
      <c r="E990" s="428"/>
      <c r="F990" s="428"/>
      <c r="G990" s="434">
        <f>G989/10</f>
        <v>483.32376000000005</v>
      </c>
      <c r="H990" s="434">
        <f>H989/10</f>
        <v>510.28376000000009</v>
      </c>
      <c r="I990" s="434">
        <f>I989/10</f>
        <v>537.24376000000007</v>
      </c>
      <c r="J990" s="409"/>
      <c r="K990" s="409"/>
      <c r="L990" s="409"/>
    </row>
    <row r="991" spans="1:20" ht="25" hidden="1">
      <c r="A991" s="409"/>
      <c r="B991" s="409"/>
      <c r="C991" s="435" t="s">
        <v>578</v>
      </c>
      <c r="D991" s="428"/>
      <c r="E991" s="428"/>
      <c r="F991" s="428"/>
      <c r="G991" s="422">
        <f>G990*13.615/100</f>
        <v>65.804529924000008</v>
      </c>
      <c r="H991" s="422">
        <f>H990*13.615/100</f>
        <v>69.475133924000005</v>
      </c>
      <c r="I991" s="422">
        <f>I990*13.615/100</f>
        <v>73.145737924000017</v>
      </c>
      <c r="J991" s="409"/>
      <c r="K991" s="409"/>
      <c r="L991" s="409"/>
    </row>
    <row r="992" spans="1:20" ht="15.5" hidden="1">
      <c r="A992" s="409"/>
      <c r="B992" s="409"/>
      <c r="C992" s="409"/>
      <c r="D992" s="428"/>
      <c r="E992" s="428"/>
      <c r="F992" s="428"/>
      <c r="G992" s="422">
        <f>SUM(G990:G991)</f>
        <v>549.128289924</v>
      </c>
      <c r="H992" s="422">
        <f>SUM(H990:H991)</f>
        <v>579.75889392400006</v>
      </c>
      <c r="I992" s="422">
        <f>SUM(I990:I991)</f>
        <v>610.38949792400012</v>
      </c>
      <c r="J992" s="409"/>
      <c r="K992" s="409"/>
      <c r="L992" s="409"/>
    </row>
    <row r="993" spans="1:12" s="439" customFormat="1" ht="55.5" customHeight="1">
      <c r="A993" s="411" t="s">
        <v>110</v>
      </c>
      <c r="B993" s="411"/>
      <c r="C993" s="2223" t="s">
        <v>220</v>
      </c>
      <c r="D993" s="2224"/>
      <c r="E993" s="2224"/>
      <c r="F993" s="2224"/>
      <c r="G993" s="438"/>
      <c r="H993" s="411"/>
      <c r="I993" s="411"/>
      <c r="J993" s="411"/>
      <c r="K993" s="411"/>
      <c r="L993" s="411"/>
    </row>
    <row r="994" spans="1:12" s="439" customFormat="1" ht="17.25" customHeight="1">
      <c r="A994" s="411"/>
      <c r="B994" s="411"/>
      <c r="C994" s="489" t="s">
        <v>469</v>
      </c>
      <c r="D994" s="420"/>
      <c r="E994" s="420"/>
      <c r="F994" s="420"/>
      <c r="G994" s="428" t="s">
        <v>613</v>
      </c>
      <c r="H994" s="411"/>
      <c r="I994" s="428" t="s">
        <v>611</v>
      </c>
      <c r="J994" s="428" t="s">
        <v>614</v>
      </c>
      <c r="K994" s="428" t="s">
        <v>1063</v>
      </c>
      <c r="L994" s="411"/>
    </row>
    <row r="995" spans="1:12" s="439" customFormat="1" ht="30.75" customHeight="1">
      <c r="A995" s="411"/>
      <c r="B995" s="411"/>
      <c r="C995" s="437" t="s">
        <v>467</v>
      </c>
      <c r="D995" s="411" t="s">
        <v>208</v>
      </c>
      <c r="E995" s="438">
        <v>1.05</v>
      </c>
      <c r="F995" s="438">
        <v>47200</v>
      </c>
      <c r="G995" s="438">
        <f>ROUND(E995*F995,2)</f>
        <v>49560</v>
      </c>
      <c r="H995" s="438">
        <f>G995</f>
        <v>49560</v>
      </c>
      <c r="I995" s="438">
        <f>H995</f>
        <v>49560</v>
      </c>
      <c r="J995" s="438">
        <f>I995</f>
        <v>49560</v>
      </c>
      <c r="K995" s="438">
        <f>J995</f>
        <v>49560</v>
      </c>
      <c r="L995" s="411"/>
    </row>
    <row r="996" spans="1:12" s="439" customFormat="1" ht="15" customHeight="1">
      <c r="A996" s="411"/>
      <c r="B996" s="411"/>
      <c r="C996" s="437" t="s">
        <v>191</v>
      </c>
      <c r="D996" s="411" t="s">
        <v>182</v>
      </c>
      <c r="E996" s="438">
        <v>6</v>
      </c>
      <c r="F996" s="438">
        <v>53</v>
      </c>
      <c r="G996" s="438">
        <f>ROUND(E996*F996,2)</f>
        <v>318</v>
      </c>
      <c r="H996" s="438"/>
      <c r="I996" s="438">
        <f>G996</f>
        <v>318</v>
      </c>
      <c r="J996" s="438">
        <f>G996</f>
        <v>318</v>
      </c>
      <c r="K996" s="438">
        <f>J996</f>
        <v>318</v>
      </c>
      <c r="L996" s="411"/>
    </row>
    <row r="997" spans="1:12" s="439" customFormat="1" ht="24.75" customHeight="1">
      <c r="A997" s="411"/>
      <c r="B997" s="411"/>
      <c r="C997" s="437" t="s">
        <v>470</v>
      </c>
      <c r="D997" s="411"/>
      <c r="E997" s="438"/>
      <c r="F997" s="438"/>
      <c r="G997" s="438"/>
      <c r="H997" s="438"/>
      <c r="I997" s="438"/>
      <c r="J997" s="438"/>
      <c r="K997" s="438"/>
      <c r="L997" s="411"/>
    </row>
    <row r="998" spans="1:12" s="439" customFormat="1" ht="18" customHeight="1">
      <c r="A998" s="411"/>
      <c r="B998" s="411"/>
      <c r="C998" s="437" t="s">
        <v>468</v>
      </c>
      <c r="D998" s="411" t="s">
        <v>119</v>
      </c>
      <c r="E998" s="438">
        <v>10</v>
      </c>
      <c r="F998" s="438">
        <v>475</v>
      </c>
      <c r="G998" s="438">
        <f>ROUND(E998*F998,2)</f>
        <v>4750</v>
      </c>
      <c r="H998" s="438">
        <f t="shared" ref="H998:K999" si="45">G998</f>
        <v>4750</v>
      </c>
      <c r="I998" s="438">
        <f t="shared" si="45"/>
        <v>4750</v>
      </c>
      <c r="J998" s="438">
        <f t="shared" si="45"/>
        <v>4750</v>
      </c>
      <c r="K998" s="438">
        <f t="shared" si="45"/>
        <v>4750</v>
      </c>
      <c r="L998" s="411"/>
    </row>
    <row r="999" spans="1:12" s="439" customFormat="1" ht="18" customHeight="1">
      <c r="A999" s="411"/>
      <c r="B999" s="411"/>
      <c r="C999" s="483" t="s">
        <v>268</v>
      </c>
      <c r="D999" s="411" t="s">
        <v>119</v>
      </c>
      <c r="E999" s="438">
        <v>10</v>
      </c>
      <c r="F999" s="438">
        <v>400</v>
      </c>
      <c r="G999" s="438">
        <f>ROUND(E999*F999,2)</f>
        <v>4000</v>
      </c>
      <c r="H999" s="438">
        <f t="shared" si="45"/>
        <v>4000</v>
      </c>
      <c r="I999" s="438">
        <f t="shared" si="45"/>
        <v>4000</v>
      </c>
      <c r="J999" s="438">
        <f t="shared" si="45"/>
        <v>4000</v>
      </c>
      <c r="K999" s="438">
        <f t="shared" si="45"/>
        <v>4000</v>
      </c>
      <c r="L999" s="411"/>
    </row>
    <row r="1000" spans="1:12" ht="13.5" customHeight="1">
      <c r="A1000" s="423"/>
      <c r="B1000" s="421"/>
      <c r="C1000" s="424" t="s">
        <v>615</v>
      </c>
      <c r="D1000" s="427"/>
      <c r="E1000" s="415"/>
      <c r="F1000" s="422"/>
      <c r="G1000" s="442"/>
      <c r="H1000" s="409"/>
      <c r="I1000" s="442">
        <f>SUM(H997:H999)*10/100</f>
        <v>875</v>
      </c>
      <c r="J1000" s="442">
        <f>SUM(J997:J999)*20/100</f>
        <v>1750</v>
      </c>
      <c r="K1000" s="442">
        <f>SUM(K997:K999)*30/100</f>
        <v>2625</v>
      </c>
      <c r="L1000" s="409"/>
    </row>
    <row r="1001" spans="1:12" ht="13.5" customHeight="1">
      <c r="A1001" s="423"/>
      <c r="B1001" s="421"/>
      <c r="C1001" s="424" t="s">
        <v>592</v>
      </c>
      <c r="D1001" s="427">
        <f>D987</f>
        <v>0</v>
      </c>
      <c r="E1001" s="415"/>
      <c r="F1001" s="425"/>
      <c r="G1001" s="442">
        <f>D1001*SUM(G997:G999)</f>
        <v>0</v>
      </c>
      <c r="H1001" s="442">
        <f>D1001*SUM(H997:H999)</f>
        <v>0</v>
      </c>
      <c r="I1001" s="442">
        <f>D1001*SUM(I997:I1000)</f>
        <v>0</v>
      </c>
      <c r="J1001" s="442">
        <f>D1001*SUM(J997:J1000)</f>
        <v>0</v>
      </c>
      <c r="K1001" s="442">
        <f>D1001*SUM(K997:K1000)</f>
        <v>0</v>
      </c>
      <c r="L1001" s="409"/>
    </row>
    <row r="1002" spans="1:12" s="439" customFormat="1" ht="18" customHeight="1">
      <c r="A1002" s="411"/>
      <c r="B1002" s="411"/>
      <c r="C1002" s="437"/>
      <c r="D1002" s="438" t="s">
        <v>142</v>
      </c>
      <c r="E1002" s="438"/>
      <c r="F1002" s="438"/>
      <c r="G1002" s="438">
        <f>SUM(G995:G1001)</f>
        <v>58628</v>
      </c>
      <c r="H1002" s="438">
        <f>SUM(H995:H1001)</f>
        <v>58310</v>
      </c>
      <c r="I1002" s="438">
        <f>SUM(I995:I1001)</f>
        <v>59503</v>
      </c>
      <c r="J1002" s="438">
        <f>SUM(J995:J1001)</f>
        <v>60378</v>
      </c>
      <c r="K1002" s="438">
        <f>SUM(K995:K1001)</f>
        <v>61253</v>
      </c>
      <c r="L1002" s="411"/>
    </row>
    <row r="1003" spans="1:12" s="439" customFormat="1" ht="18" customHeight="1">
      <c r="A1003" s="411"/>
      <c r="B1003" s="411"/>
      <c r="C1003" s="437"/>
      <c r="D1003" s="438"/>
      <c r="E1003" s="438"/>
      <c r="F1003" s="438"/>
      <c r="G1003" s="438">
        <f>G1002/1000</f>
        <v>58.628</v>
      </c>
      <c r="H1003" s="438">
        <f>H1002/1000</f>
        <v>58.31</v>
      </c>
      <c r="I1003" s="438">
        <f>I1002/1000</f>
        <v>59.503</v>
      </c>
      <c r="J1003" s="438">
        <f>J1002/1000</f>
        <v>60.378</v>
      </c>
      <c r="K1003" s="438">
        <f>K1002/1000</f>
        <v>61.253</v>
      </c>
      <c r="L1003" s="411"/>
    </row>
    <row r="1004" spans="1:12" s="439" customFormat="1" ht="30.75" customHeight="1">
      <c r="A1004" s="411"/>
      <c r="B1004" s="411"/>
      <c r="C1004" s="435" t="s">
        <v>578</v>
      </c>
      <c r="D1004" s="438"/>
      <c r="E1004" s="438"/>
      <c r="F1004" s="438"/>
      <c r="G1004" s="422">
        <f>G1003*13.615/100*0</f>
        <v>0</v>
      </c>
      <c r="H1004" s="422"/>
      <c r="I1004" s="422">
        <f>I1003*13.615/100*0</f>
        <v>0</v>
      </c>
      <c r="J1004" s="422">
        <f>J1003*13.615/100*0</f>
        <v>0</v>
      </c>
      <c r="K1004" s="422">
        <f>K1003*13.615/100</f>
        <v>8.3395959499999996</v>
      </c>
      <c r="L1004" s="411"/>
    </row>
    <row r="1005" spans="1:12" s="439" customFormat="1" ht="18" customHeight="1">
      <c r="A1005" s="411"/>
      <c r="B1005" s="411"/>
      <c r="C1005" s="437"/>
      <c r="D1005" s="438"/>
      <c r="E1005" s="438"/>
      <c r="F1005" s="438"/>
      <c r="G1005" s="422">
        <f>SUM(G1003:G1004)</f>
        <v>58.628</v>
      </c>
      <c r="H1005" s="422"/>
      <c r="I1005" s="422">
        <f>SUM(I1003:I1004)</f>
        <v>59.503</v>
      </c>
      <c r="J1005" s="422">
        <f>SUM(J1003:J1004)</f>
        <v>60.378</v>
      </c>
      <c r="K1005" s="422">
        <f>SUM(K1003:K1004)</f>
        <v>69.592595950000003</v>
      </c>
      <c r="L1005" s="411"/>
    </row>
    <row r="1006" spans="1:12" s="439" customFormat="1" ht="40.5" hidden="1" customHeight="1">
      <c r="A1006" s="411"/>
      <c r="B1006" s="411"/>
      <c r="C1006" s="2223" t="s">
        <v>531</v>
      </c>
      <c r="D1006" s="2224"/>
      <c r="E1006" s="2224"/>
      <c r="F1006" s="2224"/>
      <c r="G1006" s="438"/>
      <c r="H1006" s="411"/>
      <c r="I1006" s="411"/>
      <c r="J1006" s="411"/>
      <c r="K1006" s="411"/>
      <c r="L1006" s="411"/>
    </row>
    <row r="1007" spans="1:12" s="439" customFormat="1" ht="15" hidden="1" customHeight="1">
      <c r="A1007" s="411"/>
      <c r="B1007" s="411"/>
      <c r="C1007" s="437" t="s">
        <v>573</v>
      </c>
      <c r="D1007" s="411" t="s">
        <v>182</v>
      </c>
      <c r="E1007" s="438">
        <v>1</v>
      </c>
      <c r="F1007" s="438">
        <v>42</v>
      </c>
      <c r="G1007" s="425">
        <f>ROUND(E1007*F1007,2)</f>
        <v>42</v>
      </c>
      <c r="H1007" s="490"/>
      <c r="I1007" s="411"/>
      <c r="J1007" s="411"/>
      <c r="K1007" s="411"/>
      <c r="L1007" s="411"/>
    </row>
    <row r="1008" spans="1:12" s="439" customFormat="1" ht="24" hidden="1" customHeight="1">
      <c r="A1008" s="411"/>
      <c r="B1008" s="411"/>
      <c r="C1008" s="437" t="s">
        <v>565</v>
      </c>
      <c r="D1008" s="411" t="s">
        <v>182</v>
      </c>
      <c r="E1008" s="438">
        <v>1</v>
      </c>
      <c r="F1008" s="438">
        <v>32</v>
      </c>
      <c r="G1008" s="425">
        <f>ROUND(E1008*F1008,2)</f>
        <v>32</v>
      </c>
      <c r="H1008" s="490"/>
      <c r="I1008" s="411"/>
      <c r="J1008" s="411"/>
      <c r="K1008" s="411"/>
      <c r="L1008" s="411"/>
    </row>
    <row r="1009" spans="1:12" s="439" customFormat="1" ht="15" hidden="1" customHeight="1">
      <c r="A1009" s="411"/>
      <c r="B1009" s="411"/>
      <c r="C1009" s="437"/>
      <c r="D1009" s="438" t="s">
        <v>142</v>
      </c>
      <c r="E1009" s="438"/>
      <c r="F1009" s="411"/>
      <c r="G1009" s="438">
        <f>SUM(G1007:G1008)</f>
        <v>74</v>
      </c>
      <c r="H1009" s="411"/>
      <c r="I1009" s="411"/>
      <c r="J1009" s="411"/>
      <c r="K1009" s="411"/>
      <c r="L1009" s="411"/>
    </row>
    <row r="1010" spans="1:12" ht="25" hidden="1">
      <c r="A1010" s="409"/>
      <c r="B1010" s="428"/>
      <c r="C1010" s="435" t="s">
        <v>578</v>
      </c>
      <c r="D1010" s="428"/>
      <c r="E1010" s="434"/>
      <c r="F1010" s="434"/>
      <c r="G1010" s="422">
        <f>G1009*13.615/100</f>
        <v>10.075099999999999</v>
      </c>
      <c r="H1010" s="411"/>
      <c r="I1010" s="409"/>
      <c r="J1010" s="409"/>
      <c r="K1010" s="409"/>
      <c r="L1010" s="409"/>
    </row>
    <row r="1011" spans="1:12" ht="15.5" hidden="1">
      <c r="A1011" s="409"/>
      <c r="B1011" s="428"/>
      <c r="C1011" s="409"/>
      <c r="D1011" s="428"/>
      <c r="E1011" s="434"/>
      <c r="F1011" s="434"/>
      <c r="G1011" s="422">
        <f>SUM(G1009:G1010)</f>
        <v>84.075099999999992</v>
      </c>
      <c r="H1011" s="411"/>
      <c r="I1011" s="409"/>
      <c r="J1011" s="409"/>
      <c r="K1011" s="409"/>
      <c r="L1011" s="409"/>
    </row>
    <row r="1012" spans="1:12" ht="25">
      <c r="A1012" s="540" t="s">
        <v>638</v>
      </c>
      <c r="B1012" s="415">
        <v>25</v>
      </c>
      <c r="C1012" s="414" t="s">
        <v>639</v>
      </c>
      <c r="D1012" s="415"/>
      <c r="E1012" s="429"/>
      <c r="F1012" s="494"/>
      <c r="G1012" s="425"/>
      <c r="H1012" s="411"/>
      <c r="I1012" s="409"/>
      <c r="J1012" s="409"/>
      <c r="K1012" s="409"/>
      <c r="L1012" s="409"/>
    </row>
    <row r="1013" spans="1:12">
      <c r="A1013" s="540"/>
      <c r="B1013" s="415"/>
      <c r="C1013" s="414" t="s">
        <v>640</v>
      </c>
      <c r="D1013" s="415"/>
      <c r="E1013" s="429"/>
      <c r="F1013" s="494"/>
      <c r="G1013" s="425"/>
      <c r="H1013" s="411"/>
      <c r="I1013" s="409"/>
      <c r="J1013" s="409"/>
      <c r="K1013" s="409"/>
      <c r="L1013" s="409"/>
    </row>
    <row r="1014" spans="1:12">
      <c r="A1014" s="540"/>
      <c r="B1014" s="415"/>
      <c r="C1014" s="414" t="s">
        <v>641</v>
      </c>
      <c r="D1014" s="415"/>
      <c r="E1014" s="429"/>
      <c r="F1014" s="494"/>
      <c r="G1014" s="425"/>
      <c r="H1014" s="411"/>
      <c r="I1014" s="409"/>
      <c r="J1014" s="409"/>
      <c r="K1014" s="409"/>
      <c r="L1014" s="409"/>
    </row>
    <row r="1015" spans="1:12">
      <c r="A1015" s="540"/>
      <c r="B1015" s="415"/>
      <c r="C1015" s="414" t="s">
        <v>642</v>
      </c>
      <c r="D1015" s="415" t="s">
        <v>117</v>
      </c>
      <c r="E1015" s="425">
        <v>1</v>
      </c>
      <c r="F1015" s="494"/>
      <c r="G1015" s="425"/>
      <c r="H1015" s="411"/>
      <c r="I1015" s="409"/>
      <c r="J1015" s="409"/>
      <c r="K1015" s="409"/>
      <c r="L1015" s="409"/>
    </row>
    <row r="1016" spans="1:12">
      <c r="A1016" s="540"/>
      <c r="B1016" s="415"/>
      <c r="C1016" s="414" t="s">
        <v>643</v>
      </c>
      <c r="D1016" s="415"/>
      <c r="E1016" s="425">
        <v>17.7</v>
      </c>
      <c r="F1016" s="494"/>
      <c r="G1016" s="425"/>
      <c r="H1016" s="411"/>
      <c r="I1016" s="409"/>
      <c r="J1016" s="409"/>
      <c r="K1016" s="409"/>
      <c r="L1016" s="409"/>
    </row>
    <row r="1017" spans="1:12">
      <c r="A1017" s="540"/>
      <c r="B1017" s="415"/>
      <c r="C1017" s="414" t="s">
        <v>644</v>
      </c>
      <c r="D1017" s="415" t="s">
        <v>119</v>
      </c>
      <c r="E1017" s="466">
        <f>17.7*30/100</f>
        <v>5.31</v>
      </c>
      <c r="F1017" s="494">
        <v>550</v>
      </c>
      <c r="G1017" s="425">
        <f>ROUND(E1017*F1017,2)</f>
        <v>2920.5</v>
      </c>
      <c r="H1017" s="411"/>
      <c r="I1017" s="409"/>
      <c r="J1017" s="409"/>
      <c r="K1017" s="409"/>
      <c r="L1017" s="409"/>
    </row>
    <row r="1018" spans="1:12">
      <c r="A1018" s="540"/>
      <c r="B1018" s="415"/>
      <c r="C1018" s="414" t="s">
        <v>645</v>
      </c>
      <c r="D1018" s="415" t="s">
        <v>119</v>
      </c>
      <c r="E1018" s="466">
        <f>17.7*70/100</f>
        <v>12.39</v>
      </c>
      <c r="F1018" s="494">
        <v>440</v>
      </c>
      <c r="G1018" s="425">
        <f>ROUND(E1018*F1018,2)</f>
        <v>5451.6</v>
      </c>
      <c r="H1018" s="411"/>
      <c r="I1018" s="409"/>
      <c r="J1018" s="409"/>
      <c r="K1018" s="409"/>
      <c r="L1018" s="409"/>
    </row>
    <row r="1019" spans="1:12">
      <c r="A1019" s="540"/>
      <c r="B1019" s="415"/>
      <c r="C1019" s="414" t="s">
        <v>646</v>
      </c>
      <c r="D1019" s="415" t="s">
        <v>119</v>
      </c>
      <c r="E1019" s="425">
        <v>8.8000000000000007</v>
      </c>
      <c r="F1019" s="494">
        <v>400</v>
      </c>
      <c r="G1019" s="425">
        <f>ROUND(E1019*F1019,2)</f>
        <v>3520</v>
      </c>
      <c r="H1019" s="411"/>
      <c r="I1019" s="409"/>
      <c r="J1019" s="409"/>
      <c r="K1019" s="409"/>
      <c r="L1019" s="409"/>
    </row>
    <row r="1020" spans="1:12">
      <c r="A1020" s="423"/>
      <c r="B1020" s="421"/>
      <c r="C1020" s="424" t="s">
        <v>647</v>
      </c>
      <c r="D1020" s="495">
        <f>D1001</f>
        <v>0</v>
      </c>
      <c r="E1020" s="420"/>
      <c r="F1020" s="425"/>
      <c r="G1020" s="425">
        <f>SUM(G1017:G1019)*D1020</f>
        <v>0</v>
      </c>
      <c r="H1020" s="411"/>
      <c r="I1020" s="409"/>
      <c r="J1020" s="409"/>
      <c r="K1020" s="409"/>
      <c r="L1020" s="409"/>
    </row>
    <row r="1021" spans="1:12" ht="14">
      <c r="A1021" s="540"/>
      <c r="B1021" s="415"/>
      <c r="C1021" s="414"/>
      <c r="D1021" s="415"/>
      <c r="E1021" s="466"/>
      <c r="F1021" s="415"/>
      <c r="G1021" s="541">
        <f>SUM(G1017:G1020)</f>
        <v>11892.1</v>
      </c>
      <c r="H1021" s="411"/>
      <c r="I1021" s="409"/>
      <c r="J1021" s="409"/>
      <c r="K1021" s="409"/>
      <c r="L1021" s="409"/>
    </row>
    <row r="1022" spans="1:12" ht="25">
      <c r="A1022" s="540"/>
      <c r="B1022" s="420"/>
      <c r="C1022" s="542" t="s">
        <v>554</v>
      </c>
      <c r="D1022" s="415"/>
      <c r="E1022" s="415"/>
      <c r="F1022" s="415"/>
      <c r="G1022" s="415"/>
      <c r="H1022" s="409"/>
      <c r="I1022" s="409"/>
      <c r="J1022" s="409"/>
      <c r="K1022" s="409"/>
      <c r="L1022" s="409"/>
    </row>
    <row r="1023" spans="1:12">
      <c r="A1023" s="409" t="s">
        <v>12</v>
      </c>
      <c r="B1023" s="415"/>
      <c r="C1023" s="414" t="s">
        <v>555</v>
      </c>
      <c r="D1023" s="415" t="s">
        <v>217</v>
      </c>
      <c r="E1023" s="429">
        <v>2</v>
      </c>
      <c r="F1023" s="490">
        <v>68</v>
      </c>
      <c r="G1023" s="425">
        <f t="shared" ref="G1023:G1029" si="46">ROUND(E1023*F1023,2)</f>
        <v>136</v>
      </c>
      <c r="H1023" s="409"/>
      <c r="I1023" s="409"/>
      <c r="J1023" s="409"/>
      <c r="K1023" s="409"/>
      <c r="L1023" s="409"/>
    </row>
    <row r="1024" spans="1:12" ht="25">
      <c r="A1024" s="409" t="s">
        <v>12</v>
      </c>
      <c r="B1024" s="415"/>
      <c r="C1024" s="414" t="s">
        <v>556</v>
      </c>
      <c r="D1024" s="415" t="s">
        <v>217</v>
      </c>
      <c r="E1024" s="429">
        <v>1</v>
      </c>
      <c r="F1024" s="490">
        <f>F1023</f>
        <v>68</v>
      </c>
      <c r="G1024" s="425">
        <f t="shared" si="46"/>
        <v>68</v>
      </c>
      <c r="H1024" s="409"/>
      <c r="I1024" s="409"/>
      <c r="J1024" s="409"/>
      <c r="K1024" s="409"/>
      <c r="L1024" s="409"/>
    </row>
    <row r="1025" spans="1:12">
      <c r="A1025" s="409" t="s">
        <v>13</v>
      </c>
      <c r="B1025" s="415"/>
      <c r="C1025" s="414" t="s">
        <v>406</v>
      </c>
      <c r="D1025" s="415" t="s">
        <v>217</v>
      </c>
      <c r="E1025" s="429">
        <v>2</v>
      </c>
      <c r="F1025" s="490">
        <v>45</v>
      </c>
      <c r="G1025" s="425">
        <f t="shared" si="46"/>
        <v>90</v>
      </c>
      <c r="H1025" s="409"/>
      <c r="I1025" s="409"/>
      <c r="J1025" s="409"/>
      <c r="K1025" s="409"/>
      <c r="L1025" s="409"/>
    </row>
    <row r="1026" spans="1:12">
      <c r="A1026" s="409" t="s">
        <v>14</v>
      </c>
      <c r="B1026" s="415"/>
      <c r="C1026" s="414" t="s">
        <v>407</v>
      </c>
      <c r="D1026" s="415" t="s">
        <v>217</v>
      </c>
      <c r="E1026" s="429">
        <v>1</v>
      </c>
      <c r="F1026" s="490">
        <v>146</v>
      </c>
      <c r="G1026" s="425">
        <f t="shared" si="46"/>
        <v>146</v>
      </c>
      <c r="H1026" s="409"/>
      <c r="I1026" s="409"/>
      <c r="J1026" s="409"/>
      <c r="K1026" s="409"/>
      <c r="L1026" s="409"/>
    </row>
    <row r="1027" spans="1:12">
      <c r="A1027" s="409" t="s">
        <v>15</v>
      </c>
      <c r="B1027" s="415"/>
      <c r="C1027" s="414" t="s">
        <v>3</v>
      </c>
      <c r="D1027" s="415" t="s">
        <v>217</v>
      </c>
      <c r="E1027" s="429">
        <v>6</v>
      </c>
      <c r="F1027" s="490">
        <v>31</v>
      </c>
      <c r="G1027" s="425">
        <f t="shared" si="46"/>
        <v>186</v>
      </c>
      <c r="H1027" s="409"/>
      <c r="I1027" s="409"/>
      <c r="J1027" s="409"/>
      <c r="K1027" s="409"/>
      <c r="L1027" s="409"/>
    </row>
    <row r="1028" spans="1:12">
      <c r="A1028" s="540"/>
      <c r="B1028" s="415"/>
      <c r="C1028" s="414" t="s">
        <v>557</v>
      </c>
      <c r="D1028" s="415" t="s">
        <v>217</v>
      </c>
      <c r="E1028" s="429">
        <v>2</v>
      </c>
      <c r="F1028" s="543">
        <v>15</v>
      </c>
      <c r="G1028" s="425">
        <f t="shared" si="46"/>
        <v>30</v>
      </c>
      <c r="H1028" s="409"/>
      <c r="I1028" s="409"/>
      <c r="J1028" s="409"/>
      <c r="K1028" s="409"/>
      <c r="L1028" s="409"/>
    </row>
    <row r="1029" spans="1:12">
      <c r="A1029" s="540" t="s">
        <v>16</v>
      </c>
      <c r="B1029" s="415"/>
      <c r="C1029" s="414" t="s">
        <v>17</v>
      </c>
      <c r="D1029" s="415" t="s">
        <v>217</v>
      </c>
      <c r="E1029" s="429">
        <v>4</v>
      </c>
      <c r="F1029" s="490">
        <v>32</v>
      </c>
      <c r="G1029" s="425">
        <f t="shared" si="46"/>
        <v>128</v>
      </c>
      <c r="H1029" s="409"/>
      <c r="I1029" s="409"/>
      <c r="J1029" s="409"/>
      <c r="K1029" s="409"/>
      <c r="L1029" s="409"/>
    </row>
    <row r="1030" spans="1:12" ht="15.5">
      <c r="A1030" s="540"/>
      <c r="B1030" s="415"/>
      <c r="C1030" s="414" t="s">
        <v>409</v>
      </c>
      <c r="D1030" s="415"/>
      <c r="E1030" s="466"/>
      <c r="F1030" s="544"/>
      <c r="G1030" s="517">
        <f>SUM(G1023:G1029)</f>
        <v>784</v>
      </c>
      <c r="H1030" s="409"/>
      <c r="I1030" s="409"/>
      <c r="J1030" s="409"/>
      <c r="K1030" s="409"/>
      <c r="L1030" s="409"/>
    </row>
    <row r="1031" spans="1:12">
      <c r="A1031" s="545"/>
      <c r="B1031" s="428"/>
      <c r="C1031" s="414"/>
      <c r="D1031" s="415"/>
      <c r="E1031" s="415"/>
      <c r="F1031" s="415"/>
      <c r="G1031" s="415"/>
      <c r="H1031" s="409"/>
      <c r="I1031" s="409"/>
      <c r="J1031" s="409"/>
      <c r="K1031" s="409"/>
      <c r="L1031" s="409"/>
    </row>
    <row r="1032" spans="1:12" ht="25">
      <c r="A1032" s="540"/>
      <c r="B1032" s="420"/>
      <c r="C1032" s="542" t="s">
        <v>558</v>
      </c>
      <c r="D1032" s="415"/>
      <c r="E1032" s="415"/>
      <c r="F1032" s="415"/>
      <c r="G1032" s="415"/>
      <c r="H1032" s="409"/>
      <c r="I1032" s="409"/>
      <c r="J1032" s="409"/>
      <c r="K1032" s="409"/>
      <c r="L1032" s="409"/>
    </row>
    <row r="1033" spans="1:12">
      <c r="A1033" s="409" t="s">
        <v>12</v>
      </c>
      <c r="B1033" s="415"/>
      <c r="C1033" s="414" t="s">
        <v>555</v>
      </c>
      <c r="D1033" s="415" t="s">
        <v>217</v>
      </c>
      <c r="E1033" s="429">
        <v>1</v>
      </c>
      <c r="F1033" s="515">
        <f t="shared" ref="F1033:F1039" si="47">F1023</f>
        <v>68</v>
      </c>
      <c r="G1033" s="425">
        <f t="shared" ref="G1033:G1039" si="48">ROUND(E1033*F1033,2)</f>
        <v>68</v>
      </c>
      <c r="H1033" s="409"/>
      <c r="I1033" s="409"/>
      <c r="J1033" s="409"/>
      <c r="K1033" s="409"/>
      <c r="L1033" s="409"/>
    </row>
    <row r="1034" spans="1:12" ht="25">
      <c r="A1034" s="409" t="s">
        <v>12</v>
      </c>
      <c r="B1034" s="415"/>
      <c r="C1034" s="414" t="s">
        <v>556</v>
      </c>
      <c r="D1034" s="415" t="s">
        <v>217</v>
      </c>
      <c r="E1034" s="429">
        <v>1</v>
      </c>
      <c r="F1034" s="515">
        <f t="shared" si="47"/>
        <v>68</v>
      </c>
      <c r="G1034" s="425">
        <f t="shared" si="48"/>
        <v>68</v>
      </c>
      <c r="H1034" s="409"/>
      <c r="I1034" s="409"/>
      <c r="J1034" s="409"/>
      <c r="K1034" s="409"/>
      <c r="L1034" s="409"/>
    </row>
    <row r="1035" spans="1:12">
      <c r="A1035" s="409" t="s">
        <v>13</v>
      </c>
      <c r="B1035" s="415"/>
      <c r="C1035" s="414" t="s">
        <v>406</v>
      </c>
      <c r="D1035" s="415" t="s">
        <v>217</v>
      </c>
      <c r="E1035" s="429">
        <v>1</v>
      </c>
      <c r="F1035" s="515">
        <f t="shared" si="47"/>
        <v>45</v>
      </c>
      <c r="G1035" s="425">
        <f t="shared" si="48"/>
        <v>45</v>
      </c>
      <c r="H1035" s="409"/>
      <c r="I1035" s="409"/>
      <c r="J1035" s="409"/>
      <c r="K1035" s="409"/>
      <c r="L1035" s="409"/>
    </row>
    <row r="1036" spans="1:12">
      <c r="A1036" s="409" t="s">
        <v>14</v>
      </c>
      <c r="B1036" s="415"/>
      <c r="C1036" s="414" t="s">
        <v>407</v>
      </c>
      <c r="D1036" s="415" t="s">
        <v>217</v>
      </c>
      <c r="E1036" s="429">
        <v>1</v>
      </c>
      <c r="F1036" s="515">
        <f t="shared" si="47"/>
        <v>146</v>
      </c>
      <c r="G1036" s="425">
        <f t="shared" si="48"/>
        <v>146</v>
      </c>
      <c r="H1036" s="409"/>
      <c r="I1036" s="409"/>
      <c r="J1036" s="409"/>
      <c r="K1036" s="409"/>
      <c r="L1036" s="409"/>
    </row>
    <row r="1037" spans="1:12">
      <c r="A1037" s="409" t="s">
        <v>15</v>
      </c>
      <c r="B1037" s="415"/>
      <c r="C1037" s="414" t="s">
        <v>408</v>
      </c>
      <c r="D1037" s="415" t="s">
        <v>217</v>
      </c>
      <c r="E1037" s="429">
        <v>3</v>
      </c>
      <c r="F1037" s="515">
        <f t="shared" si="47"/>
        <v>31</v>
      </c>
      <c r="G1037" s="425">
        <f t="shared" si="48"/>
        <v>93</v>
      </c>
      <c r="H1037" s="409"/>
      <c r="I1037" s="409"/>
      <c r="J1037" s="409"/>
      <c r="K1037" s="409"/>
      <c r="L1037" s="409"/>
    </row>
    <row r="1038" spans="1:12">
      <c r="A1038" s="540"/>
      <c r="B1038" s="415"/>
      <c r="C1038" s="414" t="s">
        <v>557</v>
      </c>
      <c r="D1038" s="415" t="s">
        <v>217</v>
      </c>
      <c r="E1038" s="429">
        <v>1</v>
      </c>
      <c r="F1038" s="515">
        <f t="shared" si="47"/>
        <v>15</v>
      </c>
      <c r="G1038" s="425">
        <f t="shared" si="48"/>
        <v>15</v>
      </c>
      <c r="H1038" s="409"/>
      <c r="I1038" s="409"/>
      <c r="J1038" s="409"/>
      <c r="K1038" s="409"/>
      <c r="L1038" s="409"/>
    </row>
    <row r="1039" spans="1:12">
      <c r="A1039" s="540" t="s">
        <v>16</v>
      </c>
      <c r="B1039" s="415"/>
      <c r="C1039" s="414" t="s">
        <v>17</v>
      </c>
      <c r="D1039" s="415" t="s">
        <v>217</v>
      </c>
      <c r="E1039" s="429">
        <v>4</v>
      </c>
      <c r="F1039" s="515">
        <f t="shared" si="47"/>
        <v>32</v>
      </c>
      <c r="G1039" s="425">
        <f t="shared" si="48"/>
        <v>128</v>
      </c>
      <c r="H1039" s="409"/>
      <c r="I1039" s="409"/>
      <c r="J1039" s="409"/>
      <c r="K1039" s="409"/>
      <c r="L1039" s="409"/>
    </row>
    <row r="1040" spans="1:12" ht="15.5">
      <c r="A1040" s="540"/>
      <c r="B1040" s="415"/>
      <c r="C1040" s="414" t="s">
        <v>409</v>
      </c>
      <c r="D1040" s="415"/>
      <c r="E1040" s="466"/>
      <c r="F1040" s="415"/>
      <c r="G1040" s="517">
        <f>SUM(G1033:G1039)</f>
        <v>563</v>
      </c>
      <c r="H1040" s="409"/>
      <c r="I1040" s="409"/>
      <c r="J1040" s="409"/>
      <c r="K1040" s="409"/>
      <c r="L1040" s="409"/>
    </row>
    <row r="1041" spans="1:12">
      <c r="A1041" s="545"/>
      <c r="B1041" s="428"/>
      <c r="C1041" s="414"/>
      <c r="D1041" s="415"/>
      <c r="E1041" s="415"/>
      <c r="F1041" s="415"/>
      <c r="G1041" s="415"/>
      <c r="H1041" s="409"/>
      <c r="I1041" s="409"/>
      <c r="J1041" s="409"/>
      <c r="K1041" s="409"/>
      <c r="L1041" s="409"/>
    </row>
    <row r="1042" spans="1:12" ht="25">
      <c r="A1042" s="540"/>
      <c r="B1042" s="420"/>
      <c r="C1042" s="435" t="s">
        <v>221</v>
      </c>
      <c r="D1042" s="415"/>
      <c r="E1042" s="415"/>
      <c r="F1042" s="415"/>
      <c r="G1042" s="415"/>
      <c r="H1042" s="409"/>
      <c r="I1042" s="409"/>
      <c r="J1042" s="409"/>
      <c r="K1042" s="409"/>
      <c r="L1042" s="409"/>
    </row>
    <row r="1043" spans="1:12">
      <c r="A1043" s="540"/>
      <c r="B1043" s="420"/>
      <c r="C1043" s="435" t="s">
        <v>559</v>
      </c>
      <c r="D1043" s="415" t="s">
        <v>217</v>
      </c>
      <c r="E1043" s="429">
        <v>2</v>
      </c>
      <c r="F1043" s="490">
        <v>5</v>
      </c>
      <c r="G1043" s="425">
        <f>ROUND(E1043*F1043,2)</f>
        <v>10</v>
      </c>
      <c r="H1043" s="409"/>
      <c r="I1043" s="409"/>
      <c r="J1043" s="409"/>
      <c r="K1043" s="409"/>
      <c r="L1043" s="409"/>
    </row>
    <row r="1044" spans="1:12" ht="26.25" customHeight="1">
      <c r="A1044" s="409" t="s">
        <v>18</v>
      </c>
      <c r="B1044" s="415"/>
      <c r="C1044" s="414" t="s">
        <v>560</v>
      </c>
      <c r="D1044" s="415" t="s">
        <v>217</v>
      </c>
      <c r="E1044" s="429">
        <v>2</v>
      </c>
      <c r="F1044" s="490">
        <v>24</v>
      </c>
      <c r="G1044" s="425">
        <f>ROUND(E1044*F1044,2)</f>
        <v>48</v>
      </c>
      <c r="H1044" s="409"/>
      <c r="I1044" s="409"/>
      <c r="J1044" s="409"/>
      <c r="K1044" s="409"/>
      <c r="L1044" s="409"/>
    </row>
    <row r="1045" spans="1:12" ht="25">
      <c r="A1045" s="409" t="s">
        <v>18</v>
      </c>
      <c r="B1045" s="415"/>
      <c r="C1045" s="414" t="s">
        <v>561</v>
      </c>
      <c r="D1045" s="415" t="s">
        <v>217</v>
      </c>
      <c r="E1045" s="429">
        <v>2</v>
      </c>
      <c r="F1045" s="490">
        <f>F1044</f>
        <v>24</v>
      </c>
      <c r="G1045" s="425">
        <f>ROUND(E1045*F1045,2)</f>
        <v>48</v>
      </c>
      <c r="H1045" s="409"/>
      <c r="I1045" s="409"/>
      <c r="J1045" s="409"/>
      <c r="K1045" s="409"/>
      <c r="L1045" s="409"/>
    </row>
    <row r="1046" spans="1:12">
      <c r="A1046" s="540" t="s">
        <v>16</v>
      </c>
      <c r="B1046" s="415"/>
      <c r="C1046" s="414" t="s">
        <v>17</v>
      </c>
      <c r="D1046" s="415" t="s">
        <v>217</v>
      </c>
      <c r="E1046" s="429">
        <v>4</v>
      </c>
      <c r="F1046" s="490">
        <f>F1039</f>
        <v>32</v>
      </c>
      <c r="G1046" s="425">
        <f>ROUND(E1046*F1046,2)</f>
        <v>128</v>
      </c>
      <c r="H1046" s="409"/>
      <c r="I1046" s="409"/>
      <c r="J1046" s="409"/>
      <c r="K1046" s="409"/>
      <c r="L1046" s="409"/>
    </row>
    <row r="1047" spans="1:12">
      <c r="A1047" s="409" t="s">
        <v>19</v>
      </c>
      <c r="B1047" s="415"/>
      <c r="C1047" s="414" t="s">
        <v>562</v>
      </c>
      <c r="D1047" s="415" t="s">
        <v>217</v>
      </c>
      <c r="E1047" s="429">
        <v>6</v>
      </c>
      <c r="F1047" s="490">
        <v>20</v>
      </c>
      <c r="G1047" s="425">
        <f>ROUND(E1047*F1047,2)</f>
        <v>120</v>
      </c>
      <c r="H1047" s="409"/>
      <c r="I1047" s="409"/>
      <c r="J1047" s="409"/>
      <c r="K1047" s="409"/>
      <c r="L1047" s="409"/>
    </row>
    <row r="1048" spans="1:12" ht="15.5">
      <c r="A1048" s="540"/>
      <c r="B1048" s="415"/>
      <c r="C1048" s="414"/>
      <c r="D1048" s="415"/>
      <c r="E1048" s="466"/>
      <c r="F1048" s="415"/>
      <c r="G1048" s="517">
        <f>SUM(G1043:G1047)</f>
        <v>354</v>
      </c>
      <c r="H1048" s="409"/>
      <c r="I1048" s="409"/>
      <c r="J1048" s="409"/>
      <c r="K1048" s="409"/>
      <c r="L1048" s="409"/>
    </row>
    <row r="1049" spans="1:12" ht="25">
      <c r="A1049" s="540"/>
      <c r="B1049" s="420"/>
      <c r="C1049" s="435" t="s">
        <v>222</v>
      </c>
      <c r="D1049" s="415"/>
      <c r="E1049" s="415"/>
      <c r="F1049" s="415"/>
      <c r="G1049" s="414"/>
      <c r="H1049" s="409"/>
      <c r="I1049" s="409"/>
      <c r="J1049" s="409"/>
      <c r="K1049" s="409"/>
      <c r="L1049" s="409"/>
    </row>
    <row r="1050" spans="1:12">
      <c r="A1050" s="540"/>
      <c r="B1050" s="420"/>
      <c r="C1050" s="435" t="s">
        <v>559</v>
      </c>
      <c r="D1050" s="415" t="s">
        <v>217</v>
      </c>
      <c r="E1050" s="429">
        <v>3</v>
      </c>
      <c r="F1050" s="490">
        <f>F1043</f>
        <v>5</v>
      </c>
      <c r="G1050" s="425">
        <f>ROUND(E1050*F1050,2)</f>
        <v>15</v>
      </c>
      <c r="H1050" s="409"/>
      <c r="I1050" s="409"/>
      <c r="J1050" s="409"/>
      <c r="K1050" s="409"/>
      <c r="L1050" s="409"/>
    </row>
    <row r="1051" spans="1:12" ht="13.5" customHeight="1">
      <c r="A1051" s="409" t="s">
        <v>18</v>
      </c>
      <c r="B1051" s="415"/>
      <c r="C1051" s="414" t="s">
        <v>560</v>
      </c>
      <c r="D1051" s="415" t="s">
        <v>217</v>
      </c>
      <c r="E1051" s="429">
        <v>3</v>
      </c>
      <c r="F1051" s="490">
        <f>F1044</f>
        <v>24</v>
      </c>
      <c r="G1051" s="425">
        <f>ROUND(E1051*F1051,2)</f>
        <v>72</v>
      </c>
      <c r="H1051" s="409"/>
      <c r="I1051" s="409"/>
      <c r="J1051" s="409"/>
      <c r="K1051" s="409"/>
      <c r="L1051" s="409"/>
    </row>
    <row r="1052" spans="1:12" ht="25">
      <c r="A1052" s="409" t="s">
        <v>18</v>
      </c>
      <c r="B1052" s="415"/>
      <c r="C1052" s="414" t="s">
        <v>561</v>
      </c>
      <c r="D1052" s="415" t="s">
        <v>217</v>
      </c>
      <c r="E1052" s="429">
        <v>3</v>
      </c>
      <c r="F1052" s="490">
        <f>F1045</f>
        <v>24</v>
      </c>
      <c r="G1052" s="425">
        <f>ROUND(E1052*F1052,2)</f>
        <v>72</v>
      </c>
      <c r="H1052" s="409"/>
      <c r="I1052" s="409"/>
      <c r="J1052" s="409"/>
      <c r="K1052" s="409"/>
      <c r="L1052" s="409"/>
    </row>
    <row r="1053" spans="1:12">
      <c r="A1053" s="409" t="s">
        <v>16</v>
      </c>
      <c r="B1053" s="415"/>
      <c r="C1053" s="414" t="s">
        <v>17</v>
      </c>
      <c r="D1053" s="415" t="s">
        <v>217</v>
      </c>
      <c r="E1053" s="429">
        <v>4</v>
      </c>
      <c r="F1053" s="490">
        <f>F1046</f>
        <v>32</v>
      </c>
      <c r="G1053" s="425">
        <f>ROUND(E1053*F1053,2)</f>
        <v>128</v>
      </c>
      <c r="H1053" s="409"/>
      <c r="I1053" s="409"/>
      <c r="J1053" s="409"/>
      <c r="K1053" s="409"/>
      <c r="L1053" s="409"/>
    </row>
    <row r="1054" spans="1:12">
      <c r="A1054" s="409" t="s">
        <v>19</v>
      </c>
      <c r="B1054" s="415"/>
      <c r="C1054" s="414" t="s">
        <v>410</v>
      </c>
      <c r="D1054" s="415" t="s">
        <v>217</v>
      </c>
      <c r="E1054" s="429">
        <v>9</v>
      </c>
      <c r="F1054" s="515">
        <f>F1047</f>
        <v>20</v>
      </c>
      <c r="G1054" s="425">
        <f>ROUND(E1054*F1054,2)</f>
        <v>180</v>
      </c>
      <c r="H1054" s="409"/>
      <c r="I1054" s="409"/>
      <c r="J1054" s="409"/>
      <c r="K1054" s="409"/>
      <c r="L1054" s="409"/>
    </row>
    <row r="1055" spans="1:12" ht="15.5">
      <c r="A1055" s="540"/>
      <c r="B1055" s="415"/>
      <c r="C1055" s="414"/>
      <c r="D1055" s="415"/>
      <c r="E1055" s="429"/>
      <c r="F1055" s="515"/>
      <c r="G1055" s="422">
        <f>SUM(G1050:G1054)</f>
        <v>467</v>
      </c>
      <c r="H1055" s="409"/>
      <c r="I1055" s="409"/>
      <c r="J1055" s="409"/>
      <c r="K1055" s="409"/>
      <c r="L1055" s="409"/>
    </row>
    <row r="1056" spans="1:12" ht="26.25" customHeight="1">
      <c r="A1056" s="409" t="s">
        <v>574</v>
      </c>
      <c r="B1056" s="409"/>
      <c r="C1056" s="546" t="s">
        <v>586</v>
      </c>
      <c r="D1056" s="414"/>
      <c r="E1056" s="547"/>
      <c r="F1056" s="515"/>
      <c r="G1056" s="517">
        <v>1570</v>
      </c>
      <c r="H1056" s="409"/>
      <c r="I1056" s="409"/>
      <c r="J1056" s="409"/>
      <c r="K1056" s="409"/>
      <c r="L1056" s="409"/>
    </row>
    <row r="1057" spans="1:12" ht="26.25" customHeight="1">
      <c r="A1057" s="409" t="s">
        <v>587</v>
      </c>
      <c r="B1057" s="409"/>
      <c r="C1057" s="546" t="s">
        <v>588</v>
      </c>
      <c r="D1057" s="414"/>
      <c r="E1057" s="547"/>
      <c r="F1057" s="515"/>
      <c r="G1057" s="517">
        <v>1515</v>
      </c>
      <c r="H1057" s="409"/>
      <c r="I1057" s="409"/>
      <c r="J1057" s="409"/>
      <c r="K1057" s="409"/>
      <c r="L1057" s="409"/>
    </row>
    <row r="1058" spans="1:12" ht="26.25" customHeight="1">
      <c r="A1058" s="409" t="s">
        <v>575</v>
      </c>
      <c r="B1058" s="409"/>
      <c r="C1058" s="546" t="s">
        <v>589</v>
      </c>
      <c r="D1058" s="414"/>
      <c r="E1058" s="547"/>
      <c r="F1058" s="515"/>
      <c r="G1058" s="517">
        <v>1452</v>
      </c>
      <c r="H1058" s="409"/>
      <c r="I1058" s="409"/>
      <c r="J1058" s="409"/>
      <c r="K1058" s="409"/>
      <c r="L1058" s="409"/>
    </row>
    <row r="1059" spans="1:12" ht="26.25" customHeight="1">
      <c r="A1059" s="409" t="s">
        <v>590</v>
      </c>
      <c r="B1059" s="415"/>
      <c r="C1059" s="546" t="s">
        <v>591</v>
      </c>
      <c r="D1059" s="414"/>
      <c r="E1059" s="547"/>
      <c r="F1059" s="515"/>
      <c r="G1059" s="517">
        <v>1401</v>
      </c>
      <c r="H1059" s="409"/>
      <c r="I1059" s="409"/>
      <c r="J1059" s="409"/>
      <c r="K1059" s="409"/>
      <c r="L1059" s="409"/>
    </row>
    <row r="1060" spans="1:12" hidden="1">
      <c r="A1060" s="540"/>
      <c r="B1060" s="415"/>
      <c r="C1060" s="414"/>
      <c r="D1060" s="414"/>
      <c r="E1060" s="513"/>
      <c r="F1060" s="414"/>
      <c r="G1060" s="409"/>
      <c r="H1060" s="409"/>
      <c r="I1060" s="409"/>
      <c r="J1060" s="409"/>
      <c r="K1060" s="409"/>
      <c r="L1060" s="409"/>
    </row>
    <row r="1061" spans="1:12" ht="17.5" hidden="1">
      <c r="A1061" s="540"/>
      <c r="B1061" s="415"/>
      <c r="C1061" s="548" t="s">
        <v>563</v>
      </c>
      <c r="D1061" s="415"/>
      <c r="E1061" s="466"/>
      <c r="F1061" s="415"/>
      <c r="G1061" s="517"/>
      <c r="H1061" s="409"/>
      <c r="I1061" s="409"/>
      <c r="J1061" s="409"/>
      <c r="K1061" s="409"/>
      <c r="L1061" s="409"/>
    </row>
    <row r="1062" spans="1:12" ht="27.75" hidden="1" customHeight="1">
      <c r="A1062" s="540"/>
      <c r="B1062" s="420">
        <v>14</v>
      </c>
      <c r="C1062" s="435" t="s">
        <v>411</v>
      </c>
      <c r="D1062" s="415"/>
      <c r="E1062" s="415"/>
      <c r="F1062" s="415"/>
      <c r="G1062" s="415"/>
      <c r="H1062" s="409"/>
      <c r="I1062" s="409"/>
      <c r="J1062" s="409"/>
      <c r="K1062" s="409"/>
      <c r="L1062" s="409"/>
    </row>
    <row r="1063" spans="1:12" hidden="1">
      <c r="A1063" s="414"/>
      <c r="B1063" s="414"/>
      <c r="C1063" s="414" t="s">
        <v>386</v>
      </c>
      <c r="D1063" s="414"/>
      <c r="E1063" s="414"/>
      <c r="F1063" s="414"/>
      <c r="G1063" s="414"/>
      <c r="H1063" s="409"/>
      <c r="I1063" s="409"/>
      <c r="J1063" s="409"/>
      <c r="K1063" s="409"/>
      <c r="L1063" s="409"/>
    </row>
    <row r="1064" spans="1:12" hidden="1">
      <c r="A1064" s="414"/>
      <c r="B1064" s="409"/>
      <c r="C1064" s="414" t="s">
        <v>387</v>
      </c>
      <c r="D1064" s="414"/>
      <c r="E1064" s="513"/>
      <c r="F1064" s="414"/>
      <c r="G1064" s="414"/>
      <c r="H1064" s="409"/>
      <c r="I1064" s="409"/>
      <c r="J1064" s="409"/>
      <c r="K1064" s="409"/>
      <c r="L1064" s="409"/>
    </row>
    <row r="1065" spans="1:12" hidden="1">
      <c r="A1065" s="414"/>
      <c r="B1065" s="414"/>
      <c r="C1065" s="414" t="s">
        <v>1064</v>
      </c>
      <c r="D1065" s="415" t="s">
        <v>117</v>
      </c>
      <c r="E1065" s="466">
        <v>0.115</v>
      </c>
      <c r="F1065" s="494">
        <v>52453.5</v>
      </c>
      <c r="G1065" s="425">
        <f>ROUND(E1065*F1065,2)</f>
        <v>6032.15</v>
      </c>
      <c r="H1065" s="409"/>
      <c r="I1065" s="409"/>
      <c r="J1065" s="409"/>
      <c r="K1065" s="409"/>
      <c r="L1065" s="409"/>
    </row>
    <row r="1066" spans="1:12" ht="25" hidden="1">
      <c r="A1066" s="414"/>
      <c r="B1066" s="414"/>
      <c r="C1066" s="414" t="s">
        <v>576</v>
      </c>
      <c r="D1066" s="415"/>
      <c r="E1066" s="425">
        <f>1.05*2.1</f>
        <v>2.2050000000000001</v>
      </c>
      <c r="F1066" s="494">
        <f>G1058</f>
        <v>1452</v>
      </c>
      <c r="G1066" s="425">
        <f>ROUND(E1066*F1066,2)</f>
        <v>3201.66</v>
      </c>
      <c r="H1066" s="409"/>
      <c r="I1066" s="409"/>
      <c r="J1066" s="409"/>
      <c r="K1066" s="409"/>
      <c r="L1066" s="409"/>
    </row>
    <row r="1067" spans="1:12" ht="25" hidden="1">
      <c r="A1067" s="414"/>
      <c r="B1067" s="414"/>
      <c r="C1067" s="414" t="s">
        <v>137</v>
      </c>
      <c r="D1067" s="415"/>
      <c r="E1067" s="466">
        <v>1</v>
      </c>
      <c r="F1067" s="494">
        <f>G1030</f>
        <v>784</v>
      </c>
      <c r="G1067" s="425">
        <f>F1067*E1067</f>
        <v>784</v>
      </c>
      <c r="H1067" s="409"/>
      <c r="I1067" s="409"/>
      <c r="J1067" s="409"/>
      <c r="K1067" s="409"/>
      <c r="L1067" s="409"/>
    </row>
    <row r="1068" spans="1:12" hidden="1">
      <c r="A1068" s="414"/>
      <c r="B1068" s="414"/>
      <c r="C1068" s="414" t="s">
        <v>138</v>
      </c>
      <c r="D1068" s="415"/>
      <c r="E1068" s="466"/>
      <c r="F1068" s="415"/>
      <c r="G1068" s="434">
        <f>SUM(G1065:G1067)</f>
        <v>10017.81</v>
      </c>
      <c r="H1068" s="409"/>
      <c r="I1068" s="409"/>
      <c r="J1068" s="409"/>
      <c r="K1068" s="409"/>
      <c r="L1068" s="409"/>
    </row>
    <row r="1069" spans="1:12" ht="14" hidden="1">
      <c r="A1069" s="414"/>
      <c r="B1069" s="414"/>
      <c r="C1069" s="414"/>
      <c r="D1069" s="415"/>
      <c r="E1069" s="415"/>
      <c r="F1069" s="420" t="s">
        <v>139</v>
      </c>
      <c r="G1069" s="549">
        <f>ROUND(G1068,0)</f>
        <v>10018</v>
      </c>
      <c r="H1069" s="409"/>
      <c r="I1069" s="409"/>
      <c r="J1069" s="409"/>
      <c r="K1069" s="409"/>
      <c r="L1069" s="409"/>
    </row>
    <row r="1070" spans="1:12" ht="25" hidden="1">
      <c r="A1070" s="414"/>
      <c r="B1070" s="409"/>
      <c r="C1070" s="435" t="s">
        <v>578</v>
      </c>
      <c r="D1070" s="415"/>
      <c r="E1070" s="415"/>
      <c r="F1070" s="420"/>
      <c r="G1070" s="422">
        <f>G1069*13.615/100</f>
        <v>1363.9507000000001</v>
      </c>
      <c r="H1070" s="409"/>
      <c r="I1070" s="409"/>
      <c r="J1070" s="409"/>
      <c r="K1070" s="409"/>
      <c r="L1070" s="409"/>
    </row>
    <row r="1071" spans="1:12" ht="15.5" hidden="1">
      <c r="A1071" s="414"/>
      <c r="B1071" s="409"/>
      <c r="C1071" s="409"/>
      <c r="D1071" s="415"/>
      <c r="E1071" s="415"/>
      <c r="F1071" s="420"/>
      <c r="G1071" s="422">
        <f>SUM(G1069:G1070)</f>
        <v>11381.950699999999</v>
      </c>
      <c r="H1071" s="409"/>
      <c r="I1071" s="409"/>
      <c r="J1071" s="409"/>
      <c r="K1071" s="409"/>
      <c r="L1071" s="409"/>
    </row>
    <row r="1072" spans="1:12" ht="15.5" hidden="1">
      <c r="A1072" s="414"/>
      <c r="B1072" s="409"/>
      <c r="C1072" s="409"/>
      <c r="D1072" s="415"/>
      <c r="E1072" s="415"/>
      <c r="F1072" s="420"/>
      <c r="G1072" s="422">
        <f>ROUND(G1071,0)</f>
        <v>11382</v>
      </c>
      <c r="H1072" s="409"/>
      <c r="I1072" s="409"/>
      <c r="J1072" s="409"/>
      <c r="K1072" s="409"/>
      <c r="L1072" s="409"/>
    </row>
    <row r="1073" spans="1:12" ht="25" hidden="1">
      <c r="A1073" s="414"/>
      <c r="B1073" s="414" t="s">
        <v>348</v>
      </c>
      <c r="C1073" s="414" t="s">
        <v>386</v>
      </c>
      <c r="D1073" s="415"/>
      <c r="E1073" s="415"/>
      <c r="F1073" s="415"/>
      <c r="G1073" s="415"/>
      <c r="H1073" s="409"/>
      <c r="I1073" s="409"/>
      <c r="J1073" s="409"/>
      <c r="K1073" s="409"/>
      <c r="L1073" s="409"/>
    </row>
    <row r="1074" spans="1:12" hidden="1">
      <c r="A1074" s="414"/>
      <c r="B1074" s="414"/>
      <c r="C1074" s="414" t="s">
        <v>388</v>
      </c>
      <c r="D1074" s="415"/>
      <c r="E1074" s="466"/>
      <c r="F1074" s="415"/>
      <c r="G1074" s="415"/>
      <c r="H1074" s="409"/>
      <c r="I1074" s="409"/>
      <c r="J1074" s="409"/>
      <c r="K1074" s="409"/>
      <c r="L1074" s="409"/>
    </row>
    <row r="1075" spans="1:12" hidden="1">
      <c r="A1075" s="414"/>
      <c r="B1075" s="414"/>
      <c r="C1075" s="414" t="s">
        <v>1064</v>
      </c>
      <c r="D1075" s="415" t="s">
        <v>117</v>
      </c>
      <c r="E1075" s="466">
        <v>0.10100000000000001</v>
      </c>
      <c r="F1075" s="494">
        <f>F1065</f>
        <v>52453.5</v>
      </c>
      <c r="G1075" s="425">
        <f>ROUND(E1075*F1075,2)</f>
        <v>5297.8</v>
      </c>
      <c r="H1075" s="409"/>
      <c r="I1075" s="409"/>
      <c r="J1075" s="409"/>
      <c r="K1075" s="409"/>
      <c r="L1075" s="409"/>
    </row>
    <row r="1076" spans="1:12" ht="25" hidden="1">
      <c r="A1076" s="414"/>
      <c r="B1076" s="414"/>
      <c r="C1076" s="414" t="s">
        <v>576</v>
      </c>
      <c r="D1076" s="415"/>
      <c r="E1076" s="425">
        <f>0.9*2.1</f>
        <v>1.8900000000000001</v>
      </c>
      <c r="F1076" s="494">
        <f>F1066</f>
        <v>1452</v>
      </c>
      <c r="G1076" s="425">
        <f>ROUND(E1076*F1076,2)</f>
        <v>2744.28</v>
      </c>
      <c r="H1076" s="409"/>
      <c r="I1076" s="409"/>
      <c r="J1076" s="409"/>
      <c r="K1076" s="409"/>
      <c r="L1076" s="409"/>
    </row>
    <row r="1077" spans="1:12" ht="25" hidden="1">
      <c r="A1077" s="414"/>
      <c r="B1077" s="414"/>
      <c r="C1077" s="414" t="s">
        <v>137</v>
      </c>
      <c r="D1077" s="415"/>
      <c r="E1077" s="466">
        <v>1</v>
      </c>
      <c r="F1077" s="494">
        <f>G1030</f>
        <v>784</v>
      </c>
      <c r="G1077" s="425">
        <f>F1077*E1077</f>
        <v>784</v>
      </c>
      <c r="H1077" s="409"/>
      <c r="I1077" s="409"/>
      <c r="J1077" s="409"/>
      <c r="K1077" s="409"/>
      <c r="L1077" s="409"/>
    </row>
    <row r="1078" spans="1:12" hidden="1">
      <c r="A1078" s="414"/>
      <c r="B1078" s="414"/>
      <c r="C1078" s="414" t="s">
        <v>138</v>
      </c>
      <c r="D1078" s="415"/>
      <c r="E1078" s="466"/>
      <c r="F1078" s="415"/>
      <c r="G1078" s="434">
        <f>SUM(G1075:G1077)</f>
        <v>8826.08</v>
      </c>
      <c r="H1078" s="409"/>
      <c r="I1078" s="409"/>
      <c r="J1078" s="409"/>
      <c r="K1078" s="409"/>
      <c r="L1078" s="409"/>
    </row>
    <row r="1079" spans="1:12" ht="14" hidden="1">
      <c r="A1079" s="414"/>
      <c r="B1079" s="409"/>
      <c r="C1079" s="409"/>
      <c r="D1079" s="415"/>
      <c r="E1079" s="415"/>
      <c r="F1079" s="420" t="s">
        <v>139</v>
      </c>
      <c r="G1079" s="549">
        <f>ROUND(G1078,0)</f>
        <v>8826</v>
      </c>
      <c r="H1079" s="409"/>
      <c r="I1079" s="409"/>
      <c r="J1079" s="409"/>
      <c r="K1079" s="409"/>
      <c r="L1079" s="409"/>
    </row>
    <row r="1080" spans="1:12" ht="25" hidden="1">
      <c r="A1080" s="414"/>
      <c r="B1080" s="409"/>
      <c r="C1080" s="435" t="s">
        <v>578</v>
      </c>
      <c r="D1080" s="415"/>
      <c r="E1080" s="415"/>
      <c r="F1080" s="420"/>
      <c r="G1080" s="422">
        <f>G1079*13.615/100</f>
        <v>1201.6599000000001</v>
      </c>
      <c r="H1080" s="409"/>
      <c r="I1080" s="409"/>
      <c r="J1080" s="409"/>
      <c r="K1080" s="409"/>
      <c r="L1080" s="409"/>
    </row>
    <row r="1081" spans="1:12" ht="15.5" hidden="1">
      <c r="A1081" s="414"/>
      <c r="B1081" s="409"/>
      <c r="C1081" s="409"/>
      <c r="D1081" s="415"/>
      <c r="E1081" s="415"/>
      <c r="F1081" s="420"/>
      <c r="G1081" s="422">
        <f>SUM(G1079:G1080)</f>
        <v>10027.659900000001</v>
      </c>
      <c r="H1081" s="409"/>
      <c r="I1081" s="409"/>
      <c r="J1081" s="409"/>
      <c r="K1081" s="409"/>
      <c r="L1081" s="409"/>
    </row>
    <row r="1082" spans="1:12" ht="15.5" hidden="1">
      <c r="A1082" s="414"/>
      <c r="B1082" s="409"/>
      <c r="C1082" s="409"/>
      <c r="D1082" s="415"/>
      <c r="E1082" s="415"/>
      <c r="F1082" s="420"/>
      <c r="G1082" s="422">
        <f>ROUND(G1081,0)</f>
        <v>10028</v>
      </c>
      <c r="H1082" s="409"/>
      <c r="I1082" s="409"/>
      <c r="J1082" s="409"/>
      <c r="K1082" s="409"/>
      <c r="L1082" s="409"/>
    </row>
    <row r="1083" spans="1:12" ht="25" hidden="1">
      <c r="A1083" s="414"/>
      <c r="B1083" s="414" t="s">
        <v>348</v>
      </c>
      <c r="C1083" s="414" t="s">
        <v>412</v>
      </c>
      <c r="D1083" s="415"/>
      <c r="E1083" s="415"/>
      <c r="F1083" s="420"/>
      <c r="G1083" s="549"/>
      <c r="H1083" s="409"/>
      <c r="I1083" s="409"/>
      <c r="J1083" s="409"/>
      <c r="K1083" s="409"/>
      <c r="L1083" s="409"/>
    </row>
    <row r="1084" spans="1:12" hidden="1">
      <c r="A1084" s="414"/>
      <c r="B1084" s="414"/>
      <c r="C1084" s="414" t="s">
        <v>391</v>
      </c>
      <c r="D1084" s="415"/>
      <c r="E1084" s="466"/>
      <c r="F1084" s="415"/>
      <c r="G1084" s="415"/>
      <c r="H1084" s="409"/>
      <c r="I1084" s="409"/>
      <c r="J1084" s="409"/>
      <c r="K1084" s="409"/>
      <c r="L1084" s="409"/>
    </row>
    <row r="1085" spans="1:12" hidden="1">
      <c r="A1085" s="414"/>
      <c r="B1085" s="414"/>
      <c r="C1085" s="414" t="s">
        <v>1064</v>
      </c>
      <c r="D1085" s="415" t="s">
        <v>117</v>
      </c>
      <c r="E1085" s="466">
        <v>8.2000000000000003E-2</v>
      </c>
      <c r="F1085" s="494">
        <f>F1075</f>
        <v>52453.5</v>
      </c>
      <c r="G1085" s="425">
        <f>ROUND(E1085*F1085,2)</f>
        <v>4301.1899999999996</v>
      </c>
      <c r="H1085" s="409"/>
      <c r="I1085" s="409"/>
      <c r="J1085" s="409"/>
      <c r="K1085" s="409"/>
      <c r="L1085" s="409"/>
    </row>
    <row r="1086" spans="1:12" ht="25" hidden="1">
      <c r="A1086" s="414"/>
      <c r="B1086" s="414"/>
      <c r="C1086" s="414" t="s">
        <v>576</v>
      </c>
      <c r="D1086" s="415"/>
      <c r="E1086" s="425">
        <f>0.75*2.1</f>
        <v>1.5750000000000002</v>
      </c>
      <c r="F1086" s="494">
        <f>F1076</f>
        <v>1452</v>
      </c>
      <c r="G1086" s="425">
        <f>ROUND(E1086*F1086,2)</f>
        <v>2286.9</v>
      </c>
      <c r="H1086" s="409"/>
      <c r="I1086" s="409"/>
      <c r="J1086" s="409"/>
      <c r="K1086" s="409"/>
      <c r="L1086" s="409"/>
    </row>
    <row r="1087" spans="1:12" ht="25" hidden="1">
      <c r="A1087" s="414"/>
      <c r="B1087" s="414"/>
      <c r="C1087" s="414" t="s">
        <v>137</v>
      </c>
      <c r="D1087" s="415"/>
      <c r="E1087" s="466">
        <v>1</v>
      </c>
      <c r="F1087" s="494">
        <f>G1040</f>
        <v>563</v>
      </c>
      <c r="G1087" s="425">
        <f>F1087*E1087</f>
        <v>563</v>
      </c>
      <c r="H1087" s="409"/>
      <c r="I1087" s="409"/>
      <c r="J1087" s="409"/>
      <c r="K1087" s="409"/>
      <c r="L1087" s="409"/>
    </row>
    <row r="1088" spans="1:12" hidden="1">
      <c r="A1088" s="414"/>
      <c r="B1088" s="414"/>
      <c r="C1088" s="414" t="s">
        <v>138</v>
      </c>
      <c r="D1088" s="415"/>
      <c r="E1088" s="466"/>
      <c r="F1088" s="415"/>
      <c r="G1088" s="434">
        <f>SUM(G1085:G1087)</f>
        <v>7151.09</v>
      </c>
      <c r="H1088" s="409"/>
      <c r="I1088" s="409"/>
      <c r="J1088" s="409"/>
      <c r="K1088" s="409"/>
      <c r="L1088" s="409"/>
    </row>
    <row r="1089" spans="1:12" ht="14" hidden="1">
      <c r="A1089" s="435"/>
      <c r="B1089" s="435"/>
      <c r="C1089" s="435" t="s">
        <v>415</v>
      </c>
      <c r="D1089" s="415"/>
      <c r="E1089" s="415"/>
      <c r="F1089" s="420" t="s">
        <v>139</v>
      </c>
      <c r="G1089" s="549">
        <f>ROUND(G1088,0)</f>
        <v>7151</v>
      </c>
      <c r="H1089" s="409"/>
      <c r="I1089" s="409"/>
      <c r="J1089" s="409"/>
      <c r="K1089" s="409"/>
      <c r="L1089" s="409"/>
    </row>
    <row r="1090" spans="1:12" ht="25" hidden="1">
      <c r="A1090" s="435"/>
      <c r="B1090" s="435"/>
      <c r="C1090" s="435" t="s">
        <v>578</v>
      </c>
      <c r="D1090" s="415"/>
      <c r="E1090" s="415"/>
      <c r="F1090" s="420"/>
      <c r="G1090" s="422">
        <f>G1089*13.615/100</f>
        <v>973.60865000000001</v>
      </c>
      <c r="H1090" s="409"/>
      <c r="I1090" s="409"/>
      <c r="J1090" s="409"/>
      <c r="K1090" s="409"/>
      <c r="L1090" s="409"/>
    </row>
    <row r="1091" spans="1:12" ht="15.5" hidden="1">
      <c r="A1091" s="435"/>
      <c r="B1091" s="435"/>
      <c r="C1091" s="435"/>
      <c r="D1091" s="415"/>
      <c r="E1091" s="415"/>
      <c r="F1091" s="420"/>
      <c r="G1091" s="422">
        <f>SUM(G1089:G1090)</f>
        <v>8124.6086500000001</v>
      </c>
      <c r="H1091" s="409"/>
      <c r="I1091" s="409"/>
      <c r="J1091" s="409"/>
      <c r="K1091" s="409"/>
      <c r="L1091" s="409"/>
    </row>
    <row r="1092" spans="1:12" ht="13.5" hidden="1" customHeight="1">
      <c r="A1092" s="435"/>
      <c r="B1092" s="435" t="s">
        <v>349</v>
      </c>
      <c r="C1092" s="435" t="s">
        <v>386</v>
      </c>
      <c r="D1092" s="415"/>
      <c r="E1092" s="415"/>
      <c r="F1092" s="420"/>
      <c r="G1092" s="422">
        <f>ROUND(G1091,0)</f>
        <v>8125</v>
      </c>
      <c r="H1092" s="409"/>
      <c r="I1092" s="409"/>
      <c r="J1092" s="409"/>
      <c r="K1092" s="409"/>
      <c r="L1092" s="409"/>
    </row>
    <row r="1093" spans="1:12" hidden="1">
      <c r="A1093" s="414"/>
      <c r="B1093" s="414"/>
      <c r="C1093" s="414" t="s">
        <v>392</v>
      </c>
      <c r="D1093" s="415"/>
      <c r="E1093" s="466"/>
      <c r="F1093" s="415"/>
      <c r="G1093" s="415"/>
      <c r="H1093" s="409"/>
      <c r="I1093" s="409"/>
      <c r="J1093" s="409"/>
      <c r="K1093" s="409"/>
      <c r="L1093" s="409"/>
    </row>
    <row r="1094" spans="1:12" hidden="1">
      <c r="A1094" s="414"/>
      <c r="B1094" s="414"/>
      <c r="C1094" s="414" t="s">
        <v>1064</v>
      </c>
      <c r="D1094" s="415" t="s">
        <v>117</v>
      </c>
      <c r="E1094" s="466">
        <v>9.2999999999999999E-2</v>
      </c>
      <c r="F1094" s="494">
        <f>F1085</f>
        <v>52453.5</v>
      </c>
      <c r="G1094" s="425">
        <f>ROUND(E1094*F1094,2)</f>
        <v>4878.18</v>
      </c>
      <c r="H1094" s="409"/>
      <c r="I1094" s="409"/>
      <c r="J1094" s="409"/>
      <c r="K1094" s="409"/>
      <c r="L1094" s="409"/>
    </row>
    <row r="1095" spans="1:12" hidden="1">
      <c r="A1095" s="414"/>
      <c r="B1095" s="414"/>
      <c r="C1095" s="414" t="s">
        <v>350</v>
      </c>
      <c r="D1095" s="415" t="s">
        <v>182</v>
      </c>
      <c r="E1095" s="466">
        <v>20</v>
      </c>
      <c r="F1095" s="494">
        <f>H1003</f>
        <v>58.31</v>
      </c>
      <c r="G1095" s="425">
        <f>E1095*F1095</f>
        <v>1166.2</v>
      </c>
      <c r="H1095" s="409"/>
      <c r="I1095" s="409"/>
      <c r="J1095" s="409"/>
      <c r="K1095" s="409"/>
      <c r="L1095" s="409"/>
    </row>
    <row r="1096" spans="1:12" ht="25" hidden="1">
      <c r="A1096" s="414"/>
      <c r="B1096" s="414"/>
      <c r="C1096" s="414" t="s">
        <v>576</v>
      </c>
      <c r="D1096" s="415"/>
      <c r="E1096" s="425">
        <f>1.22*1.35</f>
        <v>1.647</v>
      </c>
      <c r="F1096" s="494">
        <f>G1059</f>
        <v>1401</v>
      </c>
      <c r="G1096" s="425">
        <f>ROUND(E1096*F1096,2)</f>
        <v>2307.4499999999998</v>
      </c>
      <c r="H1096" s="409"/>
      <c r="I1096" s="409"/>
      <c r="J1096" s="409"/>
      <c r="K1096" s="409"/>
      <c r="L1096" s="409"/>
    </row>
    <row r="1097" spans="1:12" ht="25" hidden="1">
      <c r="A1097" s="414"/>
      <c r="B1097" s="414"/>
      <c r="C1097" s="414" t="s">
        <v>137</v>
      </c>
      <c r="D1097" s="415"/>
      <c r="E1097" s="466">
        <v>1</v>
      </c>
      <c r="F1097" s="494">
        <f>G1055</f>
        <v>467</v>
      </c>
      <c r="G1097" s="425">
        <f>F1097*E1097</f>
        <v>467</v>
      </c>
      <c r="H1097" s="409"/>
      <c r="I1097" s="409"/>
      <c r="J1097" s="409"/>
      <c r="K1097" s="409"/>
      <c r="L1097" s="409"/>
    </row>
    <row r="1098" spans="1:12" hidden="1">
      <c r="A1098" s="414"/>
      <c r="B1098" s="414"/>
      <c r="C1098" s="414" t="s">
        <v>418</v>
      </c>
      <c r="D1098" s="415"/>
      <c r="E1098" s="466"/>
      <c r="F1098" s="415"/>
      <c r="G1098" s="434">
        <f>SUM(G1094:G1097)</f>
        <v>8818.83</v>
      </c>
      <c r="H1098" s="409"/>
      <c r="I1098" s="409"/>
      <c r="J1098" s="409"/>
      <c r="K1098" s="409"/>
      <c r="L1098" s="409"/>
    </row>
    <row r="1099" spans="1:12" s="496" customFormat="1" ht="14" hidden="1">
      <c r="A1099" s="411"/>
      <c r="B1099" s="411"/>
      <c r="C1099" s="435"/>
      <c r="D1099" s="420"/>
      <c r="E1099" s="420"/>
      <c r="F1099" s="420" t="s">
        <v>139</v>
      </c>
      <c r="G1099" s="549">
        <f>ROUND(G1098,0)</f>
        <v>8819</v>
      </c>
      <c r="H1099" s="435"/>
      <c r="I1099" s="435"/>
      <c r="J1099" s="435"/>
      <c r="K1099" s="435"/>
      <c r="L1099" s="435"/>
    </row>
    <row r="1100" spans="1:12" ht="25" hidden="1">
      <c r="A1100" s="409"/>
      <c r="B1100" s="428"/>
      <c r="C1100" s="435" t="s">
        <v>578</v>
      </c>
      <c r="D1100" s="428"/>
      <c r="E1100" s="428"/>
      <c r="F1100" s="428"/>
      <c r="G1100" s="422">
        <f>G1099*13.615/100</f>
        <v>1200.70685</v>
      </c>
      <c r="H1100" s="409"/>
      <c r="I1100" s="409"/>
      <c r="J1100" s="409"/>
      <c r="K1100" s="409"/>
      <c r="L1100" s="409"/>
    </row>
    <row r="1101" spans="1:12" ht="15.5" hidden="1">
      <c r="A1101" s="409"/>
      <c r="B1101" s="428"/>
      <c r="C1101" s="409"/>
      <c r="D1101" s="428"/>
      <c r="E1101" s="428"/>
      <c r="F1101" s="428"/>
      <c r="G1101" s="422">
        <f>SUM(G1099:G1100)</f>
        <v>10019.70685</v>
      </c>
      <c r="H1101" s="409"/>
      <c r="I1101" s="409"/>
      <c r="J1101" s="409"/>
      <c r="K1101" s="409"/>
      <c r="L1101" s="409"/>
    </row>
    <row r="1102" spans="1:12" ht="15.5" hidden="1">
      <c r="A1102" s="409"/>
      <c r="B1102" s="428"/>
      <c r="C1102" s="409"/>
      <c r="D1102" s="428"/>
      <c r="E1102" s="428"/>
      <c r="F1102" s="428"/>
      <c r="G1102" s="422">
        <f>ROUND(G1101,0)</f>
        <v>10020</v>
      </c>
      <c r="H1102" s="409"/>
      <c r="I1102" s="409"/>
      <c r="J1102" s="409"/>
      <c r="K1102" s="409"/>
      <c r="L1102" s="409"/>
    </row>
    <row r="1103" spans="1:12" ht="15.5">
      <c r="A1103" s="540"/>
      <c r="B1103" s="415"/>
      <c r="C1103" s="550" t="s">
        <v>393</v>
      </c>
      <c r="D1103" s="415"/>
      <c r="E1103" s="466"/>
      <c r="F1103" s="415"/>
      <c r="G1103" s="517"/>
      <c r="H1103" s="409"/>
      <c r="I1103" s="409"/>
      <c r="J1103" s="409"/>
      <c r="K1103" s="409"/>
      <c r="L1103" s="409"/>
    </row>
    <row r="1104" spans="1:12" ht="27.75" hidden="1" customHeight="1">
      <c r="A1104" s="540" t="s">
        <v>451</v>
      </c>
      <c r="B1104" s="420">
        <v>14</v>
      </c>
      <c r="C1104" s="435" t="s">
        <v>411</v>
      </c>
      <c r="D1104" s="415"/>
      <c r="E1104" s="415"/>
      <c r="F1104" s="415"/>
      <c r="G1104" s="415"/>
      <c r="H1104" s="409"/>
      <c r="I1104" s="409"/>
      <c r="J1104" s="409"/>
      <c r="K1104" s="409"/>
      <c r="L1104" s="409"/>
    </row>
    <row r="1105" spans="1:12" hidden="1">
      <c r="A1105" s="414"/>
      <c r="B1105" s="415"/>
      <c r="C1105" s="414" t="s">
        <v>386</v>
      </c>
      <c r="D1105" s="415"/>
      <c r="E1105" s="415"/>
      <c r="F1105" s="415"/>
      <c r="G1105" s="415"/>
      <c r="H1105" s="409"/>
      <c r="I1105" s="409"/>
      <c r="J1105" s="409"/>
      <c r="K1105" s="409"/>
      <c r="L1105" s="409"/>
    </row>
    <row r="1106" spans="1:12" hidden="1">
      <c r="A1106" s="414"/>
      <c r="B1106" s="415"/>
      <c r="C1106" s="414" t="s">
        <v>452</v>
      </c>
      <c r="D1106" s="415"/>
      <c r="E1106" s="466"/>
      <c r="F1106" s="415"/>
      <c r="G1106" s="415"/>
      <c r="H1106" s="409"/>
      <c r="I1106" s="409"/>
      <c r="J1106" s="409"/>
      <c r="K1106" s="409"/>
      <c r="L1106" s="409"/>
    </row>
    <row r="1107" spans="1:12" ht="25" hidden="1">
      <c r="A1107" s="414"/>
      <c r="B1107" s="415"/>
      <c r="C1107" s="414" t="s">
        <v>1065</v>
      </c>
      <c r="D1107" s="415" t="s">
        <v>117</v>
      </c>
      <c r="E1107" s="466">
        <v>0.114</v>
      </c>
      <c r="F1107" s="494">
        <v>106793</v>
      </c>
      <c r="G1107" s="425">
        <f>ROUND(E1107*F1107,2)</f>
        <v>12174.4</v>
      </c>
      <c r="H1107" s="409"/>
      <c r="I1107" s="409"/>
      <c r="J1107" s="409"/>
      <c r="K1107" s="409"/>
      <c r="L1107" s="409"/>
    </row>
    <row r="1108" spans="1:12" ht="25" hidden="1">
      <c r="A1108" s="414"/>
      <c r="B1108" s="415"/>
      <c r="C1108" s="414" t="s">
        <v>576</v>
      </c>
      <c r="D1108" s="415"/>
      <c r="E1108" s="425">
        <f>1.1*2</f>
        <v>2.2000000000000002</v>
      </c>
      <c r="F1108" s="494">
        <f>G1056</f>
        <v>1570</v>
      </c>
      <c r="G1108" s="425">
        <f>ROUND(E1108*F1108,2)</f>
        <v>3454</v>
      </c>
      <c r="H1108" s="409"/>
      <c r="I1108" s="409"/>
      <c r="J1108" s="409"/>
      <c r="K1108" s="409"/>
      <c r="L1108" s="409"/>
    </row>
    <row r="1109" spans="1:12" ht="25" hidden="1">
      <c r="A1109" s="414"/>
      <c r="B1109" s="415"/>
      <c r="C1109" s="414" t="s">
        <v>137</v>
      </c>
      <c r="D1109" s="415"/>
      <c r="E1109" s="466">
        <v>1</v>
      </c>
      <c r="F1109" s="494">
        <f>G1030</f>
        <v>784</v>
      </c>
      <c r="G1109" s="425">
        <f>ROUND(E1109*F1109,2)</f>
        <v>784</v>
      </c>
      <c r="H1109" s="409"/>
      <c r="I1109" s="409"/>
      <c r="J1109" s="409"/>
      <c r="K1109" s="409"/>
      <c r="L1109" s="409"/>
    </row>
    <row r="1110" spans="1:12" ht="15.5" hidden="1">
      <c r="A1110" s="414"/>
      <c r="B1110" s="415"/>
      <c r="C1110" s="414" t="s">
        <v>138</v>
      </c>
      <c r="D1110" s="415"/>
      <c r="E1110" s="466"/>
      <c r="F1110" s="415"/>
      <c r="G1110" s="517">
        <f>SUM(G1107:G1109)</f>
        <v>16412.400000000001</v>
      </c>
      <c r="H1110" s="409"/>
      <c r="I1110" s="409"/>
      <c r="J1110" s="409"/>
      <c r="K1110" s="409"/>
      <c r="L1110" s="409"/>
    </row>
    <row r="1111" spans="1:12" ht="25" hidden="1">
      <c r="A1111" s="409"/>
      <c r="B1111" s="428"/>
      <c r="C1111" s="435" t="s">
        <v>578</v>
      </c>
      <c r="D1111" s="428"/>
      <c r="E1111" s="428"/>
      <c r="F1111" s="428"/>
      <c r="G1111" s="422">
        <f>G1110*13.615/100</f>
        <v>2234.5482600000005</v>
      </c>
      <c r="H1111" s="409"/>
      <c r="I1111" s="409"/>
      <c r="J1111" s="409"/>
      <c r="K1111" s="409"/>
      <c r="L1111" s="409"/>
    </row>
    <row r="1112" spans="1:12" ht="15.5" hidden="1">
      <c r="A1112" s="409"/>
      <c r="B1112" s="428"/>
      <c r="C1112" s="409"/>
      <c r="D1112" s="428"/>
      <c r="E1112" s="428"/>
      <c r="F1112" s="428"/>
      <c r="G1112" s="422">
        <f>SUM(G1110:G1111)</f>
        <v>18646.948260000001</v>
      </c>
      <c r="H1112" s="409"/>
      <c r="I1112" s="409"/>
      <c r="J1112" s="409"/>
      <c r="K1112" s="409"/>
      <c r="L1112" s="409"/>
    </row>
    <row r="1113" spans="1:12" ht="26" hidden="1">
      <c r="A1113" s="409"/>
      <c r="B1113" s="428"/>
      <c r="C1113" s="414" t="s">
        <v>414</v>
      </c>
      <c r="D1113" s="428"/>
      <c r="E1113" s="428"/>
      <c r="F1113" s="428"/>
      <c r="G1113" s="422">
        <f>ROUND(G1112,0)</f>
        <v>18647</v>
      </c>
      <c r="H1113" s="409"/>
      <c r="I1113" s="409"/>
      <c r="J1113" s="409"/>
      <c r="K1113" s="409"/>
      <c r="L1113" s="409"/>
    </row>
    <row r="1114" spans="1:12" ht="20.5" hidden="1" customHeight="1">
      <c r="A1114" s="414"/>
      <c r="B1114" s="415"/>
      <c r="C1114" s="415"/>
      <c r="D1114" s="415"/>
      <c r="E1114" s="415"/>
      <c r="F1114" s="415"/>
      <c r="G1114" s="541"/>
      <c r="H1114" s="409"/>
      <c r="I1114" s="409"/>
      <c r="J1114" s="409"/>
      <c r="K1114" s="409"/>
      <c r="L1114" s="409"/>
    </row>
    <row r="1115" spans="1:12">
      <c r="A1115" s="414"/>
      <c r="B1115" s="415"/>
      <c r="C1115" s="414" t="s">
        <v>386</v>
      </c>
      <c r="D1115" s="415"/>
      <c r="E1115" s="415"/>
      <c r="F1115" s="415"/>
      <c r="G1115" s="415"/>
      <c r="H1115" s="409"/>
      <c r="I1115" s="409"/>
      <c r="J1115" s="409"/>
      <c r="K1115" s="409"/>
      <c r="L1115" s="409"/>
    </row>
    <row r="1116" spans="1:12">
      <c r="A1116" s="414"/>
      <c r="B1116" s="415"/>
      <c r="C1116" s="414" t="s">
        <v>413</v>
      </c>
      <c r="D1116" s="415"/>
      <c r="E1116" s="466"/>
      <c r="F1116" s="415"/>
      <c r="G1116" s="415"/>
      <c r="H1116" s="409"/>
      <c r="I1116" s="409"/>
      <c r="J1116" s="409"/>
      <c r="K1116" s="409"/>
      <c r="L1116" s="409"/>
    </row>
    <row r="1117" spans="1:12" ht="25">
      <c r="A1117" s="414"/>
      <c r="B1117" s="415"/>
      <c r="C1117" s="414" t="s">
        <v>1065</v>
      </c>
      <c r="D1117" s="415" t="s">
        <v>117</v>
      </c>
      <c r="E1117" s="466">
        <v>0.13100000000000001</v>
      </c>
      <c r="F1117" s="494">
        <v>110748.5</v>
      </c>
      <c r="G1117" s="425">
        <f>ROUND(E1117*F1117,2)</f>
        <v>14508.05</v>
      </c>
      <c r="H1117" s="409"/>
      <c r="I1117" s="409"/>
      <c r="J1117" s="409"/>
      <c r="K1117" s="409"/>
      <c r="L1117" s="409"/>
    </row>
    <row r="1118" spans="1:12" ht="25">
      <c r="A1118" s="414"/>
      <c r="B1118" s="415"/>
      <c r="C1118" s="414" t="s">
        <v>576</v>
      </c>
      <c r="D1118" s="415"/>
      <c r="E1118" s="425">
        <f>1.2*2.1</f>
        <v>2.52</v>
      </c>
      <c r="F1118" s="494">
        <f>F1108</f>
        <v>1570</v>
      </c>
      <c r="G1118" s="425">
        <f>ROUND(E1118*F1118,2)</f>
        <v>3956.4</v>
      </c>
      <c r="H1118" s="409"/>
      <c r="I1118" s="409"/>
      <c r="J1118" s="409"/>
      <c r="K1118" s="409"/>
      <c r="L1118" s="409"/>
    </row>
    <row r="1119" spans="1:12" ht="25">
      <c r="A1119" s="414"/>
      <c r="B1119" s="415"/>
      <c r="C1119" s="414" t="s">
        <v>137</v>
      </c>
      <c r="D1119" s="415"/>
      <c r="E1119" s="466"/>
      <c r="F1119" s="494">
        <f>F1109</f>
        <v>784</v>
      </c>
      <c r="G1119" s="425">
        <f>F1119</f>
        <v>784</v>
      </c>
      <c r="H1119" s="409"/>
      <c r="I1119" s="409"/>
      <c r="J1119" s="409"/>
      <c r="K1119" s="409"/>
      <c r="L1119" s="409"/>
    </row>
    <row r="1120" spans="1:12" ht="15.5">
      <c r="A1120" s="414"/>
      <c r="B1120" s="415"/>
      <c r="C1120" s="414" t="s">
        <v>138</v>
      </c>
      <c r="D1120" s="415"/>
      <c r="E1120" s="466"/>
      <c r="F1120" s="415"/>
      <c r="G1120" s="517">
        <f>SUM(G1117:G1119)</f>
        <v>19248.45</v>
      </c>
      <c r="H1120" s="409"/>
      <c r="I1120" s="409"/>
      <c r="J1120" s="409"/>
      <c r="K1120" s="409"/>
      <c r="L1120" s="409"/>
    </row>
    <row r="1121" spans="1:12" ht="25">
      <c r="A1121" s="409"/>
      <c r="B1121" s="428"/>
      <c r="C1121" s="435" t="s">
        <v>578</v>
      </c>
      <c r="D1121" s="428"/>
      <c r="E1121" s="428"/>
      <c r="F1121" s="428"/>
      <c r="G1121" s="422">
        <f>G1120*13.615/100</f>
        <v>2620.6764674999999</v>
      </c>
      <c r="H1121" s="409"/>
      <c r="I1121" s="409"/>
      <c r="J1121" s="409"/>
      <c r="K1121" s="409"/>
      <c r="L1121" s="409"/>
    </row>
    <row r="1122" spans="1:12" ht="15.5">
      <c r="A1122" s="409"/>
      <c r="B1122" s="428"/>
      <c r="C1122" s="409"/>
      <c r="D1122" s="428"/>
      <c r="E1122" s="428"/>
      <c r="F1122" s="428"/>
      <c r="G1122" s="422">
        <f>SUM(G1120:G1121)</f>
        <v>21869.126467500002</v>
      </c>
      <c r="H1122" s="409"/>
      <c r="I1122" s="409"/>
      <c r="J1122" s="409"/>
      <c r="K1122" s="409"/>
      <c r="L1122" s="409"/>
    </row>
    <row r="1123" spans="1:12" ht="26">
      <c r="A1123" s="409"/>
      <c r="B1123" s="428"/>
      <c r="C1123" s="414" t="s">
        <v>414</v>
      </c>
      <c r="D1123" s="428"/>
      <c r="E1123" s="428"/>
      <c r="F1123" s="428"/>
      <c r="G1123" s="422">
        <f>ROUND(G1122,0)</f>
        <v>21869</v>
      </c>
      <c r="H1123" s="409"/>
      <c r="I1123" s="409"/>
      <c r="J1123" s="409"/>
      <c r="K1123" s="409"/>
      <c r="L1123" s="409"/>
    </row>
    <row r="1124" spans="1:12">
      <c r="A1124" s="414"/>
      <c r="B1124" s="415"/>
      <c r="C1124" s="414" t="s">
        <v>386</v>
      </c>
      <c r="D1124" s="415"/>
      <c r="E1124" s="415"/>
      <c r="F1124" s="415"/>
      <c r="G1124" s="415"/>
      <c r="H1124" s="409"/>
      <c r="I1124" s="409"/>
      <c r="J1124" s="409"/>
      <c r="K1124" s="409"/>
      <c r="L1124" s="409"/>
    </row>
    <row r="1125" spans="1:12">
      <c r="A1125" s="414"/>
      <c r="B1125" s="415"/>
      <c r="C1125" s="414" t="s">
        <v>391</v>
      </c>
      <c r="D1125" s="415"/>
      <c r="E1125" s="466"/>
      <c r="F1125" s="415"/>
      <c r="G1125" s="415"/>
      <c r="H1125" s="409"/>
      <c r="I1125" s="409"/>
      <c r="J1125" s="409"/>
      <c r="K1125" s="409"/>
      <c r="L1125" s="409"/>
    </row>
    <row r="1126" spans="1:12" ht="25">
      <c r="A1126" s="414"/>
      <c r="B1126" s="415"/>
      <c r="C1126" s="414" t="s">
        <v>1065</v>
      </c>
      <c r="D1126" s="415" t="s">
        <v>117</v>
      </c>
      <c r="E1126" s="466">
        <v>0.13100000000000001</v>
      </c>
      <c r="F1126" s="494">
        <v>0</v>
      </c>
      <c r="G1126" s="425">
        <f>ROUND(E1126*F1126,2)</f>
        <v>0</v>
      </c>
      <c r="H1126" s="409"/>
      <c r="I1126" s="409"/>
      <c r="J1126" s="409"/>
      <c r="K1126" s="409"/>
      <c r="L1126" s="409"/>
    </row>
    <row r="1127" spans="1:12" ht="25">
      <c r="A1127" s="414"/>
      <c r="B1127" s="415"/>
      <c r="C1127" s="414" t="s">
        <v>576</v>
      </c>
      <c r="D1127" s="415"/>
      <c r="E1127" s="425">
        <f>0.75*2.1</f>
        <v>1.5750000000000002</v>
      </c>
      <c r="F1127" s="494">
        <f>F1117</f>
        <v>110748.5</v>
      </c>
      <c r="G1127" s="425">
        <f>ROUND(E1127*F1127,2)</f>
        <v>174428.89</v>
      </c>
      <c r="H1127" s="409"/>
      <c r="I1127" s="409"/>
      <c r="J1127" s="409"/>
      <c r="K1127" s="409"/>
      <c r="L1127" s="409"/>
    </row>
    <row r="1128" spans="1:12" ht="25">
      <c r="A1128" s="414"/>
      <c r="B1128" s="415"/>
      <c r="C1128" s="414" t="s">
        <v>137</v>
      </c>
      <c r="D1128" s="415"/>
      <c r="E1128" s="466"/>
      <c r="F1128" s="494">
        <f>F1118</f>
        <v>1570</v>
      </c>
      <c r="G1128" s="425">
        <f>F1128</f>
        <v>1570</v>
      </c>
      <c r="H1128" s="409"/>
      <c r="I1128" s="409"/>
      <c r="J1128" s="409"/>
      <c r="K1128" s="409"/>
      <c r="L1128" s="409"/>
    </row>
    <row r="1129" spans="1:12" ht="15.5">
      <c r="A1129" s="414"/>
      <c r="B1129" s="415"/>
      <c r="C1129" s="414" t="s">
        <v>138</v>
      </c>
      <c r="D1129" s="415"/>
      <c r="E1129" s="466"/>
      <c r="F1129" s="415"/>
      <c r="G1129" s="517">
        <f>SUM(G1126:G1128)</f>
        <v>175998.89</v>
      </c>
      <c r="H1129" s="409"/>
      <c r="I1129" s="409"/>
      <c r="J1129" s="409"/>
      <c r="K1129" s="409"/>
      <c r="L1129" s="409"/>
    </row>
    <row r="1130" spans="1:12" ht="25">
      <c r="A1130" s="409"/>
      <c r="B1130" s="428"/>
      <c r="C1130" s="435" t="s">
        <v>578</v>
      </c>
      <c r="D1130" s="428"/>
      <c r="E1130" s="428"/>
      <c r="F1130" s="428"/>
      <c r="G1130" s="422">
        <f>G1129*13.615/100</f>
        <v>23962.248873500004</v>
      </c>
      <c r="H1130" s="409"/>
      <c r="I1130" s="409"/>
      <c r="J1130" s="409"/>
      <c r="K1130" s="409"/>
      <c r="L1130" s="409"/>
    </row>
    <row r="1131" spans="1:12" ht="15.5">
      <c r="A1131" s="409"/>
      <c r="B1131" s="428"/>
      <c r="C1131" s="409"/>
      <c r="D1131" s="428"/>
      <c r="E1131" s="428"/>
      <c r="F1131" s="428"/>
      <c r="G1131" s="422">
        <f>SUM(G1129:G1130)</f>
        <v>199961.13887350002</v>
      </c>
      <c r="H1131" s="409"/>
      <c r="I1131" s="409"/>
      <c r="J1131" s="409"/>
      <c r="K1131" s="409"/>
      <c r="L1131" s="409"/>
    </row>
    <row r="1132" spans="1:12" ht="26">
      <c r="A1132" s="409"/>
      <c r="B1132" s="428"/>
      <c r="C1132" s="414" t="s">
        <v>414</v>
      </c>
      <c r="D1132" s="428"/>
      <c r="E1132" s="428"/>
      <c r="F1132" s="428"/>
      <c r="G1132" s="422">
        <f>ROUND(G1131,0)</f>
        <v>199961</v>
      </c>
      <c r="H1132" s="409"/>
      <c r="I1132" s="409"/>
      <c r="J1132" s="409"/>
      <c r="K1132" s="409"/>
      <c r="L1132" s="409"/>
    </row>
    <row r="1133" spans="1:12" ht="20.5" hidden="1" customHeight="1">
      <c r="A1133" s="414"/>
      <c r="B1133" s="415"/>
      <c r="C1133" s="415"/>
      <c r="D1133" s="415"/>
      <c r="E1133" s="415"/>
      <c r="F1133" s="415"/>
      <c r="G1133" s="541"/>
      <c r="H1133" s="409"/>
      <c r="I1133" s="409"/>
      <c r="J1133" s="409"/>
      <c r="K1133" s="409"/>
      <c r="L1133" s="409"/>
    </row>
    <row r="1134" spans="1:12" ht="24" hidden="1" customHeight="1">
      <c r="A1134" s="551" t="s">
        <v>471</v>
      </c>
      <c r="B1134" s="420">
        <v>15</v>
      </c>
      <c r="C1134" s="435" t="s">
        <v>415</v>
      </c>
      <c r="D1134" s="415"/>
      <c r="E1134" s="415"/>
      <c r="F1134" s="415"/>
      <c r="G1134" s="415"/>
      <c r="H1134" s="409"/>
      <c r="I1134" s="409"/>
      <c r="J1134" s="409"/>
      <c r="K1134" s="409"/>
      <c r="L1134" s="409"/>
    </row>
    <row r="1135" spans="1:12" hidden="1">
      <c r="A1135" s="552"/>
      <c r="B1135" s="415"/>
      <c r="C1135" s="414"/>
      <c r="D1135" s="415"/>
      <c r="E1135" s="415"/>
      <c r="F1135" s="415"/>
      <c r="G1135" s="415"/>
      <c r="H1135" s="409"/>
      <c r="I1135" s="409"/>
      <c r="J1135" s="409"/>
      <c r="K1135" s="409"/>
      <c r="L1135" s="409"/>
    </row>
    <row r="1136" spans="1:12" hidden="1">
      <c r="A1136" s="552"/>
      <c r="B1136" s="415"/>
      <c r="C1136" s="414" t="s">
        <v>454</v>
      </c>
      <c r="D1136" s="415"/>
      <c r="E1136" s="466"/>
      <c r="F1136" s="415"/>
      <c r="G1136" s="415"/>
      <c r="H1136" s="409"/>
      <c r="I1136" s="409"/>
      <c r="J1136" s="409"/>
      <c r="K1136" s="409"/>
      <c r="L1136" s="409"/>
    </row>
    <row r="1137" spans="1:14" ht="25" hidden="1">
      <c r="A1137" s="414"/>
      <c r="B1137" s="414"/>
      <c r="C1137" s="414" t="s">
        <v>1065</v>
      </c>
      <c r="D1137" s="415" t="s">
        <v>117</v>
      </c>
      <c r="E1137" s="466">
        <v>5.6000000000000001E-2</v>
      </c>
      <c r="F1137" s="494">
        <f>F1107</f>
        <v>106793</v>
      </c>
      <c r="G1137" s="425">
        <f>ROUND(E1137*F1137,2)</f>
        <v>5980.41</v>
      </c>
      <c r="H1137" s="409"/>
      <c r="I1137" s="409"/>
      <c r="J1137" s="409"/>
      <c r="K1137" s="409"/>
      <c r="L1137" s="409"/>
      <c r="M1137" s="504"/>
      <c r="N1137" s="505"/>
    </row>
    <row r="1138" spans="1:14" ht="25" hidden="1">
      <c r="A1138" s="414"/>
      <c r="B1138" s="414"/>
      <c r="C1138" s="414" t="s">
        <v>576</v>
      </c>
      <c r="D1138" s="415"/>
      <c r="E1138" s="466">
        <f>0.9*1.2</f>
        <v>1.08</v>
      </c>
      <c r="F1138" s="494">
        <f>G1057</f>
        <v>1515</v>
      </c>
      <c r="G1138" s="425">
        <f>ROUND(E1138*F1138,2)</f>
        <v>1636.2</v>
      </c>
      <c r="H1138" s="409"/>
      <c r="I1138" s="409"/>
      <c r="J1138" s="409"/>
      <c r="K1138" s="409"/>
      <c r="L1138" s="409"/>
      <c r="M1138" s="504"/>
      <c r="N1138" s="505"/>
    </row>
    <row r="1139" spans="1:14" hidden="1">
      <c r="A1139" s="414"/>
      <c r="B1139" s="414"/>
      <c r="C1139" s="414" t="s">
        <v>475</v>
      </c>
      <c r="D1139" s="415"/>
      <c r="E1139" s="466">
        <v>14.34</v>
      </c>
      <c r="F1139" s="494">
        <f>F1095</f>
        <v>58.31</v>
      </c>
      <c r="G1139" s="425">
        <f>E1139*F1139</f>
        <v>836.16539999999998</v>
      </c>
      <c r="H1139" s="409"/>
      <c r="I1139" s="409"/>
      <c r="J1139" s="409"/>
      <c r="K1139" s="409"/>
      <c r="L1139" s="409"/>
    </row>
    <row r="1140" spans="1:14" ht="25" hidden="1">
      <c r="A1140" s="414"/>
      <c r="B1140" s="415"/>
      <c r="C1140" s="414" t="s">
        <v>417</v>
      </c>
      <c r="D1140" s="415"/>
      <c r="E1140" s="466"/>
      <c r="F1140" s="494">
        <f>G1055</f>
        <v>467</v>
      </c>
      <c r="G1140" s="494">
        <f>F1140</f>
        <v>467</v>
      </c>
      <c r="H1140" s="409"/>
      <c r="I1140" s="409"/>
      <c r="J1140" s="409"/>
      <c r="K1140" s="409"/>
      <c r="L1140" s="409"/>
    </row>
    <row r="1141" spans="1:14" hidden="1">
      <c r="A1141" s="414"/>
      <c r="B1141" s="415"/>
      <c r="C1141" s="414" t="s">
        <v>418</v>
      </c>
      <c r="D1141" s="415"/>
      <c r="E1141" s="466"/>
      <c r="F1141" s="415"/>
      <c r="G1141" s="434">
        <f>SUM(G1137:G1140)</f>
        <v>8919.7754000000004</v>
      </c>
      <c r="H1141" s="409"/>
      <c r="I1141" s="409"/>
      <c r="J1141" s="409"/>
      <c r="K1141" s="409"/>
      <c r="L1141" s="409"/>
    </row>
    <row r="1142" spans="1:14" ht="25" hidden="1">
      <c r="A1142" s="409"/>
      <c r="B1142" s="428"/>
      <c r="C1142" s="435" t="s">
        <v>578</v>
      </c>
      <c r="D1142" s="428"/>
      <c r="E1142" s="428"/>
      <c r="F1142" s="428"/>
      <c r="G1142" s="422">
        <f>G1141*13.615/100</f>
        <v>1214.4274207100002</v>
      </c>
      <c r="H1142" s="409"/>
      <c r="I1142" s="409"/>
      <c r="J1142" s="409"/>
      <c r="K1142" s="409"/>
      <c r="L1142" s="409"/>
    </row>
    <row r="1143" spans="1:14" ht="15.5" hidden="1">
      <c r="A1143" s="409"/>
      <c r="B1143" s="428"/>
      <c r="C1143" s="409"/>
      <c r="D1143" s="428"/>
      <c r="E1143" s="428"/>
      <c r="F1143" s="428"/>
      <c r="G1143" s="422">
        <f>SUM(G1141:G1142)</f>
        <v>10134.202820710001</v>
      </c>
      <c r="H1143" s="409"/>
      <c r="I1143" s="409"/>
      <c r="J1143" s="409"/>
      <c r="K1143" s="409"/>
      <c r="L1143" s="409"/>
    </row>
    <row r="1144" spans="1:14" ht="26" hidden="1">
      <c r="A1144" s="409"/>
      <c r="B1144" s="428"/>
      <c r="C1144" s="414" t="s">
        <v>414</v>
      </c>
      <c r="D1144" s="428"/>
      <c r="E1144" s="428"/>
      <c r="F1144" s="428"/>
      <c r="G1144" s="422">
        <f>ROUND(G1143,0)</f>
        <v>10134</v>
      </c>
      <c r="H1144" s="409"/>
      <c r="I1144" s="409"/>
      <c r="J1144" s="409"/>
      <c r="K1144" s="409"/>
      <c r="L1144" s="409"/>
    </row>
    <row r="1145" spans="1:14" hidden="1">
      <c r="A1145" s="552"/>
      <c r="B1145" s="415"/>
      <c r="C1145" s="414" t="s">
        <v>453</v>
      </c>
      <c r="D1145" s="415"/>
      <c r="E1145" s="466"/>
      <c r="F1145" s="415"/>
      <c r="G1145" s="415"/>
      <c r="H1145" s="409"/>
      <c r="I1145" s="409"/>
      <c r="J1145" s="409"/>
      <c r="K1145" s="409"/>
      <c r="L1145" s="409"/>
    </row>
    <row r="1146" spans="1:14" ht="25" hidden="1">
      <c r="A1146" s="414"/>
      <c r="B1146" s="414"/>
      <c r="C1146" s="414" t="s">
        <v>1065</v>
      </c>
      <c r="D1146" s="415" t="s">
        <v>117</v>
      </c>
      <c r="E1146" s="466">
        <v>8.1000000000000003E-2</v>
      </c>
      <c r="F1146" s="494">
        <f>F1137</f>
        <v>106793</v>
      </c>
      <c r="G1146" s="425">
        <f>ROUND(E1146*F1146,2)</f>
        <v>8650.23</v>
      </c>
      <c r="H1146" s="409"/>
      <c r="I1146" s="409"/>
      <c r="J1146" s="409"/>
      <c r="K1146" s="409"/>
      <c r="L1146" s="409"/>
      <c r="M1146" s="504"/>
      <c r="N1146" s="505"/>
    </row>
    <row r="1147" spans="1:14" ht="25" hidden="1">
      <c r="A1147" s="414"/>
      <c r="B1147" s="414"/>
      <c r="C1147" s="414" t="s">
        <v>576</v>
      </c>
      <c r="D1147" s="415"/>
      <c r="E1147" s="466">
        <f>1.2*1.2</f>
        <v>1.44</v>
      </c>
      <c r="F1147" s="494">
        <f>F1138</f>
        <v>1515</v>
      </c>
      <c r="G1147" s="425">
        <f>ROUND(E1147*F1147,2)</f>
        <v>2181.6</v>
      </c>
      <c r="H1147" s="409"/>
      <c r="I1147" s="409"/>
      <c r="J1147" s="409"/>
      <c r="K1147" s="409"/>
      <c r="L1147" s="409"/>
      <c r="M1147" s="504"/>
      <c r="N1147" s="505"/>
    </row>
    <row r="1148" spans="1:14" hidden="1">
      <c r="A1148" s="414"/>
      <c r="B1148" s="414"/>
      <c r="C1148" s="414" t="s">
        <v>475</v>
      </c>
      <c r="D1148" s="415"/>
      <c r="E1148" s="466">
        <v>19.12</v>
      </c>
      <c r="F1148" s="494">
        <f>F1139</f>
        <v>58.31</v>
      </c>
      <c r="G1148" s="425">
        <f>E1148*F1148</f>
        <v>1114.8872000000001</v>
      </c>
      <c r="H1148" s="409"/>
      <c r="I1148" s="409"/>
      <c r="J1148" s="409"/>
      <c r="K1148" s="409"/>
      <c r="L1148" s="409"/>
    </row>
    <row r="1149" spans="1:14" ht="25" hidden="1">
      <c r="A1149" s="414"/>
      <c r="B1149" s="415"/>
      <c r="C1149" s="414" t="s">
        <v>417</v>
      </c>
      <c r="D1149" s="415"/>
      <c r="E1149" s="466"/>
      <c r="F1149" s="494">
        <f>F1140</f>
        <v>467</v>
      </c>
      <c r="G1149" s="494">
        <f>F1149</f>
        <v>467</v>
      </c>
      <c r="H1149" s="409"/>
      <c r="I1149" s="409"/>
      <c r="J1149" s="409"/>
      <c r="K1149" s="409"/>
      <c r="L1149" s="409"/>
    </row>
    <row r="1150" spans="1:14" hidden="1">
      <c r="A1150" s="414"/>
      <c r="B1150" s="415"/>
      <c r="C1150" s="414" t="s">
        <v>418</v>
      </c>
      <c r="D1150" s="415"/>
      <c r="E1150" s="466"/>
      <c r="F1150" s="415"/>
      <c r="G1150" s="434">
        <f>SUM(G1146:G1149)</f>
        <v>12413.717199999999</v>
      </c>
      <c r="H1150" s="409"/>
      <c r="I1150" s="409"/>
      <c r="J1150" s="409"/>
      <c r="K1150" s="409"/>
      <c r="L1150" s="409"/>
    </row>
    <row r="1151" spans="1:14" ht="25" hidden="1">
      <c r="A1151" s="409"/>
      <c r="B1151" s="428"/>
      <c r="C1151" s="435" t="s">
        <v>578</v>
      </c>
      <c r="D1151" s="428"/>
      <c r="E1151" s="428"/>
      <c r="F1151" s="428"/>
      <c r="G1151" s="422">
        <f>G1150*13.615/100</f>
        <v>1690.12759678</v>
      </c>
      <c r="H1151" s="409"/>
      <c r="I1151" s="409"/>
      <c r="J1151" s="409"/>
      <c r="K1151" s="409"/>
      <c r="L1151" s="409"/>
    </row>
    <row r="1152" spans="1:14" ht="15.5" hidden="1">
      <c r="A1152" s="409"/>
      <c r="B1152" s="428"/>
      <c r="C1152" s="409"/>
      <c r="D1152" s="428"/>
      <c r="E1152" s="428"/>
      <c r="F1152" s="428"/>
      <c r="G1152" s="422">
        <f>SUM(G1150:G1151)</f>
        <v>14103.844796779998</v>
      </c>
      <c r="H1152" s="409"/>
      <c r="I1152" s="409"/>
      <c r="J1152" s="409"/>
      <c r="K1152" s="409"/>
      <c r="L1152" s="409"/>
    </row>
    <row r="1153" spans="1:14" ht="26" hidden="1">
      <c r="A1153" s="409"/>
      <c r="B1153" s="428"/>
      <c r="C1153" s="414" t="s">
        <v>414</v>
      </c>
      <c r="D1153" s="428"/>
      <c r="E1153" s="428"/>
      <c r="F1153" s="428"/>
      <c r="G1153" s="422">
        <f>ROUND(G1152,0)</f>
        <v>14104</v>
      </c>
      <c r="H1153" s="409"/>
      <c r="I1153" s="409"/>
      <c r="J1153" s="409"/>
      <c r="K1153" s="409"/>
      <c r="L1153" s="409"/>
    </row>
    <row r="1154" spans="1:14" hidden="1">
      <c r="A1154" s="552"/>
      <c r="B1154" s="415"/>
      <c r="C1154" s="414" t="s">
        <v>416</v>
      </c>
      <c r="D1154" s="415"/>
      <c r="E1154" s="466"/>
      <c r="F1154" s="415"/>
      <c r="G1154" s="415"/>
      <c r="H1154" s="409"/>
      <c r="I1154" s="409"/>
      <c r="J1154" s="409"/>
      <c r="K1154" s="409"/>
      <c r="L1154" s="409"/>
    </row>
    <row r="1155" spans="1:14" ht="25" hidden="1">
      <c r="A1155" s="414"/>
      <c r="B1155" s="414"/>
      <c r="C1155" s="414" t="s">
        <v>1065</v>
      </c>
      <c r="D1155" s="415" t="s">
        <v>117</v>
      </c>
      <c r="E1155" s="466">
        <v>0.10299999999999999</v>
      </c>
      <c r="F1155" s="494">
        <f>F1146</f>
        <v>106793</v>
      </c>
      <c r="G1155" s="425">
        <f>ROUND(E1155*F1155,2)</f>
        <v>10999.68</v>
      </c>
      <c r="H1155" s="409"/>
      <c r="I1155" s="409"/>
      <c r="J1155" s="409"/>
      <c r="K1155" s="409"/>
      <c r="L1155" s="409"/>
      <c r="M1155" s="504"/>
      <c r="N1155" s="505"/>
    </row>
    <row r="1156" spans="1:14" hidden="1">
      <c r="A1156" s="414"/>
      <c r="B1156" s="414"/>
      <c r="C1156" s="414" t="s">
        <v>475</v>
      </c>
      <c r="D1156" s="415"/>
      <c r="E1156" s="466">
        <v>22</v>
      </c>
      <c r="F1156" s="494">
        <f>F1148</f>
        <v>58.31</v>
      </c>
      <c r="G1156" s="425">
        <f>E1156*F1156</f>
        <v>1282.8200000000002</v>
      </c>
      <c r="H1156" s="409"/>
      <c r="I1156" s="409"/>
      <c r="J1156" s="409"/>
      <c r="K1156" s="409"/>
      <c r="L1156" s="409"/>
      <c r="M1156" s="504"/>
      <c r="N1156" s="505"/>
    </row>
    <row r="1157" spans="1:14" ht="25" hidden="1">
      <c r="A1157" s="414"/>
      <c r="B1157" s="414"/>
      <c r="C1157" s="414" t="s">
        <v>576</v>
      </c>
      <c r="D1157" s="415"/>
      <c r="E1157" s="466">
        <f>1.35*1.35</f>
        <v>1.8225000000000002</v>
      </c>
      <c r="F1157" s="494">
        <f>F1147</f>
        <v>1515</v>
      </c>
      <c r="G1157" s="425">
        <f>ROUND(E1157*F1157,2)</f>
        <v>2761.09</v>
      </c>
      <c r="H1157" s="409"/>
      <c r="I1157" s="409"/>
      <c r="J1157" s="409"/>
      <c r="K1157" s="409"/>
      <c r="L1157" s="409"/>
      <c r="M1157" s="504"/>
      <c r="N1157" s="505"/>
    </row>
    <row r="1158" spans="1:14" ht="25" hidden="1">
      <c r="A1158" s="414"/>
      <c r="B1158" s="415"/>
      <c r="C1158" s="414" t="s">
        <v>417</v>
      </c>
      <c r="D1158" s="415"/>
      <c r="E1158" s="466"/>
      <c r="F1158" s="494">
        <f>F1149</f>
        <v>467</v>
      </c>
      <c r="G1158" s="494">
        <f>F1158</f>
        <v>467</v>
      </c>
      <c r="H1158" s="409"/>
      <c r="I1158" s="409"/>
      <c r="J1158" s="409"/>
      <c r="K1158" s="409"/>
      <c r="L1158" s="409"/>
    </row>
    <row r="1159" spans="1:14" ht="14" hidden="1">
      <c r="A1159" s="414"/>
      <c r="B1159" s="415"/>
      <c r="C1159" s="414" t="s">
        <v>418</v>
      </c>
      <c r="D1159" s="415"/>
      <c r="E1159" s="466"/>
      <c r="F1159" s="415"/>
      <c r="G1159" s="541">
        <f>SUM(G1155:G1158)</f>
        <v>15510.59</v>
      </c>
      <c r="H1159" s="409"/>
      <c r="I1159" s="409"/>
      <c r="J1159" s="409"/>
      <c r="K1159" s="409"/>
      <c r="L1159" s="409"/>
    </row>
    <row r="1160" spans="1:14" ht="25" hidden="1">
      <c r="A1160" s="409"/>
      <c r="B1160" s="428"/>
      <c r="C1160" s="435" t="s">
        <v>578</v>
      </c>
      <c r="D1160" s="428"/>
      <c r="E1160" s="428"/>
      <c r="F1160" s="428"/>
      <c r="G1160" s="422">
        <f>G1159*13.615/100</f>
        <v>2111.7668285</v>
      </c>
      <c r="H1160" s="409"/>
      <c r="I1160" s="409"/>
      <c r="J1160" s="409"/>
      <c r="K1160" s="409"/>
      <c r="L1160" s="409"/>
    </row>
    <row r="1161" spans="1:14" ht="15.5" hidden="1">
      <c r="A1161" s="409"/>
      <c r="B1161" s="428"/>
      <c r="C1161" s="409"/>
      <c r="D1161" s="428"/>
      <c r="E1161" s="428"/>
      <c r="F1161" s="428"/>
      <c r="G1161" s="422">
        <f>SUM(G1159:G1160)</f>
        <v>17622.3568285</v>
      </c>
      <c r="H1161" s="409"/>
      <c r="I1161" s="409"/>
      <c r="J1161" s="409"/>
      <c r="K1161" s="409"/>
      <c r="L1161" s="409"/>
    </row>
    <row r="1162" spans="1:14" ht="26" hidden="1">
      <c r="A1162" s="409"/>
      <c r="B1162" s="428"/>
      <c r="C1162" s="414" t="s">
        <v>577</v>
      </c>
      <c r="D1162" s="428"/>
      <c r="E1162" s="428"/>
      <c r="F1162" s="428"/>
      <c r="G1162" s="422">
        <f>ROUND(G1161,0)</f>
        <v>17622</v>
      </c>
      <c r="H1162" s="409"/>
      <c r="I1162" s="409"/>
      <c r="J1162" s="409"/>
      <c r="K1162" s="409"/>
      <c r="L1162" s="409"/>
    </row>
    <row r="1163" spans="1:14" s="556" customFormat="1" ht="96.75" hidden="1" customHeight="1">
      <c r="A1163" s="553"/>
      <c r="B1163" s="553"/>
      <c r="C1163" s="2223" t="s">
        <v>653</v>
      </c>
      <c r="D1163" s="2224"/>
      <c r="E1163" s="2224"/>
      <c r="F1163" s="2224"/>
      <c r="G1163" s="2229"/>
      <c r="H1163" s="2229"/>
      <c r="I1163" s="554"/>
      <c r="J1163" s="554"/>
      <c r="K1163" s="554"/>
      <c r="L1163" s="555"/>
    </row>
    <row r="1164" spans="1:14" s="566" customFormat="1" ht="13.5" hidden="1">
      <c r="A1164" s="557"/>
      <c r="B1164" s="558"/>
      <c r="C1164" s="559" t="s">
        <v>623</v>
      </c>
      <c r="D1164" s="560"/>
      <c r="E1164" s="561"/>
      <c r="F1164" s="561"/>
      <c r="G1164" s="562"/>
      <c r="H1164" s="563"/>
      <c r="I1164" s="561"/>
      <c r="J1164" s="561"/>
      <c r="K1164" s="564"/>
      <c r="L1164" s="565"/>
    </row>
    <row r="1165" spans="1:14" s="566" customFormat="1" ht="13.5" hidden="1">
      <c r="A1165" s="557"/>
      <c r="B1165" s="558"/>
      <c r="C1165" s="559" t="s">
        <v>624</v>
      </c>
      <c r="D1165" s="560"/>
      <c r="E1165" s="561"/>
      <c r="F1165" s="561"/>
      <c r="G1165" s="562"/>
      <c r="H1165" s="563"/>
      <c r="I1165" s="561"/>
      <c r="J1165" s="561"/>
      <c r="K1165" s="564"/>
      <c r="L1165" s="565"/>
    </row>
    <row r="1166" spans="1:14" s="566" customFormat="1" ht="62.5" hidden="1">
      <c r="A1166" s="557"/>
      <c r="B1166" s="558"/>
      <c r="C1166" s="489" t="s">
        <v>652</v>
      </c>
      <c r="D1166" s="560"/>
      <c r="E1166" s="561"/>
      <c r="F1166" s="561"/>
      <c r="G1166" s="562" t="s">
        <v>184</v>
      </c>
      <c r="H1166" s="563">
        <v>1</v>
      </c>
      <c r="I1166" s="561">
        <v>2054</v>
      </c>
      <c r="J1166" s="564">
        <f>H1166*I1166</f>
        <v>2054</v>
      </c>
      <c r="K1166" s="565"/>
      <c r="L1166" s="565"/>
    </row>
    <row r="1167" spans="1:14" s="566" customFormat="1" ht="50" hidden="1">
      <c r="A1167" s="557"/>
      <c r="B1167" s="558"/>
      <c r="C1167" s="435" t="s">
        <v>637</v>
      </c>
      <c r="D1167" s="560"/>
      <c r="E1167" s="561"/>
      <c r="F1167" s="561"/>
      <c r="G1167" s="562" t="s">
        <v>184</v>
      </c>
      <c r="H1167" s="563">
        <v>1</v>
      </c>
      <c r="I1167" s="561">
        <v>383</v>
      </c>
      <c r="J1167" s="564">
        <f>H1167*I1167</f>
        <v>383</v>
      </c>
      <c r="K1167" s="567">
        <f>0.75-0.12</f>
        <v>0.63</v>
      </c>
      <c r="L1167" s="565"/>
    </row>
    <row r="1168" spans="1:14" hidden="1">
      <c r="A1168" s="423"/>
      <c r="B1168" s="421"/>
      <c r="C1168" s="424" t="s">
        <v>647</v>
      </c>
      <c r="D1168" s="495"/>
      <c r="E1168" s="420"/>
      <c r="F1168" s="425"/>
      <c r="G1168" s="425">
        <f>D1001</f>
        <v>0</v>
      </c>
      <c r="H1168" s="433">
        <f>J1167</f>
        <v>383</v>
      </c>
      <c r="I1168" s="409"/>
      <c r="J1168" s="434">
        <f>G1168*H1168</f>
        <v>0</v>
      </c>
      <c r="K1168" s="409"/>
      <c r="L1168" s="409"/>
    </row>
    <row r="1169" spans="1:17" s="566" customFormat="1" ht="13.5" hidden="1">
      <c r="A1169" s="557"/>
      <c r="B1169" s="558"/>
      <c r="C1169" s="568" t="s">
        <v>625</v>
      </c>
      <c r="D1169" s="569"/>
      <c r="E1169" s="561"/>
      <c r="F1169" s="561"/>
      <c r="G1169" s="562"/>
      <c r="H1169" s="563"/>
      <c r="I1169" s="561"/>
      <c r="J1169" s="564">
        <f>SUM(J1166:J1168)</f>
        <v>2437</v>
      </c>
      <c r="K1169" s="565"/>
      <c r="L1169" s="565"/>
    </row>
    <row r="1170" spans="1:17" s="566" customFormat="1" ht="13.5" hidden="1">
      <c r="A1170" s="570"/>
      <c r="B1170" s="558"/>
      <c r="C1170" s="568" t="s">
        <v>648</v>
      </c>
      <c r="D1170" s="569"/>
      <c r="E1170" s="561"/>
      <c r="F1170" s="561"/>
      <c r="G1170" s="562"/>
      <c r="H1170" s="563"/>
      <c r="I1170" s="561">
        <f>0.78*2.05</f>
        <v>1.599</v>
      </c>
      <c r="J1170" s="564">
        <f>I1170*J1169</f>
        <v>3896.7629999999999</v>
      </c>
      <c r="K1170" s="565"/>
      <c r="L1170" s="565"/>
    </row>
    <row r="1171" spans="1:17" s="566" customFormat="1" ht="13.5" hidden="1">
      <c r="A1171" s="557"/>
      <c r="B1171" s="558"/>
      <c r="C1171" s="536"/>
      <c r="D1171" s="569"/>
      <c r="E1171" s="561"/>
      <c r="F1171" s="561"/>
      <c r="G1171" s="562"/>
      <c r="H1171" s="563"/>
      <c r="I1171" s="561"/>
      <c r="J1171" s="564"/>
      <c r="K1171" s="565"/>
      <c r="L1171" s="565"/>
    </row>
    <row r="1172" spans="1:17" s="566" customFormat="1" ht="13.5" hidden="1">
      <c r="A1172" s="557"/>
      <c r="B1172" s="558"/>
      <c r="C1172" s="568" t="s">
        <v>626</v>
      </c>
      <c r="D1172" s="565"/>
      <c r="E1172" s="561"/>
      <c r="F1172" s="561"/>
      <c r="G1172" s="562"/>
      <c r="H1172" s="563"/>
      <c r="I1172" s="561"/>
      <c r="J1172" s="564">
        <f>G1040</f>
        <v>563</v>
      </c>
      <c r="K1172" s="565"/>
      <c r="L1172" s="565"/>
    </row>
    <row r="1173" spans="1:17" s="556" customFormat="1" ht="15.5" hidden="1">
      <c r="A1173" s="553"/>
      <c r="B1173" s="564"/>
      <c r="C1173" s="559" t="s">
        <v>649</v>
      </c>
      <c r="D1173" s="553"/>
      <c r="E1173" s="561"/>
      <c r="F1173" s="561"/>
      <c r="G1173" s="562"/>
      <c r="H1173" s="563"/>
      <c r="I1173" s="561"/>
      <c r="J1173" s="564">
        <f>SUM(J1170:J1172)</f>
        <v>4459.7629999999999</v>
      </c>
      <c r="K1173" s="555"/>
      <c r="L1173" s="555"/>
      <c r="N1173" s="571"/>
      <c r="O1173" s="572"/>
      <c r="P1173" s="573"/>
      <c r="Q1173" s="574"/>
    </row>
    <row r="1174" spans="1:17" s="556" customFormat="1" ht="13.5" hidden="1">
      <c r="A1174" s="553"/>
      <c r="B1174" s="564"/>
      <c r="C1174" s="559" t="s">
        <v>627</v>
      </c>
      <c r="D1174" s="553"/>
      <c r="E1174" s="561"/>
      <c r="F1174" s="561"/>
      <c r="G1174" s="562"/>
      <c r="H1174" s="563"/>
      <c r="I1174" s="561"/>
      <c r="J1174" s="564"/>
      <c r="K1174" s="555"/>
      <c r="L1174" s="555"/>
    </row>
    <row r="1175" spans="1:17" s="556" customFormat="1" ht="13.5" hidden="1">
      <c r="A1175" s="553"/>
      <c r="B1175" s="564"/>
      <c r="C1175" s="559" t="s">
        <v>628</v>
      </c>
      <c r="D1175" s="553">
        <v>2</v>
      </c>
      <c r="E1175" s="561">
        <v>2.1</v>
      </c>
      <c r="F1175" s="561">
        <v>0.1</v>
      </c>
      <c r="G1175" s="562">
        <v>7.4999999999999997E-2</v>
      </c>
      <c r="H1175" s="563">
        <f>ROUND(D1175*E1175*F1175*G1175,3)</f>
        <v>3.2000000000000001E-2</v>
      </c>
      <c r="I1175" s="561">
        <v>52453.5</v>
      </c>
      <c r="J1175" s="564">
        <f>ROUND(H1175*I1175,2)</f>
        <v>1678.51</v>
      </c>
      <c r="K1175" s="555"/>
      <c r="L1175" s="555"/>
    </row>
    <row r="1176" spans="1:17" s="556" customFormat="1" ht="13.5" hidden="1">
      <c r="A1176" s="553"/>
      <c r="B1176" s="564"/>
      <c r="C1176" s="559" t="s">
        <v>629</v>
      </c>
      <c r="D1176" s="553">
        <v>1</v>
      </c>
      <c r="E1176" s="561">
        <v>1.05</v>
      </c>
      <c r="F1176" s="561">
        <v>0.1</v>
      </c>
      <c r="G1176" s="562">
        <v>7.4999999999999997E-2</v>
      </c>
      <c r="H1176" s="563">
        <f>ROUND(D1176*E1176*F1176*G1176,3)</f>
        <v>8.0000000000000002E-3</v>
      </c>
      <c r="I1176" s="561">
        <f>I1175</f>
        <v>52453.5</v>
      </c>
      <c r="J1176" s="564">
        <f>ROUND(H1176*I1176,2)</f>
        <v>419.63</v>
      </c>
      <c r="K1176" s="555"/>
      <c r="L1176" s="555"/>
    </row>
    <row r="1177" spans="1:17" s="556" customFormat="1" ht="13.5" hidden="1">
      <c r="A1177" s="553"/>
      <c r="B1177" s="564"/>
      <c r="C1177" s="559" t="s">
        <v>630</v>
      </c>
      <c r="D1177" s="553"/>
      <c r="E1177" s="561"/>
      <c r="F1177" s="561"/>
      <c r="G1177" s="562"/>
      <c r="H1177" s="563">
        <f>SUM(H1175:H1176)</f>
        <v>0.04</v>
      </c>
      <c r="I1177" s="561">
        <f>G1021</f>
        <v>11892.1</v>
      </c>
      <c r="J1177" s="564">
        <f>ROUND(H1177*I1177,2)</f>
        <v>475.68</v>
      </c>
      <c r="K1177" s="555"/>
      <c r="L1177" s="555"/>
    </row>
    <row r="1178" spans="1:17" s="556" customFormat="1" ht="13.5" hidden="1">
      <c r="A1178" s="553"/>
      <c r="B1178" s="564"/>
      <c r="C1178" s="559" t="s">
        <v>650</v>
      </c>
      <c r="D1178" s="553"/>
      <c r="E1178" s="561"/>
      <c r="F1178" s="561"/>
      <c r="G1178" s="562"/>
      <c r="H1178" s="563"/>
      <c r="I1178" s="561"/>
      <c r="J1178" s="564">
        <f>ROUND(SUM(J1175:J1177),1)</f>
        <v>2573.8000000000002</v>
      </c>
      <c r="K1178" s="555"/>
      <c r="L1178" s="555"/>
    </row>
    <row r="1179" spans="1:17" s="556" customFormat="1" ht="13.5" hidden="1">
      <c r="A1179" s="553"/>
      <c r="B1179" s="564"/>
      <c r="C1179" s="559" t="s">
        <v>631</v>
      </c>
      <c r="D1179" s="553"/>
      <c r="E1179" s="561"/>
      <c r="F1179" s="561"/>
      <c r="G1179" s="562"/>
      <c r="H1179" s="563"/>
      <c r="I1179" s="561"/>
      <c r="J1179" s="564">
        <f>J1178+J1173</f>
        <v>7033.5630000000001</v>
      </c>
      <c r="K1179" s="555"/>
      <c r="L1179" s="555"/>
    </row>
    <row r="1180" spans="1:17" s="566" customFormat="1" ht="27" hidden="1">
      <c r="A1180" s="558"/>
      <c r="B1180" s="558"/>
      <c r="C1180" s="559" t="s">
        <v>632</v>
      </c>
      <c r="D1180" s="560"/>
      <c r="E1180" s="561"/>
      <c r="F1180" s="561"/>
      <c r="G1180" s="562"/>
      <c r="H1180" s="561">
        <f>J1179</f>
        <v>7033.5630000000001</v>
      </c>
      <c r="I1180" s="575">
        <v>0.13614999999999999</v>
      </c>
      <c r="J1180" s="564">
        <f>ROUND(H1180*I1180,2)</f>
        <v>957.62</v>
      </c>
      <c r="K1180" s="565"/>
      <c r="L1180" s="565"/>
    </row>
    <row r="1181" spans="1:17" s="566" customFormat="1" ht="27" hidden="1">
      <c r="A1181" s="557"/>
      <c r="B1181" s="558"/>
      <c r="C1181" s="559" t="s">
        <v>651</v>
      </c>
      <c r="D1181" s="560"/>
      <c r="E1181" s="561"/>
      <c r="F1181" s="561"/>
      <c r="G1181" s="562"/>
      <c r="H1181" s="563"/>
      <c r="I1181" s="561"/>
      <c r="J1181" s="564">
        <f>SUM(J1179:J1180)</f>
        <v>7991.183</v>
      </c>
      <c r="K1181" s="565"/>
      <c r="L1181" s="565"/>
    </row>
    <row r="1182" spans="1:17" s="556" customFormat="1" ht="15.5" hidden="1">
      <c r="A1182" s="561"/>
      <c r="B1182" s="561"/>
      <c r="C1182" s="561"/>
      <c r="D1182" s="561"/>
      <c r="E1182" s="561"/>
      <c r="F1182" s="561"/>
      <c r="G1182" s="564"/>
      <c r="H1182" s="561"/>
      <c r="I1182" s="561" t="s">
        <v>1066</v>
      </c>
      <c r="J1182" s="422">
        <f>ROUND(J1181,0)</f>
        <v>7991</v>
      </c>
      <c r="K1182" s="555"/>
      <c r="L1182" s="555"/>
    </row>
    <row r="1183" spans="1:17" hidden="1">
      <c r="A1183" s="409"/>
      <c r="B1183" s="428"/>
      <c r="C1183" s="414"/>
      <c r="D1183" s="415"/>
      <c r="E1183" s="415"/>
      <c r="F1183" s="425"/>
      <c r="G1183" s="425"/>
      <c r="H1183" s="409"/>
      <c r="I1183" s="409"/>
      <c r="J1183" s="409"/>
      <c r="K1183" s="409"/>
      <c r="L1183" s="409"/>
    </row>
    <row r="1184" spans="1:17" s="556" customFormat="1" ht="87.75" hidden="1" customHeight="1">
      <c r="A1184" s="553"/>
      <c r="B1184" s="553"/>
      <c r="C1184" s="2223" t="s">
        <v>654</v>
      </c>
      <c r="D1184" s="2224"/>
      <c r="E1184" s="2224"/>
      <c r="F1184" s="2224"/>
      <c r="G1184" s="2229"/>
      <c r="H1184" s="2229"/>
      <c r="I1184" s="2230"/>
      <c r="J1184" s="2230"/>
      <c r="K1184" s="2230"/>
      <c r="L1184" s="555"/>
    </row>
    <row r="1185" spans="1:17" s="566" customFormat="1" ht="13.5" hidden="1">
      <c r="A1185" s="557"/>
      <c r="B1185" s="558"/>
      <c r="C1185" s="559" t="s">
        <v>623</v>
      </c>
      <c r="D1185" s="560"/>
      <c r="E1185" s="561"/>
      <c r="F1185" s="561"/>
      <c r="G1185" s="562"/>
      <c r="H1185" s="563"/>
      <c r="I1185" s="561"/>
      <c r="J1185" s="561"/>
      <c r="K1185" s="564"/>
      <c r="L1185" s="565"/>
    </row>
    <row r="1186" spans="1:17" s="566" customFormat="1" ht="13.5" hidden="1">
      <c r="A1186" s="557"/>
      <c r="B1186" s="558"/>
      <c r="C1186" s="559" t="s">
        <v>624</v>
      </c>
      <c r="D1186" s="560"/>
      <c r="E1186" s="561"/>
      <c r="F1186" s="561"/>
      <c r="G1186" s="562"/>
      <c r="H1186" s="563"/>
      <c r="I1186" s="561"/>
      <c r="J1186" s="561"/>
      <c r="K1186" s="564"/>
      <c r="L1186" s="565"/>
    </row>
    <row r="1187" spans="1:17" s="566" customFormat="1" ht="62.5" hidden="1">
      <c r="A1187" s="557"/>
      <c r="B1187" s="558"/>
      <c r="C1187" s="489" t="s">
        <v>652</v>
      </c>
      <c r="D1187" s="560"/>
      <c r="E1187" s="561"/>
      <c r="F1187" s="561"/>
      <c r="G1187" s="562" t="s">
        <v>184</v>
      </c>
      <c r="H1187" s="563">
        <v>1</v>
      </c>
      <c r="I1187" s="561">
        <f>I1166</f>
        <v>2054</v>
      </c>
      <c r="J1187" s="564">
        <f>H1187*I1187</f>
        <v>2054</v>
      </c>
      <c r="K1187" s="565"/>
      <c r="L1187" s="565"/>
    </row>
    <row r="1188" spans="1:17" s="566" customFormat="1" ht="50" hidden="1">
      <c r="A1188" s="557"/>
      <c r="B1188" s="558"/>
      <c r="C1188" s="435" t="s">
        <v>637</v>
      </c>
      <c r="D1188" s="560"/>
      <c r="E1188" s="561"/>
      <c r="F1188" s="561"/>
      <c r="G1188" s="562" t="s">
        <v>184</v>
      </c>
      <c r="H1188" s="563">
        <v>1</v>
      </c>
      <c r="I1188" s="561">
        <f>I1167</f>
        <v>383</v>
      </c>
      <c r="J1188" s="564">
        <f>H1188*I1188</f>
        <v>383</v>
      </c>
      <c r="K1188" s="565"/>
      <c r="L1188" s="565"/>
    </row>
    <row r="1189" spans="1:17" hidden="1">
      <c r="A1189" s="423"/>
      <c r="B1189" s="421"/>
      <c r="C1189" s="424" t="s">
        <v>647</v>
      </c>
      <c r="D1189" s="495"/>
      <c r="E1189" s="420"/>
      <c r="F1189" s="425"/>
      <c r="G1189" s="425">
        <f>G1168</f>
        <v>0</v>
      </c>
      <c r="H1189" s="433">
        <f>H1168</f>
        <v>383</v>
      </c>
      <c r="I1189" s="409"/>
      <c r="J1189" s="434">
        <f>G1189*H1189</f>
        <v>0</v>
      </c>
      <c r="K1189" s="409"/>
      <c r="L1189" s="409"/>
    </row>
    <row r="1190" spans="1:17" s="566" customFormat="1" ht="13.5" hidden="1">
      <c r="A1190" s="557"/>
      <c r="B1190" s="558"/>
      <c r="C1190" s="568" t="s">
        <v>625</v>
      </c>
      <c r="D1190" s="569"/>
      <c r="E1190" s="561"/>
      <c r="F1190" s="561"/>
      <c r="G1190" s="562"/>
      <c r="H1190" s="563"/>
      <c r="I1190" s="561"/>
      <c r="J1190" s="564">
        <f>SUM(J1187:J1189)</f>
        <v>2437</v>
      </c>
      <c r="K1190" s="565"/>
      <c r="L1190" s="565"/>
    </row>
    <row r="1191" spans="1:17" s="566" customFormat="1" ht="13.5" hidden="1">
      <c r="A1191" s="570"/>
      <c r="B1191" s="558"/>
      <c r="C1191" s="568" t="s">
        <v>633</v>
      </c>
      <c r="D1191" s="569"/>
      <c r="E1191" s="561"/>
      <c r="F1191" s="561"/>
      <c r="G1191" s="562"/>
      <c r="H1191" s="563"/>
      <c r="I1191" s="561">
        <f>1.08*2.05</f>
        <v>2.214</v>
      </c>
      <c r="J1191" s="564">
        <f>I1191*J1190</f>
        <v>5395.518</v>
      </c>
      <c r="K1191" s="565"/>
      <c r="L1191" s="565"/>
    </row>
    <row r="1192" spans="1:17" s="566" customFormat="1" ht="13.5" hidden="1">
      <c r="A1192" s="557"/>
      <c r="B1192" s="558"/>
      <c r="C1192" s="536"/>
      <c r="D1192" s="569"/>
      <c r="E1192" s="561"/>
      <c r="F1192" s="561"/>
      <c r="G1192" s="562"/>
      <c r="H1192" s="563"/>
      <c r="I1192" s="561"/>
      <c r="J1192" s="564"/>
      <c r="K1192" s="565"/>
      <c r="L1192" s="565"/>
    </row>
    <row r="1193" spans="1:17" s="566" customFormat="1" ht="13.5" hidden="1">
      <c r="A1193" s="557"/>
      <c r="B1193" s="558"/>
      <c r="C1193" s="568" t="s">
        <v>626</v>
      </c>
      <c r="D1193" s="565"/>
      <c r="E1193" s="561"/>
      <c r="F1193" s="561"/>
      <c r="G1193" s="562"/>
      <c r="H1193" s="563"/>
      <c r="I1193" s="561"/>
      <c r="J1193" s="564">
        <f>J1172</f>
        <v>563</v>
      </c>
      <c r="K1193" s="565"/>
      <c r="L1193" s="565"/>
    </row>
    <row r="1194" spans="1:17" s="556" customFormat="1" ht="15.5" hidden="1">
      <c r="A1194" s="553"/>
      <c r="B1194" s="564"/>
      <c r="C1194" s="559" t="s">
        <v>634</v>
      </c>
      <c r="D1194" s="553"/>
      <c r="E1194" s="561"/>
      <c r="F1194" s="561"/>
      <c r="G1194" s="562"/>
      <c r="H1194" s="563"/>
      <c r="I1194" s="561"/>
      <c r="J1194" s="564">
        <f>SUM(J1191:J1193)</f>
        <v>5958.518</v>
      </c>
      <c r="K1194" s="555"/>
      <c r="L1194" s="555"/>
      <c r="N1194" s="571"/>
      <c r="O1194" s="572"/>
      <c r="P1194" s="573"/>
      <c r="Q1194" s="574"/>
    </row>
    <row r="1195" spans="1:17" s="556" customFormat="1" ht="13.5" hidden="1">
      <c r="A1195" s="553"/>
      <c r="B1195" s="564"/>
      <c r="C1195" s="559" t="s">
        <v>627</v>
      </c>
      <c r="D1195" s="553"/>
      <c r="E1195" s="561"/>
      <c r="F1195" s="561"/>
      <c r="G1195" s="562"/>
      <c r="H1195" s="563"/>
      <c r="I1195" s="561"/>
      <c r="J1195" s="564"/>
      <c r="K1195" s="555"/>
      <c r="L1195" s="555"/>
    </row>
    <row r="1196" spans="1:17" s="556" customFormat="1" ht="13.5" hidden="1">
      <c r="A1196" s="553"/>
      <c r="B1196" s="564"/>
      <c r="C1196" s="559" t="s">
        <v>628</v>
      </c>
      <c r="D1196" s="553">
        <v>2</v>
      </c>
      <c r="E1196" s="561">
        <v>2.1</v>
      </c>
      <c r="F1196" s="561">
        <v>0.1</v>
      </c>
      <c r="G1196" s="562">
        <v>7.4999999999999997E-2</v>
      </c>
      <c r="H1196" s="563">
        <f>ROUND(D1196*E1196*F1196*G1196,3)</f>
        <v>3.2000000000000001E-2</v>
      </c>
      <c r="I1196" s="561">
        <f>I1176</f>
        <v>52453.5</v>
      </c>
      <c r="J1196" s="564">
        <f>ROUND(H1196*I1196,2)</f>
        <v>1678.51</v>
      </c>
      <c r="K1196" s="555"/>
      <c r="L1196" s="555"/>
    </row>
    <row r="1197" spans="1:17" s="556" customFormat="1" ht="13.5" hidden="1">
      <c r="A1197" s="553"/>
      <c r="B1197" s="564"/>
      <c r="C1197" s="559" t="s">
        <v>629</v>
      </c>
      <c r="D1197" s="553">
        <v>1</v>
      </c>
      <c r="E1197" s="561">
        <v>1.2</v>
      </c>
      <c r="F1197" s="561">
        <v>0.1</v>
      </c>
      <c r="G1197" s="562">
        <v>7.4999999999999997E-2</v>
      </c>
      <c r="H1197" s="563">
        <f>ROUND(D1197*E1197*F1197*G1197,3)</f>
        <v>8.9999999999999993E-3</v>
      </c>
      <c r="I1197" s="561">
        <f>I1196</f>
        <v>52453.5</v>
      </c>
      <c r="J1197" s="564">
        <f>ROUND(H1197*I1197,2)</f>
        <v>472.08</v>
      </c>
      <c r="K1197" s="555"/>
      <c r="L1197" s="555"/>
    </row>
    <row r="1198" spans="1:17" s="556" customFormat="1" ht="13.5" hidden="1">
      <c r="A1198" s="553"/>
      <c r="B1198" s="564"/>
      <c r="C1198" s="559" t="s">
        <v>630</v>
      </c>
      <c r="D1198" s="553"/>
      <c r="E1198" s="561"/>
      <c r="F1198" s="561"/>
      <c r="G1198" s="562"/>
      <c r="H1198" s="563">
        <f>SUM(H1196:H1197)</f>
        <v>4.1000000000000002E-2</v>
      </c>
      <c r="I1198" s="561">
        <f>I1177</f>
        <v>11892.1</v>
      </c>
      <c r="J1198" s="564">
        <f>ROUND(H1198*I1198,2)</f>
        <v>487.58</v>
      </c>
      <c r="K1198" s="555"/>
      <c r="L1198" s="555"/>
    </row>
    <row r="1199" spans="1:17" s="556" customFormat="1" ht="24" hidden="1" customHeight="1">
      <c r="A1199" s="553"/>
      <c r="B1199" s="564"/>
      <c r="C1199" s="559" t="s">
        <v>635</v>
      </c>
      <c r="D1199" s="553"/>
      <c r="E1199" s="561"/>
      <c r="F1199" s="561"/>
      <c r="G1199" s="562"/>
      <c r="H1199" s="563"/>
      <c r="I1199" s="561"/>
      <c r="J1199" s="564">
        <f>ROUND(SUM(J1196:J1198),1)</f>
        <v>2638.2</v>
      </c>
      <c r="K1199" s="555"/>
      <c r="L1199" s="555"/>
    </row>
    <row r="1200" spans="1:17" s="556" customFormat="1" ht="13.5" hidden="1">
      <c r="A1200" s="553"/>
      <c r="B1200" s="564"/>
      <c r="C1200" s="559" t="s">
        <v>631</v>
      </c>
      <c r="D1200" s="553"/>
      <c r="E1200" s="561"/>
      <c r="F1200" s="561"/>
      <c r="G1200" s="562"/>
      <c r="H1200" s="563"/>
      <c r="I1200" s="561"/>
      <c r="J1200" s="564">
        <f>J1199+J1194</f>
        <v>8596.7180000000008</v>
      </c>
      <c r="K1200" s="555"/>
      <c r="L1200" s="555"/>
    </row>
    <row r="1201" spans="1:14" s="566" customFormat="1" ht="27" hidden="1">
      <c r="A1201" s="558"/>
      <c r="B1201" s="558"/>
      <c r="C1201" s="559" t="s">
        <v>632</v>
      </c>
      <c r="D1201" s="560"/>
      <c r="E1201" s="561"/>
      <c r="F1201" s="561"/>
      <c r="G1201" s="562"/>
      <c r="H1201" s="561">
        <f>J1200</f>
        <v>8596.7180000000008</v>
      </c>
      <c r="I1201" s="575">
        <v>0.13614999999999999</v>
      </c>
      <c r="J1201" s="564">
        <f>ROUND(H1201*I1201,2)</f>
        <v>1170.44</v>
      </c>
      <c r="K1201" s="565"/>
      <c r="L1201" s="565"/>
    </row>
    <row r="1202" spans="1:14" s="566" customFormat="1" ht="27" hidden="1">
      <c r="A1202" s="557"/>
      <c r="B1202" s="558"/>
      <c r="C1202" s="559" t="s">
        <v>636</v>
      </c>
      <c r="D1202" s="560"/>
      <c r="E1202" s="561"/>
      <c r="F1202" s="561"/>
      <c r="G1202" s="562"/>
      <c r="H1202" s="563"/>
      <c r="I1202" s="561"/>
      <c r="J1202" s="564">
        <f>SUM(J1200:J1201)</f>
        <v>9767.1580000000013</v>
      </c>
      <c r="K1202" s="565"/>
      <c r="L1202" s="565"/>
    </row>
    <row r="1203" spans="1:14" s="556" customFormat="1" ht="15.5" hidden="1">
      <c r="A1203" s="561"/>
      <c r="B1203" s="561"/>
      <c r="C1203" s="561"/>
      <c r="D1203" s="561"/>
      <c r="E1203" s="561"/>
      <c r="F1203" s="561"/>
      <c r="G1203" s="564"/>
      <c r="H1203" s="561"/>
      <c r="I1203" s="561" t="s">
        <v>1066</v>
      </c>
      <c r="J1203" s="422">
        <f>ROUND(J1202,0)</f>
        <v>9767</v>
      </c>
      <c r="K1203" s="555"/>
      <c r="L1203" s="555"/>
    </row>
    <row r="1204" spans="1:14" hidden="1">
      <c r="A1204" s="409"/>
      <c r="B1204" s="428"/>
      <c r="C1204" s="409"/>
      <c r="D1204" s="576"/>
      <c r="E1204" s="576"/>
      <c r="F1204" s="576"/>
      <c r="G1204" s="576"/>
      <c r="H1204" s="576"/>
      <c r="I1204" s="576"/>
      <c r="J1204" s="576"/>
      <c r="K1204" s="576"/>
      <c r="L1204" s="576"/>
      <c r="M1204" s="577"/>
      <c r="N1204" s="577"/>
    </row>
    <row r="1205" spans="1:14" hidden="1">
      <c r="A1205" s="409"/>
      <c r="B1205" s="428"/>
      <c r="C1205" s="409"/>
      <c r="D1205" s="576"/>
      <c r="E1205" s="576"/>
      <c r="F1205" s="576"/>
      <c r="G1205" s="576"/>
      <c r="H1205" s="576"/>
      <c r="I1205" s="576"/>
      <c r="J1205" s="576"/>
      <c r="K1205" s="576"/>
      <c r="L1205" s="576"/>
      <c r="M1205" s="577"/>
      <c r="N1205" s="577"/>
    </row>
    <row r="1206" spans="1:14" ht="178.5" customHeight="1">
      <c r="A1206" s="409"/>
      <c r="B1206" s="428"/>
      <c r="C1206" s="2216" t="s">
        <v>1067</v>
      </c>
      <c r="D1206" s="2226"/>
      <c r="E1206" s="2226"/>
      <c r="F1206" s="2226"/>
      <c r="G1206" s="2223"/>
      <c r="H1206" s="2224"/>
      <c r="I1206" s="2224"/>
      <c r="J1206" s="414"/>
      <c r="K1206" s="576"/>
      <c r="L1206" s="576"/>
      <c r="M1206" s="577"/>
      <c r="N1206" s="577"/>
    </row>
    <row r="1207" spans="1:14" ht="13.5">
      <c r="A1207" s="409"/>
      <c r="B1207" s="428"/>
      <c r="C1207" s="409" t="s">
        <v>1068</v>
      </c>
      <c r="D1207" s="562" t="s">
        <v>184</v>
      </c>
      <c r="E1207" s="563">
        <v>1</v>
      </c>
      <c r="F1207" s="561">
        <v>340</v>
      </c>
      <c r="G1207" s="564">
        <f>E1207*F1207</f>
        <v>340</v>
      </c>
      <c r="H1207" s="409"/>
      <c r="I1207" s="409"/>
      <c r="J1207" s="409"/>
      <c r="K1207" s="576"/>
      <c r="L1207" s="576"/>
      <c r="M1207" s="577"/>
      <c r="N1207" s="577"/>
    </row>
    <row r="1208" spans="1:14" ht="13.5">
      <c r="A1208" s="409"/>
      <c r="B1208" s="428"/>
      <c r="C1208" s="409" t="s">
        <v>1069</v>
      </c>
      <c r="D1208" s="562"/>
      <c r="E1208" s="563"/>
      <c r="F1208" s="561"/>
      <c r="G1208" s="564">
        <v>8.98</v>
      </c>
      <c r="H1208" s="409"/>
      <c r="I1208" s="409"/>
      <c r="J1208" s="409"/>
      <c r="K1208" s="576"/>
      <c r="L1208" s="576"/>
      <c r="M1208" s="577"/>
      <c r="N1208" s="577"/>
    </row>
    <row r="1209" spans="1:14" ht="15.5">
      <c r="A1209" s="409"/>
      <c r="B1209" s="428"/>
      <c r="C1209" s="409"/>
      <c r="D1209" s="562"/>
      <c r="E1209" s="563"/>
      <c r="F1209" s="561"/>
      <c r="G1209" s="422">
        <f>SUM(G1207:G1208)</f>
        <v>348.98</v>
      </c>
      <c r="H1209" s="409"/>
      <c r="I1209" s="409"/>
      <c r="J1209" s="409"/>
      <c r="K1209" s="576"/>
      <c r="L1209" s="576"/>
      <c r="M1209" s="577"/>
      <c r="N1209" s="577"/>
    </row>
    <row r="1210" spans="1:14" ht="25">
      <c r="A1210" s="409"/>
      <c r="B1210" s="428"/>
      <c r="C1210" s="435" t="s">
        <v>578</v>
      </c>
      <c r="D1210" s="576"/>
      <c r="E1210" s="576"/>
      <c r="F1210" s="576"/>
      <c r="G1210" s="564">
        <f>G1209*13.615/100</f>
        <v>47.513627000000007</v>
      </c>
      <c r="H1210" s="409"/>
      <c r="I1210" s="409"/>
      <c r="J1210" s="409"/>
      <c r="K1210" s="576"/>
      <c r="L1210" s="576"/>
      <c r="M1210" s="577"/>
      <c r="N1210" s="577"/>
    </row>
    <row r="1211" spans="1:14" ht="15.5">
      <c r="A1211" s="409"/>
      <c r="B1211" s="428"/>
      <c r="C1211" s="416"/>
      <c r="D1211" s="576"/>
      <c r="E1211" s="576"/>
      <c r="F1211" s="576"/>
      <c r="G1211" s="422">
        <f>SUM(G1209:G1210)</f>
        <v>396.493627</v>
      </c>
      <c r="H1211" s="409"/>
      <c r="I1211" s="409"/>
      <c r="J1211" s="409"/>
      <c r="K1211" s="576"/>
      <c r="L1211" s="576"/>
      <c r="M1211" s="577"/>
      <c r="N1211" s="577"/>
    </row>
    <row r="1212" spans="1:14" ht="38.25" customHeight="1">
      <c r="A1212" s="409"/>
      <c r="B1212" s="428"/>
      <c r="C1212" s="2216" t="s">
        <v>1027</v>
      </c>
      <c r="D1212" s="2226"/>
      <c r="E1212" s="2226"/>
      <c r="F1212" s="2226"/>
      <c r="G1212" s="2223"/>
      <c r="H1212" s="2224"/>
      <c r="I1212" s="2224"/>
      <c r="J1212" s="414"/>
      <c r="K1212" s="576"/>
      <c r="L1212" s="576"/>
      <c r="M1212" s="577"/>
      <c r="N1212" s="577"/>
    </row>
    <row r="1213" spans="1:14" ht="13.5">
      <c r="A1213" s="409"/>
      <c r="B1213" s="428"/>
      <c r="C1213" s="409" t="s">
        <v>1068</v>
      </c>
      <c r="D1213" s="562" t="s">
        <v>184</v>
      </c>
      <c r="E1213" s="563">
        <v>1</v>
      </c>
      <c r="F1213" s="561">
        <v>5410</v>
      </c>
      <c r="G1213" s="564">
        <f>E1213*F1213</f>
        <v>5410</v>
      </c>
      <c r="H1213" s="409"/>
      <c r="I1213" s="409"/>
      <c r="J1213" s="409"/>
      <c r="K1213" s="576"/>
      <c r="L1213" s="576"/>
      <c r="M1213" s="577"/>
      <c r="N1213" s="577"/>
    </row>
    <row r="1214" spans="1:14" ht="13.5">
      <c r="A1214" s="409"/>
      <c r="B1214" s="428"/>
      <c r="C1214" s="409" t="s">
        <v>1069</v>
      </c>
      <c r="D1214" s="562"/>
      <c r="E1214" s="563"/>
      <c r="F1214" s="561"/>
      <c r="G1214" s="564">
        <v>0</v>
      </c>
      <c r="H1214" s="409"/>
      <c r="I1214" s="409"/>
      <c r="J1214" s="409"/>
      <c r="K1214" s="576"/>
      <c r="L1214" s="576"/>
      <c r="M1214" s="577"/>
      <c r="N1214" s="577"/>
    </row>
    <row r="1215" spans="1:14" ht="15.5">
      <c r="A1215" s="409"/>
      <c r="B1215" s="428"/>
      <c r="C1215" s="409"/>
      <c r="D1215" s="562"/>
      <c r="E1215" s="563"/>
      <c r="F1215" s="561"/>
      <c r="G1215" s="422">
        <f>SUM(G1213:G1214)</f>
        <v>5410</v>
      </c>
      <c r="H1215" s="409"/>
      <c r="I1215" s="409"/>
      <c r="J1215" s="409"/>
      <c r="K1215" s="576"/>
      <c r="L1215" s="576"/>
      <c r="M1215" s="577"/>
      <c r="N1215" s="577"/>
    </row>
    <row r="1216" spans="1:14" ht="25">
      <c r="A1216" s="409"/>
      <c r="B1216" s="428"/>
      <c r="C1216" s="435" t="s">
        <v>578</v>
      </c>
      <c r="D1216" s="576"/>
      <c r="E1216" s="576"/>
      <c r="F1216" s="576"/>
      <c r="G1216" s="564">
        <f>G1215*13.615/100</f>
        <v>736.5714999999999</v>
      </c>
      <c r="H1216" s="409"/>
      <c r="I1216" s="409"/>
      <c r="J1216" s="409"/>
      <c r="K1216" s="576"/>
      <c r="L1216" s="576"/>
      <c r="M1216" s="577"/>
      <c r="N1216" s="577"/>
    </row>
    <row r="1217" spans="1:14" ht="15.5">
      <c r="A1217" s="409"/>
      <c r="B1217" s="428"/>
      <c r="C1217" s="416"/>
      <c r="D1217" s="576"/>
      <c r="E1217" s="576"/>
      <c r="F1217" s="576"/>
      <c r="G1217" s="422">
        <f>SUM(G1215:G1216)</f>
        <v>6146.5715</v>
      </c>
      <c r="H1217" s="409"/>
      <c r="I1217" s="409"/>
      <c r="J1217" s="409"/>
      <c r="K1217" s="576"/>
      <c r="L1217" s="576"/>
      <c r="M1217" s="577"/>
      <c r="N1217" s="577"/>
    </row>
    <row r="1218" spans="1:14" s="583" customFormat="1" ht="117" hidden="1" customHeight="1">
      <c r="A1218" s="578"/>
      <c r="B1218" s="579">
        <v>32</v>
      </c>
      <c r="C1218" s="580" t="s">
        <v>1070</v>
      </c>
      <c r="D1218" s="580"/>
      <c r="E1218" s="581"/>
      <c r="F1218" s="581"/>
      <c r="G1218" s="582"/>
      <c r="H1218" s="579"/>
      <c r="I1218" s="579"/>
      <c r="J1218" s="579"/>
      <c r="K1218" s="579"/>
      <c r="L1218" s="579"/>
    </row>
    <row r="1219" spans="1:14" s="583" customFormat="1" ht="11.5" hidden="1">
      <c r="A1219" s="584"/>
      <c r="B1219" s="579"/>
      <c r="C1219" s="450" t="s">
        <v>1071</v>
      </c>
      <c r="D1219" s="578"/>
      <c r="E1219" s="581"/>
      <c r="F1219" s="581"/>
      <c r="G1219" s="582"/>
      <c r="H1219" s="579"/>
      <c r="I1219" s="579"/>
      <c r="J1219" s="579"/>
      <c r="K1219" s="579"/>
      <c r="L1219" s="579"/>
    </row>
    <row r="1220" spans="1:14" s="583" customFormat="1" ht="11.5" hidden="1">
      <c r="A1220" s="584"/>
      <c r="B1220" s="579"/>
      <c r="C1220" s="450" t="s">
        <v>1072</v>
      </c>
      <c r="D1220" s="578"/>
      <c r="E1220" s="581"/>
      <c r="F1220" s="581"/>
      <c r="G1220" s="582"/>
      <c r="H1220" s="579"/>
      <c r="I1220" s="579"/>
      <c r="J1220" s="579"/>
      <c r="K1220" s="579"/>
      <c r="L1220" s="579"/>
    </row>
    <row r="1221" spans="1:14" s="583" customFormat="1" ht="13.5" hidden="1" customHeight="1">
      <c r="A1221" s="584"/>
      <c r="B1221" s="579"/>
      <c r="C1221" s="450" t="s">
        <v>1073</v>
      </c>
      <c r="D1221" s="578"/>
      <c r="E1221" s="581"/>
      <c r="F1221" s="581"/>
      <c r="G1221" s="585"/>
      <c r="H1221" s="579"/>
      <c r="I1221" s="579"/>
      <c r="J1221" s="579"/>
      <c r="K1221" s="579"/>
      <c r="L1221" s="579"/>
    </row>
    <row r="1222" spans="1:14" s="583" customFormat="1" ht="11.5" hidden="1">
      <c r="A1222" s="584"/>
      <c r="B1222" s="579"/>
      <c r="C1222" s="450" t="s">
        <v>1074</v>
      </c>
      <c r="D1222" s="578"/>
      <c r="E1222" s="581">
        <f>10.4*9.55</f>
        <v>99.320000000000007</v>
      </c>
      <c r="F1222" s="581"/>
      <c r="G1222" s="585"/>
      <c r="H1222" s="579"/>
      <c r="I1222" s="579"/>
      <c r="J1222" s="579"/>
      <c r="K1222" s="579"/>
      <c r="L1222" s="579"/>
    </row>
    <row r="1223" spans="1:14" s="583" customFormat="1" ht="11.5" hidden="1">
      <c r="A1223" s="584"/>
      <c r="B1223" s="579"/>
      <c r="C1223" s="450" t="s">
        <v>1075</v>
      </c>
      <c r="D1223" s="578"/>
      <c r="E1223" s="586"/>
      <c r="F1223" s="581"/>
      <c r="G1223" s="585"/>
      <c r="H1223" s="579"/>
      <c r="I1223" s="579"/>
      <c r="J1223" s="579"/>
      <c r="K1223" s="579"/>
      <c r="L1223" s="579"/>
    </row>
    <row r="1224" spans="1:14" s="583" customFormat="1" ht="11.5" hidden="1">
      <c r="A1224" s="584"/>
      <c r="B1224" s="579"/>
      <c r="C1224" s="450" t="s">
        <v>1076</v>
      </c>
      <c r="D1224" s="578"/>
      <c r="E1224" s="581">
        <f>0.2*5.34</f>
        <v>1.0680000000000001</v>
      </c>
      <c r="F1224" s="581"/>
      <c r="G1224" s="585"/>
      <c r="H1224" s="579"/>
      <c r="I1224" s="579"/>
      <c r="J1224" s="579"/>
      <c r="K1224" s="579"/>
      <c r="L1224" s="579"/>
    </row>
    <row r="1225" spans="1:14" s="583" customFormat="1" ht="11.5" hidden="1">
      <c r="A1225" s="584"/>
      <c r="B1225" s="579"/>
      <c r="C1225" s="450" t="s">
        <v>1077</v>
      </c>
      <c r="D1225" s="578" t="s">
        <v>182</v>
      </c>
      <c r="E1225" s="581">
        <f>SUM(E1222:E1224)</f>
        <v>100.38800000000001</v>
      </c>
      <c r="F1225" s="581">
        <v>55</v>
      </c>
      <c r="G1225" s="585">
        <v>6123.79</v>
      </c>
      <c r="H1225" s="579"/>
      <c r="I1225" s="579"/>
      <c r="J1225" s="579"/>
      <c r="K1225" s="579"/>
      <c r="L1225" s="579"/>
    </row>
    <row r="1226" spans="1:14" s="583" customFormat="1" ht="11.5" hidden="1">
      <c r="A1226" s="584"/>
      <c r="B1226" s="579"/>
      <c r="C1226" s="450" t="s">
        <v>1078</v>
      </c>
      <c r="D1226" s="578"/>
      <c r="E1226" s="581">
        <v>0.6</v>
      </c>
      <c r="F1226" s="581">
        <v>4.2</v>
      </c>
      <c r="G1226" s="585">
        <f>E1226*F1226</f>
        <v>2.52</v>
      </c>
      <c r="H1226" s="579"/>
      <c r="I1226" s="579"/>
      <c r="J1226" s="579"/>
      <c r="K1226" s="579"/>
      <c r="L1226" s="579"/>
    </row>
    <row r="1227" spans="1:14" s="583" customFormat="1" ht="11.5" hidden="1">
      <c r="A1227" s="584"/>
      <c r="B1227" s="579"/>
      <c r="C1227" s="450" t="s">
        <v>630</v>
      </c>
      <c r="D1227" s="578"/>
      <c r="E1227" s="581"/>
      <c r="F1227" s="581"/>
      <c r="G1227" s="585"/>
      <c r="H1227" s="579"/>
      <c r="I1227" s="579"/>
      <c r="J1227" s="579"/>
      <c r="K1227" s="579"/>
      <c r="L1227" s="579"/>
    </row>
    <row r="1228" spans="1:14" s="583" customFormat="1" ht="46" hidden="1">
      <c r="A1228" s="584"/>
      <c r="B1228" s="579"/>
      <c r="C1228" s="450" t="s">
        <v>1079</v>
      </c>
      <c r="D1228" s="578"/>
      <c r="E1228" s="581">
        <f>E1225+E1226</f>
        <v>100.988</v>
      </c>
      <c r="F1228" s="581">
        <v>27</v>
      </c>
      <c r="G1228" s="585">
        <v>2423.7600000000002</v>
      </c>
      <c r="H1228" s="579"/>
      <c r="I1228" s="579"/>
      <c r="J1228" s="579"/>
      <c r="K1228" s="579"/>
      <c r="L1228" s="579"/>
    </row>
    <row r="1229" spans="1:14" s="583" customFormat="1" ht="23" hidden="1">
      <c r="A1229" s="584"/>
      <c r="B1229" s="579"/>
      <c r="C1229" s="450" t="s">
        <v>1080</v>
      </c>
      <c r="D1229" s="578"/>
      <c r="E1229" s="581">
        <f>E1228</f>
        <v>100.988</v>
      </c>
      <c r="F1229" s="581">
        <v>5</v>
      </c>
      <c r="G1229" s="585">
        <f>E1229*F1229</f>
        <v>504.94</v>
      </c>
      <c r="H1229" s="579"/>
      <c r="I1229" s="579"/>
      <c r="J1229" s="579"/>
      <c r="K1229" s="579"/>
      <c r="L1229" s="579"/>
    </row>
    <row r="1230" spans="1:14" s="583" customFormat="1" ht="11.5" hidden="1">
      <c r="A1230" s="584"/>
      <c r="B1230" s="579"/>
      <c r="C1230" s="450" t="s">
        <v>1081</v>
      </c>
      <c r="D1230" s="578"/>
      <c r="E1230" s="587"/>
      <c r="F1230" s="581"/>
      <c r="G1230" s="585">
        <f>SUM(G1228:G1229)*40%</f>
        <v>1171.4800000000002</v>
      </c>
      <c r="H1230" s="579"/>
      <c r="I1230" s="579"/>
      <c r="J1230" s="579"/>
      <c r="K1230" s="579"/>
      <c r="L1230" s="579"/>
    </row>
    <row r="1231" spans="1:14" s="583" customFormat="1" ht="11.5" hidden="1">
      <c r="A1231" s="584"/>
      <c r="B1231" s="579"/>
      <c r="C1231" s="579"/>
      <c r="D1231" s="578"/>
      <c r="E1231" s="587"/>
      <c r="F1231" s="581"/>
      <c r="G1231" s="585">
        <f>SUM(G1225:G1230)</f>
        <v>10226.49</v>
      </c>
      <c r="H1231" s="579"/>
      <c r="I1231" s="579"/>
      <c r="J1231" s="579"/>
      <c r="K1231" s="579"/>
      <c r="L1231" s="579"/>
    </row>
    <row r="1232" spans="1:14" s="583" customFormat="1" ht="11.5" hidden="1">
      <c r="A1232" s="584"/>
      <c r="B1232" s="579"/>
      <c r="C1232" s="450" t="s">
        <v>1082</v>
      </c>
      <c r="D1232" s="578"/>
      <c r="E1232" s="587"/>
      <c r="F1232" s="581"/>
      <c r="G1232" s="585">
        <f>G1231/10.4</f>
        <v>983.3163461538461</v>
      </c>
      <c r="H1232" s="579"/>
      <c r="I1232" s="579"/>
      <c r="J1232" s="579"/>
      <c r="K1232" s="579"/>
      <c r="L1232" s="579"/>
    </row>
    <row r="1235" spans="5:8">
      <c r="E1235" s="588" t="s">
        <v>849</v>
      </c>
      <c r="H1235" s="399" t="s">
        <v>1083</v>
      </c>
    </row>
    <row r="1236" spans="5:8">
      <c r="E1236" s="588" t="s">
        <v>1084</v>
      </c>
      <c r="H1236" s="399" t="s">
        <v>1042</v>
      </c>
    </row>
  </sheetData>
  <mergeCells count="63">
    <mergeCell ref="C1212:F1212"/>
    <mergeCell ref="G1212:I1212"/>
    <mergeCell ref="C958:F958"/>
    <mergeCell ref="C975:F975"/>
    <mergeCell ref="Q982:T982"/>
    <mergeCell ref="C993:F993"/>
    <mergeCell ref="C1006:F1006"/>
    <mergeCell ref="C1163:F1163"/>
    <mergeCell ref="G1163:H1163"/>
    <mergeCell ref="C1184:F1184"/>
    <mergeCell ref="G1184:H1184"/>
    <mergeCell ref="I1184:K1184"/>
    <mergeCell ref="C1206:F1206"/>
    <mergeCell ref="G1206:I1206"/>
    <mergeCell ref="C940:F940"/>
    <mergeCell ref="C701:F701"/>
    <mergeCell ref="C716:F716"/>
    <mergeCell ref="C773:F773"/>
    <mergeCell ref="C788:F788"/>
    <mergeCell ref="C805:F805"/>
    <mergeCell ref="C825:F825"/>
    <mergeCell ref="C845:F845"/>
    <mergeCell ref="C864:F864"/>
    <mergeCell ref="C885:F885"/>
    <mergeCell ref="C903:F903"/>
    <mergeCell ref="C921:F921"/>
    <mergeCell ref="C700:G700"/>
    <mergeCell ref="C517:F517"/>
    <mergeCell ref="C534:F534"/>
    <mergeCell ref="C551:F551"/>
    <mergeCell ref="C577:F577"/>
    <mergeCell ref="C579:F579"/>
    <mergeCell ref="C601:F601"/>
    <mergeCell ref="C617:F617"/>
    <mergeCell ref="C633:F633"/>
    <mergeCell ref="C650:F650"/>
    <mergeCell ref="C667:F667"/>
    <mergeCell ref="C685:F685"/>
    <mergeCell ref="C497:F497"/>
    <mergeCell ref="K174:L174"/>
    <mergeCell ref="M174:N174"/>
    <mergeCell ref="C279:F279"/>
    <mergeCell ref="G324:H324"/>
    <mergeCell ref="I324:J324"/>
    <mergeCell ref="K324:L324"/>
    <mergeCell ref="M324:N324"/>
    <mergeCell ref="I174:J174"/>
    <mergeCell ref="C413:F413"/>
    <mergeCell ref="C427:F427"/>
    <mergeCell ref="C442:F442"/>
    <mergeCell ref="C462:F462"/>
    <mergeCell ref="C477:F477"/>
    <mergeCell ref="C87:F87"/>
    <mergeCell ref="C106:F106"/>
    <mergeCell ref="C119:F119"/>
    <mergeCell ref="C133:F133"/>
    <mergeCell ref="G174:H174"/>
    <mergeCell ref="C20:F20"/>
    <mergeCell ref="A2:H2"/>
    <mergeCell ref="A3:H3"/>
    <mergeCell ref="A4:H4"/>
    <mergeCell ref="C8:F8"/>
    <mergeCell ref="C19:F19"/>
  </mergeCells>
  <hyperlinks>
    <hyperlink ref="C657" r:id="rId1"/>
    <hyperlink ref="C674" r:id="rId2"/>
  </hyperlinks>
  <pageMargins left="0.43307086614173229" right="0.31496062992125984" top="0.47244094488188981" bottom="0.43307086614173229" header="0.27559055118110237" footer="0.31496062992125984"/>
  <pageSetup paperSize="9" scale="66" orientation="portrait" verticalDpi="300" r:id="rId3"/>
  <headerFooter alignWithMargins="0"/>
  <rowBreaks count="1" manualBreakCount="1">
    <brk id="53" max="9" man="1"/>
  </rowBreaks>
</worksheet>
</file>

<file path=xl/worksheets/sheet22.xml><?xml version="1.0" encoding="utf-8"?>
<worksheet xmlns="http://schemas.openxmlformats.org/spreadsheetml/2006/main" xmlns:r="http://schemas.openxmlformats.org/officeDocument/2006/relationships">
  <sheetPr>
    <tabColor theme="0"/>
  </sheetPr>
  <dimension ref="A1:M42"/>
  <sheetViews>
    <sheetView view="pageBreakPreview" topLeftCell="A25" zoomScaleSheetLayoutView="100" workbookViewId="0">
      <selection activeCell="L33" sqref="L33"/>
    </sheetView>
  </sheetViews>
  <sheetFormatPr defaultColWidth="9.1796875" defaultRowHeight="14"/>
  <cols>
    <col min="1" max="1" width="3.1796875" style="704" customWidth="1"/>
    <col min="2" max="2" width="3.26953125" style="682" customWidth="1"/>
    <col min="3" max="3" width="29.7265625" style="682" customWidth="1"/>
    <col min="4" max="4" width="3.7265625" style="706" customWidth="1"/>
    <col min="5" max="5" width="1.7265625" style="707" customWidth="1"/>
    <col min="6" max="6" width="4.453125" style="705" customWidth="1"/>
    <col min="7" max="7" width="6.26953125" style="682" customWidth="1"/>
    <col min="8" max="8" width="8.26953125" style="682" customWidth="1"/>
    <col min="9" max="9" width="6" style="682" customWidth="1"/>
    <col min="10" max="10" width="7.453125" style="682" customWidth="1"/>
    <col min="11" max="11" width="10.453125" style="708" customWidth="1"/>
    <col min="12" max="12" width="11.7265625" style="709" customWidth="1"/>
    <col min="13" max="14" width="9.1796875" style="682"/>
    <col min="15" max="15" width="10.1796875" style="682" bestFit="1" customWidth="1"/>
    <col min="16" max="16" width="9.1796875" style="682"/>
    <col min="17" max="17" width="10.1796875" style="682" bestFit="1" customWidth="1"/>
    <col min="18" max="16384" width="9.1796875" style="682"/>
  </cols>
  <sheetData>
    <row r="1" spans="1:13" ht="13.5" customHeight="1">
      <c r="A1" s="2238" t="s">
        <v>1559</v>
      </c>
      <c r="B1" s="2239"/>
      <c r="C1" s="2239"/>
      <c r="D1" s="2239"/>
      <c r="E1" s="2239"/>
      <c r="F1" s="2239"/>
      <c r="G1" s="2239"/>
      <c r="H1" s="2239"/>
      <c r="I1" s="2239"/>
      <c r="J1" s="2239"/>
      <c r="K1" s="2239"/>
      <c r="L1" s="2239"/>
    </row>
    <row r="2" spans="1:13" s="683" customFormat="1" ht="15.75" customHeight="1">
      <c r="A2" s="2240" t="s">
        <v>1565</v>
      </c>
      <c r="B2" s="2240"/>
      <c r="C2" s="2240"/>
      <c r="D2" s="2240"/>
      <c r="E2" s="2240"/>
      <c r="F2" s="2240"/>
      <c r="G2" s="2240"/>
      <c r="H2" s="2240"/>
      <c r="I2" s="2240"/>
      <c r="J2" s="2240"/>
      <c r="K2" s="2240"/>
      <c r="L2" s="2240"/>
    </row>
    <row r="3" spans="1:13" s="683" customFormat="1" ht="15.75" customHeight="1">
      <c r="A3" s="2241" t="s">
        <v>1566</v>
      </c>
      <c r="B3" s="2241"/>
      <c r="C3" s="2241"/>
      <c r="D3" s="2241"/>
      <c r="E3" s="2241"/>
      <c r="F3" s="2241"/>
      <c r="G3" s="2241"/>
      <c r="H3" s="2241"/>
      <c r="I3" s="2241"/>
      <c r="J3" s="2241"/>
      <c r="K3" s="2241"/>
      <c r="L3" s="2241"/>
    </row>
    <row r="4" spans="1:13">
      <c r="A4" s="2242" t="s">
        <v>1020</v>
      </c>
      <c r="B4" s="2237" t="s">
        <v>1560</v>
      </c>
      <c r="C4" s="2237"/>
      <c r="D4" s="2237" t="s">
        <v>217</v>
      </c>
      <c r="E4" s="2237"/>
      <c r="F4" s="2237"/>
      <c r="G4" s="2237" t="s">
        <v>668</v>
      </c>
      <c r="H4" s="2237"/>
      <c r="I4" s="2237"/>
      <c r="J4" s="2237" t="s">
        <v>235</v>
      </c>
      <c r="K4" s="2237" t="s">
        <v>149</v>
      </c>
      <c r="L4" s="2243" t="s">
        <v>302</v>
      </c>
    </row>
    <row r="5" spans="1:13">
      <c r="A5" s="2242"/>
      <c r="B5" s="2237"/>
      <c r="C5" s="2237"/>
      <c r="D5" s="2237"/>
      <c r="E5" s="2237"/>
      <c r="F5" s="2237"/>
      <c r="G5" s="684" t="s">
        <v>429</v>
      </c>
      <c r="H5" s="684" t="s">
        <v>145</v>
      </c>
      <c r="I5" s="684" t="s">
        <v>498</v>
      </c>
      <c r="J5" s="2237"/>
      <c r="K5" s="2237"/>
      <c r="L5" s="2243"/>
      <c r="M5" s="685"/>
    </row>
    <row r="6" spans="1:13">
      <c r="A6" s="686">
        <v>1</v>
      </c>
      <c r="B6" s="2236">
        <v>2</v>
      </c>
      <c r="C6" s="2236"/>
      <c r="D6" s="2237">
        <v>3</v>
      </c>
      <c r="E6" s="2237"/>
      <c r="F6" s="2237"/>
      <c r="G6" s="687">
        <v>4</v>
      </c>
      <c r="H6" s="687">
        <v>5</v>
      </c>
      <c r="I6" s="687">
        <v>6</v>
      </c>
      <c r="J6" s="687">
        <v>7</v>
      </c>
      <c r="K6" s="687">
        <v>9</v>
      </c>
      <c r="L6" s="688">
        <v>10</v>
      </c>
    </row>
    <row r="7" spans="1:13" s="695" customFormat="1" ht="12.5">
      <c r="A7" s="689"/>
      <c r="B7" s="690"/>
      <c r="C7" s="691" t="s">
        <v>1561</v>
      </c>
      <c r="D7" s="691"/>
      <c r="E7" s="691"/>
      <c r="F7" s="691"/>
      <c r="G7" s="691"/>
      <c r="H7" s="691"/>
      <c r="I7" s="691"/>
      <c r="J7" s="692"/>
      <c r="K7" s="693"/>
      <c r="L7" s="694"/>
    </row>
    <row r="8" spans="1:13" s="695" customFormat="1" ht="51" customHeight="1">
      <c r="A8" s="689">
        <v>1</v>
      </c>
      <c r="B8" s="2235" t="s">
        <v>1567</v>
      </c>
      <c r="C8" s="2235"/>
      <c r="D8" s="2235"/>
      <c r="E8" s="2235"/>
      <c r="F8" s="2235"/>
      <c r="G8" s="2235"/>
      <c r="H8" s="2235"/>
      <c r="I8" s="2235"/>
      <c r="J8" s="2235"/>
      <c r="K8" s="696"/>
      <c r="L8" s="694"/>
    </row>
    <row r="9" spans="1:13" s="695" customFormat="1" ht="12.5">
      <c r="A9" s="689"/>
      <c r="B9" s="697"/>
      <c r="C9" s="698"/>
      <c r="D9" s="699">
        <v>1</v>
      </c>
      <c r="E9" s="690" t="s">
        <v>672</v>
      </c>
      <c r="F9" s="699">
        <v>1</v>
      </c>
      <c r="G9" s="700">
        <v>70</v>
      </c>
      <c r="H9" s="701"/>
      <c r="I9" s="700"/>
      <c r="J9" s="700">
        <v>70</v>
      </c>
      <c r="K9" s="693">
        <v>535</v>
      </c>
      <c r="L9" s="694">
        <f>ROUND(K9*J9,0)</f>
        <v>37450</v>
      </c>
    </row>
    <row r="10" spans="1:13" s="695" customFormat="1" ht="12.5">
      <c r="A10" s="689"/>
      <c r="B10" s="690"/>
      <c r="C10" s="691"/>
      <c r="D10" s="691"/>
      <c r="E10" s="691"/>
      <c r="F10" s="691"/>
      <c r="G10" s="691"/>
      <c r="H10" s="691"/>
      <c r="I10" s="691"/>
      <c r="J10" s="692" t="s">
        <v>1568</v>
      </c>
      <c r="K10" s="693" t="s">
        <v>1568</v>
      </c>
      <c r="L10" s="694"/>
    </row>
    <row r="11" spans="1:13" s="695" customFormat="1" ht="27.75" customHeight="1">
      <c r="A11" s="689">
        <v>2</v>
      </c>
      <c r="B11" s="2235" t="s">
        <v>1569</v>
      </c>
      <c r="C11" s="2235"/>
      <c r="D11" s="2235"/>
      <c r="E11" s="2235"/>
      <c r="F11" s="2235"/>
      <c r="G11" s="2235"/>
      <c r="H11" s="2235"/>
      <c r="I11" s="2235"/>
      <c r="J11" s="2235"/>
      <c r="K11" s="696"/>
      <c r="L11" s="694"/>
    </row>
    <row r="12" spans="1:13" s="695" customFormat="1" ht="12.5">
      <c r="A12" s="689"/>
      <c r="B12" s="697"/>
      <c r="C12" s="698"/>
      <c r="D12" s="699">
        <v>1</v>
      </c>
      <c r="E12" s="690" t="s">
        <v>672</v>
      </c>
      <c r="F12" s="699">
        <v>1</v>
      </c>
      <c r="G12" s="700">
        <v>30</v>
      </c>
      <c r="H12" s="701"/>
      <c r="I12" s="700"/>
      <c r="J12" s="700">
        <f>G12</f>
        <v>30</v>
      </c>
      <c r="K12" s="693">
        <v>805</v>
      </c>
      <c r="L12" s="694">
        <f>ROUND(K12*J12,0)</f>
        <v>24150</v>
      </c>
    </row>
    <row r="13" spans="1:13" s="695" customFormat="1" ht="12.5">
      <c r="A13" s="689"/>
      <c r="B13" s="690"/>
      <c r="C13" s="691"/>
      <c r="D13" s="691"/>
      <c r="E13" s="691"/>
      <c r="F13" s="691"/>
      <c r="G13" s="691"/>
      <c r="H13" s="691"/>
      <c r="I13" s="691"/>
      <c r="J13" s="692" t="s">
        <v>1568</v>
      </c>
      <c r="K13" s="693" t="s">
        <v>1568</v>
      </c>
      <c r="L13" s="694"/>
    </row>
    <row r="14" spans="1:13" s="695" customFormat="1" ht="51" customHeight="1">
      <c r="A14" s="689">
        <v>3</v>
      </c>
      <c r="B14" s="2235" t="s">
        <v>1570</v>
      </c>
      <c r="C14" s="2235"/>
      <c r="D14" s="2235"/>
      <c r="E14" s="2235"/>
      <c r="F14" s="2235"/>
      <c r="G14" s="2235"/>
      <c r="H14" s="2235"/>
      <c r="I14" s="2235"/>
      <c r="J14" s="2235"/>
      <c r="K14" s="696"/>
      <c r="L14" s="694"/>
    </row>
    <row r="15" spans="1:13" s="695" customFormat="1" ht="12.5">
      <c r="A15" s="689"/>
      <c r="B15" s="697"/>
      <c r="C15" s="698"/>
      <c r="D15" s="699">
        <v>1</v>
      </c>
      <c r="E15" s="690" t="s">
        <v>672</v>
      </c>
      <c r="F15" s="699">
        <v>1</v>
      </c>
      <c r="G15" s="700"/>
      <c r="H15" s="701"/>
      <c r="I15" s="700"/>
      <c r="J15" s="700">
        <v>1</v>
      </c>
      <c r="K15" s="693" t="e">
        <f>#REF!</f>
        <v>#REF!</v>
      </c>
      <c r="L15" s="694" t="e">
        <f>ROUND(K15*J15,0)</f>
        <v>#REF!</v>
      </c>
    </row>
    <row r="16" spans="1:13" s="695" customFormat="1" ht="12.5">
      <c r="A16" s="689"/>
      <c r="B16" s="690"/>
      <c r="C16" s="691"/>
      <c r="D16" s="691"/>
      <c r="E16" s="691"/>
      <c r="F16" s="691"/>
      <c r="G16" s="691"/>
      <c r="H16" s="691"/>
      <c r="I16" s="691"/>
      <c r="J16" s="692" t="s">
        <v>217</v>
      </c>
      <c r="K16" s="693" t="s">
        <v>217</v>
      </c>
      <c r="L16" s="694"/>
    </row>
    <row r="17" spans="1:13" s="695" customFormat="1" ht="51" customHeight="1">
      <c r="A17" s="689">
        <v>4</v>
      </c>
      <c r="B17" s="2235" t="s">
        <v>1571</v>
      </c>
      <c r="C17" s="2235"/>
      <c r="D17" s="2235"/>
      <c r="E17" s="2235"/>
      <c r="F17" s="2235"/>
      <c r="G17" s="2235"/>
      <c r="H17" s="2235"/>
      <c r="I17" s="2235"/>
      <c r="J17" s="2235"/>
      <c r="K17" s="696"/>
      <c r="L17" s="694"/>
    </row>
    <row r="18" spans="1:13" s="695" customFormat="1" ht="12.5">
      <c r="A18" s="689"/>
      <c r="B18" s="697"/>
      <c r="C18" s="698"/>
      <c r="D18" s="699">
        <v>1</v>
      </c>
      <c r="E18" s="690" t="s">
        <v>672</v>
      </c>
      <c r="F18" s="699">
        <v>1</v>
      </c>
      <c r="G18" s="700">
        <v>70</v>
      </c>
      <c r="H18" s="701"/>
      <c r="I18" s="700"/>
      <c r="J18" s="700">
        <f>G18</f>
        <v>70</v>
      </c>
      <c r="K18" s="693" t="e">
        <f>#REF!</f>
        <v>#REF!</v>
      </c>
      <c r="L18" s="694" t="e">
        <f>ROUND(K18*J18,0)</f>
        <v>#REF!</v>
      </c>
    </row>
    <row r="19" spans="1:13" s="695" customFormat="1" ht="12.5">
      <c r="A19" s="689"/>
      <c r="B19" s="690"/>
      <c r="C19" s="691"/>
      <c r="D19" s="691"/>
      <c r="E19" s="691"/>
      <c r="F19" s="691"/>
      <c r="G19" s="691"/>
      <c r="H19" s="691"/>
      <c r="I19" s="691"/>
      <c r="J19" s="692" t="s">
        <v>1568</v>
      </c>
      <c r="K19" s="693" t="s">
        <v>1568</v>
      </c>
      <c r="L19" s="694"/>
    </row>
    <row r="20" spans="1:13" s="695" customFormat="1" ht="51" customHeight="1">
      <c r="A20" s="689">
        <v>5</v>
      </c>
      <c r="B20" s="2235" t="s">
        <v>1572</v>
      </c>
      <c r="C20" s="2235"/>
      <c r="D20" s="2235"/>
      <c r="E20" s="2235"/>
      <c r="F20" s="2235"/>
      <c r="G20" s="2235"/>
      <c r="H20" s="2235"/>
      <c r="I20" s="2235"/>
      <c r="J20" s="2235"/>
      <c r="K20" s="696"/>
      <c r="L20" s="694"/>
    </row>
    <row r="21" spans="1:13" s="695" customFormat="1" ht="12.5">
      <c r="A21" s="689"/>
      <c r="B21" s="697"/>
      <c r="C21" s="698" t="s">
        <v>1573</v>
      </c>
      <c r="D21" s="699">
        <v>1</v>
      </c>
      <c r="E21" s="690" t="s">
        <v>672</v>
      </c>
      <c r="F21" s="699">
        <v>1</v>
      </c>
      <c r="G21" s="700">
        <v>45</v>
      </c>
      <c r="H21" s="701"/>
      <c r="I21" s="700"/>
      <c r="J21" s="700">
        <f>G21</f>
        <v>45</v>
      </c>
      <c r="K21" s="693" t="e">
        <f>#REF!</f>
        <v>#REF!</v>
      </c>
      <c r="L21" s="694" t="e">
        <f>ROUND(K21*J21,0)</f>
        <v>#REF!</v>
      </c>
    </row>
    <row r="22" spans="1:13" s="695" customFormat="1" ht="12.5">
      <c r="A22" s="689"/>
      <c r="B22" s="690"/>
      <c r="C22" s="691"/>
      <c r="D22" s="691"/>
      <c r="E22" s="691"/>
      <c r="F22" s="691"/>
      <c r="G22" s="691"/>
      <c r="H22" s="691"/>
      <c r="I22" s="691"/>
      <c r="J22" s="692" t="s">
        <v>1568</v>
      </c>
      <c r="K22" s="693" t="s">
        <v>1568</v>
      </c>
      <c r="L22" s="694"/>
    </row>
    <row r="23" spans="1:13" s="695" customFormat="1" ht="51" customHeight="1">
      <c r="A23" s="689">
        <v>6</v>
      </c>
      <c r="B23" s="2235" t="s">
        <v>1574</v>
      </c>
      <c r="C23" s="2235"/>
      <c r="D23" s="2235"/>
      <c r="E23" s="2235"/>
      <c r="F23" s="2235"/>
      <c r="G23" s="2235"/>
      <c r="H23" s="2235"/>
      <c r="I23" s="2235"/>
      <c r="J23" s="2235"/>
      <c r="K23" s="696"/>
      <c r="L23" s="694"/>
    </row>
    <row r="24" spans="1:13" s="695" customFormat="1" ht="12.5">
      <c r="A24" s="689"/>
      <c r="B24" s="697"/>
      <c r="C24" s="698" t="s">
        <v>1575</v>
      </c>
      <c r="D24" s="699">
        <v>1</v>
      </c>
      <c r="E24" s="690" t="s">
        <v>672</v>
      </c>
      <c r="F24" s="699">
        <v>1</v>
      </c>
      <c r="G24" s="700">
        <v>40</v>
      </c>
      <c r="H24" s="701"/>
      <c r="I24" s="700"/>
      <c r="J24" s="700">
        <f>G24</f>
        <v>40</v>
      </c>
      <c r="K24" s="693" t="e">
        <f>#REF!</f>
        <v>#REF!</v>
      </c>
      <c r="L24" s="694" t="e">
        <f>ROUND(K24*J24,0)</f>
        <v>#REF!</v>
      </c>
    </row>
    <row r="25" spans="1:13" s="695" customFormat="1" ht="12.5">
      <c r="A25" s="689"/>
      <c r="B25" s="690"/>
      <c r="C25" s="691"/>
      <c r="D25" s="691"/>
      <c r="E25" s="691"/>
      <c r="F25" s="691"/>
      <c r="G25" s="691"/>
      <c r="H25" s="691"/>
      <c r="I25" s="691"/>
      <c r="J25" s="692" t="s">
        <v>1568</v>
      </c>
      <c r="K25" s="693" t="s">
        <v>1568</v>
      </c>
      <c r="L25" s="694"/>
    </row>
    <row r="26" spans="1:13" s="695" customFormat="1" ht="78.75" customHeight="1">
      <c r="A26" s="689">
        <v>6</v>
      </c>
      <c r="B26" s="2235" t="s">
        <v>1562</v>
      </c>
      <c r="C26" s="2235"/>
      <c r="D26" s="2235"/>
      <c r="E26" s="2235"/>
      <c r="F26" s="2235"/>
      <c r="G26" s="2235"/>
      <c r="H26" s="2235"/>
      <c r="I26" s="2235"/>
      <c r="J26" s="2235"/>
      <c r="K26" s="696"/>
      <c r="L26" s="694"/>
    </row>
    <row r="27" spans="1:13" s="695" customFormat="1" ht="12.5">
      <c r="A27" s="689"/>
      <c r="B27" s="697"/>
      <c r="C27" s="698"/>
      <c r="D27" s="699">
        <v>1</v>
      </c>
      <c r="E27" s="690" t="s">
        <v>672</v>
      </c>
      <c r="F27" s="699">
        <v>1</v>
      </c>
      <c r="G27" s="702">
        <v>2000</v>
      </c>
      <c r="H27" s="701"/>
      <c r="I27" s="700"/>
      <c r="J27" s="700">
        <v>2000</v>
      </c>
      <c r="K27" s="703" t="e">
        <f>#REF!</f>
        <v>#REF!</v>
      </c>
      <c r="L27" s="694" t="e">
        <f>ROUND(K27*J27,0)</f>
        <v>#REF!</v>
      </c>
    </row>
    <row r="28" spans="1:13" s="695" customFormat="1" ht="12.5">
      <c r="A28" s="689"/>
      <c r="B28" s="690"/>
      <c r="C28" s="691"/>
      <c r="D28" s="691"/>
      <c r="E28" s="691"/>
      <c r="F28" s="691"/>
      <c r="G28" s="691"/>
      <c r="H28" s="691"/>
      <c r="I28" s="691"/>
      <c r="J28" s="692" t="s">
        <v>1563</v>
      </c>
      <c r="K28" s="693" t="s">
        <v>1564</v>
      </c>
      <c r="L28" s="694"/>
    </row>
    <row r="29" spans="1:13" s="695" customFormat="1" ht="42.75" customHeight="1">
      <c r="A29" s="689">
        <v>7</v>
      </c>
      <c r="B29" s="2235" t="s">
        <v>1157</v>
      </c>
      <c r="C29" s="2235"/>
      <c r="D29" s="2235"/>
      <c r="E29" s="2235"/>
      <c r="F29" s="2235"/>
      <c r="G29" s="2235"/>
      <c r="H29" s="2235"/>
      <c r="I29" s="2235"/>
      <c r="J29" s="2235"/>
      <c r="K29" s="696"/>
      <c r="L29" s="694"/>
    </row>
    <row r="30" spans="1:13" s="695" customFormat="1" ht="12.5">
      <c r="A30" s="689"/>
      <c r="B30" s="697"/>
      <c r="C30" s="698"/>
      <c r="D30" s="699">
        <v>1</v>
      </c>
      <c r="E30" s="690" t="s">
        <v>672</v>
      </c>
      <c r="F30" s="699">
        <v>4</v>
      </c>
      <c r="G30" s="702"/>
      <c r="H30" s="701"/>
      <c r="I30" s="700"/>
      <c r="J30" s="700">
        <f>F30</f>
        <v>4</v>
      </c>
      <c r="K30" s="693" t="e">
        <f>#REF!</f>
        <v>#REF!</v>
      </c>
      <c r="L30" s="694" t="e">
        <f>ROUND(K30*J30,0)</f>
        <v>#REF!</v>
      </c>
    </row>
    <row r="31" spans="1:13" s="695" customFormat="1" ht="12.5">
      <c r="A31" s="689"/>
      <c r="B31" s="690"/>
      <c r="C31" s="2231"/>
      <c r="D31" s="2231"/>
      <c r="E31" s="2231"/>
      <c r="F31" s="2231"/>
      <c r="G31" s="2231"/>
      <c r="H31" s="2231"/>
      <c r="I31" s="2231"/>
      <c r="J31" s="692" t="s">
        <v>217</v>
      </c>
      <c r="K31" s="693" t="s">
        <v>692</v>
      </c>
      <c r="L31" s="694"/>
    </row>
    <row r="32" spans="1:13" s="695" customFormat="1" ht="12.5">
      <c r="A32" s="689">
        <v>8</v>
      </c>
      <c r="B32" s="2232" t="s">
        <v>1576</v>
      </c>
      <c r="C32" s="2233"/>
      <c r="D32" s="2233"/>
      <c r="E32" s="2233"/>
      <c r="F32" s="2234"/>
      <c r="G32" s="691"/>
      <c r="H32" s="691"/>
      <c r="I32" s="691"/>
      <c r="J32" s="692"/>
      <c r="K32" s="693"/>
      <c r="L32" s="694">
        <v>3650</v>
      </c>
      <c r="M32" s="710" t="e">
        <f>140000-L33</f>
        <v>#REF!</v>
      </c>
    </row>
    <row r="33" spans="1:12" s="695" customFormat="1" ht="12.5">
      <c r="A33" s="689"/>
      <c r="B33" s="690"/>
      <c r="C33" s="691"/>
      <c r="D33" s="691"/>
      <c r="E33" s="691"/>
      <c r="F33" s="691"/>
      <c r="G33" s="691"/>
      <c r="H33" s="691"/>
      <c r="I33" s="691"/>
      <c r="J33" s="692"/>
      <c r="K33" s="693"/>
      <c r="L33" s="694" t="e">
        <f>SUM(L9:L32)</f>
        <v>#REF!</v>
      </c>
    </row>
    <row r="34" spans="1:12" s="695" customFormat="1" ht="12.5">
      <c r="A34" s="689"/>
      <c r="B34" s="690"/>
      <c r="C34" s="691"/>
      <c r="D34" s="691"/>
      <c r="E34" s="691"/>
      <c r="F34" s="691"/>
      <c r="G34" s="691"/>
      <c r="H34" s="691"/>
      <c r="I34" s="691"/>
      <c r="J34" s="692"/>
      <c r="K34" s="693"/>
      <c r="L34" s="694"/>
    </row>
    <row r="35" spans="1:12" s="695" customFormat="1" ht="12.5">
      <c r="A35" s="689"/>
      <c r="B35" s="690"/>
      <c r="C35" s="691"/>
      <c r="D35" s="691"/>
      <c r="E35" s="691"/>
      <c r="F35" s="691"/>
      <c r="G35" s="691"/>
      <c r="H35" s="691"/>
      <c r="I35" s="691"/>
      <c r="J35" s="692"/>
      <c r="K35" s="693"/>
      <c r="L35" s="694"/>
    </row>
    <row r="36" spans="1:12" s="695" customFormat="1" ht="12.5">
      <c r="A36" s="689"/>
      <c r="B36" s="690"/>
      <c r="C36" s="691"/>
      <c r="D36" s="691"/>
      <c r="E36" s="691"/>
      <c r="F36" s="691"/>
      <c r="G36" s="691"/>
      <c r="H36" s="691"/>
      <c r="I36" s="691"/>
      <c r="J36" s="692"/>
      <c r="K36" s="693"/>
      <c r="L36" s="694"/>
    </row>
    <row r="37" spans="1:12" s="695" customFormat="1" ht="12.5">
      <c r="A37" s="689"/>
      <c r="B37" s="690"/>
      <c r="C37" s="691"/>
      <c r="D37" s="691"/>
      <c r="E37" s="691"/>
      <c r="F37" s="691"/>
      <c r="G37" s="691"/>
      <c r="H37" s="691"/>
      <c r="I37" s="691"/>
      <c r="J37" s="692"/>
      <c r="K37" s="693"/>
      <c r="L37" s="694"/>
    </row>
    <row r="38" spans="1:12" s="695" customFormat="1" ht="12.5">
      <c r="A38" s="689"/>
      <c r="B38" s="690"/>
      <c r="C38" s="691"/>
      <c r="D38" s="691"/>
      <c r="E38" s="691"/>
      <c r="F38" s="691"/>
      <c r="G38" s="691"/>
      <c r="H38" s="691"/>
      <c r="I38" s="691"/>
      <c r="J38" s="692"/>
      <c r="K38" s="693"/>
      <c r="L38" s="694"/>
    </row>
    <row r="39" spans="1:12" s="695" customFormat="1" ht="12.5">
      <c r="A39" s="689"/>
      <c r="B39" s="690"/>
      <c r="C39" s="691"/>
      <c r="D39" s="691"/>
      <c r="E39" s="691"/>
      <c r="F39" s="691"/>
      <c r="G39" s="691"/>
      <c r="H39" s="691"/>
      <c r="I39" s="691"/>
      <c r="J39" s="692"/>
      <c r="K39" s="693"/>
      <c r="L39" s="694"/>
    </row>
    <row r="40" spans="1:12" s="695" customFormat="1" ht="12.5">
      <c r="A40" s="689"/>
      <c r="B40" s="690"/>
      <c r="C40" s="691"/>
      <c r="D40" s="691"/>
      <c r="E40" s="691"/>
      <c r="F40" s="691"/>
      <c r="G40" s="691"/>
      <c r="H40" s="691"/>
      <c r="I40" s="691"/>
      <c r="J40" s="692"/>
      <c r="K40" s="693"/>
      <c r="L40" s="694"/>
    </row>
    <row r="41" spans="1:12" s="695" customFormat="1" ht="12.5">
      <c r="A41" s="689"/>
      <c r="B41" s="690"/>
      <c r="C41" s="691"/>
      <c r="D41" s="691"/>
      <c r="E41" s="691"/>
      <c r="F41" s="691"/>
      <c r="G41" s="691"/>
      <c r="H41" s="691"/>
      <c r="I41" s="691"/>
      <c r="J41" s="692"/>
      <c r="K41" s="693"/>
      <c r="L41" s="694"/>
    </row>
    <row r="42" spans="1:12" s="695" customFormat="1" ht="12.5">
      <c r="A42" s="689"/>
      <c r="B42" s="690"/>
      <c r="C42" s="691"/>
      <c r="D42" s="691"/>
      <c r="E42" s="691"/>
      <c r="F42" s="691"/>
      <c r="G42" s="691"/>
      <c r="H42" s="691"/>
      <c r="I42" s="691"/>
      <c r="J42" s="692"/>
      <c r="K42" s="693"/>
      <c r="L42" s="694"/>
    </row>
  </sheetData>
  <mergeCells count="22">
    <mergeCell ref="A1:L1"/>
    <mergeCell ref="A2:L2"/>
    <mergeCell ref="A3:L3"/>
    <mergeCell ref="A4:A5"/>
    <mergeCell ref="B4:C5"/>
    <mergeCell ref="D4:F5"/>
    <mergeCell ref="G4:I4"/>
    <mergeCell ref="J4:J5"/>
    <mergeCell ref="K4:K5"/>
    <mergeCell ref="L4:L5"/>
    <mergeCell ref="B6:C6"/>
    <mergeCell ref="D6:F6"/>
    <mergeCell ref="B8:J8"/>
    <mergeCell ref="B11:J11"/>
    <mergeCell ref="B14:J14"/>
    <mergeCell ref="C31:I31"/>
    <mergeCell ref="B32:F32"/>
    <mergeCell ref="B17:J17"/>
    <mergeCell ref="B20:J20"/>
    <mergeCell ref="B23:J23"/>
    <mergeCell ref="B26:J26"/>
    <mergeCell ref="B29:J29"/>
  </mergeCells>
  <pageMargins left="0.511811023622047" right="0.35433070866141703" top="0.25" bottom="0.33" header="0.16" footer="0.24"/>
  <pageSetup paperSize="9" scale="96" fitToHeight="4" orientation="portrait" r:id="rId1"/>
</worksheet>
</file>

<file path=xl/worksheets/sheet23.xml><?xml version="1.0" encoding="utf-8"?>
<worksheet xmlns="http://schemas.openxmlformats.org/spreadsheetml/2006/main" xmlns:r="http://schemas.openxmlformats.org/officeDocument/2006/relationships">
  <dimension ref="A1:L91"/>
  <sheetViews>
    <sheetView view="pageBreakPreview" topLeftCell="A8" zoomScale="115" zoomScaleSheetLayoutView="115" workbookViewId="0">
      <selection activeCell="K41" sqref="K41"/>
    </sheetView>
  </sheetViews>
  <sheetFormatPr defaultColWidth="9.1796875" defaultRowHeight="12.5"/>
  <cols>
    <col min="1" max="1" width="3.453125" style="662" customWidth="1"/>
    <col min="2" max="2" width="4.81640625" style="662" customWidth="1"/>
    <col min="3" max="3" width="12" style="662" customWidth="1"/>
    <col min="4" max="4" width="48.26953125" style="671" customWidth="1"/>
    <col min="5" max="5" width="9" style="671" customWidth="1"/>
    <col min="6" max="6" width="11" style="681" customWidth="1"/>
    <col min="7" max="7" width="10.7265625" style="662" customWidth="1"/>
    <col min="8" max="8" width="9.453125" style="662" bestFit="1" customWidth="1"/>
    <col min="9" max="12" width="12.453125" style="675" customWidth="1"/>
    <col min="13" max="16384" width="9.1796875" style="662"/>
  </cols>
  <sheetData>
    <row r="1" spans="2:12" s="647" customFormat="1" ht="15.75" customHeight="1">
      <c r="B1" s="2244" t="s">
        <v>1122</v>
      </c>
      <c r="C1" s="2245"/>
      <c r="D1" s="2245"/>
      <c r="E1" s="2245"/>
      <c r="F1" s="2245"/>
      <c r="I1" s="648"/>
      <c r="J1" s="648"/>
      <c r="K1" s="648"/>
      <c r="L1" s="648"/>
    </row>
    <row r="2" spans="2:12" s="652" customFormat="1" ht="43.5" customHeight="1">
      <c r="B2" s="2246" t="s">
        <v>140</v>
      </c>
      <c r="C2" s="2246" t="s">
        <v>44</v>
      </c>
      <c r="D2" s="2247" t="s">
        <v>148</v>
      </c>
      <c r="E2" s="650"/>
      <c r="F2" s="651" t="s">
        <v>1104</v>
      </c>
      <c r="G2" s="651" t="s">
        <v>995</v>
      </c>
      <c r="I2" s="653" t="s">
        <v>992</v>
      </c>
      <c r="J2" s="653" t="s">
        <v>993</v>
      </c>
      <c r="K2" s="653" t="s">
        <v>994</v>
      </c>
      <c r="L2" s="653" t="s">
        <v>142</v>
      </c>
    </row>
    <row r="3" spans="2:12" s="652" customFormat="1" ht="20.25" customHeight="1">
      <c r="B3" s="2246"/>
      <c r="C3" s="2246"/>
      <c r="D3" s="2247"/>
      <c r="E3" s="649" t="s">
        <v>150</v>
      </c>
      <c r="F3" s="651" t="s">
        <v>149</v>
      </c>
      <c r="G3" s="651" t="s">
        <v>149</v>
      </c>
      <c r="I3" s="653"/>
      <c r="J3" s="653"/>
      <c r="K3" s="654"/>
      <c r="L3" s="654"/>
    </row>
    <row r="4" spans="2:12" s="652" customFormat="1" ht="14">
      <c r="B4" s="649">
        <v>1</v>
      </c>
      <c r="C4" s="649"/>
      <c r="D4" s="650">
        <v>2</v>
      </c>
      <c r="E4" s="649">
        <v>3</v>
      </c>
      <c r="F4" s="650">
        <v>4</v>
      </c>
      <c r="G4" s="650">
        <v>4</v>
      </c>
      <c r="I4" s="655"/>
      <c r="J4" s="655"/>
      <c r="K4" s="656"/>
      <c r="L4" s="656"/>
    </row>
    <row r="5" spans="2:12">
      <c r="B5" s="667">
        <v>68</v>
      </c>
      <c r="C5" s="668" t="s">
        <v>1656</v>
      </c>
      <c r="D5" s="669" t="s">
        <v>1657</v>
      </c>
      <c r="E5" s="666" t="s">
        <v>1474</v>
      </c>
      <c r="F5" s="659">
        <f>I5</f>
        <v>25</v>
      </c>
      <c r="G5" s="659"/>
      <c r="H5" s="660"/>
      <c r="I5" s="659">
        <v>25</v>
      </c>
      <c r="J5" s="664"/>
      <c r="K5" s="665"/>
      <c r="L5" s="665">
        <f>I5+K5</f>
        <v>25</v>
      </c>
    </row>
    <row r="6" spans="2:12">
      <c r="B6" s="667">
        <v>68</v>
      </c>
      <c r="C6" s="668" t="s">
        <v>1472</v>
      </c>
      <c r="D6" s="669" t="s">
        <v>1473</v>
      </c>
      <c r="E6" s="666" t="s">
        <v>1474</v>
      </c>
      <c r="F6" s="659">
        <f t="shared" ref="F6:F59" si="0">I6</f>
        <v>33</v>
      </c>
      <c r="G6" s="659"/>
      <c r="H6" s="660"/>
      <c r="I6" s="659">
        <v>33</v>
      </c>
      <c r="J6" s="664"/>
      <c r="K6" s="665"/>
      <c r="L6" s="665">
        <f t="shared" ref="L6:L48" si="1">I6+K6</f>
        <v>33</v>
      </c>
    </row>
    <row r="7" spans="2:12">
      <c r="B7" s="667"/>
      <c r="C7" s="668" t="s">
        <v>1475</v>
      </c>
      <c r="D7" s="669" t="s">
        <v>1476</v>
      </c>
      <c r="E7" s="666" t="s">
        <v>217</v>
      </c>
      <c r="F7" s="659">
        <f t="shared" si="0"/>
        <v>30</v>
      </c>
      <c r="G7" s="659"/>
      <c r="H7" s="660"/>
      <c r="I7" s="659">
        <v>30</v>
      </c>
      <c r="J7" s="664"/>
      <c r="K7" s="665"/>
      <c r="L7" s="665">
        <f t="shared" si="1"/>
        <v>30</v>
      </c>
    </row>
    <row r="8" spans="2:12">
      <c r="B8" s="667"/>
      <c r="C8" s="668" t="s">
        <v>1477</v>
      </c>
      <c r="D8" s="669" t="s">
        <v>1478</v>
      </c>
      <c r="E8" s="666" t="s">
        <v>183</v>
      </c>
      <c r="F8" s="659">
        <f t="shared" si="0"/>
        <v>25</v>
      </c>
      <c r="G8" s="659"/>
      <c r="H8" s="660"/>
      <c r="I8" s="659">
        <v>25</v>
      </c>
      <c r="J8" s="664"/>
      <c r="K8" s="665"/>
      <c r="L8" s="665">
        <f t="shared" si="1"/>
        <v>25</v>
      </c>
    </row>
    <row r="9" spans="2:12">
      <c r="B9" s="667"/>
      <c r="C9" s="668" t="s">
        <v>1479</v>
      </c>
      <c r="D9" s="669" t="s">
        <v>1294</v>
      </c>
      <c r="E9" s="666" t="s">
        <v>183</v>
      </c>
      <c r="F9" s="659">
        <f t="shared" si="0"/>
        <v>8</v>
      </c>
      <c r="G9" s="659"/>
      <c r="H9" s="660"/>
      <c r="I9" s="659">
        <v>8</v>
      </c>
      <c r="J9" s="664"/>
      <c r="K9" s="665"/>
      <c r="L9" s="665">
        <f t="shared" si="1"/>
        <v>8</v>
      </c>
    </row>
    <row r="10" spans="2:12">
      <c r="B10" s="667"/>
      <c r="C10" s="668" t="s">
        <v>1480</v>
      </c>
      <c r="D10" s="669" t="s">
        <v>1481</v>
      </c>
      <c r="E10" s="666" t="s">
        <v>1482</v>
      </c>
      <c r="F10" s="659">
        <f t="shared" si="0"/>
        <v>1050</v>
      </c>
      <c r="G10" s="659"/>
      <c r="H10" s="660"/>
      <c r="I10" s="659">
        <v>1050</v>
      </c>
      <c r="J10" s="664"/>
      <c r="K10" s="665"/>
      <c r="L10" s="665">
        <f t="shared" si="1"/>
        <v>1050</v>
      </c>
    </row>
    <row r="11" spans="2:12">
      <c r="B11" s="667"/>
      <c r="C11" s="668" t="s">
        <v>1483</v>
      </c>
      <c r="D11" s="669" t="s">
        <v>1484</v>
      </c>
      <c r="E11" s="666" t="s">
        <v>217</v>
      </c>
      <c r="F11" s="659">
        <f t="shared" si="0"/>
        <v>15</v>
      </c>
      <c r="G11" s="659"/>
      <c r="H11" s="660"/>
      <c r="I11" s="659">
        <v>15</v>
      </c>
      <c r="J11" s="664"/>
      <c r="K11" s="665"/>
      <c r="L11" s="665">
        <f t="shared" si="1"/>
        <v>15</v>
      </c>
    </row>
    <row r="12" spans="2:12">
      <c r="B12" s="667"/>
      <c r="C12" s="668" t="s">
        <v>1485</v>
      </c>
      <c r="D12" s="669" t="s">
        <v>1486</v>
      </c>
      <c r="E12" s="666" t="s">
        <v>217</v>
      </c>
      <c r="F12" s="659">
        <f t="shared" si="0"/>
        <v>19</v>
      </c>
      <c r="G12" s="659"/>
      <c r="H12" s="660"/>
      <c r="I12" s="659">
        <v>19</v>
      </c>
      <c r="J12" s="664"/>
      <c r="K12" s="665"/>
      <c r="L12" s="665">
        <f t="shared" si="1"/>
        <v>19</v>
      </c>
    </row>
    <row r="13" spans="2:12">
      <c r="B13" s="667"/>
      <c r="C13" s="668" t="s">
        <v>1487</v>
      </c>
      <c r="D13" s="669" t="s">
        <v>1488</v>
      </c>
      <c r="E13" s="666" t="s">
        <v>217</v>
      </c>
      <c r="F13" s="659">
        <f t="shared" si="0"/>
        <v>120</v>
      </c>
      <c r="G13" s="659"/>
      <c r="H13" s="660"/>
      <c r="I13" s="659">
        <v>120</v>
      </c>
      <c r="J13" s="664"/>
      <c r="K13" s="665"/>
      <c r="L13" s="665">
        <f t="shared" si="1"/>
        <v>120</v>
      </c>
    </row>
    <row r="14" spans="2:12">
      <c r="B14" s="667"/>
      <c r="C14" s="668" t="s">
        <v>1483</v>
      </c>
      <c r="D14" s="669" t="s">
        <v>1489</v>
      </c>
      <c r="E14" s="666" t="s">
        <v>217</v>
      </c>
      <c r="F14" s="659">
        <f t="shared" si="0"/>
        <v>24</v>
      </c>
      <c r="G14" s="659"/>
      <c r="H14" s="660"/>
      <c r="I14" s="659">
        <v>24</v>
      </c>
      <c r="J14" s="664"/>
      <c r="K14" s="665"/>
      <c r="L14" s="665">
        <f t="shared" si="1"/>
        <v>24</v>
      </c>
    </row>
    <row r="15" spans="2:12">
      <c r="B15" s="667"/>
      <c r="C15" s="668" t="s">
        <v>1490</v>
      </c>
      <c r="D15" s="669" t="s">
        <v>1491</v>
      </c>
      <c r="E15" s="666" t="s">
        <v>217</v>
      </c>
      <c r="F15" s="659">
        <f t="shared" si="0"/>
        <v>15</v>
      </c>
      <c r="G15" s="659"/>
      <c r="H15" s="660"/>
      <c r="I15" s="659">
        <v>15</v>
      </c>
      <c r="J15" s="664"/>
      <c r="K15" s="665"/>
      <c r="L15" s="665">
        <f t="shared" si="1"/>
        <v>15</v>
      </c>
    </row>
    <row r="16" spans="2:12">
      <c r="B16" s="667"/>
      <c r="C16" s="668" t="s">
        <v>1492</v>
      </c>
      <c r="D16" s="669" t="s">
        <v>1493</v>
      </c>
      <c r="E16" s="666" t="s">
        <v>217</v>
      </c>
      <c r="F16" s="659">
        <f t="shared" si="0"/>
        <v>80</v>
      </c>
      <c r="G16" s="659"/>
      <c r="H16" s="660"/>
      <c r="I16" s="659">
        <v>80</v>
      </c>
      <c r="J16" s="664"/>
      <c r="K16" s="665"/>
      <c r="L16" s="665">
        <f t="shared" si="1"/>
        <v>80</v>
      </c>
    </row>
    <row r="17" spans="2:12">
      <c r="B17" s="667"/>
      <c r="C17" s="668" t="s">
        <v>1485</v>
      </c>
      <c r="D17" s="669" t="s">
        <v>1494</v>
      </c>
      <c r="E17" s="666" t="s">
        <v>217</v>
      </c>
      <c r="F17" s="659">
        <f t="shared" si="0"/>
        <v>145</v>
      </c>
      <c r="G17" s="659"/>
      <c r="H17" s="660"/>
      <c r="I17" s="659">
        <v>145</v>
      </c>
      <c r="J17" s="664"/>
      <c r="K17" s="665"/>
      <c r="L17" s="665">
        <f t="shared" si="1"/>
        <v>145</v>
      </c>
    </row>
    <row r="18" spans="2:12">
      <c r="B18" s="667"/>
      <c r="C18" s="668" t="s">
        <v>1495</v>
      </c>
      <c r="D18" s="669" t="s">
        <v>1496</v>
      </c>
      <c r="E18" s="666" t="s">
        <v>217</v>
      </c>
      <c r="F18" s="659">
        <f t="shared" si="0"/>
        <v>20</v>
      </c>
      <c r="G18" s="659"/>
      <c r="H18" s="660"/>
      <c r="I18" s="659">
        <v>20</v>
      </c>
      <c r="J18" s="664"/>
      <c r="K18" s="665"/>
      <c r="L18" s="665">
        <f t="shared" si="1"/>
        <v>20</v>
      </c>
    </row>
    <row r="19" spans="2:12">
      <c r="B19" s="667"/>
      <c r="C19" s="668" t="s">
        <v>1497</v>
      </c>
      <c r="D19" s="669" t="s">
        <v>1498</v>
      </c>
      <c r="E19" s="666" t="s">
        <v>217</v>
      </c>
      <c r="F19" s="659">
        <f t="shared" si="0"/>
        <v>12</v>
      </c>
      <c r="G19" s="659"/>
      <c r="H19" s="660"/>
      <c r="I19" s="659">
        <v>12</v>
      </c>
      <c r="J19" s="664"/>
      <c r="K19" s="665"/>
      <c r="L19" s="665">
        <f t="shared" si="1"/>
        <v>12</v>
      </c>
    </row>
    <row r="20" spans="2:12">
      <c r="B20" s="667"/>
      <c r="C20" s="668" t="s">
        <v>1495</v>
      </c>
      <c r="D20" s="669" t="s">
        <v>1496</v>
      </c>
      <c r="E20" s="666" t="s">
        <v>217</v>
      </c>
      <c r="F20" s="659">
        <f t="shared" si="0"/>
        <v>20</v>
      </c>
      <c r="G20" s="659"/>
      <c r="H20" s="660"/>
      <c r="I20" s="659">
        <v>20</v>
      </c>
      <c r="J20" s="664"/>
      <c r="K20" s="665"/>
      <c r="L20" s="665">
        <f t="shared" si="1"/>
        <v>20</v>
      </c>
    </row>
    <row r="21" spans="2:12">
      <c r="B21" s="667"/>
      <c r="C21" s="668" t="s">
        <v>1499</v>
      </c>
      <c r="D21" s="669" t="s">
        <v>1500</v>
      </c>
      <c r="E21" s="666" t="s">
        <v>217</v>
      </c>
      <c r="F21" s="659">
        <f t="shared" si="0"/>
        <v>55</v>
      </c>
      <c r="G21" s="659"/>
      <c r="H21" s="660"/>
      <c r="I21" s="659">
        <v>55</v>
      </c>
      <c r="J21" s="664"/>
      <c r="K21" s="665"/>
      <c r="L21" s="665">
        <f t="shared" si="1"/>
        <v>55</v>
      </c>
    </row>
    <row r="22" spans="2:12">
      <c r="B22" s="667"/>
      <c r="C22" s="668" t="s">
        <v>1501</v>
      </c>
      <c r="D22" s="669" t="s">
        <v>1502</v>
      </c>
      <c r="E22" s="666" t="s">
        <v>1482</v>
      </c>
      <c r="F22" s="659">
        <f t="shared" si="0"/>
        <v>1510</v>
      </c>
      <c r="G22" s="659"/>
      <c r="H22" s="660"/>
      <c r="I22" s="659">
        <v>1510</v>
      </c>
      <c r="J22" s="664"/>
      <c r="K22" s="665"/>
      <c r="L22" s="665">
        <f t="shared" si="1"/>
        <v>1510</v>
      </c>
    </row>
    <row r="23" spans="2:12">
      <c r="B23" s="667"/>
      <c r="C23" s="668" t="s">
        <v>1503</v>
      </c>
      <c r="D23" s="669" t="s">
        <v>1504</v>
      </c>
      <c r="E23" s="666" t="s">
        <v>1482</v>
      </c>
      <c r="F23" s="659">
        <f t="shared" si="0"/>
        <v>2440</v>
      </c>
      <c r="G23" s="659"/>
      <c r="H23" s="660"/>
      <c r="I23" s="659">
        <v>2440</v>
      </c>
      <c r="J23" s="664"/>
      <c r="K23" s="665"/>
      <c r="L23" s="665">
        <f t="shared" si="1"/>
        <v>2440</v>
      </c>
    </row>
    <row r="24" spans="2:12">
      <c r="B24" s="667"/>
      <c r="C24" s="668"/>
      <c r="D24" s="669" t="s">
        <v>1505</v>
      </c>
      <c r="E24" s="666" t="s">
        <v>1482</v>
      </c>
      <c r="F24" s="659">
        <f t="shared" si="0"/>
        <v>3725</v>
      </c>
      <c r="G24" s="659"/>
      <c r="H24" s="660"/>
      <c r="I24" s="659">
        <v>3725</v>
      </c>
      <c r="J24" s="664"/>
      <c r="K24" s="665"/>
      <c r="L24" s="665">
        <f t="shared" si="1"/>
        <v>3725</v>
      </c>
    </row>
    <row r="25" spans="2:12">
      <c r="B25" s="667"/>
      <c r="C25" s="668" t="s">
        <v>1506</v>
      </c>
      <c r="D25" s="669" t="s">
        <v>1507</v>
      </c>
      <c r="E25" s="666" t="s">
        <v>217</v>
      </c>
      <c r="F25" s="659">
        <f t="shared" si="0"/>
        <v>1300</v>
      </c>
      <c r="G25" s="659"/>
      <c r="H25" s="660"/>
      <c r="I25" s="659">
        <v>1300</v>
      </c>
      <c r="J25" s="664"/>
      <c r="K25" s="665"/>
      <c r="L25" s="665">
        <f t="shared" si="1"/>
        <v>1300</v>
      </c>
    </row>
    <row r="26" spans="2:12">
      <c r="B26" s="667"/>
      <c r="C26" s="668" t="s">
        <v>1508</v>
      </c>
      <c r="D26" s="669" t="s">
        <v>1509</v>
      </c>
      <c r="E26" s="666" t="s">
        <v>217</v>
      </c>
      <c r="F26" s="659">
        <f t="shared" si="0"/>
        <v>875</v>
      </c>
      <c r="G26" s="659"/>
      <c r="H26" s="660"/>
      <c r="I26" s="659">
        <v>875</v>
      </c>
      <c r="J26" s="664"/>
      <c r="K26" s="665"/>
      <c r="L26" s="665">
        <f t="shared" si="1"/>
        <v>875</v>
      </c>
    </row>
    <row r="27" spans="2:12">
      <c r="B27" s="667"/>
      <c r="C27" s="668" t="s">
        <v>1510</v>
      </c>
      <c r="D27" s="669" t="s">
        <v>1511</v>
      </c>
      <c r="E27" s="666" t="s">
        <v>217</v>
      </c>
      <c r="F27" s="659">
        <f t="shared" si="0"/>
        <v>360</v>
      </c>
      <c r="G27" s="659"/>
      <c r="H27" s="660"/>
      <c r="I27" s="659">
        <v>360</v>
      </c>
      <c r="J27" s="664"/>
      <c r="K27" s="665"/>
      <c r="L27" s="665">
        <f t="shared" si="1"/>
        <v>360</v>
      </c>
    </row>
    <row r="28" spans="2:12">
      <c r="B28" s="667"/>
      <c r="C28" s="668" t="s">
        <v>1512</v>
      </c>
      <c r="D28" s="669" t="s">
        <v>1513</v>
      </c>
      <c r="E28" s="666" t="s">
        <v>217</v>
      </c>
      <c r="F28" s="659">
        <f t="shared" si="0"/>
        <v>190</v>
      </c>
      <c r="G28" s="659"/>
      <c r="H28" s="660"/>
      <c r="I28" s="659">
        <v>190</v>
      </c>
      <c r="J28" s="664"/>
      <c r="K28" s="665"/>
      <c r="L28" s="665">
        <f t="shared" si="1"/>
        <v>190</v>
      </c>
    </row>
    <row r="29" spans="2:12">
      <c r="B29" s="667"/>
      <c r="C29" s="668" t="s">
        <v>1514</v>
      </c>
      <c r="D29" s="669" t="s">
        <v>1515</v>
      </c>
      <c r="E29" s="666" t="s">
        <v>181</v>
      </c>
      <c r="F29" s="659">
        <f t="shared" si="0"/>
        <v>250</v>
      </c>
      <c r="G29" s="659"/>
      <c r="H29" s="660"/>
      <c r="I29" s="659">
        <v>250</v>
      </c>
      <c r="J29" s="664"/>
      <c r="K29" s="665"/>
      <c r="L29" s="665">
        <f t="shared" si="1"/>
        <v>250</v>
      </c>
    </row>
    <row r="30" spans="2:12">
      <c r="B30" s="667"/>
      <c r="C30" s="670" t="s">
        <v>1516</v>
      </c>
      <c r="D30" s="669" t="s">
        <v>1517</v>
      </c>
      <c r="E30" s="666" t="s">
        <v>208</v>
      </c>
      <c r="F30" s="659">
        <f t="shared" si="0"/>
        <v>420</v>
      </c>
      <c r="G30" s="659"/>
      <c r="H30" s="660"/>
      <c r="I30" s="659">
        <v>420</v>
      </c>
      <c r="J30" s="664"/>
      <c r="K30" s="665"/>
      <c r="L30" s="665">
        <f t="shared" si="1"/>
        <v>420</v>
      </c>
    </row>
    <row r="31" spans="2:12">
      <c r="B31" s="667"/>
      <c r="C31" s="668" t="s">
        <v>1518</v>
      </c>
      <c r="D31" s="669" t="s">
        <v>1519</v>
      </c>
      <c r="E31" s="666" t="s">
        <v>217</v>
      </c>
      <c r="F31" s="659">
        <f t="shared" si="0"/>
        <v>70</v>
      </c>
      <c r="G31" s="659"/>
      <c r="H31" s="660"/>
      <c r="I31" s="659">
        <v>70</v>
      </c>
      <c r="J31" s="664"/>
      <c r="K31" s="665"/>
      <c r="L31" s="665">
        <f t="shared" si="1"/>
        <v>70</v>
      </c>
    </row>
    <row r="32" spans="2:12">
      <c r="B32" s="667"/>
      <c r="C32" s="668"/>
      <c r="D32" s="669" t="s">
        <v>1520</v>
      </c>
      <c r="E32" s="666" t="s">
        <v>208</v>
      </c>
      <c r="F32" s="659">
        <f t="shared" si="0"/>
        <v>65</v>
      </c>
      <c r="G32" s="659"/>
      <c r="H32" s="660"/>
      <c r="I32" s="659">
        <v>65</v>
      </c>
      <c r="J32" s="664"/>
      <c r="K32" s="665"/>
      <c r="L32" s="665">
        <f t="shared" si="1"/>
        <v>65</v>
      </c>
    </row>
    <row r="33" spans="2:12">
      <c r="B33" s="667"/>
      <c r="C33" s="668" t="s">
        <v>1521</v>
      </c>
      <c r="D33" s="669" t="s">
        <v>1522</v>
      </c>
      <c r="E33" s="666" t="s">
        <v>217</v>
      </c>
      <c r="F33" s="659">
        <f t="shared" si="0"/>
        <v>6</v>
      </c>
      <c r="G33" s="659"/>
      <c r="H33" s="660"/>
      <c r="I33" s="659">
        <v>6</v>
      </c>
      <c r="J33" s="664"/>
      <c r="K33" s="665"/>
      <c r="L33" s="665">
        <f t="shared" si="1"/>
        <v>6</v>
      </c>
    </row>
    <row r="34" spans="2:12">
      <c r="B34" s="667"/>
      <c r="C34" s="668" t="s">
        <v>1523</v>
      </c>
      <c r="D34" s="669" t="s">
        <v>1524</v>
      </c>
      <c r="E34" s="666" t="s">
        <v>217</v>
      </c>
      <c r="F34" s="659">
        <f t="shared" si="0"/>
        <v>12</v>
      </c>
      <c r="G34" s="659"/>
      <c r="H34" s="660"/>
      <c r="I34" s="659">
        <v>12</v>
      </c>
      <c r="J34" s="664"/>
      <c r="K34" s="665"/>
      <c r="L34" s="665">
        <f t="shared" si="1"/>
        <v>12</v>
      </c>
    </row>
    <row r="35" spans="2:12">
      <c r="B35" s="667"/>
      <c r="C35" s="668" t="s">
        <v>1525</v>
      </c>
      <c r="D35" s="669" t="s">
        <v>1526</v>
      </c>
      <c r="E35" s="666" t="s">
        <v>217</v>
      </c>
      <c r="F35" s="659">
        <f t="shared" si="0"/>
        <v>250</v>
      </c>
      <c r="G35" s="659"/>
      <c r="H35" s="660"/>
      <c r="I35" s="659">
        <v>250</v>
      </c>
      <c r="J35" s="664"/>
      <c r="K35" s="665"/>
      <c r="L35" s="665">
        <f t="shared" si="1"/>
        <v>250</v>
      </c>
    </row>
    <row r="36" spans="2:12">
      <c r="B36" s="667"/>
      <c r="C36" s="668" t="s">
        <v>1527</v>
      </c>
      <c r="D36" s="669" t="s">
        <v>1528</v>
      </c>
      <c r="E36" s="666" t="s">
        <v>131</v>
      </c>
      <c r="F36" s="659">
        <f t="shared" si="0"/>
        <v>20</v>
      </c>
      <c r="G36" s="659"/>
      <c r="H36" s="660"/>
      <c r="I36" s="659">
        <v>20</v>
      </c>
      <c r="J36" s="664"/>
      <c r="K36" s="665"/>
      <c r="L36" s="665">
        <f t="shared" si="1"/>
        <v>20</v>
      </c>
    </row>
    <row r="37" spans="2:12">
      <c r="B37" s="667"/>
      <c r="C37" s="668" t="s">
        <v>1529</v>
      </c>
      <c r="D37" s="669" t="s">
        <v>1530</v>
      </c>
      <c r="E37" s="666" t="s">
        <v>182</v>
      </c>
      <c r="F37" s="659">
        <f t="shared" si="0"/>
        <v>15</v>
      </c>
      <c r="G37" s="659"/>
      <c r="H37" s="660"/>
      <c r="I37" s="659">
        <v>15</v>
      </c>
      <c r="J37" s="664"/>
      <c r="K37" s="665"/>
      <c r="L37" s="665">
        <f t="shared" si="1"/>
        <v>15</v>
      </c>
    </row>
    <row r="38" spans="2:12">
      <c r="B38" s="667"/>
      <c r="C38" s="668" t="s">
        <v>1531</v>
      </c>
      <c r="D38" s="669" t="s">
        <v>1532</v>
      </c>
      <c r="E38" s="666" t="s">
        <v>1533</v>
      </c>
      <c r="F38" s="659">
        <f t="shared" si="0"/>
        <v>690</v>
      </c>
      <c r="G38" s="659"/>
      <c r="H38" s="660"/>
      <c r="I38" s="659">
        <v>690</v>
      </c>
      <c r="J38" s="664"/>
      <c r="K38" s="665"/>
      <c r="L38" s="665">
        <f t="shared" si="1"/>
        <v>690</v>
      </c>
    </row>
    <row r="39" spans="2:12">
      <c r="B39" s="667"/>
      <c r="C39" s="668" t="s">
        <v>1518</v>
      </c>
      <c r="D39" s="669" t="s">
        <v>1534</v>
      </c>
      <c r="E39" s="666" t="s">
        <v>182</v>
      </c>
      <c r="F39" s="659">
        <f t="shared" si="0"/>
        <v>65</v>
      </c>
      <c r="G39" s="659"/>
      <c r="H39" s="660"/>
      <c r="I39" s="659">
        <v>65</v>
      </c>
      <c r="J39" s="664"/>
      <c r="K39" s="665"/>
      <c r="L39" s="665">
        <f t="shared" si="1"/>
        <v>65</v>
      </c>
    </row>
    <row r="40" spans="2:12">
      <c r="B40" s="667"/>
      <c r="C40" s="668" t="s">
        <v>1535</v>
      </c>
      <c r="D40" s="669" t="s">
        <v>1536</v>
      </c>
      <c r="E40" s="666" t="s">
        <v>1275</v>
      </c>
      <c r="F40" s="659">
        <f t="shared" si="0"/>
        <v>325</v>
      </c>
      <c r="G40" s="659"/>
      <c r="H40" s="660"/>
      <c r="I40" s="659">
        <v>325</v>
      </c>
      <c r="J40" s="664"/>
      <c r="K40" s="665"/>
      <c r="L40" s="665">
        <f t="shared" si="1"/>
        <v>325</v>
      </c>
    </row>
    <row r="41" spans="2:12">
      <c r="B41" s="667"/>
      <c r="C41" s="668" t="s">
        <v>1343</v>
      </c>
      <c r="D41" s="669" t="s">
        <v>1537</v>
      </c>
      <c r="E41" s="666" t="s">
        <v>217</v>
      </c>
      <c r="F41" s="659">
        <f t="shared" si="0"/>
        <v>1150</v>
      </c>
      <c r="G41" s="659"/>
      <c r="H41" s="660"/>
      <c r="I41" s="659">
        <v>1150</v>
      </c>
      <c r="J41" s="664"/>
      <c r="K41" s="665"/>
      <c r="L41" s="665">
        <f t="shared" si="1"/>
        <v>1150</v>
      </c>
    </row>
    <row r="42" spans="2:12">
      <c r="B42" s="667"/>
      <c r="C42" s="668" t="s">
        <v>1538</v>
      </c>
      <c r="D42" s="669" t="s">
        <v>1539</v>
      </c>
      <c r="E42" s="666" t="s">
        <v>217</v>
      </c>
      <c r="F42" s="659">
        <f t="shared" si="0"/>
        <v>40</v>
      </c>
      <c r="G42" s="659"/>
      <c r="H42" s="660"/>
      <c r="I42" s="659">
        <v>40</v>
      </c>
      <c r="J42" s="664"/>
      <c r="K42" s="665"/>
      <c r="L42" s="665">
        <f t="shared" si="1"/>
        <v>40</v>
      </c>
    </row>
    <row r="43" spans="2:12">
      <c r="B43" s="667"/>
      <c r="C43" s="668" t="s">
        <v>1540</v>
      </c>
      <c r="D43" s="669" t="s">
        <v>1541</v>
      </c>
      <c r="E43" s="666" t="s">
        <v>1542</v>
      </c>
      <c r="F43" s="659">
        <f t="shared" si="0"/>
        <v>950</v>
      </c>
      <c r="G43" s="659"/>
      <c r="H43" s="660"/>
      <c r="I43" s="659">
        <v>950</v>
      </c>
      <c r="J43" s="664"/>
      <c r="K43" s="665"/>
      <c r="L43" s="665">
        <f t="shared" si="1"/>
        <v>950</v>
      </c>
    </row>
    <row r="44" spans="2:12">
      <c r="B44" s="667"/>
      <c r="C44" s="668" t="s">
        <v>1543</v>
      </c>
      <c r="D44" s="669" t="s">
        <v>1544</v>
      </c>
      <c r="E44" s="666" t="s">
        <v>1545</v>
      </c>
      <c r="F44" s="659">
        <f t="shared" si="0"/>
        <v>100</v>
      </c>
      <c r="G44" s="659"/>
      <c r="H44" s="660"/>
      <c r="I44" s="659">
        <v>100</v>
      </c>
      <c r="J44" s="664"/>
      <c r="K44" s="665"/>
      <c r="L44" s="665">
        <f t="shared" si="1"/>
        <v>100</v>
      </c>
    </row>
    <row r="45" spans="2:12">
      <c r="B45" s="667"/>
      <c r="C45" s="668" t="s">
        <v>1546</v>
      </c>
      <c r="D45" s="669" t="s">
        <v>1547</v>
      </c>
      <c r="E45" s="666" t="s">
        <v>1275</v>
      </c>
      <c r="F45" s="659">
        <f t="shared" si="0"/>
        <v>30</v>
      </c>
      <c r="G45" s="659"/>
      <c r="H45" s="660"/>
      <c r="I45" s="659">
        <v>30</v>
      </c>
      <c r="J45" s="664"/>
      <c r="K45" s="665"/>
      <c r="L45" s="665">
        <f t="shared" si="1"/>
        <v>30</v>
      </c>
    </row>
    <row r="46" spans="2:12">
      <c r="B46" s="667"/>
      <c r="C46" s="668" t="s">
        <v>1548</v>
      </c>
      <c r="D46" s="669" t="s">
        <v>1549</v>
      </c>
      <c r="E46" s="666" t="s">
        <v>217</v>
      </c>
      <c r="F46" s="659">
        <f t="shared" si="0"/>
        <v>8</v>
      </c>
      <c r="G46" s="659"/>
      <c r="H46" s="660"/>
      <c r="I46" s="659">
        <v>8</v>
      </c>
      <c r="J46" s="664"/>
      <c r="K46" s="665"/>
      <c r="L46" s="665">
        <f t="shared" si="1"/>
        <v>8</v>
      </c>
    </row>
    <row r="47" spans="2:12">
      <c r="B47" s="667"/>
      <c r="C47" s="668" t="s">
        <v>1379</v>
      </c>
      <c r="D47" s="669" t="s">
        <v>1550</v>
      </c>
      <c r="E47" s="666" t="s">
        <v>1551</v>
      </c>
      <c r="F47" s="659">
        <f t="shared" si="0"/>
        <v>2995</v>
      </c>
      <c r="G47" s="659"/>
      <c r="H47" s="660"/>
      <c r="I47" s="659">
        <v>2995</v>
      </c>
      <c r="J47" s="664"/>
      <c r="K47" s="665"/>
      <c r="L47" s="665">
        <f t="shared" si="1"/>
        <v>2995</v>
      </c>
    </row>
    <row r="48" spans="2:12">
      <c r="B48" s="667"/>
      <c r="C48" s="668" t="s">
        <v>1552</v>
      </c>
      <c r="D48" s="669" t="s">
        <v>1553</v>
      </c>
      <c r="E48" s="666" t="s">
        <v>1551</v>
      </c>
      <c r="F48" s="659">
        <f t="shared" si="0"/>
        <v>180</v>
      </c>
      <c r="G48" s="659"/>
      <c r="H48" s="660"/>
      <c r="I48" s="659">
        <v>180</v>
      </c>
      <c r="J48" s="664"/>
      <c r="K48" s="665"/>
      <c r="L48" s="665">
        <f t="shared" si="1"/>
        <v>180</v>
      </c>
    </row>
    <row r="49" spans="2:12">
      <c r="B49" s="667"/>
      <c r="C49" s="668" t="s">
        <v>1555</v>
      </c>
      <c r="D49" s="669" t="s">
        <v>1515</v>
      </c>
      <c r="E49" s="666" t="s">
        <v>181</v>
      </c>
      <c r="F49" s="659">
        <f t="shared" si="0"/>
        <v>0</v>
      </c>
      <c r="G49" s="659"/>
      <c r="H49" s="660"/>
      <c r="I49" s="659"/>
      <c r="J49" s="664"/>
      <c r="K49" s="665"/>
      <c r="L49" s="665"/>
    </row>
    <row r="50" spans="2:12">
      <c r="C50" s="662" t="s">
        <v>1558</v>
      </c>
      <c r="D50" s="646" t="s">
        <v>1554</v>
      </c>
      <c r="E50" s="662" t="s">
        <v>1556</v>
      </c>
      <c r="F50" s="659">
        <f t="shared" si="0"/>
        <v>241</v>
      </c>
      <c r="G50" s="659"/>
      <c r="H50" s="660"/>
      <c r="I50" s="659">
        <v>241</v>
      </c>
      <c r="J50" s="664"/>
      <c r="K50" s="665"/>
      <c r="L50" s="665">
        <f>I50+K50</f>
        <v>241</v>
      </c>
    </row>
    <row r="51" spans="2:12">
      <c r="D51" s="646" t="s">
        <v>1557</v>
      </c>
      <c r="E51" s="662" t="s">
        <v>771</v>
      </c>
      <c r="F51" s="659">
        <f t="shared" si="0"/>
        <v>720</v>
      </c>
      <c r="G51" s="659"/>
      <c r="H51" s="660"/>
      <c r="I51" s="659">
        <v>720</v>
      </c>
      <c r="J51" s="664"/>
      <c r="K51" s="665"/>
      <c r="L51" s="665">
        <f>I51+K51</f>
        <v>720</v>
      </c>
    </row>
    <row r="52" spans="2:12">
      <c r="D52" s="646" t="s">
        <v>1579</v>
      </c>
      <c r="E52" s="662" t="s">
        <v>771</v>
      </c>
      <c r="F52" s="659">
        <f t="shared" si="0"/>
        <v>16700</v>
      </c>
      <c r="G52" s="659"/>
      <c r="H52" s="660"/>
      <c r="I52" s="659">
        <v>16700</v>
      </c>
      <c r="J52" s="664"/>
      <c r="K52" s="665"/>
      <c r="L52" s="665">
        <f>I52+K52</f>
        <v>16700</v>
      </c>
    </row>
    <row r="53" spans="2:12">
      <c r="C53" s="662" t="s">
        <v>1588</v>
      </c>
      <c r="D53" s="698" t="s">
        <v>1587</v>
      </c>
      <c r="E53" s="662" t="s">
        <v>771</v>
      </c>
      <c r="F53" s="659">
        <f t="shared" si="0"/>
        <v>130</v>
      </c>
      <c r="G53" s="659"/>
      <c r="H53" s="660"/>
      <c r="I53" s="659">
        <v>130</v>
      </c>
      <c r="J53" s="664"/>
      <c r="K53" s="665"/>
      <c r="L53" s="665">
        <f t="shared" ref="L53:L58" si="2">I53+K53</f>
        <v>130</v>
      </c>
    </row>
    <row r="54" spans="2:12">
      <c r="C54" s="662" t="s">
        <v>1588</v>
      </c>
      <c r="D54" s="698" t="s">
        <v>1589</v>
      </c>
      <c r="E54" s="662" t="s">
        <v>771</v>
      </c>
      <c r="F54" s="659">
        <f t="shared" si="0"/>
        <v>170</v>
      </c>
      <c r="G54" s="659"/>
      <c r="H54" s="660"/>
      <c r="I54" s="659">
        <v>170</v>
      </c>
      <c r="J54" s="664"/>
      <c r="K54" s="665"/>
      <c r="L54" s="665">
        <f t="shared" si="2"/>
        <v>170</v>
      </c>
    </row>
    <row r="55" spans="2:12">
      <c r="C55" s="662" t="s">
        <v>1588</v>
      </c>
      <c r="D55" s="698" t="s">
        <v>1590</v>
      </c>
      <c r="E55" s="662" t="s">
        <v>771</v>
      </c>
      <c r="F55" s="659">
        <f t="shared" si="0"/>
        <v>205</v>
      </c>
      <c r="G55" s="659"/>
      <c r="H55" s="660"/>
      <c r="I55" s="659">
        <v>205</v>
      </c>
      <c r="J55" s="664"/>
      <c r="K55" s="665"/>
      <c r="L55" s="665">
        <f t="shared" si="2"/>
        <v>205</v>
      </c>
    </row>
    <row r="56" spans="2:12">
      <c r="C56" s="662" t="s">
        <v>1592</v>
      </c>
      <c r="D56" s="698" t="s">
        <v>1591</v>
      </c>
      <c r="E56" s="662" t="s">
        <v>771</v>
      </c>
      <c r="F56" s="659">
        <f t="shared" si="0"/>
        <v>120</v>
      </c>
      <c r="G56" s="659"/>
      <c r="H56" s="660"/>
      <c r="I56" s="659">
        <v>120</v>
      </c>
      <c r="J56" s="664"/>
      <c r="K56" s="665"/>
      <c r="L56" s="665">
        <f t="shared" si="2"/>
        <v>120</v>
      </c>
    </row>
    <row r="57" spans="2:12">
      <c r="C57" s="662" t="s">
        <v>1592</v>
      </c>
      <c r="D57" s="698" t="s">
        <v>1593</v>
      </c>
      <c r="E57" s="662" t="s">
        <v>771</v>
      </c>
      <c r="F57" s="659">
        <f t="shared" si="0"/>
        <v>155</v>
      </c>
      <c r="G57" s="659"/>
      <c r="H57" s="660"/>
      <c r="I57" s="659">
        <v>155</v>
      </c>
      <c r="J57" s="664"/>
      <c r="K57" s="665"/>
      <c r="L57" s="665">
        <f t="shared" si="2"/>
        <v>155</v>
      </c>
    </row>
    <row r="58" spans="2:12">
      <c r="C58" s="662" t="s">
        <v>1592</v>
      </c>
      <c r="D58" s="698" t="s">
        <v>1594</v>
      </c>
      <c r="E58" s="662" t="s">
        <v>771</v>
      </c>
      <c r="F58" s="659">
        <f t="shared" si="0"/>
        <v>190</v>
      </c>
      <c r="G58" s="659"/>
      <c r="H58" s="660"/>
      <c r="I58" s="659">
        <v>190</v>
      </c>
      <c r="J58" s="664"/>
      <c r="K58" s="665"/>
      <c r="L58" s="665">
        <f t="shared" si="2"/>
        <v>190</v>
      </c>
    </row>
    <row r="59" spans="2:12">
      <c r="D59" s="711" t="s">
        <v>1595</v>
      </c>
      <c r="E59" s="662" t="s">
        <v>771</v>
      </c>
      <c r="F59" s="659">
        <f t="shared" si="0"/>
        <v>70</v>
      </c>
      <c r="G59" s="659"/>
      <c r="H59" s="660"/>
      <c r="I59" s="659">
        <v>70</v>
      </c>
      <c r="J59" s="664"/>
      <c r="K59" s="665"/>
      <c r="L59" s="665">
        <f>I59+K59</f>
        <v>70</v>
      </c>
    </row>
    <row r="60" spans="2:12">
      <c r="D60" s="646"/>
      <c r="E60" s="662"/>
      <c r="F60" s="659"/>
      <c r="G60" s="659"/>
      <c r="H60" s="660"/>
      <c r="I60" s="659"/>
      <c r="J60" s="664"/>
      <c r="K60" s="665"/>
      <c r="L60" s="665"/>
    </row>
    <row r="61" spans="2:12">
      <c r="D61" s="646"/>
      <c r="E61" s="662"/>
      <c r="F61" s="659"/>
      <c r="G61" s="659"/>
      <c r="H61" s="660"/>
      <c r="I61" s="659"/>
      <c r="J61" s="664"/>
      <c r="K61" s="665"/>
      <c r="L61" s="665"/>
    </row>
    <row r="62" spans="2:12" ht="17.5">
      <c r="B62" s="657"/>
      <c r="C62" s="657"/>
      <c r="D62" s="672" t="s">
        <v>480</v>
      </c>
      <c r="E62" s="657"/>
      <c r="F62" s="659"/>
      <c r="G62" s="659"/>
      <c r="H62" s="660"/>
      <c r="I62" s="659"/>
      <c r="J62" s="664"/>
      <c r="K62" s="665"/>
      <c r="L62" s="665"/>
    </row>
    <row r="63" spans="2:12">
      <c r="B63" s="657"/>
      <c r="C63" s="657"/>
      <c r="D63" s="658" t="s">
        <v>481</v>
      </c>
      <c r="E63" s="659" t="s">
        <v>119</v>
      </c>
      <c r="F63" s="659">
        <v>500</v>
      </c>
      <c r="G63" s="659">
        <v>490</v>
      </c>
      <c r="H63" s="660"/>
      <c r="I63" s="659"/>
      <c r="J63" s="664"/>
      <c r="K63" s="665"/>
      <c r="L63" s="665"/>
    </row>
    <row r="64" spans="2:12">
      <c r="B64" s="657"/>
      <c r="C64" s="657"/>
      <c r="D64" s="658" t="s">
        <v>482</v>
      </c>
      <c r="E64" s="659" t="s">
        <v>119</v>
      </c>
      <c r="F64" s="659">
        <v>460</v>
      </c>
      <c r="G64" s="659">
        <v>440</v>
      </c>
      <c r="H64" s="660"/>
      <c r="I64" s="659"/>
      <c r="J64" s="673"/>
      <c r="K64" s="674"/>
    </row>
    <row r="65" spans="1:12" s="675" customFormat="1">
      <c r="A65" s="662"/>
      <c r="B65" s="657"/>
      <c r="C65" s="657"/>
      <c r="D65" s="658" t="s">
        <v>483</v>
      </c>
      <c r="E65" s="659" t="s">
        <v>119</v>
      </c>
      <c r="F65" s="659">
        <v>420</v>
      </c>
      <c r="G65" s="659">
        <v>400</v>
      </c>
      <c r="H65" s="660"/>
      <c r="I65" s="659"/>
      <c r="J65" s="673"/>
      <c r="K65" s="674"/>
    </row>
    <row r="66" spans="1:12" s="675" customFormat="1">
      <c r="A66" s="662"/>
      <c r="B66" s="657"/>
      <c r="C66" s="657"/>
      <c r="D66" s="658" t="s">
        <v>484</v>
      </c>
      <c r="E66" s="659" t="s">
        <v>119</v>
      </c>
      <c r="F66" s="659">
        <v>580</v>
      </c>
      <c r="G66" s="659">
        <v>550</v>
      </c>
      <c r="H66" s="660"/>
      <c r="I66" s="659"/>
      <c r="J66" s="673"/>
      <c r="K66" s="674"/>
    </row>
    <row r="67" spans="1:12" s="675" customFormat="1">
      <c r="A67" s="662"/>
      <c r="B67" s="657"/>
      <c r="C67" s="657"/>
      <c r="D67" s="658" t="s">
        <v>485</v>
      </c>
      <c r="E67" s="659" t="s">
        <v>119</v>
      </c>
      <c r="F67" s="659">
        <v>460</v>
      </c>
      <c r="G67" s="659">
        <v>440</v>
      </c>
      <c r="H67" s="660"/>
      <c r="I67" s="659"/>
      <c r="J67" s="673"/>
      <c r="K67" s="674"/>
    </row>
    <row r="68" spans="1:12" s="675" customFormat="1">
      <c r="A68" s="662"/>
      <c r="B68" s="657"/>
      <c r="C68" s="657"/>
      <c r="D68" s="658" t="s">
        <v>487</v>
      </c>
      <c r="E68" s="659" t="s">
        <v>119</v>
      </c>
      <c r="F68" s="659">
        <v>495</v>
      </c>
      <c r="G68" s="659">
        <v>475</v>
      </c>
      <c r="H68" s="660"/>
      <c r="I68" s="659"/>
      <c r="J68" s="673"/>
      <c r="K68" s="674"/>
    </row>
    <row r="69" spans="1:12" s="675" customFormat="1">
      <c r="A69" s="662"/>
      <c r="B69" s="657"/>
      <c r="C69" s="657"/>
      <c r="D69" s="676" t="s">
        <v>465</v>
      </c>
      <c r="E69" s="659" t="s">
        <v>119</v>
      </c>
      <c r="F69" s="659">
        <v>580</v>
      </c>
      <c r="G69" s="659">
        <v>550</v>
      </c>
      <c r="H69" s="660"/>
      <c r="I69" s="659"/>
      <c r="J69" s="673"/>
      <c r="K69" s="674"/>
    </row>
    <row r="70" spans="1:12" s="675" customFormat="1">
      <c r="A70" s="662"/>
      <c r="B70" s="657"/>
      <c r="C70" s="657"/>
      <c r="D70" s="676" t="s">
        <v>466</v>
      </c>
      <c r="E70" s="659" t="s">
        <v>119</v>
      </c>
      <c r="F70" s="659">
        <v>460</v>
      </c>
      <c r="G70" s="659">
        <v>440</v>
      </c>
      <c r="H70" s="660"/>
      <c r="I70" s="659"/>
      <c r="J70" s="673"/>
      <c r="K70" s="674"/>
    </row>
    <row r="71" spans="1:12">
      <c r="B71" s="657"/>
      <c r="C71" s="657"/>
      <c r="D71" s="677" t="s">
        <v>1105</v>
      </c>
      <c r="E71" s="659" t="s">
        <v>119</v>
      </c>
      <c r="F71" s="663">
        <v>575</v>
      </c>
      <c r="G71" s="659"/>
      <c r="I71" s="659"/>
      <c r="J71" s="662"/>
      <c r="K71" s="662"/>
      <c r="L71" s="662"/>
    </row>
    <row r="72" spans="1:12">
      <c r="B72" s="657"/>
      <c r="C72" s="657"/>
      <c r="D72" s="677" t="s">
        <v>1106</v>
      </c>
      <c r="E72" s="659" t="s">
        <v>119</v>
      </c>
      <c r="F72" s="663">
        <v>471</v>
      </c>
      <c r="G72" s="659"/>
      <c r="I72" s="659"/>
      <c r="J72" s="662"/>
      <c r="K72" s="662"/>
      <c r="L72" s="662"/>
    </row>
    <row r="73" spans="1:12">
      <c r="B73" s="657"/>
      <c r="C73" s="657"/>
      <c r="D73" s="677" t="s">
        <v>1583</v>
      </c>
      <c r="E73" s="659" t="s">
        <v>119</v>
      </c>
      <c r="F73" s="663">
        <v>550</v>
      </c>
      <c r="G73" s="659"/>
      <c r="I73" s="659"/>
      <c r="J73" s="662"/>
      <c r="K73" s="662"/>
      <c r="L73" s="662"/>
    </row>
    <row r="74" spans="1:12">
      <c r="B74" s="657"/>
      <c r="C74" s="657"/>
      <c r="D74" s="677" t="s">
        <v>1585</v>
      </c>
      <c r="E74" s="659" t="s">
        <v>119</v>
      </c>
      <c r="F74" s="663">
        <v>580</v>
      </c>
      <c r="G74" s="659"/>
      <c r="I74" s="659"/>
      <c r="J74" s="662"/>
      <c r="K74" s="662"/>
      <c r="L74" s="662"/>
    </row>
    <row r="75" spans="1:12">
      <c r="B75" s="657"/>
      <c r="C75" s="657"/>
      <c r="D75" s="677" t="s">
        <v>1107</v>
      </c>
      <c r="E75" s="659" t="s">
        <v>119</v>
      </c>
      <c r="F75" s="663">
        <v>460</v>
      </c>
      <c r="G75" s="659"/>
      <c r="I75" s="659"/>
      <c r="J75" s="662"/>
      <c r="K75" s="662"/>
      <c r="L75" s="662"/>
    </row>
    <row r="76" spans="1:12">
      <c r="B76" s="657"/>
      <c r="C76" s="657"/>
      <c r="D76" s="677" t="s">
        <v>241</v>
      </c>
      <c r="E76" s="659" t="s">
        <v>119</v>
      </c>
      <c r="F76" s="663">
        <v>471</v>
      </c>
      <c r="G76" s="659"/>
      <c r="I76" s="659"/>
      <c r="J76" s="662"/>
      <c r="K76" s="662"/>
      <c r="L76" s="662"/>
    </row>
    <row r="77" spans="1:12">
      <c r="B77" s="657"/>
      <c r="C77" s="657"/>
      <c r="D77" s="676" t="s">
        <v>35</v>
      </c>
      <c r="E77" s="659" t="s">
        <v>119</v>
      </c>
      <c r="F77" s="663">
        <v>510</v>
      </c>
      <c r="G77" s="659"/>
      <c r="I77" s="659"/>
      <c r="J77" s="662"/>
      <c r="K77" s="662"/>
      <c r="L77" s="662"/>
    </row>
    <row r="78" spans="1:12" s="675" customFormat="1" ht="17.5" hidden="1">
      <c r="A78" s="662"/>
      <c r="B78" s="657"/>
      <c r="C78" s="657"/>
      <c r="D78" s="672" t="s">
        <v>368</v>
      </c>
      <c r="E78" s="659"/>
      <c r="F78" s="659"/>
      <c r="G78" s="659"/>
      <c r="H78" s="660"/>
      <c r="I78" s="659"/>
    </row>
    <row r="79" spans="1:12" s="675" customFormat="1" ht="15.75" hidden="1" customHeight="1">
      <c r="A79" s="662"/>
      <c r="B79" s="657"/>
      <c r="C79" s="657"/>
      <c r="D79" s="678" t="s">
        <v>282</v>
      </c>
      <c r="E79" s="659" t="s">
        <v>136</v>
      </c>
      <c r="F79" s="663">
        <v>524.70000000000005</v>
      </c>
      <c r="G79" s="679">
        <v>525.5</v>
      </c>
      <c r="H79" s="660"/>
      <c r="I79" s="659"/>
    </row>
    <row r="80" spans="1:12" s="675" customFormat="1" hidden="1">
      <c r="A80" s="662"/>
      <c r="B80" s="657"/>
      <c r="C80" s="657"/>
      <c r="D80" s="678" t="s">
        <v>283</v>
      </c>
      <c r="E80" s="659" t="s">
        <v>136</v>
      </c>
      <c r="F80" s="663">
        <v>209.1</v>
      </c>
      <c r="G80" s="661">
        <v>203.5</v>
      </c>
      <c r="H80" s="660"/>
      <c r="I80" s="659"/>
    </row>
    <row r="81" spans="1:12" s="675" customFormat="1" hidden="1">
      <c r="A81" s="662"/>
      <c r="B81" s="657"/>
      <c r="C81" s="657"/>
      <c r="D81" s="658"/>
      <c r="E81" s="657"/>
      <c r="F81" s="659"/>
      <c r="G81" s="659"/>
      <c r="H81" s="660"/>
      <c r="I81" s="659"/>
    </row>
    <row r="82" spans="1:12" s="675" customFormat="1" ht="17.5" hidden="1">
      <c r="A82" s="662"/>
      <c r="B82" s="657"/>
      <c r="C82" s="657"/>
      <c r="D82" s="672" t="s">
        <v>389</v>
      </c>
      <c r="E82" s="657"/>
      <c r="F82" s="659"/>
      <c r="G82" s="659"/>
      <c r="H82" s="660"/>
      <c r="I82" s="659"/>
    </row>
    <row r="83" spans="1:12" hidden="1">
      <c r="B83" s="657"/>
      <c r="C83" s="657"/>
      <c r="D83" s="658" t="s">
        <v>313</v>
      </c>
      <c r="E83" s="657" t="s">
        <v>181</v>
      </c>
      <c r="F83" s="663">
        <v>75</v>
      </c>
      <c r="G83" s="663">
        <v>75</v>
      </c>
      <c r="H83" s="660"/>
      <c r="I83" s="659"/>
    </row>
    <row r="84" spans="1:12" hidden="1">
      <c r="B84" s="657"/>
      <c r="C84" s="657"/>
      <c r="D84" s="658" t="s">
        <v>248</v>
      </c>
      <c r="E84" s="657" t="s">
        <v>181</v>
      </c>
      <c r="F84" s="663">
        <v>50</v>
      </c>
      <c r="G84" s="663">
        <v>50</v>
      </c>
      <c r="H84" s="660"/>
      <c r="I84" s="659"/>
    </row>
    <row r="85" spans="1:12" hidden="1">
      <c r="B85" s="657"/>
      <c r="C85" s="657"/>
      <c r="D85" s="658" t="s">
        <v>390</v>
      </c>
      <c r="E85" s="657" t="s">
        <v>181</v>
      </c>
      <c r="F85" s="663">
        <v>30</v>
      </c>
      <c r="G85" s="663">
        <v>30</v>
      </c>
      <c r="H85" s="660"/>
      <c r="I85" s="659"/>
    </row>
    <row r="86" spans="1:12" hidden="1">
      <c r="B86" s="657"/>
      <c r="C86" s="657"/>
      <c r="D86" s="658"/>
      <c r="E86" s="658"/>
      <c r="F86" s="680"/>
      <c r="G86" s="680"/>
      <c r="I86" s="659"/>
    </row>
    <row r="87" spans="1:12" hidden="1">
      <c r="I87" s="659"/>
      <c r="J87" s="664"/>
      <c r="K87" s="665"/>
      <c r="L87" s="665"/>
    </row>
    <row r="88" spans="1:12">
      <c r="I88" s="659"/>
      <c r="J88" s="664"/>
      <c r="K88" s="665"/>
      <c r="L88" s="665"/>
    </row>
    <row r="89" spans="1:12">
      <c r="I89" s="659"/>
      <c r="J89" s="664"/>
      <c r="K89" s="665"/>
      <c r="L89" s="665"/>
    </row>
    <row r="90" spans="1:12">
      <c r="D90" s="1153"/>
      <c r="E90" t="e">
        <f>#REF!</f>
        <v>#REF!</v>
      </c>
      <c r="K90" s="665"/>
      <c r="L90" s="665"/>
    </row>
    <row r="91" spans="1:12">
      <c r="D91" s="1153"/>
      <c r="E91" t="e">
        <f>#REF!</f>
        <v>#REF!</v>
      </c>
    </row>
  </sheetData>
  <mergeCells count="4">
    <mergeCell ref="B1:F1"/>
    <mergeCell ref="B2:B3"/>
    <mergeCell ref="C2:C3"/>
    <mergeCell ref="D2:D3"/>
  </mergeCells>
  <printOptions horizontalCentered="1"/>
  <pageMargins left="0.19687500000000002" right="0.19687500000000002" top="0.36" bottom="0.19687500000000002" header="0.33" footer="0"/>
  <pageSetup paperSize="9" scale="83" orientation="portrait" verticalDpi="300" r:id="rId1"/>
  <headerFooter alignWithMargins="0"/>
  <rowBreaks count="1" manualBreakCount="1">
    <brk id="61" min="1" max="6" man="1"/>
  </rowBreaks>
</worksheet>
</file>

<file path=xl/worksheets/sheet24.xml><?xml version="1.0" encoding="utf-8"?>
<worksheet xmlns="http://schemas.openxmlformats.org/spreadsheetml/2006/main" xmlns:r="http://schemas.openxmlformats.org/officeDocument/2006/relationships">
  <dimension ref="A1:L105"/>
  <sheetViews>
    <sheetView view="pageBreakPreview" topLeftCell="A109" zoomScale="115" zoomScaleSheetLayoutView="115" workbookViewId="0">
      <selection activeCell="C82" sqref="C82"/>
    </sheetView>
  </sheetViews>
  <sheetFormatPr defaultColWidth="9.1796875" defaultRowHeight="12.5"/>
  <cols>
    <col min="1" max="1" width="3.453125" style="4" customWidth="1"/>
    <col min="2" max="2" width="4.81640625" style="4" customWidth="1"/>
    <col min="3" max="3" width="12" style="4" customWidth="1"/>
    <col min="4" max="4" width="48.26953125" style="5" customWidth="1"/>
    <col min="5" max="5" width="9" style="5" customWidth="1"/>
    <col min="6" max="6" width="11" style="6" customWidth="1"/>
    <col min="7" max="7" width="10.7265625" style="4" customWidth="1"/>
    <col min="8" max="8" width="9.453125" style="4" bestFit="1" customWidth="1"/>
    <col min="9" max="12" width="12.453125" customWidth="1"/>
    <col min="13" max="16384" width="9.1796875" style="4"/>
  </cols>
  <sheetData>
    <row r="1" spans="2:12" s="1" customFormat="1" ht="15.75" customHeight="1">
      <c r="B1" s="2250" t="s">
        <v>1122</v>
      </c>
      <c r="C1" s="2251"/>
      <c r="D1" s="2251"/>
      <c r="E1" s="2251"/>
      <c r="F1" s="2251"/>
      <c r="G1" s="2"/>
      <c r="I1" s="355"/>
      <c r="J1" s="355"/>
      <c r="K1" s="355"/>
      <c r="L1" s="355"/>
    </row>
    <row r="2" spans="2:12" s="3" customFormat="1" ht="43.5" customHeight="1">
      <c r="B2" s="2248" t="s">
        <v>140</v>
      </c>
      <c r="C2" s="2248" t="s">
        <v>44</v>
      </c>
      <c r="D2" s="2249" t="s">
        <v>148</v>
      </c>
      <c r="E2" s="27"/>
      <c r="F2" s="18" t="s">
        <v>1104</v>
      </c>
      <c r="G2" s="18" t="s">
        <v>995</v>
      </c>
      <c r="I2" s="356" t="s">
        <v>992</v>
      </c>
      <c r="J2" s="356"/>
      <c r="K2" s="356"/>
      <c r="L2" s="356" t="s">
        <v>142</v>
      </c>
    </row>
    <row r="3" spans="2:12" s="3" customFormat="1" ht="20.25" customHeight="1">
      <c r="B3" s="2248"/>
      <c r="C3" s="2248"/>
      <c r="D3" s="2249"/>
      <c r="E3" s="26" t="s">
        <v>150</v>
      </c>
      <c r="F3" s="18" t="s">
        <v>149</v>
      </c>
      <c r="G3" s="18" t="s">
        <v>149</v>
      </c>
      <c r="I3" s="356"/>
      <c r="J3" s="356"/>
      <c r="K3" s="357"/>
      <c r="L3" s="357"/>
    </row>
    <row r="4" spans="2:12" s="3" customFormat="1" ht="14">
      <c r="B4" s="26">
        <v>1</v>
      </c>
      <c r="C4" s="26"/>
      <c r="D4" s="27">
        <v>2</v>
      </c>
      <c r="E4" s="26">
        <v>3</v>
      </c>
      <c r="F4" s="27">
        <v>4</v>
      </c>
      <c r="G4" s="27">
        <v>4</v>
      </c>
      <c r="I4" s="358"/>
      <c r="J4" s="358"/>
      <c r="K4" s="359"/>
      <c r="L4" s="359"/>
    </row>
    <row r="5" spans="2:12">
      <c r="B5" s="7">
        <v>1</v>
      </c>
      <c r="C5" s="7" t="s">
        <v>45</v>
      </c>
      <c r="D5" s="8" t="s">
        <v>523</v>
      </c>
      <c r="E5" s="7" t="s">
        <v>181</v>
      </c>
      <c r="F5" s="38">
        <f t="shared" ref="F5:F10" si="0">L5</f>
        <v>510</v>
      </c>
      <c r="G5" s="38">
        <v>105</v>
      </c>
      <c r="H5" s="611">
        <f>375*1.6</f>
        <v>600</v>
      </c>
      <c r="I5" s="360">
        <v>510</v>
      </c>
      <c r="J5" s="361"/>
      <c r="K5" s="362"/>
      <c r="L5" s="362">
        <f>I5+K5</f>
        <v>510</v>
      </c>
    </row>
    <row r="6" spans="2:12">
      <c r="B6" s="7">
        <v>2</v>
      </c>
      <c r="C6" s="7" t="s">
        <v>46</v>
      </c>
      <c r="D6" s="8" t="s">
        <v>524</v>
      </c>
      <c r="E6" s="7" t="s">
        <v>181</v>
      </c>
      <c r="F6" s="38">
        <f t="shared" si="0"/>
        <v>590</v>
      </c>
      <c r="G6" s="38">
        <v>191.1</v>
      </c>
      <c r="H6" s="611"/>
      <c r="I6" s="360">
        <v>590</v>
      </c>
      <c r="J6" s="361"/>
      <c r="K6" s="362"/>
      <c r="L6" s="362">
        <f t="shared" ref="L6:L71" si="1">I6+K6</f>
        <v>590</v>
      </c>
    </row>
    <row r="7" spans="2:12">
      <c r="B7" s="7">
        <v>3</v>
      </c>
      <c r="C7" s="7" t="s">
        <v>47</v>
      </c>
      <c r="D7" s="8" t="s">
        <v>525</v>
      </c>
      <c r="E7" s="7" t="s">
        <v>181</v>
      </c>
      <c r="F7" s="38">
        <f t="shared" si="0"/>
        <v>375</v>
      </c>
      <c r="G7" s="38">
        <v>105</v>
      </c>
      <c r="H7" s="611"/>
      <c r="I7" s="360">
        <v>375</v>
      </c>
      <c r="J7" s="361"/>
      <c r="K7" s="362"/>
      <c r="L7" s="362">
        <f t="shared" si="1"/>
        <v>375</v>
      </c>
    </row>
    <row r="8" spans="2:12">
      <c r="B8" s="7">
        <v>4</v>
      </c>
      <c r="C8" s="7"/>
      <c r="D8" s="8" t="s">
        <v>200</v>
      </c>
      <c r="E8" s="7" t="s">
        <v>201</v>
      </c>
      <c r="F8" s="38">
        <f t="shared" si="0"/>
        <v>77</v>
      </c>
      <c r="G8" s="38">
        <v>80.849999999999994</v>
      </c>
      <c r="H8" s="611"/>
      <c r="I8" s="360">
        <v>77</v>
      </c>
      <c r="J8" s="361"/>
      <c r="K8" s="362"/>
      <c r="L8" s="362">
        <f t="shared" si="1"/>
        <v>77</v>
      </c>
    </row>
    <row r="9" spans="2:12">
      <c r="B9" s="7">
        <v>5</v>
      </c>
      <c r="C9" s="7" t="s">
        <v>100</v>
      </c>
      <c r="D9" s="8" t="s">
        <v>191</v>
      </c>
      <c r="E9" s="7" t="s">
        <v>182</v>
      </c>
      <c r="F9" s="38">
        <f t="shared" si="0"/>
        <v>55</v>
      </c>
      <c r="G9" s="38">
        <v>62.54</v>
      </c>
      <c r="H9" s="611"/>
      <c r="I9" s="360">
        <v>55</v>
      </c>
      <c r="J9" s="361"/>
      <c r="K9" s="362"/>
      <c r="L9" s="362">
        <f t="shared" si="1"/>
        <v>55</v>
      </c>
    </row>
    <row r="10" spans="2:12">
      <c r="B10" s="7">
        <v>6</v>
      </c>
      <c r="C10" s="7" t="s">
        <v>48</v>
      </c>
      <c r="D10" s="8" t="s">
        <v>192</v>
      </c>
      <c r="E10" s="7" t="s">
        <v>193</v>
      </c>
      <c r="F10" s="38">
        <f t="shared" si="0"/>
        <v>17</v>
      </c>
      <c r="G10" s="38">
        <v>17.7</v>
      </c>
      <c r="H10" s="611"/>
      <c r="I10" s="360">
        <v>17</v>
      </c>
      <c r="J10" s="361"/>
      <c r="K10" s="362"/>
      <c r="L10" s="362">
        <f t="shared" si="1"/>
        <v>17</v>
      </c>
    </row>
    <row r="11" spans="2:12" ht="25">
      <c r="B11" s="7">
        <v>7</v>
      </c>
      <c r="C11" s="7"/>
      <c r="D11" s="8" t="s">
        <v>96</v>
      </c>
      <c r="E11" s="7"/>
      <c r="F11" s="38"/>
      <c r="G11" s="38"/>
      <c r="H11" s="611"/>
      <c r="I11" s="360"/>
      <c r="J11" s="361"/>
      <c r="K11" s="362"/>
      <c r="L11" s="362"/>
    </row>
    <row r="12" spans="2:12">
      <c r="B12" s="7" t="s">
        <v>158</v>
      </c>
      <c r="C12" s="7" t="s">
        <v>49</v>
      </c>
      <c r="D12" s="8" t="s">
        <v>151</v>
      </c>
      <c r="E12" s="7" t="s">
        <v>181</v>
      </c>
      <c r="F12" s="38">
        <f>L12</f>
        <v>920</v>
      </c>
      <c r="G12" s="38">
        <v>938.7</v>
      </c>
      <c r="H12" s="611"/>
      <c r="I12" s="360">
        <v>920</v>
      </c>
      <c r="J12" s="361"/>
      <c r="K12" s="362"/>
      <c r="L12" s="362">
        <f t="shared" si="1"/>
        <v>920</v>
      </c>
    </row>
    <row r="13" spans="2:12">
      <c r="B13" s="7" t="s">
        <v>159</v>
      </c>
      <c r="C13" s="7" t="s">
        <v>50</v>
      </c>
      <c r="D13" s="8" t="s">
        <v>318</v>
      </c>
      <c r="E13" s="7" t="s">
        <v>181</v>
      </c>
      <c r="F13" s="38">
        <f t="shared" ref="F13:F80" si="2">L13</f>
        <v>1080</v>
      </c>
      <c r="G13" s="30">
        <v>1100.4000000000001</v>
      </c>
      <c r="H13" s="611"/>
      <c r="I13" s="360">
        <v>1080</v>
      </c>
      <c r="J13" s="361"/>
      <c r="K13" s="362"/>
      <c r="L13" s="362">
        <f t="shared" si="1"/>
        <v>1080</v>
      </c>
    </row>
    <row r="14" spans="2:12">
      <c r="B14" s="7" t="s">
        <v>160</v>
      </c>
      <c r="C14" s="7" t="s">
        <v>51</v>
      </c>
      <c r="D14" s="8" t="s">
        <v>153</v>
      </c>
      <c r="E14" s="7" t="s">
        <v>181</v>
      </c>
      <c r="F14" s="38">
        <f t="shared" si="2"/>
        <v>1340</v>
      </c>
      <c r="G14" s="38">
        <v>1368.15</v>
      </c>
      <c r="H14" s="611"/>
      <c r="I14" s="360">
        <v>1340</v>
      </c>
      <c r="J14" s="361"/>
      <c r="K14" s="362"/>
      <c r="L14" s="362">
        <f t="shared" si="1"/>
        <v>1340</v>
      </c>
    </row>
    <row r="15" spans="2:12">
      <c r="B15" s="7" t="s">
        <v>161</v>
      </c>
      <c r="C15" s="7" t="s">
        <v>52</v>
      </c>
      <c r="D15" s="8" t="s">
        <v>154</v>
      </c>
      <c r="E15" s="7" t="s">
        <v>181</v>
      </c>
      <c r="F15" s="38">
        <f t="shared" si="2"/>
        <v>1290</v>
      </c>
      <c r="G15" s="38">
        <v>1316.7</v>
      </c>
      <c r="H15" s="611"/>
      <c r="I15" s="360">
        <v>1290</v>
      </c>
      <c r="J15" s="361"/>
      <c r="K15" s="362"/>
      <c r="L15" s="362">
        <f t="shared" si="1"/>
        <v>1290</v>
      </c>
    </row>
    <row r="16" spans="2:12">
      <c r="B16" s="7" t="s">
        <v>162</v>
      </c>
      <c r="C16" s="7" t="s">
        <v>53</v>
      </c>
      <c r="D16" s="8" t="s">
        <v>155</v>
      </c>
      <c r="E16" s="7" t="s">
        <v>181</v>
      </c>
      <c r="F16" s="38">
        <f t="shared" si="2"/>
        <v>830</v>
      </c>
      <c r="G16" s="38">
        <v>848.4</v>
      </c>
      <c r="H16" s="611"/>
      <c r="I16" s="360">
        <v>830</v>
      </c>
      <c r="J16" s="361"/>
      <c r="K16" s="362"/>
      <c r="L16" s="362">
        <f t="shared" si="1"/>
        <v>830</v>
      </c>
    </row>
    <row r="17" spans="2:12">
      <c r="B17" s="7" t="s">
        <v>163</v>
      </c>
      <c r="C17" s="7" t="s">
        <v>54</v>
      </c>
      <c r="D17" s="8" t="s">
        <v>205</v>
      </c>
      <c r="E17" s="7" t="s">
        <v>181</v>
      </c>
      <c r="F17" s="38">
        <f t="shared" si="2"/>
        <v>1182</v>
      </c>
      <c r="G17" s="30">
        <v>1241.0999999999999</v>
      </c>
      <c r="H17" s="611"/>
      <c r="I17" s="360">
        <v>1182</v>
      </c>
      <c r="J17" s="361"/>
      <c r="K17" s="362"/>
      <c r="L17" s="362">
        <f t="shared" si="1"/>
        <v>1182</v>
      </c>
    </row>
    <row r="18" spans="2:12">
      <c r="B18" s="7" t="s">
        <v>319</v>
      </c>
      <c r="C18" s="7" t="s">
        <v>55</v>
      </c>
      <c r="D18" s="8" t="s">
        <v>152</v>
      </c>
      <c r="E18" s="7" t="s">
        <v>181</v>
      </c>
      <c r="F18" s="38">
        <f t="shared" si="2"/>
        <v>1080</v>
      </c>
      <c r="G18" s="39">
        <v>1100.4000000000001</v>
      </c>
      <c r="H18" s="611"/>
      <c r="I18" s="360">
        <v>1080</v>
      </c>
      <c r="J18" s="361"/>
      <c r="K18" s="362"/>
      <c r="L18" s="362">
        <f t="shared" si="1"/>
        <v>1080</v>
      </c>
    </row>
    <row r="19" spans="2:12">
      <c r="B19" s="7" t="s">
        <v>329</v>
      </c>
      <c r="C19" s="7" t="s">
        <v>56</v>
      </c>
      <c r="D19" s="8" t="s">
        <v>328</v>
      </c>
      <c r="E19" s="7" t="s">
        <v>181</v>
      </c>
      <c r="F19" s="38">
        <f t="shared" si="2"/>
        <v>860</v>
      </c>
      <c r="G19" s="38">
        <v>903</v>
      </c>
      <c r="H19" s="611"/>
      <c r="I19" s="360">
        <v>860</v>
      </c>
      <c r="J19" s="361"/>
      <c r="K19" s="362"/>
      <c r="L19" s="362">
        <f t="shared" si="1"/>
        <v>860</v>
      </c>
    </row>
    <row r="20" spans="2:12">
      <c r="B20" s="347" t="s">
        <v>1686</v>
      </c>
      <c r="C20" s="7"/>
      <c r="D20" s="348" t="s">
        <v>1687</v>
      </c>
      <c r="E20" s="7" t="s">
        <v>181</v>
      </c>
      <c r="F20" s="38">
        <v>350</v>
      </c>
      <c r="G20" s="38">
        <v>350</v>
      </c>
      <c r="H20" s="611"/>
      <c r="I20" s="360">
        <v>350</v>
      </c>
      <c r="J20" s="361"/>
      <c r="K20" s="362"/>
      <c r="L20" s="362">
        <f>I20+K20</f>
        <v>350</v>
      </c>
    </row>
    <row r="21" spans="2:12">
      <c r="B21" s="7">
        <v>8</v>
      </c>
      <c r="C21" s="7" t="s">
        <v>98</v>
      </c>
      <c r="D21" s="8" t="s">
        <v>533</v>
      </c>
      <c r="E21" s="7" t="s">
        <v>181</v>
      </c>
      <c r="F21" s="38">
        <f t="shared" si="2"/>
        <v>250</v>
      </c>
      <c r="G21" s="38">
        <v>180.01999999999998</v>
      </c>
      <c r="H21" s="611"/>
      <c r="I21" s="360">
        <v>250</v>
      </c>
      <c r="J21" s="361"/>
      <c r="K21" s="362"/>
      <c r="L21" s="362">
        <f t="shared" si="1"/>
        <v>250</v>
      </c>
    </row>
    <row r="22" spans="2:12">
      <c r="B22" s="7">
        <v>9</v>
      </c>
      <c r="C22" s="7" t="s">
        <v>99</v>
      </c>
      <c r="D22" s="8" t="s">
        <v>534</v>
      </c>
      <c r="E22" s="7" t="s">
        <v>183</v>
      </c>
      <c r="F22" s="38">
        <f t="shared" si="2"/>
        <v>1983.33</v>
      </c>
      <c r="G22" s="38">
        <v>49.980000000000004</v>
      </c>
      <c r="H22" s="611"/>
      <c r="I22" s="360">
        <v>1983.33</v>
      </c>
      <c r="J22" s="361"/>
      <c r="K22" s="362"/>
      <c r="L22" s="362">
        <f t="shared" si="1"/>
        <v>1983.33</v>
      </c>
    </row>
    <row r="23" spans="2:12" s="9" customFormat="1">
      <c r="B23" s="7">
        <v>10</v>
      </c>
      <c r="C23" s="7" t="s">
        <v>580</v>
      </c>
      <c r="D23" s="8" t="s">
        <v>156</v>
      </c>
      <c r="E23" s="7" t="s">
        <v>182</v>
      </c>
      <c r="F23" s="38">
        <f t="shared" si="2"/>
        <v>67</v>
      </c>
      <c r="G23" s="38">
        <v>93.44</v>
      </c>
      <c r="H23" s="612"/>
      <c r="I23" s="360">
        <v>67</v>
      </c>
      <c r="J23" s="361"/>
      <c r="K23" s="362"/>
      <c r="L23" s="362">
        <f t="shared" si="1"/>
        <v>67</v>
      </c>
    </row>
    <row r="24" spans="2:12">
      <c r="B24" s="7">
        <v>11</v>
      </c>
      <c r="C24" s="7" t="s">
        <v>57</v>
      </c>
      <c r="D24" s="8" t="s">
        <v>571</v>
      </c>
      <c r="E24" s="7" t="s">
        <v>206</v>
      </c>
      <c r="F24" s="38">
        <f t="shared" si="2"/>
        <v>6000</v>
      </c>
      <c r="G24" s="38">
        <v>5887.35</v>
      </c>
      <c r="H24" s="611"/>
      <c r="I24" s="360">
        <v>6000</v>
      </c>
      <c r="J24" s="361"/>
      <c r="K24" s="362"/>
      <c r="L24" s="362">
        <f t="shared" si="1"/>
        <v>6000</v>
      </c>
    </row>
    <row r="25" spans="2:12">
      <c r="B25" s="7">
        <v>12</v>
      </c>
      <c r="C25" s="7" t="s">
        <v>58</v>
      </c>
      <c r="D25" s="8" t="s">
        <v>187</v>
      </c>
      <c r="E25" s="7" t="s">
        <v>206</v>
      </c>
      <c r="F25" s="38">
        <f t="shared" si="2"/>
        <v>24000</v>
      </c>
      <c r="G25" s="38">
        <v>24150</v>
      </c>
      <c r="H25" s="611"/>
      <c r="I25" s="360">
        <v>24000</v>
      </c>
      <c r="J25" s="361"/>
      <c r="K25" s="362"/>
      <c r="L25" s="362">
        <f t="shared" si="1"/>
        <v>24000</v>
      </c>
    </row>
    <row r="26" spans="2:12">
      <c r="B26" s="7">
        <v>13</v>
      </c>
      <c r="C26" s="7" t="s">
        <v>59</v>
      </c>
      <c r="D26" s="8" t="s">
        <v>197</v>
      </c>
      <c r="E26" s="7" t="s">
        <v>206</v>
      </c>
      <c r="F26" s="38">
        <f t="shared" si="2"/>
        <v>20000</v>
      </c>
      <c r="G26" s="38">
        <v>19950</v>
      </c>
      <c r="H26" s="611"/>
      <c r="I26" s="360">
        <v>20000</v>
      </c>
      <c r="J26" s="361"/>
      <c r="K26" s="362"/>
      <c r="L26" s="362">
        <f t="shared" si="1"/>
        <v>20000</v>
      </c>
    </row>
    <row r="27" spans="2:12">
      <c r="B27" s="7">
        <v>14</v>
      </c>
      <c r="C27" s="7" t="s">
        <v>60</v>
      </c>
      <c r="D27" s="8" t="s">
        <v>198</v>
      </c>
      <c r="E27" s="7" t="s">
        <v>206</v>
      </c>
      <c r="F27" s="38">
        <f t="shared" si="2"/>
        <v>21000</v>
      </c>
      <c r="G27" s="38">
        <v>21000</v>
      </c>
      <c r="H27" s="611"/>
      <c r="I27" s="360">
        <v>21000</v>
      </c>
      <c r="J27" s="361"/>
      <c r="K27" s="362"/>
      <c r="L27" s="362">
        <f t="shared" si="1"/>
        <v>21000</v>
      </c>
    </row>
    <row r="28" spans="2:12">
      <c r="B28" s="7">
        <v>15</v>
      </c>
      <c r="C28" s="7" t="s">
        <v>61</v>
      </c>
      <c r="D28" s="8" t="s">
        <v>199</v>
      </c>
      <c r="E28" s="7" t="s">
        <v>206</v>
      </c>
      <c r="F28" s="38">
        <f t="shared" si="2"/>
        <v>11000</v>
      </c>
      <c r="G28" s="38">
        <v>10500</v>
      </c>
      <c r="H28" s="611"/>
      <c r="I28" s="360">
        <v>11000</v>
      </c>
      <c r="J28" s="361"/>
      <c r="K28" s="362"/>
      <c r="L28" s="362">
        <f t="shared" si="1"/>
        <v>11000</v>
      </c>
    </row>
    <row r="29" spans="2:12" s="45" customFormat="1">
      <c r="B29" s="32">
        <v>16</v>
      </c>
      <c r="C29" s="43" t="s">
        <v>657</v>
      </c>
      <c r="D29" s="44" t="s">
        <v>656</v>
      </c>
      <c r="E29" s="32" t="s">
        <v>206</v>
      </c>
      <c r="F29" s="38">
        <f t="shared" si="2"/>
        <v>6000</v>
      </c>
      <c r="G29" s="39">
        <v>5250</v>
      </c>
      <c r="H29" s="613"/>
      <c r="I29" s="360">
        <v>6000</v>
      </c>
      <c r="J29" s="361"/>
      <c r="K29" s="362"/>
      <c r="L29" s="362">
        <f t="shared" si="1"/>
        <v>6000</v>
      </c>
    </row>
    <row r="30" spans="2:12">
      <c r="B30" s="7">
        <v>17</v>
      </c>
      <c r="C30" s="7" t="s">
        <v>62</v>
      </c>
      <c r="D30" s="8" t="s">
        <v>526</v>
      </c>
      <c r="E30" s="7" t="s">
        <v>147</v>
      </c>
      <c r="F30" s="38">
        <f t="shared" si="2"/>
        <v>1610</v>
      </c>
      <c r="G30" s="38">
        <v>1899.8</v>
      </c>
      <c r="H30" s="611"/>
      <c r="I30" s="360">
        <v>1610</v>
      </c>
      <c r="J30" s="361"/>
      <c r="K30" s="362"/>
      <c r="L30" s="362">
        <f t="shared" si="1"/>
        <v>1610</v>
      </c>
    </row>
    <row r="31" spans="2:12">
      <c r="B31" s="7">
        <v>18</v>
      </c>
      <c r="C31" s="7" t="s">
        <v>63</v>
      </c>
      <c r="D31" s="8" t="s">
        <v>572</v>
      </c>
      <c r="E31" s="7" t="s">
        <v>147</v>
      </c>
      <c r="F31" s="38">
        <f t="shared" si="2"/>
        <v>1343</v>
      </c>
      <c r="G31" s="38">
        <v>1584.74</v>
      </c>
      <c r="H31" s="611"/>
      <c r="I31" s="360">
        <v>1343</v>
      </c>
      <c r="J31" s="361"/>
      <c r="K31" s="362"/>
      <c r="L31" s="362">
        <f t="shared" si="1"/>
        <v>1343</v>
      </c>
    </row>
    <row r="32" spans="2:12">
      <c r="B32" s="7">
        <v>19</v>
      </c>
      <c r="C32" s="7" t="s">
        <v>66</v>
      </c>
      <c r="D32" s="1269" t="s">
        <v>1798</v>
      </c>
      <c r="E32" s="7" t="s">
        <v>536</v>
      </c>
      <c r="F32" s="38">
        <f t="shared" si="2"/>
        <v>96</v>
      </c>
      <c r="G32" s="38">
        <v>110.92</v>
      </c>
      <c r="H32" s="611"/>
      <c r="I32" s="360">
        <v>96</v>
      </c>
      <c r="J32" s="361"/>
      <c r="K32" s="362"/>
      <c r="L32" s="362">
        <f t="shared" si="1"/>
        <v>96</v>
      </c>
    </row>
    <row r="33" spans="1:12" ht="25">
      <c r="B33" s="7">
        <v>20</v>
      </c>
      <c r="C33" s="7" t="s">
        <v>64</v>
      </c>
      <c r="D33" s="8" t="s">
        <v>5</v>
      </c>
      <c r="E33" s="7" t="s">
        <v>147</v>
      </c>
      <c r="F33" s="38">
        <f t="shared" si="2"/>
        <v>3834</v>
      </c>
      <c r="G33" s="38">
        <v>4434.4400000000005</v>
      </c>
      <c r="H33" s="611"/>
      <c r="I33" s="360">
        <v>3834</v>
      </c>
      <c r="J33" s="361"/>
      <c r="K33" s="362"/>
      <c r="L33" s="362">
        <f t="shared" si="1"/>
        <v>3834</v>
      </c>
    </row>
    <row r="34" spans="1:12">
      <c r="B34" s="7">
        <v>21</v>
      </c>
      <c r="C34" s="7" t="s">
        <v>65</v>
      </c>
      <c r="D34" s="8" t="s">
        <v>164</v>
      </c>
      <c r="E34" s="7" t="s">
        <v>147</v>
      </c>
      <c r="F34" s="38">
        <f t="shared" si="2"/>
        <v>2683</v>
      </c>
      <c r="G34" s="38">
        <v>3165.94</v>
      </c>
      <c r="H34" s="611"/>
      <c r="I34" s="360">
        <v>2683</v>
      </c>
      <c r="J34" s="361"/>
      <c r="K34" s="362"/>
      <c r="L34" s="362">
        <f t="shared" si="1"/>
        <v>2683</v>
      </c>
    </row>
    <row r="35" spans="1:12">
      <c r="B35" s="7">
        <v>22</v>
      </c>
      <c r="C35" s="7" t="s">
        <v>67</v>
      </c>
      <c r="D35" s="8" t="s">
        <v>165</v>
      </c>
      <c r="E35" s="7" t="s">
        <v>147</v>
      </c>
      <c r="F35" s="38">
        <f t="shared" si="2"/>
        <v>1232</v>
      </c>
      <c r="G35" s="38">
        <v>1424.26</v>
      </c>
      <c r="H35" s="611"/>
      <c r="I35" s="360">
        <v>1232</v>
      </c>
      <c r="J35" s="361"/>
      <c r="K35" s="362"/>
      <c r="L35" s="362">
        <f t="shared" si="1"/>
        <v>1232</v>
      </c>
    </row>
    <row r="36" spans="1:12">
      <c r="B36" s="7">
        <v>23</v>
      </c>
      <c r="C36" s="7" t="s">
        <v>68</v>
      </c>
      <c r="D36" s="8" t="s">
        <v>166</v>
      </c>
      <c r="E36" s="7" t="s">
        <v>147</v>
      </c>
      <c r="F36" s="38">
        <f t="shared" si="2"/>
        <v>956</v>
      </c>
      <c r="G36" s="38">
        <v>1105.6600000000001</v>
      </c>
      <c r="H36" s="611"/>
      <c r="I36" s="360">
        <v>956</v>
      </c>
      <c r="J36" s="361"/>
      <c r="K36" s="362"/>
      <c r="L36" s="362">
        <f t="shared" si="1"/>
        <v>956</v>
      </c>
    </row>
    <row r="37" spans="1:12" ht="25">
      <c r="B37" s="7">
        <v>24</v>
      </c>
      <c r="C37" s="7" t="s">
        <v>581</v>
      </c>
      <c r="D37" s="8" t="s">
        <v>582</v>
      </c>
      <c r="E37" s="7" t="s">
        <v>184</v>
      </c>
      <c r="F37" s="38">
        <f t="shared" si="2"/>
        <v>374</v>
      </c>
      <c r="G37" s="38">
        <v>489.7</v>
      </c>
      <c r="H37" s="611"/>
      <c r="I37" s="360">
        <v>374</v>
      </c>
      <c r="J37" s="361"/>
      <c r="K37" s="362"/>
      <c r="L37" s="362">
        <f t="shared" si="1"/>
        <v>374</v>
      </c>
    </row>
    <row r="38" spans="1:12">
      <c r="B38" s="7">
        <v>25</v>
      </c>
      <c r="C38" s="35" t="s">
        <v>996</v>
      </c>
      <c r="D38" s="19" t="s">
        <v>1797</v>
      </c>
      <c r="E38" s="7" t="s">
        <v>184</v>
      </c>
      <c r="F38" s="38">
        <f t="shared" si="2"/>
        <v>538</v>
      </c>
      <c r="G38" s="38">
        <v>634.84</v>
      </c>
      <c r="H38" s="611"/>
      <c r="I38" s="360">
        <v>538</v>
      </c>
      <c r="J38" s="361"/>
      <c r="K38" s="362"/>
      <c r="L38" s="362">
        <f t="shared" si="1"/>
        <v>538</v>
      </c>
    </row>
    <row r="39" spans="1:12" s="31" customFormat="1" ht="25">
      <c r="B39" s="32">
        <v>26</v>
      </c>
      <c r="C39" s="33" t="s">
        <v>583</v>
      </c>
      <c r="D39" s="34" t="s">
        <v>658</v>
      </c>
      <c r="E39" s="32" t="s">
        <v>184</v>
      </c>
      <c r="F39" s="38">
        <f t="shared" si="2"/>
        <v>421</v>
      </c>
      <c r="G39" s="39">
        <v>522.74</v>
      </c>
      <c r="H39" s="614"/>
      <c r="I39" s="360">
        <v>421</v>
      </c>
      <c r="J39" s="361"/>
      <c r="K39" s="362"/>
      <c r="L39" s="362">
        <f t="shared" si="1"/>
        <v>421</v>
      </c>
    </row>
    <row r="40" spans="1:12" s="2" customFormat="1">
      <c r="A40" s="14"/>
      <c r="B40" s="7">
        <v>27</v>
      </c>
      <c r="C40" s="35" t="s">
        <v>659</v>
      </c>
      <c r="D40" s="36" t="s">
        <v>660</v>
      </c>
      <c r="E40" s="7" t="s">
        <v>184</v>
      </c>
      <c r="F40" s="38">
        <f t="shared" si="2"/>
        <v>422</v>
      </c>
      <c r="G40" s="38">
        <v>451.94</v>
      </c>
      <c r="H40" s="615"/>
      <c r="I40" s="360">
        <v>422</v>
      </c>
      <c r="J40" s="361"/>
      <c r="K40" s="362"/>
      <c r="L40" s="362">
        <f t="shared" si="1"/>
        <v>422</v>
      </c>
    </row>
    <row r="41" spans="1:12">
      <c r="B41" s="7">
        <v>28</v>
      </c>
      <c r="C41" s="7" t="s">
        <v>69</v>
      </c>
      <c r="D41" s="8" t="s">
        <v>188</v>
      </c>
      <c r="E41" s="7" t="s">
        <v>181</v>
      </c>
      <c r="F41" s="38">
        <f t="shared" si="2"/>
        <v>122614</v>
      </c>
      <c r="G41" s="38">
        <v>144684.51999999999</v>
      </c>
      <c r="H41" s="611"/>
      <c r="I41" s="360">
        <v>122614</v>
      </c>
      <c r="J41" s="361"/>
      <c r="K41" s="362"/>
      <c r="L41" s="362">
        <f t="shared" si="1"/>
        <v>122614</v>
      </c>
    </row>
    <row r="42" spans="1:12">
      <c r="B42" s="7">
        <v>29</v>
      </c>
      <c r="C42" s="7" t="s">
        <v>70</v>
      </c>
      <c r="D42" s="8" t="s">
        <v>189</v>
      </c>
      <c r="E42" s="7" t="s">
        <v>181</v>
      </c>
      <c r="F42" s="38">
        <f t="shared" si="2"/>
        <v>130525</v>
      </c>
      <c r="G42" s="38">
        <v>154019.5</v>
      </c>
      <c r="H42" s="611"/>
      <c r="I42" s="360">
        <v>130525</v>
      </c>
      <c r="J42" s="361"/>
      <c r="K42" s="362"/>
      <c r="L42" s="362">
        <f t="shared" si="1"/>
        <v>130525</v>
      </c>
    </row>
    <row r="43" spans="1:12">
      <c r="B43" s="7">
        <v>30</v>
      </c>
      <c r="C43" s="7" t="s">
        <v>74</v>
      </c>
      <c r="D43" s="8" t="s">
        <v>167</v>
      </c>
      <c r="E43" s="7" t="s">
        <v>181</v>
      </c>
      <c r="F43" s="38">
        <f t="shared" si="2"/>
        <v>71195</v>
      </c>
      <c r="G43" s="38">
        <v>84010.1</v>
      </c>
      <c r="H43" s="611"/>
      <c r="I43" s="360">
        <v>71195</v>
      </c>
      <c r="J43" s="361"/>
      <c r="K43" s="362"/>
      <c r="L43" s="362">
        <f t="shared" si="1"/>
        <v>71195</v>
      </c>
    </row>
    <row r="44" spans="1:12">
      <c r="B44" s="7">
        <v>31</v>
      </c>
      <c r="C44" s="7" t="s">
        <v>75</v>
      </c>
      <c r="D44" s="8" t="s">
        <v>168</v>
      </c>
      <c r="E44" s="7" t="s">
        <v>181</v>
      </c>
      <c r="F44" s="38">
        <f t="shared" si="2"/>
        <v>79106</v>
      </c>
      <c r="G44" s="38">
        <v>93345.08</v>
      </c>
      <c r="H44" s="611">
        <f>ROUND((F44+F46)/2,2)</f>
        <v>110748.5</v>
      </c>
      <c r="I44" s="360">
        <v>79106</v>
      </c>
      <c r="J44" s="361"/>
      <c r="K44" s="362"/>
      <c r="L44" s="362">
        <f t="shared" si="1"/>
        <v>79106</v>
      </c>
    </row>
    <row r="45" spans="1:12">
      <c r="B45" s="7">
        <v>32</v>
      </c>
      <c r="C45" s="7" t="s">
        <v>71</v>
      </c>
      <c r="D45" s="8" t="s">
        <v>190</v>
      </c>
      <c r="E45" s="7" t="s">
        <v>181</v>
      </c>
      <c r="F45" s="38">
        <f t="shared" si="2"/>
        <v>154257</v>
      </c>
      <c r="G45" s="38">
        <v>182023.26</v>
      </c>
      <c r="H45" s="611">
        <f>ROUND((F43+F46)/2,2)</f>
        <v>106793</v>
      </c>
      <c r="I45" s="360">
        <v>154257</v>
      </c>
      <c r="J45" s="361"/>
      <c r="K45" s="362"/>
      <c r="L45" s="362">
        <f t="shared" si="1"/>
        <v>154257</v>
      </c>
    </row>
    <row r="46" spans="1:12">
      <c r="B46" s="7">
        <v>33</v>
      </c>
      <c r="C46" s="7" t="s">
        <v>76</v>
      </c>
      <c r="D46" s="8" t="s">
        <v>169</v>
      </c>
      <c r="E46" s="7" t="s">
        <v>181</v>
      </c>
      <c r="F46" s="38">
        <f t="shared" si="2"/>
        <v>142391</v>
      </c>
      <c r="G46" s="38">
        <v>168021.38</v>
      </c>
      <c r="H46" s="611"/>
      <c r="I46" s="360">
        <v>142391</v>
      </c>
      <c r="J46" s="363"/>
      <c r="K46" s="362"/>
      <c r="L46" s="362">
        <f t="shared" si="1"/>
        <v>142391</v>
      </c>
    </row>
    <row r="47" spans="1:12">
      <c r="B47" s="7">
        <v>34</v>
      </c>
      <c r="C47" s="7" t="s">
        <v>72</v>
      </c>
      <c r="D47" s="8" t="s">
        <v>174</v>
      </c>
      <c r="E47" s="7" t="s">
        <v>181</v>
      </c>
      <c r="F47" s="38">
        <f t="shared" si="2"/>
        <v>46217</v>
      </c>
      <c r="G47" s="38">
        <v>54536.06</v>
      </c>
      <c r="H47" s="611">
        <f>ROUND((F47+F48)/2,2)</f>
        <v>52453.5</v>
      </c>
      <c r="I47" s="360">
        <v>46217</v>
      </c>
      <c r="J47" s="364"/>
      <c r="K47" s="362"/>
      <c r="L47" s="362">
        <f t="shared" si="1"/>
        <v>46217</v>
      </c>
    </row>
    <row r="48" spans="1:12">
      <c r="B48" s="7">
        <v>35</v>
      </c>
      <c r="C48" s="7" t="s">
        <v>73</v>
      </c>
      <c r="D48" s="8" t="s">
        <v>170</v>
      </c>
      <c r="E48" s="7" t="s">
        <v>181</v>
      </c>
      <c r="F48" s="38">
        <f t="shared" si="2"/>
        <v>58690</v>
      </c>
      <c r="G48" s="38">
        <v>69254.2</v>
      </c>
      <c r="H48" s="611"/>
      <c r="I48" s="360">
        <v>58690</v>
      </c>
      <c r="J48" s="364"/>
      <c r="K48" s="362"/>
      <c r="L48" s="362">
        <f t="shared" si="1"/>
        <v>58690</v>
      </c>
    </row>
    <row r="49" spans="2:12">
      <c r="B49" s="7">
        <v>36</v>
      </c>
      <c r="C49" s="7" t="s">
        <v>77</v>
      </c>
      <c r="D49" s="8" t="s">
        <v>171</v>
      </c>
      <c r="E49" s="7" t="s">
        <v>184</v>
      </c>
      <c r="F49" s="38">
        <f t="shared" si="2"/>
        <v>204</v>
      </c>
      <c r="G49" s="38">
        <v>214.2</v>
      </c>
      <c r="H49" s="611"/>
      <c r="I49" s="360">
        <v>204</v>
      </c>
      <c r="J49" s="361"/>
      <c r="K49" s="362"/>
      <c r="L49" s="362">
        <f t="shared" si="1"/>
        <v>204</v>
      </c>
    </row>
    <row r="50" spans="2:12">
      <c r="B50" s="7">
        <v>37</v>
      </c>
      <c r="C50" s="7" t="s">
        <v>78</v>
      </c>
      <c r="D50" s="8" t="s">
        <v>172</v>
      </c>
      <c r="E50" s="7" t="s">
        <v>184</v>
      </c>
      <c r="F50" s="38">
        <f t="shared" si="2"/>
        <v>146</v>
      </c>
      <c r="G50" s="38">
        <v>153.30000000000001</v>
      </c>
      <c r="H50" s="611"/>
      <c r="I50" s="360">
        <v>146</v>
      </c>
      <c r="J50" s="361"/>
      <c r="K50" s="362"/>
      <c r="L50" s="362">
        <f t="shared" si="1"/>
        <v>146</v>
      </c>
    </row>
    <row r="51" spans="2:12">
      <c r="B51" s="7">
        <v>38</v>
      </c>
      <c r="C51" s="7" t="s">
        <v>79</v>
      </c>
      <c r="D51" s="8" t="s">
        <v>173</v>
      </c>
      <c r="E51" s="7" t="s">
        <v>184</v>
      </c>
      <c r="F51" s="38">
        <f t="shared" si="2"/>
        <v>152</v>
      </c>
      <c r="G51" s="38">
        <v>159.6</v>
      </c>
      <c r="H51" s="611"/>
      <c r="I51" s="360">
        <v>152</v>
      </c>
      <c r="J51" s="363"/>
      <c r="K51" s="362"/>
      <c r="L51" s="362">
        <f t="shared" si="1"/>
        <v>152</v>
      </c>
    </row>
    <row r="52" spans="2:12">
      <c r="B52" s="7">
        <v>39</v>
      </c>
      <c r="C52" s="7" t="s">
        <v>80</v>
      </c>
      <c r="D52" s="8" t="s">
        <v>175</v>
      </c>
      <c r="E52" s="7" t="s">
        <v>182</v>
      </c>
      <c r="F52" s="38">
        <f t="shared" si="2"/>
        <v>62</v>
      </c>
      <c r="G52" s="38">
        <v>61.95</v>
      </c>
      <c r="H52" s="611"/>
      <c r="I52" s="360">
        <v>62</v>
      </c>
      <c r="J52" s="361"/>
      <c r="K52" s="362"/>
      <c r="L52" s="362">
        <f t="shared" si="1"/>
        <v>62</v>
      </c>
    </row>
    <row r="53" spans="2:12" s="9" customFormat="1">
      <c r="B53" s="7">
        <v>40</v>
      </c>
      <c r="C53" s="7" t="s">
        <v>81</v>
      </c>
      <c r="D53" s="8" t="s">
        <v>195</v>
      </c>
      <c r="E53" s="7" t="s">
        <v>184</v>
      </c>
      <c r="F53" s="38">
        <f t="shared" si="2"/>
        <v>191</v>
      </c>
      <c r="G53" s="38">
        <v>225.38</v>
      </c>
      <c r="H53" s="612"/>
      <c r="I53" s="360">
        <v>191</v>
      </c>
      <c r="J53" s="361"/>
      <c r="K53" s="362"/>
      <c r="L53" s="362">
        <f t="shared" si="1"/>
        <v>191</v>
      </c>
    </row>
    <row r="54" spans="2:12" s="9" customFormat="1">
      <c r="B54" s="7">
        <v>41</v>
      </c>
      <c r="C54" s="7" t="s">
        <v>82</v>
      </c>
      <c r="D54" s="8" t="s">
        <v>196</v>
      </c>
      <c r="E54" s="7" t="s">
        <v>184</v>
      </c>
      <c r="F54" s="38">
        <f t="shared" si="2"/>
        <v>248</v>
      </c>
      <c r="G54" s="38">
        <v>292.64</v>
      </c>
      <c r="H54" s="612"/>
      <c r="I54" s="360">
        <v>248</v>
      </c>
      <c r="J54" s="361"/>
      <c r="K54" s="362"/>
      <c r="L54" s="362">
        <f t="shared" si="1"/>
        <v>248</v>
      </c>
    </row>
    <row r="55" spans="2:12" s="9" customFormat="1">
      <c r="B55" s="7">
        <v>42</v>
      </c>
      <c r="C55" s="7" t="s">
        <v>85</v>
      </c>
      <c r="D55" s="8" t="s">
        <v>529</v>
      </c>
      <c r="E55" s="7" t="s">
        <v>184</v>
      </c>
      <c r="F55" s="38">
        <f t="shared" si="2"/>
        <v>735</v>
      </c>
      <c r="G55" s="38">
        <v>867.3</v>
      </c>
      <c r="H55" s="612"/>
      <c r="I55" s="360">
        <v>735</v>
      </c>
      <c r="J55" s="363"/>
      <c r="K55" s="362"/>
      <c r="L55" s="362">
        <f t="shared" si="1"/>
        <v>735</v>
      </c>
    </row>
    <row r="56" spans="2:12" s="9" customFormat="1">
      <c r="B56" s="7">
        <v>43</v>
      </c>
      <c r="C56" s="7" t="s">
        <v>83</v>
      </c>
      <c r="D56" s="8" t="s">
        <v>527</v>
      </c>
      <c r="E56" s="7" t="s">
        <v>184</v>
      </c>
      <c r="F56" s="38">
        <f t="shared" si="2"/>
        <v>839</v>
      </c>
      <c r="G56" s="38">
        <v>990.02</v>
      </c>
      <c r="H56" s="612"/>
      <c r="I56" s="360">
        <v>839</v>
      </c>
      <c r="J56" s="363"/>
      <c r="K56" s="365"/>
      <c r="L56" s="365">
        <f t="shared" si="1"/>
        <v>839</v>
      </c>
    </row>
    <row r="57" spans="2:12" s="9" customFormat="1">
      <c r="B57" s="7">
        <v>44</v>
      </c>
      <c r="C57" s="7" t="s">
        <v>84</v>
      </c>
      <c r="D57" s="8" t="s">
        <v>528</v>
      </c>
      <c r="E57" s="7" t="s">
        <v>184</v>
      </c>
      <c r="F57" s="38">
        <f t="shared" si="2"/>
        <v>481</v>
      </c>
      <c r="G57" s="38">
        <v>567.58000000000004</v>
      </c>
      <c r="H57" s="612"/>
      <c r="I57" s="360">
        <v>481</v>
      </c>
      <c r="J57" s="363"/>
      <c r="K57" s="365"/>
      <c r="L57" s="365">
        <f t="shared" si="1"/>
        <v>481</v>
      </c>
    </row>
    <row r="58" spans="2:12" s="3" customFormat="1" ht="13">
      <c r="B58" s="23"/>
      <c r="C58" s="7"/>
      <c r="D58" s="24" t="s">
        <v>176</v>
      </c>
      <c r="E58" s="26"/>
      <c r="F58" s="38"/>
      <c r="G58" s="38"/>
      <c r="H58" s="616"/>
      <c r="I58" s="360"/>
      <c r="J58" s="363"/>
      <c r="K58" s="365"/>
      <c r="L58" s="365"/>
    </row>
    <row r="59" spans="2:12" s="9" customFormat="1">
      <c r="B59" s="7">
        <v>45</v>
      </c>
      <c r="C59" s="7" t="s">
        <v>86</v>
      </c>
      <c r="D59" s="8" t="s">
        <v>6</v>
      </c>
      <c r="E59" s="7" t="s">
        <v>182</v>
      </c>
      <c r="F59" s="38">
        <f t="shared" si="2"/>
        <v>93</v>
      </c>
      <c r="G59" s="38">
        <v>119.03999999999999</v>
      </c>
      <c r="H59" s="612"/>
      <c r="I59" s="360">
        <v>93</v>
      </c>
      <c r="J59" s="363"/>
      <c r="K59" s="365"/>
      <c r="L59" s="365">
        <f t="shared" si="1"/>
        <v>93</v>
      </c>
    </row>
    <row r="60" spans="2:12" s="9" customFormat="1">
      <c r="B60" s="7">
        <v>46</v>
      </c>
      <c r="C60" s="35" t="s">
        <v>999</v>
      </c>
      <c r="D60" s="44" t="s">
        <v>661</v>
      </c>
      <c r="E60" s="7" t="s">
        <v>185</v>
      </c>
      <c r="F60" s="38">
        <f t="shared" si="2"/>
        <v>404</v>
      </c>
      <c r="G60" s="38">
        <v>517.12</v>
      </c>
      <c r="H60" s="612"/>
      <c r="I60" s="360">
        <v>404</v>
      </c>
      <c r="J60" s="363"/>
      <c r="K60" s="365"/>
      <c r="L60" s="365">
        <f t="shared" si="1"/>
        <v>404</v>
      </c>
    </row>
    <row r="61" spans="2:12" s="37" customFormat="1">
      <c r="B61" s="7">
        <v>47</v>
      </c>
      <c r="C61" s="43" t="s">
        <v>93</v>
      </c>
      <c r="D61" s="44" t="s">
        <v>997</v>
      </c>
      <c r="E61" s="32" t="s">
        <v>185</v>
      </c>
      <c r="F61" s="38">
        <f t="shared" si="2"/>
        <v>214</v>
      </c>
      <c r="G61" s="39">
        <v>215.04</v>
      </c>
      <c r="H61" s="617"/>
      <c r="I61" s="360">
        <v>214</v>
      </c>
      <c r="J61" s="363"/>
      <c r="K61" s="365"/>
      <c r="L61" s="365">
        <f t="shared" si="1"/>
        <v>214</v>
      </c>
    </row>
    <row r="62" spans="2:12" s="366" customFormat="1">
      <c r="B62" s="7">
        <v>48</v>
      </c>
      <c r="C62" s="370" t="s">
        <v>998</v>
      </c>
      <c r="D62" s="373" t="s">
        <v>1002</v>
      </c>
      <c r="E62" s="367" t="s">
        <v>185</v>
      </c>
      <c r="F62" s="344">
        <f>L62</f>
        <v>168</v>
      </c>
      <c r="G62" s="344">
        <v>249.6</v>
      </c>
      <c r="H62" s="618"/>
      <c r="I62" s="360">
        <v>168</v>
      </c>
      <c r="J62" s="368"/>
      <c r="K62" s="369"/>
      <c r="L62" s="369">
        <f>I62+K62</f>
        <v>168</v>
      </c>
    </row>
    <row r="63" spans="2:12" s="9" customFormat="1">
      <c r="B63" s="7">
        <v>49</v>
      </c>
      <c r="C63" s="7" t="s">
        <v>87</v>
      </c>
      <c r="D63" s="8" t="s">
        <v>194</v>
      </c>
      <c r="E63" s="7" t="s">
        <v>182</v>
      </c>
      <c r="F63" s="38">
        <f t="shared" si="2"/>
        <v>27</v>
      </c>
      <c r="G63" s="39">
        <v>34.56</v>
      </c>
      <c r="H63" s="612"/>
      <c r="I63" s="360">
        <v>27</v>
      </c>
      <c r="J63" s="363"/>
      <c r="K63" s="365"/>
      <c r="L63" s="365">
        <f t="shared" si="1"/>
        <v>27</v>
      </c>
    </row>
    <row r="64" spans="2:12">
      <c r="B64" s="7">
        <v>50</v>
      </c>
      <c r="C64" s="7" t="s">
        <v>88</v>
      </c>
      <c r="D64" s="8" t="s">
        <v>7</v>
      </c>
      <c r="E64" s="7" t="s">
        <v>182</v>
      </c>
      <c r="F64" s="38">
        <f t="shared" si="2"/>
        <v>141</v>
      </c>
      <c r="G64" s="38">
        <v>180.48</v>
      </c>
      <c r="H64" s="611"/>
      <c r="I64" s="360">
        <v>141</v>
      </c>
      <c r="J64" s="363"/>
      <c r="K64" s="365"/>
      <c r="L64" s="365">
        <f t="shared" si="1"/>
        <v>141</v>
      </c>
    </row>
    <row r="65" spans="2:12">
      <c r="B65" s="7">
        <v>51</v>
      </c>
      <c r="C65" s="7" t="s">
        <v>8</v>
      </c>
      <c r="D65" s="8" t="s">
        <v>9</v>
      </c>
      <c r="E65" s="7" t="s">
        <v>182</v>
      </c>
      <c r="F65" s="38">
        <f t="shared" si="2"/>
        <v>180</v>
      </c>
      <c r="G65" s="38">
        <v>230.4</v>
      </c>
      <c r="H65" s="611"/>
      <c r="I65" s="360">
        <v>180</v>
      </c>
      <c r="J65" s="363"/>
      <c r="K65" s="365"/>
      <c r="L65" s="365">
        <f t="shared" si="1"/>
        <v>180</v>
      </c>
    </row>
    <row r="66" spans="2:12">
      <c r="B66" s="7">
        <v>52</v>
      </c>
      <c r="C66" s="7" t="s">
        <v>89</v>
      </c>
      <c r="D66" s="8" t="s">
        <v>177</v>
      </c>
      <c r="E66" s="7" t="s">
        <v>185</v>
      </c>
      <c r="F66" s="38">
        <f t="shared" si="2"/>
        <v>121</v>
      </c>
      <c r="G66" s="38">
        <v>154.88</v>
      </c>
      <c r="H66" s="611"/>
      <c r="I66" s="360">
        <v>121</v>
      </c>
      <c r="J66" s="363"/>
      <c r="K66" s="365"/>
      <c r="L66" s="365">
        <f t="shared" si="1"/>
        <v>121</v>
      </c>
    </row>
    <row r="67" spans="2:12">
      <c r="B67" s="7">
        <v>53</v>
      </c>
      <c r="C67" s="7" t="s">
        <v>90</v>
      </c>
      <c r="D67" s="8" t="s">
        <v>178</v>
      </c>
      <c r="E67" s="7" t="s">
        <v>185</v>
      </c>
      <c r="F67" s="38">
        <f t="shared" si="2"/>
        <v>130</v>
      </c>
      <c r="G67" s="38">
        <v>166.4</v>
      </c>
      <c r="H67" s="611"/>
      <c r="I67" s="360">
        <v>130</v>
      </c>
      <c r="J67" s="363"/>
      <c r="K67" s="365"/>
      <c r="L67" s="365">
        <f t="shared" si="1"/>
        <v>130</v>
      </c>
    </row>
    <row r="68" spans="2:12">
      <c r="B68" s="7">
        <v>54</v>
      </c>
      <c r="C68" s="7" t="s">
        <v>91</v>
      </c>
      <c r="D68" s="8" t="s">
        <v>179</v>
      </c>
      <c r="E68" s="7" t="s">
        <v>182</v>
      </c>
      <c r="F68" s="38">
        <f t="shared" si="2"/>
        <v>40</v>
      </c>
      <c r="G68" s="38">
        <v>48.64</v>
      </c>
      <c r="H68" s="611"/>
      <c r="I68" s="360">
        <v>40</v>
      </c>
      <c r="J68" s="363"/>
      <c r="K68" s="365"/>
      <c r="L68" s="365">
        <f t="shared" si="1"/>
        <v>40</v>
      </c>
    </row>
    <row r="69" spans="2:12">
      <c r="B69" s="7">
        <v>55</v>
      </c>
      <c r="C69" s="7" t="s">
        <v>92</v>
      </c>
      <c r="D69" s="8" t="s">
        <v>10</v>
      </c>
      <c r="E69" s="7" t="s">
        <v>182</v>
      </c>
      <c r="F69" s="38">
        <f t="shared" si="2"/>
        <v>81</v>
      </c>
      <c r="G69" s="38">
        <v>98.56</v>
      </c>
      <c r="H69" s="611"/>
      <c r="I69" s="360">
        <v>81</v>
      </c>
      <c r="J69" s="363"/>
      <c r="K69" s="365"/>
      <c r="L69" s="365">
        <f t="shared" si="1"/>
        <v>81</v>
      </c>
    </row>
    <row r="70" spans="2:12">
      <c r="B70" s="7">
        <v>56</v>
      </c>
      <c r="C70" s="7" t="s">
        <v>93</v>
      </c>
      <c r="D70" s="19" t="s">
        <v>584</v>
      </c>
      <c r="E70" s="7" t="s">
        <v>182</v>
      </c>
      <c r="F70" s="38">
        <f t="shared" si="2"/>
        <v>49</v>
      </c>
      <c r="G70" s="38">
        <v>58.88</v>
      </c>
      <c r="H70" s="611"/>
      <c r="I70" s="360">
        <v>49</v>
      </c>
      <c r="J70" s="363"/>
      <c r="K70" s="365"/>
      <c r="L70" s="365">
        <f t="shared" si="1"/>
        <v>49</v>
      </c>
    </row>
    <row r="71" spans="2:12">
      <c r="B71" s="7">
        <v>57</v>
      </c>
      <c r="C71" s="7" t="s">
        <v>94</v>
      </c>
      <c r="D71" s="8" t="s">
        <v>180</v>
      </c>
      <c r="E71" s="7" t="s">
        <v>185</v>
      </c>
      <c r="F71" s="38">
        <f t="shared" si="2"/>
        <v>248</v>
      </c>
      <c r="G71" s="38">
        <v>288</v>
      </c>
      <c r="H71" s="611"/>
      <c r="I71" s="360">
        <v>248</v>
      </c>
      <c r="J71" s="363"/>
      <c r="K71" s="365"/>
      <c r="L71" s="365">
        <f t="shared" si="1"/>
        <v>248</v>
      </c>
    </row>
    <row r="72" spans="2:12">
      <c r="B72" s="7">
        <v>58</v>
      </c>
      <c r="C72" s="7"/>
      <c r="D72" s="19" t="s">
        <v>585</v>
      </c>
      <c r="E72" s="7" t="s">
        <v>208</v>
      </c>
      <c r="F72" s="38">
        <f t="shared" si="2"/>
        <v>43000</v>
      </c>
      <c r="G72" s="38">
        <v>50740</v>
      </c>
      <c r="H72" s="611"/>
      <c r="I72" s="360">
        <v>43000</v>
      </c>
      <c r="J72" s="363"/>
      <c r="K72" s="365"/>
      <c r="L72" s="365">
        <f t="shared" ref="L72:L81" si="3">I72+K72</f>
        <v>43000</v>
      </c>
    </row>
    <row r="73" spans="2:12" s="372" customFormat="1">
      <c r="B73" s="7">
        <v>59</v>
      </c>
      <c r="C73" s="367"/>
      <c r="D73" s="373" t="s">
        <v>218</v>
      </c>
      <c r="E73" s="35" t="s">
        <v>182</v>
      </c>
      <c r="F73" s="38">
        <f>L73</f>
        <v>3.75</v>
      </c>
      <c r="G73" s="38">
        <v>4.8</v>
      </c>
      <c r="I73" s="360">
        <v>3.75</v>
      </c>
      <c r="J73" s="363"/>
      <c r="K73" s="365"/>
      <c r="L73" s="365">
        <f>I73+K73</f>
        <v>3.75</v>
      </c>
    </row>
    <row r="74" spans="2:12" s="372" customFormat="1">
      <c r="B74" s="7">
        <v>60</v>
      </c>
      <c r="C74" s="367"/>
      <c r="D74" s="373" t="s">
        <v>1001</v>
      </c>
      <c r="E74" s="7" t="s">
        <v>208</v>
      </c>
      <c r="F74" s="38">
        <f>L74</f>
        <v>37000</v>
      </c>
      <c r="G74" s="38">
        <v>47200</v>
      </c>
      <c r="I74" s="360">
        <v>37000</v>
      </c>
      <c r="J74" s="363"/>
      <c r="K74" s="365"/>
      <c r="L74" s="365">
        <f>I74+K74</f>
        <v>37000</v>
      </c>
    </row>
    <row r="75" spans="2:12">
      <c r="B75" s="7">
        <v>61</v>
      </c>
      <c r="C75" s="7" t="s">
        <v>95</v>
      </c>
      <c r="D75" s="8" t="s">
        <v>530</v>
      </c>
      <c r="E75" s="7" t="s">
        <v>182</v>
      </c>
      <c r="F75" s="38">
        <f t="shared" si="2"/>
        <v>60</v>
      </c>
      <c r="G75" s="38">
        <v>64.900000000000006</v>
      </c>
      <c r="H75" s="619"/>
      <c r="I75" s="360">
        <v>60</v>
      </c>
      <c r="J75" s="363"/>
      <c r="K75" s="365"/>
      <c r="L75" s="365">
        <f t="shared" si="3"/>
        <v>60</v>
      </c>
    </row>
    <row r="76" spans="2:12">
      <c r="B76" s="7">
        <v>62</v>
      </c>
      <c r="C76" s="7" t="s">
        <v>108</v>
      </c>
      <c r="D76" s="25" t="s">
        <v>202</v>
      </c>
      <c r="E76" s="7" t="s">
        <v>203</v>
      </c>
      <c r="F76" s="38">
        <f t="shared" si="2"/>
        <v>27</v>
      </c>
      <c r="G76" s="38">
        <v>27</v>
      </c>
      <c r="H76" s="619"/>
      <c r="I76" s="360">
        <v>27</v>
      </c>
      <c r="J76" s="363"/>
      <c r="K76" s="365"/>
      <c r="L76" s="365">
        <f t="shared" si="3"/>
        <v>27</v>
      </c>
    </row>
    <row r="77" spans="2:12">
      <c r="B77" s="7">
        <v>63</v>
      </c>
      <c r="C77" s="7" t="s">
        <v>109</v>
      </c>
      <c r="D77" s="25" t="s">
        <v>204</v>
      </c>
      <c r="E77" s="7" t="s">
        <v>203</v>
      </c>
      <c r="F77" s="38">
        <f t="shared" si="2"/>
        <v>5</v>
      </c>
      <c r="G77" s="38">
        <v>5</v>
      </c>
      <c r="H77" s="611"/>
      <c r="I77" s="360">
        <v>5</v>
      </c>
      <c r="J77" s="363"/>
      <c r="K77" s="365"/>
      <c r="L77" s="365">
        <f t="shared" si="3"/>
        <v>5</v>
      </c>
    </row>
    <row r="78" spans="2:12" ht="25">
      <c r="B78" s="7">
        <v>64</v>
      </c>
      <c r="C78" s="7" t="s">
        <v>574</v>
      </c>
      <c r="D78" s="25" t="s">
        <v>586</v>
      </c>
      <c r="E78" s="20" t="s">
        <v>184</v>
      </c>
      <c r="F78" s="38">
        <f t="shared" si="2"/>
        <v>1570</v>
      </c>
      <c r="G78" s="38">
        <v>1427</v>
      </c>
      <c r="H78" s="611"/>
      <c r="I78" s="360">
        <v>1570</v>
      </c>
      <c r="J78" s="363"/>
      <c r="K78" s="365"/>
      <c r="L78" s="365">
        <f t="shared" si="3"/>
        <v>1570</v>
      </c>
    </row>
    <row r="79" spans="2:12" ht="25">
      <c r="B79" s="7">
        <v>65</v>
      </c>
      <c r="C79" s="7" t="s">
        <v>587</v>
      </c>
      <c r="D79" s="25" t="s">
        <v>588</v>
      </c>
      <c r="E79" s="20" t="s">
        <v>184</v>
      </c>
      <c r="F79" s="38">
        <f t="shared" si="2"/>
        <v>1515</v>
      </c>
      <c r="G79" s="38">
        <v>1377</v>
      </c>
      <c r="H79" s="611"/>
      <c r="I79" s="360">
        <v>1515</v>
      </c>
      <c r="J79" s="363"/>
      <c r="K79" s="365"/>
      <c r="L79" s="365">
        <f t="shared" si="3"/>
        <v>1515</v>
      </c>
    </row>
    <row r="80" spans="2:12" ht="25">
      <c r="B80" s="7">
        <v>66</v>
      </c>
      <c r="C80" s="7" t="s">
        <v>575</v>
      </c>
      <c r="D80" s="25" t="s">
        <v>589</v>
      </c>
      <c r="E80" s="20" t="s">
        <v>184</v>
      </c>
      <c r="F80" s="38">
        <f t="shared" si="2"/>
        <v>1452</v>
      </c>
      <c r="G80" s="38">
        <v>1320</v>
      </c>
      <c r="H80" s="611"/>
      <c r="I80" s="360">
        <v>1452</v>
      </c>
      <c r="J80" s="363"/>
      <c r="K80" s="365"/>
      <c r="L80" s="365">
        <f t="shared" si="3"/>
        <v>1452</v>
      </c>
    </row>
    <row r="81" spans="2:12" ht="25">
      <c r="B81" s="7">
        <v>67</v>
      </c>
      <c r="C81" s="43" t="s">
        <v>662</v>
      </c>
      <c r="D81" s="25" t="s">
        <v>591</v>
      </c>
      <c r="E81" s="20" t="s">
        <v>184</v>
      </c>
      <c r="F81" s="38">
        <f>L81</f>
        <v>1401</v>
      </c>
      <c r="G81" s="38">
        <v>1273</v>
      </c>
      <c r="H81" s="611"/>
      <c r="I81" s="360">
        <v>1401</v>
      </c>
      <c r="J81" s="363"/>
      <c r="K81" s="365"/>
      <c r="L81" s="365">
        <f t="shared" si="3"/>
        <v>1401</v>
      </c>
    </row>
    <row r="82" spans="2:12">
      <c r="B82" s="7">
        <v>68</v>
      </c>
      <c r="C82" s="33" t="s">
        <v>1599</v>
      </c>
      <c r="D82" s="712" t="s">
        <v>1598</v>
      </c>
      <c r="E82" s="20" t="s">
        <v>184</v>
      </c>
      <c r="F82" s="38">
        <f>L82</f>
        <v>6517</v>
      </c>
      <c r="G82" s="38">
        <v>1273</v>
      </c>
      <c r="H82" s="611"/>
      <c r="I82" s="360">
        <v>6517</v>
      </c>
      <c r="J82" s="363"/>
      <c r="K82" s="365"/>
      <c r="L82" s="365">
        <f>I82+K82</f>
        <v>6517</v>
      </c>
    </row>
    <row r="83" spans="2:12" ht="17.5">
      <c r="B83" s="7"/>
      <c r="C83" s="7"/>
      <c r="D83" s="15" t="s">
        <v>480</v>
      </c>
      <c r="E83" s="7"/>
      <c r="F83" s="38"/>
      <c r="G83" s="38"/>
      <c r="H83" s="611"/>
    </row>
    <row r="84" spans="2:12">
      <c r="B84" s="7"/>
      <c r="C84" s="7"/>
      <c r="D84" s="8" t="s">
        <v>481</v>
      </c>
      <c r="E84" s="12" t="s">
        <v>119</v>
      </c>
      <c r="F84" s="38">
        <v>500</v>
      </c>
      <c r="G84" s="38">
        <v>490</v>
      </c>
      <c r="H84" s="611"/>
      <c r="I84" s="621"/>
      <c r="J84" s="622"/>
      <c r="K84" s="623"/>
    </row>
    <row r="85" spans="2:12">
      <c r="B85" s="7"/>
      <c r="C85" s="7"/>
      <c r="D85" s="8" t="s">
        <v>482</v>
      </c>
      <c r="E85" s="12" t="s">
        <v>119</v>
      </c>
      <c r="F85" s="38">
        <v>460</v>
      </c>
      <c r="G85" s="38">
        <v>440</v>
      </c>
      <c r="H85" s="611"/>
      <c r="I85" s="621"/>
      <c r="J85" s="622"/>
      <c r="K85" s="623"/>
    </row>
    <row r="86" spans="2:12">
      <c r="B86" s="7"/>
      <c r="C86" s="7"/>
      <c r="D86" s="8" t="s">
        <v>483</v>
      </c>
      <c r="E86" s="12" t="s">
        <v>119</v>
      </c>
      <c r="F86" s="38">
        <v>420</v>
      </c>
      <c r="G86" s="38">
        <v>400</v>
      </c>
      <c r="H86" s="611"/>
      <c r="I86" s="621"/>
      <c r="J86" s="622"/>
      <c r="K86" s="623"/>
    </row>
    <row r="87" spans="2:12">
      <c r="B87" s="7"/>
      <c r="C87" s="7"/>
      <c r="D87" s="8" t="s">
        <v>484</v>
      </c>
      <c r="E87" s="12" t="s">
        <v>119</v>
      </c>
      <c r="F87" s="38">
        <v>580</v>
      </c>
      <c r="G87" s="38">
        <v>550</v>
      </c>
      <c r="H87" s="611"/>
      <c r="I87" s="621"/>
      <c r="J87" s="622"/>
      <c r="K87" s="623"/>
    </row>
    <row r="88" spans="2:12">
      <c r="B88" s="7"/>
      <c r="C88" s="7"/>
      <c r="D88" s="8" t="s">
        <v>485</v>
      </c>
      <c r="E88" s="12" t="s">
        <v>119</v>
      </c>
      <c r="F88" s="38">
        <v>460</v>
      </c>
      <c r="G88" s="38">
        <v>440</v>
      </c>
      <c r="H88" s="611"/>
      <c r="I88" s="621"/>
      <c r="J88" s="622"/>
      <c r="K88" s="623"/>
    </row>
    <row r="89" spans="2:12">
      <c r="B89" s="7"/>
      <c r="C89" s="7"/>
      <c r="D89" s="8" t="s">
        <v>487</v>
      </c>
      <c r="E89" s="12" t="s">
        <v>119</v>
      </c>
      <c r="F89" s="38">
        <v>495</v>
      </c>
      <c r="G89" s="38">
        <v>475</v>
      </c>
      <c r="H89" s="611"/>
      <c r="I89" s="621"/>
      <c r="J89" s="622"/>
      <c r="K89" s="623"/>
    </row>
    <row r="90" spans="2:12">
      <c r="B90" s="7"/>
      <c r="C90" s="7"/>
      <c r="D90" s="28" t="s">
        <v>465</v>
      </c>
      <c r="E90" s="12" t="s">
        <v>119</v>
      </c>
      <c r="F90" s="38">
        <v>580</v>
      </c>
      <c r="G90" s="38">
        <v>550</v>
      </c>
      <c r="H90" s="611"/>
      <c r="I90" s="624"/>
      <c r="J90" s="622"/>
      <c r="K90" s="623"/>
    </row>
    <row r="91" spans="2:12">
      <c r="B91" s="7"/>
      <c r="C91" s="7"/>
      <c r="D91" s="28" t="s">
        <v>466</v>
      </c>
      <c r="E91" s="12" t="s">
        <v>119</v>
      </c>
      <c r="F91" s="38">
        <v>460</v>
      </c>
      <c r="G91" s="38">
        <v>440</v>
      </c>
      <c r="H91" s="611"/>
      <c r="I91" s="624"/>
      <c r="J91" s="622"/>
      <c r="K91" s="623"/>
    </row>
    <row r="92" spans="2:12" s="346" customFormat="1">
      <c r="B92" s="347"/>
      <c r="C92" s="347"/>
      <c r="D92" s="620" t="s">
        <v>1105</v>
      </c>
      <c r="E92" s="38" t="s">
        <v>119</v>
      </c>
      <c r="F92" s="39">
        <v>575</v>
      </c>
      <c r="G92" s="38"/>
    </row>
    <row r="93" spans="2:12" s="346" customFormat="1">
      <c r="B93" s="347"/>
      <c r="C93" s="347"/>
      <c r="D93" s="620" t="s">
        <v>1106</v>
      </c>
      <c r="E93" s="38" t="s">
        <v>119</v>
      </c>
      <c r="F93" s="39">
        <v>471</v>
      </c>
      <c r="G93" s="38"/>
    </row>
    <row r="94" spans="2:12" s="346" customFormat="1">
      <c r="B94" s="347"/>
      <c r="C94" s="347"/>
      <c r="D94" s="620" t="s">
        <v>1107</v>
      </c>
      <c r="E94" s="38" t="s">
        <v>119</v>
      </c>
      <c r="F94" s="39">
        <v>460</v>
      </c>
      <c r="G94" s="38"/>
    </row>
    <row r="95" spans="2:12" s="346" customFormat="1">
      <c r="B95" s="347"/>
      <c r="C95" s="347"/>
      <c r="D95" s="620" t="s">
        <v>241</v>
      </c>
      <c r="E95" s="38" t="s">
        <v>119</v>
      </c>
      <c r="F95" s="39">
        <v>471</v>
      </c>
      <c r="G95" s="38"/>
    </row>
    <row r="96" spans="2:12" s="346" customFormat="1">
      <c r="B96" s="347"/>
      <c r="C96" s="347"/>
      <c r="D96" s="645" t="s">
        <v>35</v>
      </c>
      <c r="E96" s="38" t="s">
        <v>119</v>
      </c>
      <c r="F96" s="39">
        <v>510</v>
      </c>
      <c r="G96" s="38"/>
    </row>
    <row r="97" spans="2:8" ht="17.5">
      <c r="B97" s="7"/>
      <c r="C97" s="7"/>
      <c r="D97" s="15" t="s">
        <v>368</v>
      </c>
      <c r="E97" s="12"/>
      <c r="F97" s="38"/>
      <c r="G97" s="38"/>
      <c r="H97" s="611"/>
    </row>
    <row r="98" spans="2:8" ht="15.75" customHeight="1">
      <c r="B98" s="7"/>
      <c r="C98" s="7"/>
      <c r="D98" s="13" t="s">
        <v>282</v>
      </c>
      <c r="E98" s="12" t="s">
        <v>136</v>
      </c>
      <c r="F98" s="39">
        <v>524.70000000000005</v>
      </c>
      <c r="G98" s="40">
        <v>525.5</v>
      </c>
      <c r="H98" s="611"/>
    </row>
    <row r="99" spans="2:8">
      <c r="B99" s="7"/>
      <c r="C99" s="7"/>
      <c r="D99" s="13" t="s">
        <v>283</v>
      </c>
      <c r="E99" s="12" t="s">
        <v>136</v>
      </c>
      <c r="F99" s="39">
        <v>209.1</v>
      </c>
      <c r="G99" s="41">
        <v>203.5</v>
      </c>
      <c r="H99" s="611"/>
    </row>
    <row r="100" spans="2:8">
      <c r="B100" s="7"/>
      <c r="C100" s="7"/>
      <c r="D100" s="8"/>
      <c r="E100" s="7"/>
      <c r="F100" s="38"/>
      <c r="G100" s="38"/>
      <c r="H100" s="611"/>
    </row>
    <row r="101" spans="2:8" ht="17.5">
      <c r="B101" s="7"/>
      <c r="C101" s="7"/>
      <c r="D101" s="15" t="s">
        <v>389</v>
      </c>
      <c r="E101" s="7"/>
      <c r="F101" s="38"/>
      <c r="G101" s="38"/>
      <c r="H101" s="611"/>
    </row>
    <row r="102" spans="2:8">
      <c r="B102" s="7"/>
      <c r="C102" s="7"/>
      <c r="D102" s="8" t="s">
        <v>313</v>
      </c>
      <c r="E102" s="7" t="s">
        <v>181</v>
      </c>
      <c r="F102" s="39">
        <v>75</v>
      </c>
      <c r="G102" s="39">
        <v>75</v>
      </c>
      <c r="H102" s="611"/>
    </row>
    <row r="103" spans="2:8">
      <c r="B103" s="7"/>
      <c r="C103" s="7"/>
      <c r="D103" s="8" t="s">
        <v>248</v>
      </c>
      <c r="E103" s="7" t="s">
        <v>181</v>
      </c>
      <c r="F103" s="39">
        <v>50</v>
      </c>
      <c r="G103" s="39">
        <v>50</v>
      </c>
      <c r="H103" s="611"/>
    </row>
    <row r="104" spans="2:8">
      <c r="B104" s="7"/>
      <c r="C104" s="7"/>
      <c r="D104" s="8" t="s">
        <v>390</v>
      </c>
      <c r="E104" s="7" t="s">
        <v>181</v>
      </c>
      <c r="F104" s="39">
        <v>30</v>
      </c>
      <c r="G104" s="39">
        <v>30</v>
      </c>
      <c r="H104" s="611"/>
    </row>
    <row r="105" spans="2:8">
      <c r="B105" s="7"/>
      <c r="C105" s="7"/>
      <c r="D105" s="8"/>
      <c r="E105" s="8"/>
      <c r="F105" s="42"/>
      <c r="G105" s="42"/>
    </row>
  </sheetData>
  <mergeCells count="4">
    <mergeCell ref="B2:B3"/>
    <mergeCell ref="D2:D3"/>
    <mergeCell ref="B1:F1"/>
    <mergeCell ref="C2:C3"/>
  </mergeCells>
  <printOptions horizontalCentered="1"/>
  <pageMargins left="0.19687500000000002" right="0.19687500000000002" top="0.36" bottom="0.19687500000000002" header="0.33" footer="0"/>
  <pageSetup paperSize="9" scale="83" orientation="portrait" verticalDpi="300" r:id="rId1"/>
  <headerFooter alignWithMargins="0"/>
  <rowBreaks count="1" manualBreakCount="1">
    <brk id="82" min="1" max="7" man="1"/>
  </rowBreaks>
</worksheet>
</file>

<file path=xl/worksheets/sheet25.xml><?xml version="1.0" encoding="utf-8"?>
<worksheet xmlns="http://schemas.openxmlformats.org/spreadsheetml/2006/main" xmlns:r="http://schemas.openxmlformats.org/officeDocument/2006/relationships">
  <dimension ref="B1:AI34"/>
  <sheetViews>
    <sheetView view="pageBreakPreview" zoomScale="115" zoomScaleSheetLayoutView="115" workbookViewId="0">
      <selection activeCell="Q30" sqref="Q30"/>
    </sheetView>
  </sheetViews>
  <sheetFormatPr defaultColWidth="9.1796875" defaultRowHeight="12.5"/>
  <cols>
    <col min="1" max="1" width="3.453125" style="346" customWidth="1"/>
    <col min="2" max="2" width="5.81640625" style="346" bestFit="1" customWidth="1"/>
    <col min="3" max="3" width="17.453125" style="352" customWidth="1"/>
    <col min="4" max="4" width="11.7265625" style="352" customWidth="1"/>
    <col min="5" max="5" width="4.1796875" style="352" customWidth="1"/>
    <col min="6" max="6" width="3.453125" style="353" customWidth="1"/>
    <col min="7" max="7" width="8" style="354" bestFit="1" customWidth="1"/>
    <col min="8" max="8" width="3" style="354" customWidth="1"/>
    <col min="9" max="9" width="7.26953125" style="354" customWidth="1"/>
    <col min="10" max="10" width="3.1796875" style="354" customWidth="1"/>
    <col min="11" max="11" width="7.453125" style="346" customWidth="1"/>
    <col min="12" max="12" width="3.453125" style="353" customWidth="1"/>
    <col min="13" max="13" width="8" style="354" bestFit="1" customWidth="1"/>
    <col min="14" max="14" width="3" style="354" customWidth="1"/>
    <col min="15" max="15" width="7.453125" style="354" customWidth="1"/>
    <col min="16" max="16" width="3.1796875" style="354" customWidth="1"/>
    <col min="17" max="17" width="7.453125" style="346" customWidth="1"/>
    <col min="18" max="18" width="4.453125" style="346" customWidth="1"/>
    <col min="19" max="19" width="9.1796875" style="346"/>
    <col min="20" max="20" width="5.1796875" style="346" customWidth="1"/>
    <col min="21" max="21" width="9.1796875" style="346"/>
    <col min="22" max="22" width="5.453125" style="346" customWidth="1"/>
    <col min="23" max="23" width="9.1796875" style="346"/>
    <col min="24" max="24" width="5.453125" style="346" customWidth="1"/>
    <col min="25" max="25" width="9.1796875" style="346"/>
    <col min="26" max="26" width="4.81640625" style="346" customWidth="1"/>
    <col min="27" max="27" width="11.7265625" style="346" bestFit="1" customWidth="1"/>
    <col min="28" max="28" width="4.7265625" style="346" customWidth="1"/>
    <col min="29" max="16384" width="9.1796875" style="346"/>
  </cols>
  <sheetData>
    <row r="1" spans="2:35" s="345" customFormat="1" ht="26.25" customHeight="1">
      <c r="B1" s="2255" t="s">
        <v>537</v>
      </c>
      <c r="C1" s="2256"/>
      <c r="D1" s="2256"/>
      <c r="E1" s="2256"/>
      <c r="F1" s="2256"/>
      <c r="G1" s="2256"/>
      <c r="H1" s="2256"/>
      <c r="I1" s="2256"/>
      <c r="J1" s="2256"/>
      <c r="K1" s="2256"/>
      <c r="L1" s="2256"/>
      <c r="M1" s="2256"/>
      <c r="N1" s="2256"/>
      <c r="O1" s="2256"/>
      <c r="P1" s="2256"/>
      <c r="Q1" s="2256"/>
    </row>
    <row r="2" spans="2:35" s="23" customFormat="1" ht="15.75" customHeight="1">
      <c r="B2" s="2248" t="s">
        <v>140</v>
      </c>
      <c r="C2" s="2249" t="s">
        <v>493</v>
      </c>
      <c r="D2" s="2257" t="s">
        <v>494</v>
      </c>
      <c r="E2" s="10"/>
      <c r="F2" s="2259" t="s">
        <v>1000</v>
      </c>
      <c r="G2" s="2260"/>
      <c r="H2" s="2260"/>
      <c r="I2" s="2260"/>
      <c r="J2" s="2260"/>
      <c r="K2" s="2260"/>
      <c r="L2" s="2259" t="s">
        <v>1108</v>
      </c>
      <c r="M2" s="2260"/>
      <c r="N2" s="2260"/>
      <c r="O2" s="2260"/>
      <c r="P2" s="2260"/>
      <c r="Q2" s="2260"/>
    </row>
    <row r="3" spans="2:35" s="23" customFormat="1" ht="46.5" customHeight="1">
      <c r="B3" s="2248"/>
      <c r="C3" s="2249"/>
      <c r="D3" s="2258"/>
      <c r="E3" s="29"/>
      <c r="F3" s="2254" t="s">
        <v>495</v>
      </c>
      <c r="G3" s="2254"/>
      <c r="H3" s="2254" t="s">
        <v>210</v>
      </c>
      <c r="I3" s="2254"/>
      <c r="J3" s="2254" t="s">
        <v>229</v>
      </c>
      <c r="K3" s="2254"/>
      <c r="L3" s="2254" t="s">
        <v>495</v>
      </c>
      <c r="M3" s="2254"/>
      <c r="N3" s="2254" t="s">
        <v>210</v>
      </c>
      <c r="O3" s="2254"/>
      <c r="P3" s="2254" t="s">
        <v>229</v>
      </c>
      <c r="Q3" s="2254"/>
    </row>
    <row r="4" spans="2:35" s="23" customFormat="1" ht="13">
      <c r="B4" s="26">
        <v>1</v>
      </c>
      <c r="C4" s="27">
        <v>2</v>
      </c>
      <c r="D4" s="27" t="s">
        <v>186</v>
      </c>
      <c r="F4" s="27"/>
      <c r="G4" s="26">
        <v>4</v>
      </c>
      <c r="H4" s="26"/>
      <c r="I4" s="26">
        <v>5</v>
      </c>
      <c r="J4" s="26"/>
      <c r="K4" s="26">
        <v>6</v>
      </c>
      <c r="L4" s="27"/>
      <c r="M4" s="26">
        <v>4</v>
      </c>
      <c r="N4" s="26"/>
      <c r="O4" s="26">
        <v>5</v>
      </c>
      <c r="P4" s="26"/>
      <c r="Q4" s="26">
        <v>6</v>
      </c>
    </row>
    <row r="5" spans="2:35" s="23" customFormat="1" ht="44.25" customHeight="1">
      <c r="B5" s="2253" t="s">
        <v>518</v>
      </c>
      <c r="C5" s="2253"/>
      <c r="D5" s="2253"/>
      <c r="E5" s="2253"/>
      <c r="F5" s="2253"/>
      <c r="G5" s="2253"/>
      <c r="H5" s="2253"/>
      <c r="I5" s="2253"/>
      <c r="J5" s="2253"/>
      <c r="K5" s="2253"/>
      <c r="L5" s="2253"/>
      <c r="M5" s="2253"/>
      <c r="N5" s="2253"/>
      <c r="O5" s="2253"/>
      <c r="P5" s="2253"/>
      <c r="Q5" s="2253"/>
    </row>
    <row r="6" spans="2:35" ht="30.75" customHeight="1">
      <c r="B6" s="347" t="s">
        <v>144</v>
      </c>
      <c r="C6" s="348" t="s">
        <v>505</v>
      </c>
      <c r="D6" s="349" t="s">
        <v>496</v>
      </c>
      <c r="E6" s="350"/>
      <c r="F6" s="349" t="s">
        <v>497</v>
      </c>
      <c r="G6" s="351">
        <v>288</v>
      </c>
      <c r="H6" s="349" t="s">
        <v>497</v>
      </c>
      <c r="I6" s="349">
        <v>631</v>
      </c>
      <c r="J6" s="349" t="s">
        <v>497</v>
      </c>
      <c r="K6" s="351">
        <f>G6+I6</f>
        <v>919</v>
      </c>
      <c r="L6" s="349" t="s">
        <v>497</v>
      </c>
      <c r="M6" s="351">
        <v>288</v>
      </c>
      <c r="N6" s="349" t="s">
        <v>497</v>
      </c>
      <c r="O6" s="349">
        <v>631</v>
      </c>
      <c r="P6" s="349" t="s">
        <v>497</v>
      </c>
      <c r="Q6" s="351">
        <f>M6+O6</f>
        <v>919</v>
      </c>
    </row>
    <row r="7" spans="2:35" ht="30.75" customHeight="1">
      <c r="B7" s="347" t="s">
        <v>145</v>
      </c>
      <c r="C7" s="19" t="s">
        <v>564</v>
      </c>
      <c r="D7" s="349"/>
      <c r="E7" s="350"/>
      <c r="F7" s="349" t="s">
        <v>497</v>
      </c>
      <c r="G7" s="351">
        <v>64</v>
      </c>
      <c r="H7" s="349" t="s">
        <v>497</v>
      </c>
      <c r="I7" s="349">
        <v>325</v>
      </c>
      <c r="J7" s="349" t="s">
        <v>497</v>
      </c>
      <c r="K7" s="351">
        <f>G7+I7</f>
        <v>389</v>
      </c>
      <c r="L7" s="349" t="s">
        <v>497</v>
      </c>
      <c r="M7" s="351">
        <v>64</v>
      </c>
      <c r="N7" s="349" t="s">
        <v>497</v>
      </c>
      <c r="O7" s="349">
        <v>341</v>
      </c>
      <c r="P7" s="349" t="s">
        <v>497</v>
      </c>
      <c r="Q7" s="351">
        <f>M7+O7</f>
        <v>405</v>
      </c>
    </row>
    <row r="8" spans="2:35" ht="30.75" customHeight="1">
      <c r="B8" s="347" t="s">
        <v>146</v>
      </c>
      <c r="C8" s="19" t="s">
        <v>1109</v>
      </c>
      <c r="D8" s="349" t="s">
        <v>496</v>
      </c>
      <c r="E8" s="350"/>
      <c r="F8" s="349" t="s">
        <v>497</v>
      </c>
      <c r="G8" s="351">
        <v>328</v>
      </c>
      <c r="H8" s="349" t="s">
        <v>497</v>
      </c>
      <c r="I8" s="349">
        <v>1004</v>
      </c>
      <c r="J8" s="349" t="s">
        <v>497</v>
      </c>
      <c r="K8" s="351">
        <f>G8+I8</f>
        <v>1332</v>
      </c>
      <c r="L8" s="349" t="s">
        <v>497</v>
      </c>
      <c r="M8" s="351">
        <v>328</v>
      </c>
      <c r="N8" s="349" t="s">
        <v>497</v>
      </c>
      <c r="O8" s="349">
        <v>1004</v>
      </c>
      <c r="P8" s="349" t="s">
        <v>497</v>
      </c>
      <c r="Q8" s="351">
        <f>M8+O8</f>
        <v>1332</v>
      </c>
    </row>
    <row r="9" spans="2:35" ht="30.75" customHeight="1">
      <c r="B9" s="20" t="s">
        <v>498</v>
      </c>
      <c r="C9" s="348" t="s">
        <v>506</v>
      </c>
      <c r="D9" s="349" t="s">
        <v>496</v>
      </c>
      <c r="E9" s="350"/>
      <c r="F9" s="349" t="s">
        <v>497</v>
      </c>
      <c r="G9" s="351">
        <v>1390</v>
      </c>
      <c r="H9" s="349" t="s">
        <v>497</v>
      </c>
      <c r="I9" s="349">
        <v>1521</v>
      </c>
      <c r="J9" s="349" t="s">
        <v>497</v>
      </c>
      <c r="K9" s="351">
        <f>G9+I9</f>
        <v>2911</v>
      </c>
      <c r="L9" s="349" t="s">
        <v>497</v>
      </c>
      <c r="M9" s="351">
        <v>1390</v>
      </c>
      <c r="N9" s="349" t="s">
        <v>497</v>
      </c>
      <c r="O9" s="349">
        <v>1521</v>
      </c>
      <c r="P9" s="349" t="s">
        <v>497</v>
      </c>
      <c r="Q9" s="351">
        <f>M9+O9</f>
        <v>2911</v>
      </c>
    </row>
    <row r="10" spans="2:35" s="23" customFormat="1" ht="40.5" customHeight="1">
      <c r="B10" s="2253" t="s">
        <v>517</v>
      </c>
      <c r="C10" s="2253"/>
      <c r="D10" s="2253"/>
      <c r="E10" s="2253"/>
      <c r="F10" s="2253"/>
      <c r="G10" s="2253"/>
      <c r="H10" s="2253"/>
      <c r="I10" s="2253"/>
      <c r="J10" s="2253"/>
      <c r="K10" s="2253"/>
      <c r="L10" s="2253"/>
      <c r="M10" s="2253"/>
      <c r="N10" s="2253"/>
      <c r="O10" s="2253"/>
      <c r="P10" s="2253"/>
      <c r="Q10" s="2253"/>
      <c r="R10" s="2252" t="s">
        <v>611</v>
      </c>
      <c r="S10" s="2252"/>
      <c r="T10" s="2252"/>
      <c r="U10" s="2252"/>
      <c r="V10" s="2252"/>
      <c r="W10" s="2252"/>
      <c r="X10" s="2252" t="s">
        <v>614</v>
      </c>
      <c r="Y10" s="2252"/>
      <c r="Z10" s="2252"/>
      <c r="AA10" s="2252"/>
      <c r="AB10" s="2252"/>
      <c r="AC10" s="2252"/>
      <c r="AD10" s="2252" t="s">
        <v>620</v>
      </c>
      <c r="AE10" s="2252"/>
      <c r="AF10" s="2252"/>
      <c r="AG10" s="2252"/>
      <c r="AH10" s="2252"/>
      <c r="AI10" s="2252"/>
    </row>
    <row r="11" spans="2:35" ht="32.25" customHeight="1">
      <c r="B11" s="347" t="s">
        <v>498</v>
      </c>
      <c r="C11" s="348" t="s">
        <v>507</v>
      </c>
      <c r="D11" s="349" t="s">
        <v>496</v>
      </c>
      <c r="E11" s="350"/>
      <c r="F11" s="349" t="s">
        <v>497</v>
      </c>
      <c r="G11" s="351">
        <v>790</v>
      </c>
      <c r="H11" s="349" t="s">
        <v>497</v>
      </c>
      <c r="I11" s="349">
        <v>1251</v>
      </c>
      <c r="J11" s="349" t="s">
        <v>497</v>
      </c>
      <c r="K11" s="351">
        <f t="shared" ref="K11:K17" si="0">G11+I11</f>
        <v>2041</v>
      </c>
      <c r="L11" s="349" t="s">
        <v>497</v>
      </c>
      <c r="M11" s="351">
        <v>790</v>
      </c>
      <c r="N11" s="349" t="s">
        <v>497</v>
      </c>
      <c r="O11" s="349">
        <v>1251</v>
      </c>
      <c r="P11" s="349" t="s">
        <v>497</v>
      </c>
      <c r="Q11" s="351">
        <f t="shared" ref="Q11:Q17" si="1">M11+O11</f>
        <v>2041</v>
      </c>
      <c r="R11" s="349" t="s">
        <v>497</v>
      </c>
      <c r="S11" s="351">
        <f t="shared" ref="S11:S17" si="2">M11</f>
        <v>790</v>
      </c>
      <c r="T11" s="349" t="s">
        <v>497</v>
      </c>
      <c r="U11" s="349">
        <v>1376</v>
      </c>
      <c r="V11" s="349" t="s">
        <v>497</v>
      </c>
      <c r="W11" s="351">
        <f t="shared" ref="W11:W17" si="3">S11+U11</f>
        <v>2166</v>
      </c>
      <c r="X11" s="349" t="s">
        <v>497</v>
      </c>
      <c r="Y11" s="351">
        <f>S11</f>
        <v>790</v>
      </c>
      <c r="Z11" s="349" t="s">
        <v>497</v>
      </c>
      <c r="AA11" s="349">
        <v>1501</v>
      </c>
      <c r="AB11" s="349" t="s">
        <v>497</v>
      </c>
      <c r="AC11" s="351">
        <f t="shared" ref="AC11:AC17" si="4">Y11+AA11</f>
        <v>2291</v>
      </c>
      <c r="AD11" s="349" t="s">
        <v>497</v>
      </c>
      <c r="AE11" s="351">
        <f>Y11</f>
        <v>790</v>
      </c>
      <c r="AF11" s="349" t="s">
        <v>497</v>
      </c>
      <c r="AG11" s="349">
        <v>1626</v>
      </c>
      <c r="AH11" s="349" t="s">
        <v>497</v>
      </c>
      <c r="AI11" s="351">
        <f t="shared" ref="AI11:AI17" si="5">AE11+AG11</f>
        <v>2416</v>
      </c>
    </row>
    <row r="12" spans="2:35" ht="32.25" customHeight="1">
      <c r="B12" s="347" t="s">
        <v>499</v>
      </c>
      <c r="C12" s="348" t="s">
        <v>508</v>
      </c>
      <c r="D12" s="349" t="s">
        <v>514</v>
      </c>
      <c r="E12" s="350"/>
      <c r="F12" s="349" t="s">
        <v>497</v>
      </c>
      <c r="G12" s="351">
        <v>156</v>
      </c>
      <c r="H12" s="349" t="s">
        <v>497</v>
      </c>
      <c r="I12" s="349">
        <v>192</v>
      </c>
      <c r="J12" s="349" t="s">
        <v>497</v>
      </c>
      <c r="K12" s="351">
        <f t="shared" si="0"/>
        <v>348</v>
      </c>
      <c r="L12" s="349" t="s">
        <v>497</v>
      </c>
      <c r="M12" s="351">
        <v>156</v>
      </c>
      <c r="N12" s="349" t="s">
        <v>497</v>
      </c>
      <c r="O12" s="349">
        <v>192</v>
      </c>
      <c r="P12" s="349" t="s">
        <v>497</v>
      </c>
      <c r="Q12" s="351">
        <f t="shared" si="1"/>
        <v>348</v>
      </c>
      <c r="R12" s="349" t="s">
        <v>497</v>
      </c>
      <c r="S12" s="351">
        <f t="shared" si="2"/>
        <v>156</v>
      </c>
      <c r="T12" s="349" t="s">
        <v>497</v>
      </c>
      <c r="U12" s="349">
        <v>211</v>
      </c>
      <c r="V12" s="349" t="s">
        <v>497</v>
      </c>
      <c r="W12" s="351">
        <f t="shared" si="3"/>
        <v>367</v>
      </c>
      <c r="X12" s="349" t="s">
        <v>497</v>
      </c>
      <c r="Y12" s="351">
        <f>M12</f>
        <v>156</v>
      </c>
      <c r="Z12" s="349" t="s">
        <v>497</v>
      </c>
      <c r="AA12" s="349">
        <v>230</v>
      </c>
      <c r="AB12" s="349" t="s">
        <v>497</v>
      </c>
      <c r="AC12" s="351">
        <f t="shared" si="4"/>
        <v>386</v>
      </c>
      <c r="AD12" s="349" t="s">
        <v>497</v>
      </c>
      <c r="AE12" s="351">
        <f>M12</f>
        <v>156</v>
      </c>
      <c r="AF12" s="349" t="s">
        <v>497</v>
      </c>
      <c r="AG12" s="349">
        <v>250</v>
      </c>
      <c r="AH12" s="349" t="s">
        <v>497</v>
      </c>
      <c r="AI12" s="351">
        <f t="shared" si="5"/>
        <v>406</v>
      </c>
    </row>
    <row r="13" spans="2:35" ht="32.25" customHeight="1">
      <c r="B13" s="347" t="s">
        <v>500</v>
      </c>
      <c r="C13" s="19" t="s">
        <v>1110</v>
      </c>
      <c r="D13" s="349" t="s">
        <v>496</v>
      </c>
      <c r="E13" s="350"/>
      <c r="F13" s="349" t="s">
        <v>497</v>
      </c>
      <c r="G13" s="351">
        <v>355</v>
      </c>
      <c r="H13" s="349" t="s">
        <v>497</v>
      </c>
      <c r="I13" s="349">
        <v>2268</v>
      </c>
      <c r="J13" s="349" t="s">
        <v>497</v>
      </c>
      <c r="K13" s="351">
        <f t="shared" si="0"/>
        <v>2623</v>
      </c>
      <c r="L13" s="349" t="s">
        <v>497</v>
      </c>
      <c r="M13" s="351">
        <v>355</v>
      </c>
      <c r="N13" s="349" t="s">
        <v>497</v>
      </c>
      <c r="O13" s="349">
        <v>2268</v>
      </c>
      <c r="P13" s="349" t="s">
        <v>497</v>
      </c>
      <c r="Q13" s="351">
        <f t="shared" si="1"/>
        <v>2623</v>
      </c>
      <c r="R13" s="349" t="s">
        <v>497</v>
      </c>
      <c r="S13" s="351">
        <f t="shared" si="2"/>
        <v>355</v>
      </c>
      <c r="T13" s="349" t="s">
        <v>497</v>
      </c>
      <c r="U13" s="349">
        <v>2495</v>
      </c>
      <c r="V13" s="349" t="s">
        <v>497</v>
      </c>
      <c r="W13" s="351">
        <f t="shared" si="3"/>
        <v>2850</v>
      </c>
      <c r="X13" s="349" t="s">
        <v>497</v>
      </c>
      <c r="Y13" s="351">
        <f>M13</f>
        <v>355</v>
      </c>
      <c r="Z13" s="349" t="s">
        <v>497</v>
      </c>
      <c r="AA13" s="349">
        <v>2722</v>
      </c>
      <c r="AB13" s="349" t="s">
        <v>497</v>
      </c>
      <c r="AC13" s="351">
        <f t="shared" si="4"/>
        <v>3077</v>
      </c>
      <c r="AD13" s="349" t="s">
        <v>497</v>
      </c>
      <c r="AE13" s="351">
        <f>M13</f>
        <v>355</v>
      </c>
      <c r="AF13" s="349" t="s">
        <v>497</v>
      </c>
      <c r="AG13" s="349">
        <v>2948</v>
      </c>
      <c r="AH13" s="349" t="s">
        <v>497</v>
      </c>
      <c r="AI13" s="351">
        <f t="shared" si="5"/>
        <v>3303</v>
      </c>
    </row>
    <row r="14" spans="2:35" ht="32.25" customHeight="1">
      <c r="B14" s="347" t="s">
        <v>501</v>
      </c>
      <c r="C14" s="348" t="s">
        <v>510</v>
      </c>
      <c r="D14" s="349" t="s">
        <v>496</v>
      </c>
      <c r="E14" s="350"/>
      <c r="F14" s="349" t="s">
        <v>497</v>
      </c>
      <c r="G14" s="351">
        <v>1395</v>
      </c>
      <c r="H14" s="349" t="s">
        <v>497</v>
      </c>
      <c r="I14" s="349">
        <v>1473</v>
      </c>
      <c r="J14" s="349" t="s">
        <v>497</v>
      </c>
      <c r="K14" s="351">
        <f t="shared" si="0"/>
        <v>2868</v>
      </c>
      <c r="L14" s="349" t="s">
        <v>497</v>
      </c>
      <c r="M14" s="351">
        <v>1395</v>
      </c>
      <c r="N14" s="349" t="s">
        <v>497</v>
      </c>
      <c r="O14" s="349">
        <v>1473</v>
      </c>
      <c r="P14" s="349" t="s">
        <v>497</v>
      </c>
      <c r="Q14" s="351">
        <f t="shared" si="1"/>
        <v>2868</v>
      </c>
      <c r="R14" s="349" t="s">
        <v>497</v>
      </c>
      <c r="S14" s="351">
        <f t="shared" si="2"/>
        <v>1395</v>
      </c>
      <c r="T14" s="349" t="s">
        <v>497</v>
      </c>
      <c r="U14" s="349">
        <v>1620</v>
      </c>
      <c r="V14" s="349" t="s">
        <v>497</v>
      </c>
      <c r="W14" s="351">
        <f t="shared" si="3"/>
        <v>3015</v>
      </c>
      <c r="X14" s="349" t="s">
        <v>497</v>
      </c>
      <c r="Y14" s="351">
        <f>M14</f>
        <v>1395</v>
      </c>
      <c r="Z14" s="349" t="s">
        <v>497</v>
      </c>
      <c r="AA14" s="349">
        <v>1768</v>
      </c>
      <c r="AB14" s="349" t="s">
        <v>497</v>
      </c>
      <c r="AC14" s="351">
        <f t="shared" si="4"/>
        <v>3163</v>
      </c>
      <c r="AD14" s="349" t="s">
        <v>497</v>
      </c>
      <c r="AE14" s="351">
        <f>M14</f>
        <v>1395</v>
      </c>
      <c r="AF14" s="349" t="s">
        <v>497</v>
      </c>
      <c r="AG14" s="349">
        <v>1915</v>
      </c>
      <c r="AH14" s="349" t="s">
        <v>497</v>
      </c>
      <c r="AI14" s="351">
        <f t="shared" si="5"/>
        <v>3310</v>
      </c>
    </row>
    <row r="15" spans="2:35" ht="32.25" customHeight="1">
      <c r="B15" s="347" t="s">
        <v>502</v>
      </c>
      <c r="C15" s="348" t="s">
        <v>511</v>
      </c>
      <c r="D15" s="349" t="s">
        <v>514</v>
      </c>
      <c r="E15" s="350"/>
      <c r="F15" s="349" t="s">
        <v>497</v>
      </c>
      <c r="G15" s="351">
        <v>158</v>
      </c>
      <c r="H15" s="349" t="s">
        <v>497</v>
      </c>
      <c r="I15" s="349">
        <v>167</v>
      </c>
      <c r="J15" s="349" t="s">
        <v>497</v>
      </c>
      <c r="K15" s="351">
        <f t="shared" si="0"/>
        <v>325</v>
      </c>
      <c r="L15" s="349" t="s">
        <v>497</v>
      </c>
      <c r="M15" s="351">
        <v>158</v>
      </c>
      <c r="N15" s="349" t="s">
        <v>497</v>
      </c>
      <c r="O15" s="349">
        <v>175</v>
      </c>
      <c r="P15" s="349" t="s">
        <v>497</v>
      </c>
      <c r="Q15" s="351">
        <f t="shared" si="1"/>
        <v>333</v>
      </c>
      <c r="R15" s="349" t="s">
        <v>497</v>
      </c>
      <c r="S15" s="351">
        <f t="shared" si="2"/>
        <v>158</v>
      </c>
      <c r="T15" s="349" t="s">
        <v>497</v>
      </c>
      <c r="U15" s="349">
        <v>184</v>
      </c>
      <c r="V15" s="349" t="s">
        <v>497</v>
      </c>
      <c r="W15" s="351">
        <f t="shared" si="3"/>
        <v>342</v>
      </c>
      <c r="X15" s="349" t="s">
        <v>497</v>
      </c>
      <c r="Y15" s="351">
        <f>S15</f>
        <v>158</v>
      </c>
      <c r="Z15" s="349" t="s">
        <v>497</v>
      </c>
      <c r="AA15" s="349">
        <v>200</v>
      </c>
      <c r="AB15" s="349" t="s">
        <v>497</v>
      </c>
      <c r="AC15" s="351">
        <f t="shared" si="4"/>
        <v>358</v>
      </c>
      <c r="AD15" s="349" t="s">
        <v>497</v>
      </c>
      <c r="AE15" s="351">
        <f>Y15</f>
        <v>158</v>
      </c>
      <c r="AF15" s="349" t="s">
        <v>497</v>
      </c>
      <c r="AG15" s="349">
        <v>217</v>
      </c>
      <c r="AH15" s="349" t="s">
        <v>497</v>
      </c>
      <c r="AI15" s="351">
        <f t="shared" si="5"/>
        <v>375</v>
      </c>
    </row>
    <row r="16" spans="2:35" ht="44.25" customHeight="1">
      <c r="B16" s="347" t="s">
        <v>503</v>
      </c>
      <c r="C16" s="348" t="s">
        <v>512</v>
      </c>
      <c r="D16" s="349" t="s">
        <v>514</v>
      </c>
      <c r="E16" s="350"/>
      <c r="F16" s="349" t="s">
        <v>497</v>
      </c>
      <c r="G16" s="351">
        <v>163</v>
      </c>
      <c r="H16" s="349" t="s">
        <v>497</v>
      </c>
      <c r="I16" s="349">
        <v>172</v>
      </c>
      <c r="J16" s="349" t="s">
        <v>497</v>
      </c>
      <c r="K16" s="351">
        <f t="shared" si="0"/>
        <v>335</v>
      </c>
      <c r="L16" s="349" t="s">
        <v>497</v>
      </c>
      <c r="M16" s="351">
        <v>163</v>
      </c>
      <c r="N16" s="349" t="s">
        <v>497</v>
      </c>
      <c r="O16" s="349">
        <v>181</v>
      </c>
      <c r="P16" s="349" t="s">
        <v>497</v>
      </c>
      <c r="Q16" s="351">
        <f t="shared" si="1"/>
        <v>344</v>
      </c>
      <c r="R16" s="349" t="s">
        <v>497</v>
      </c>
      <c r="S16" s="351">
        <f t="shared" si="2"/>
        <v>163</v>
      </c>
      <c r="T16" s="349" t="s">
        <v>497</v>
      </c>
      <c r="U16" s="349">
        <v>189</v>
      </c>
      <c r="V16" s="349" t="s">
        <v>497</v>
      </c>
      <c r="W16" s="351">
        <f t="shared" si="3"/>
        <v>352</v>
      </c>
      <c r="X16" s="349" t="s">
        <v>497</v>
      </c>
      <c r="Y16" s="351">
        <f>M16</f>
        <v>163</v>
      </c>
      <c r="Z16" s="349" t="s">
        <v>497</v>
      </c>
      <c r="AA16" s="349">
        <v>206</v>
      </c>
      <c r="AB16" s="349" t="s">
        <v>497</v>
      </c>
      <c r="AC16" s="351">
        <f t="shared" si="4"/>
        <v>369</v>
      </c>
      <c r="AD16" s="349" t="s">
        <v>497</v>
      </c>
      <c r="AE16" s="351">
        <f>M16</f>
        <v>163</v>
      </c>
      <c r="AF16" s="349" t="s">
        <v>497</v>
      </c>
      <c r="AG16" s="349">
        <v>224</v>
      </c>
      <c r="AH16" s="349" t="s">
        <v>497</v>
      </c>
      <c r="AI16" s="351">
        <f t="shared" si="5"/>
        <v>387</v>
      </c>
    </row>
    <row r="17" spans="2:35" ht="32.25" customHeight="1">
      <c r="B17" s="347" t="s">
        <v>504</v>
      </c>
      <c r="C17" s="348" t="s">
        <v>513</v>
      </c>
      <c r="D17" s="349" t="s">
        <v>514</v>
      </c>
      <c r="E17" s="350"/>
      <c r="F17" s="349" t="s">
        <v>497</v>
      </c>
      <c r="G17" s="351">
        <v>170</v>
      </c>
      <c r="H17" s="349" t="s">
        <v>497</v>
      </c>
      <c r="I17" s="349">
        <v>180</v>
      </c>
      <c r="J17" s="349" t="s">
        <v>497</v>
      </c>
      <c r="K17" s="351">
        <f t="shared" si="0"/>
        <v>350</v>
      </c>
      <c r="L17" s="349" t="s">
        <v>497</v>
      </c>
      <c r="M17" s="351">
        <v>170</v>
      </c>
      <c r="N17" s="349" t="s">
        <v>497</v>
      </c>
      <c r="O17" s="349">
        <v>189</v>
      </c>
      <c r="P17" s="349" t="s">
        <v>497</v>
      </c>
      <c r="Q17" s="351">
        <f t="shared" si="1"/>
        <v>359</v>
      </c>
      <c r="R17" s="349" t="s">
        <v>497</v>
      </c>
      <c r="S17" s="351">
        <f t="shared" si="2"/>
        <v>170</v>
      </c>
      <c r="T17" s="349" t="s">
        <v>497</v>
      </c>
      <c r="U17" s="349">
        <v>198</v>
      </c>
      <c r="V17" s="349" t="s">
        <v>497</v>
      </c>
      <c r="W17" s="351">
        <f t="shared" si="3"/>
        <v>368</v>
      </c>
      <c r="X17" s="349" t="s">
        <v>497</v>
      </c>
      <c r="Y17" s="351">
        <f>M17</f>
        <v>170</v>
      </c>
      <c r="Z17" s="349" t="s">
        <v>497</v>
      </c>
      <c r="AA17" s="349">
        <v>216</v>
      </c>
      <c r="AB17" s="349" t="s">
        <v>497</v>
      </c>
      <c r="AC17" s="351">
        <f t="shared" si="4"/>
        <v>386</v>
      </c>
      <c r="AD17" s="349" t="s">
        <v>497</v>
      </c>
      <c r="AE17" s="351">
        <f>S17</f>
        <v>170</v>
      </c>
      <c r="AF17" s="349" t="s">
        <v>497</v>
      </c>
      <c r="AG17" s="349">
        <v>234</v>
      </c>
      <c r="AH17" s="349" t="s">
        <v>497</v>
      </c>
      <c r="AI17" s="351">
        <f t="shared" si="5"/>
        <v>404</v>
      </c>
    </row>
    <row r="18" spans="2:35" s="23" customFormat="1" ht="38.25" customHeight="1">
      <c r="B18" s="2253" t="s">
        <v>535</v>
      </c>
      <c r="C18" s="2253"/>
      <c r="D18" s="2253"/>
      <c r="E18" s="2253"/>
      <c r="F18" s="2253"/>
      <c r="G18" s="2253"/>
      <c r="H18" s="2253"/>
      <c r="I18" s="2253"/>
      <c r="J18" s="2253"/>
      <c r="K18" s="2253"/>
      <c r="L18" s="2253"/>
      <c r="M18" s="2253"/>
      <c r="N18" s="2253"/>
      <c r="O18" s="2253"/>
      <c r="P18" s="2253"/>
      <c r="Q18" s="2253"/>
    </row>
    <row r="19" spans="2:35" ht="32.25" customHeight="1">
      <c r="B19" s="347" t="s">
        <v>498</v>
      </c>
      <c r="C19" s="348" t="s">
        <v>507</v>
      </c>
      <c r="D19" s="349" t="s">
        <v>496</v>
      </c>
      <c r="E19" s="350"/>
      <c r="F19" s="349" t="s">
        <v>497</v>
      </c>
      <c r="G19" s="351">
        <v>1180</v>
      </c>
      <c r="H19" s="349" t="s">
        <v>497</v>
      </c>
      <c r="I19" s="349">
        <v>1615</v>
      </c>
      <c r="J19" s="349" t="s">
        <v>497</v>
      </c>
      <c r="K19" s="351">
        <f t="shared" ref="K19:K25" si="6">G19+I19</f>
        <v>2795</v>
      </c>
      <c r="L19" s="349" t="s">
        <v>497</v>
      </c>
      <c r="M19" s="351">
        <v>1180</v>
      </c>
      <c r="N19" s="349" t="s">
        <v>497</v>
      </c>
      <c r="O19" s="349">
        <v>1615</v>
      </c>
      <c r="P19" s="349" t="s">
        <v>497</v>
      </c>
      <c r="Q19" s="351">
        <f t="shared" ref="Q19:Q25" si="7">M19+O19</f>
        <v>2795</v>
      </c>
      <c r="R19" s="349" t="s">
        <v>497</v>
      </c>
      <c r="S19" s="351">
        <f t="shared" ref="S19:S25" si="8">M19</f>
        <v>1180</v>
      </c>
      <c r="T19" s="349" t="s">
        <v>497</v>
      </c>
      <c r="U19" s="349">
        <v>1777</v>
      </c>
      <c r="V19" s="349" t="s">
        <v>497</v>
      </c>
      <c r="W19" s="351">
        <f t="shared" ref="W19:W25" si="9">S19+U19</f>
        <v>2957</v>
      </c>
      <c r="X19" s="349" t="s">
        <v>497</v>
      </c>
      <c r="Y19" s="351">
        <f>M19</f>
        <v>1180</v>
      </c>
      <c r="Z19" s="349" t="s">
        <v>497</v>
      </c>
      <c r="AA19" s="349">
        <v>1938</v>
      </c>
      <c r="AB19" s="349" t="s">
        <v>497</v>
      </c>
      <c r="AC19" s="351">
        <f t="shared" ref="AC19:AC25" si="10">Y19+AA19</f>
        <v>3118</v>
      </c>
      <c r="AD19" s="349" t="s">
        <v>497</v>
      </c>
      <c r="AE19" s="351">
        <f>M19</f>
        <v>1180</v>
      </c>
      <c r="AF19" s="349" t="s">
        <v>497</v>
      </c>
      <c r="AG19" s="349">
        <v>2100</v>
      </c>
      <c r="AH19" s="349" t="s">
        <v>497</v>
      </c>
      <c r="AI19" s="351">
        <f t="shared" ref="AI19:AI25" si="11">AE19+AG19</f>
        <v>3280</v>
      </c>
    </row>
    <row r="20" spans="2:35" ht="32.25" customHeight="1">
      <c r="B20" s="347" t="s">
        <v>499</v>
      </c>
      <c r="C20" s="348" t="s">
        <v>508</v>
      </c>
      <c r="D20" s="349" t="s">
        <v>514</v>
      </c>
      <c r="E20" s="350"/>
      <c r="F20" s="349" t="s">
        <v>497</v>
      </c>
      <c r="G20" s="351">
        <v>233</v>
      </c>
      <c r="H20" s="349" t="s">
        <v>497</v>
      </c>
      <c r="I20" s="349">
        <v>248</v>
      </c>
      <c r="J20" s="349" t="s">
        <v>497</v>
      </c>
      <c r="K20" s="351">
        <f t="shared" si="6"/>
        <v>481</v>
      </c>
      <c r="L20" s="349" t="s">
        <v>497</v>
      </c>
      <c r="M20" s="351">
        <v>233</v>
      </c>
      <c r="N20" s="349" t="s">
        <v>497</v>
      </c>
      <c r="O20" s="349">
        <v>248</v>
      </c>
      <c r="P20" s="349" t="s">
        <v>497</v>
      </c>
      <c r="Q20" s="351">
        <f t="shared" si="7"/>
        <v>481</v>
      </c>
      <c r="R20" s="349" t="s">
        <v>497</v>
      </c>
      <c r="S20" s="351">
        <f t="shared" si="8"/>
        <v>233</v>
      </c>
      <c r="T20" s="349" t="s">
        <v>497</v>
      </c>
      <c r="U20" s="349">
        <v>273</v>
      </c>
      <c r="V20" s="349" t="s">
        <v>497</v>
      </c>
      <c r="W20" s="351">
        <f t="shared" si="9"/>
        <v>506</v>
      </c>
      <c r="X20" s="349" t="s">
        <v>497</v>
      </c>
      <c r="Y20" s="351">
        <f>M20</f>
        <v>233</v>
      </c>
      <c r="Z20" s="349" t="s">
        <v>497</v>
      </c>
      <c r="AA20" s="349">
        <v>298</v>
      </c>
      <c r="AB20" s="349" t="s">
        <v>497</v>
      </c>
      <c r="AC20" s="351">
        <f t="shared" si="10"/>
        <v>531</v>
      </c>
      <c r="AD20" s="349" t="s">
        <v>497</v>
      </c>
      <c r="AE20" s="351">
        <f>M20</f>
        <v>233</v>
      </c>
      <c r="AF20" s="349" t="s">
        <v>497</v>
      </c>
      <c r="AG20" s="349">
        <v>322</v>
      </c>
      <c r="AH20" s="349" t="s">
        <v>497</v>
      </c>
      <c r="AI20" s="351">
        <f t="shared" si="11"/>
        <v>555</v>
      </c>
    </row>
    <row r="21" spans="2:35" ht="32.25" customHeight="1">
      <c r="B21" s="347" t="s">
        <v>500</v>
      </c>
      <c r="C21" s="348" t="s">
        <v>509</v>
      </c>
      <c r="D21" s="349" t="s">
        <v>496</v>
      </c>
      <c r="E21" s="350"/>
      <c r="F21" s="349" t="s">
        <v>497</v>
      </c>
      <c r="G21" s="351">
        <v>355</v>
      </c>
      <c r="H21" s="349" t="s">
        <v>497</v>
      </c>
      <c r="I21" s="349">
        <v>2268</v>
      </c>
      <c r="J21" s="349" t="s">
        <v>497</v>
      </c>
      <c r="K21" s="351">
        <f t="shared" si="6"/>
        <v>2623</v>
      </c>
      <c r="L21" s="349" t="s">
        <v>497</v>
      </c>
      <c r="M21" s="351">
        <v>355</v>
      </c>
      <c r="N21" s="349" t="s">
        <v>497</v>
      </c>
      <c r="O21" s="349">
        <v>2268</v>
      </c>
      <c r="P21" s="349" t="s">
        <v>497</v>
      </c>
      <c r="Q21" s="351">
        <f t="shared" si="7"/>
        <v>2623</v>
      </c>
      <c r="R21" s="349" t="s">
        <v>497</v>
      </c>
      <c r="S21" s="351">
        <f t="shared" si="8"/>
        <v>355</v>
      </c>
      <c r="T21" s="349" t="s">
        <v>497</v>
      </c>
      <c r="U21" s="349">
        <v>2495</v>
      </c>
      <c r="V21" s="349" t="s">
        <v>497</v>
      </c>
      <c r="W21" s="351">
        <f t="shared" si="9"/>
        <v>2850</v>
      </c>
      <c r="X21" s="349" t="s">
        <v>497</v>
      </c>
      <c r="Y21" s="351">
        <f>M21</f>
        <v>355</v>
      </c>
      <c r="Z21" s="349" t="s">
        <v>497</v>
      </c>
      <c r="AA21" s="349">
        <v>2722</v>
      </c>
      <c r="AB21" s="349" t="s">
        <v>497</v>
      </c>
      <c r="AC21" s="351">
        <f t="shared" si="10"/>
        <v>3077</v>
      </c>
      <c r="AD21" s="349" t="s">
        <v>497</v>
      </c>
      <c r="AE21" s="351">
        <f>M21</f>
        <v>355</v>
      </c>
      <c r="AF21" s="349" t="s">
        <v>497</v>
      </c>
      <c r="AG21" s="349">
        <v>2948</v>
      </c>
      <c r="AH21" s="349" t="s">
        <v>497</v>
      </c>
      <c r="AI21" s="351">
        <f t="shared" si="11"/>
        <v>3303</v>
      </c>
    </row>
    <row r="22" spans="2:35" ht="32.25" customHeight="1">
      <c r="B22" s="347" t="s">
        <v>501</v>
      </c>
      <c r="C22" s="348" t="s">
        <v>510</v>
      </c>
      <c r="D22" s="349" t="s">
        <v>496</v>
      </c>
      <c r="E22" s="350"/>
      <c r="F22" s="349" t="s">
        <v>497</v>
      </c>
      <c r="G22" s="351">
        <v>2085</v>
      </c>
      <c r="H22" s="349" t="s">
        <v>497</v>
      </c>
      <c r="I22" s="349">
        <v>1903</v>
      </c>
      <c r="J22" s="349" t="s">
        <v>497</v>
      </c>
      <c r="K22" s="351">
        <f t="shared" si="6"/>
        <v>3988</v>
      </c>
      <c r="L22" s="349" t="s">
        <v>497</v>
      </c>
      <c r="M22" s="351">
        <v>2085</v>
      </c>
      <c r="N22" s="349" t="s">
        <v>497</v>
      </c>
      <c r="O22" s="349">
        <v>1903</v>
      </c>
      <c r="P22" s="349" t="s">
        <v>497</v>
      </c>
      <c r="Q22" s="351">
        <f t="shared" si="7"/>
        <v>3988</v>
      </c>
      <c r="R22" s="349" t="s">
        <v>497</v>
      </c>
      <c r="S22" s="351">
        <f t="shared" si="8"/>
        <v>2085</v>
      </c>
      <c r="T22" s="349" t="s">
        <v>497</v>
      </c>
      <c r="U22" s="349">
        <v>2093</v>
      </c>
      <c r="V22" s="349" t="s">
        <v>497</v>
      </c>
      <c r="W22" s="351">
        <f t="shared" si="9"/>
        <v>4178</v>
      </c>
      <c r="X22" s="349" t="s">
        <v>497</v>
      </c>
      <c r="Y22" s="351">
        <f>S22</f>
        <v>2085</v>
      </c>
      <c r="Z22" s="349" t="s">
        <v>497</v>
      </c>
      <c r="AA22" s="349">
        <v>2284</v>
      </c>
      <c r="AB22" s="349" t="s">
        <v>497</v>
      </c>
      <c r="AC22" s="351">
        <f t="shared" si="10"/>
        <v>4369</v>
      </c>
      <c r="AD22" s="349" t="s">
        <v>497</v>
      </c>
      <c r="AE22" s="351">
        <f>M22</f>
        <v>2085</v>
      </c>
      <c r="AF22" s="349" t="s">
        <v>497</v>
      </c>
      <c r="AG22" s="349">
        <v>2474</v>
      </c>
      <c r="AH22" s="349" t="s">
        <v>497</v>
      </c>
      <c r="AI22" s="351">
        <f t="shared" si="11"/>
        <v>4559</v>
      </c>
    </row>
    <row r="23" spans="2:35" ht="32.25" customHeight="1">
      <c r="B23" s="347" t="s">
        <v>502</v>
      </c>
      <c r="C23" s="348" t="s">
        <v>511</v>
      </c>
      <c r="D23" s="349" t="s">
        <v>514</v>
      </c>
      <c r="E23" s="350"/>
      <c r="F23" s="349" t="s">
        <v>497</v>
      </c>
      <c r="G23" s="351">
        <v>236</v>
      </c>
      <c r="H23" s="349" t="s">
        <v>497</v>
      </c>
      <c r="I23" s="349">
        <v>215</v>
      </c>
      <c r="J23" s="349" t="s">
        <v>497</v>
      </c>
      <c r="K23" s="351">
        <f t="shared" si="6"/>
        <v>451</v>
      </c>
      <c r="L23" s="349" t="s">
        <v>497</v>
      </c>
      <c r="M23" s="351">
        <v>236</v>
      </c>
      <c r="N23" s="349" t="s">
        <v>497</v>
      </c>
      <c r="O23" s="349">
        <v>226</v>
      </c>
      <c r="P23" s="349" t="s">
        <v>497</v>
      </c>
      <c r="Q23" s="351">
        <f t="shared" si="7"/>
        <v>462</v>
      </c>
      <c r="R23" s="349" t="s">
        <v>497</v>
      </c>
      <c r="S23" s="351">
        <f t="shared" si="8"/>
        <v>236</v>
      </c>
      <c r="T23" s="349" t="s">
        <v>497</v>
      </c>
      <c r="U23" s="349">
        <v>237</v>
      </c>
      <c r="V23" s="349" t="s">
        <v>497</v>
      </c>
      <c r="W23" s="351">
        <f t="shared" si="9"/>
        <v>473</v>
      </c>
      <c r="X23" s="349" t="s">
        <v>497</v>
      </c>
      <c r="Y23" s="351">
        <f>S23</f>
        <v>236</v>
      </c>
      <c r="Z23" s="349" t="s">
        <v>497</v>
      </c>
      <c r="AA23" s="349">
        <v>258</v>
      </c>
      <c r="AB23" s="349" t="s">
        <v>497</v>
      </c>
      <c r="AC23" s="351">
        <f t="shared" si="10"/>
        <v>494</v>
      </c>
      <c r="AD23" s="349" t="s">
        <v>497</v>
      </c>
      <c r="AE23" s="351">
        <f>S23</f>
        <v>236</v>
      </c>
      <c r="AF23" s="349" t="s">
        <v>497</v>
      </c>
      <c r="AG23" s="349">
        <v>280</v>
      </c>
      <c r="AH23" s="349" t="s">
        <v>497</v>
      </c>
      <c r="AI23" s="351">
        <f t="shared" si="11"/>
        <v>516</v>
      </c>
    </row>
    <row r="24" spans="2:35" ht="37.5">
      <c r="B24" s="347" t="s">
        <v>503</v>
      </c>
      <c r="C24" s="348" t="s">
        <v>512</v>
      </c>
      <c r="D24" s="349" t="s">
        <v>514</v>
      </c>
      <c r="E24" s="350"/>
      <c r="F24" s="349" t="s">
        <v>497</v>
      </c>
      <c r="G24" s="351">
        <v>243</v>
      </c>
      <c r="H24" s="349" t="s">
        <v>497</v>
      </c>
      <c r="I24" s="349">
        <v>222</v>
      </c>
      <c r="J24" s="349" t="s">
        <v>497</v>
      </c>
      <c r="K24" s="351">
        <f t="shared" si="6"/>
        <v>465</v>
      </c>
      <c r="L24" s="349" t="s">
        <v>497</v>
      </c>
      <c r="M24" s="351">
        <v>243</v>
      </c>
      <c r="N24" s="349" t="s">
        <v>497</v>
      </c>
      <c r="O24" s="349">
        <v>233</v>
      </c>
      <c r="P24" s="349" t="s">
        <v>497</v>
      </c>
      <c r="Q24" s="351">
        <f t="shared" si="7"/>
        <v>476</v>
      </c>
      <c r="R24" s="349" t="s">
        <v>497</v>
      </c>
      <c r="S24" s="351">
        <f t="shared" si="8"/>
        <v>243</v>
      </c>
      <c r="T24" s="349" t="s">
        <v>497</v>
      </c>
      <c r="U24" s="349">
        <v>244</v>
      </c>
      <c r="V24" s="349" t="s">
        <v>497</v>
      </c>
      <c r="W24" s="351">
        <f t="shared" si="9"/>
        <v>487</v>
      </c>
      <c r="X24" s="349" t="s">
        <v>497</v>
      </c>
      <c r="Y24" s="351">
        <f>M24</f>
        <v>243</v>
      </c>
      <c r="Z24" s="349" t="s">
        <v>497</v>
      </c>
      <c r="AA24" s="349">
        <v>266</v>
      </c>
      <c r="AB24" s="349" t="s">
        <v>497</v>
      </c>
      <c r="AC24" s="351">
        <f t="shared" si="10"/>
        <v>509</v>
      </c>
      <c r="AD24" s="349" t="s">
        <v>497</v>
      </c>
      <c r="AE24" s="351">
        <f>M24</f>
        <v>243</v>
      </c>
      <c r="AF24" s="349" t="s">
        <v>497</v>
      </c>
      <c r="AG24" s="349">
        <v>289</v>
      </c>
      <c r="AH24" s="349" t="s">
        <v>497</v>
      </c>
      <c r="AI24" s="351">
        <f t="shared" si="11"/>
        <v>532</v>
      </c>
    </row>
    <row r="25" spans="2:35" ht="32.25" customHeight="1">
      <c r="B25" s="347" t="s">
        <v>504</v>
      </c>
      <c r="C25" s="348" t="s">
        <v>513</v>
      </c>
      <c r="D25" s="349" t="s">
        <v>514</v>
      </c>
      <c r="E25" s="350"/>
      <c r="F25" s="349" t="s">
        <v>497</v>
      </c>
      <c r="G25" s="351">
        <v>254</v>
      </c>
      <c r="H25" s="349" t="s">
        <v>497</v>
      </c>
      <c r="I25" s="349">
        <v>232</v>
      </c>
      <c r="J25" s="349" t="s">
        <v>497</v>
      </c>
      <c r="K25" s="351">
        <f t="shared" si="6"/>
        <v>486</v>
      </c>
      <c r="L25" s="349" t="s">
        <v>497</v>
      </c>
      <c r="M25" s="351">
        <v>254</v>
      </c>
      <c r="N25" s="349" t="s">
        <v>497</v>
      </c>
      <c r="O25" s="349">
        <v>244</v>
      </c>
      <c r="P25" s="349" t="s">
        <v>497</v>
      </c>
      <c r="Q25" s="351">
        <f t="shared" si="7"/>
        <v>498</v>
      </c>
      <c r="R25" s="349" t="s">
        <v>497</v>
      </c>
      <c r="S25" s="351">
        <f t="shared" si="8"/>
        <v>254</v>
      </c>
      <c r="T25" s="349" t="s">
        <v>497</v>
      </c>
      <c r="U25" s="349">
        <v>255</v>
      </c>
      <c r="V25" s="349" t="s">
        <v>497</v>
      </c>
      <c r="W25" s="351">
        <f t="shared" si="9"/>
        <v>509</v>
      </c>
      <c r="X25" s="349" t="s">
        <v>497</v>
      </c>
      <c r="Y25" s="351">
        <f>S25</f>
        <v>254</v>
      </c>
      <c r="Z25" s="349" t="s">
        <v>497</v>
      </c>
      <c r="AA25" s="349">
        <v>278</v>
      </c>
      <c r="AB25" s="349" t="s">
        <v>497</v>
      </c>
      <c r="AC25" s="351">
        <f t="shared" si="10"/>
        <v>532</v>
      </c>
      <c r="AD25" s="349" t="s">
        <v>497</v>
      </c>
      <c r="AE25" s="351">
        <f>Y25</f>
        <v>254</v>
      </c>
      <c r="AF25" s="349" t="s">
        <v>497</v>
      </c>
      <c r="AG25" s="349">
        <v>302</v>
      </c>
      <c r="AH25" s="349" t="s">
        <v>497</v>
      </c>
      <c r="AI25" s="351">
        <f t="shared" si="11"/>
        <v>556</v>
      </c>
    </row>
    <row r="26" spans="2:35" s="23" customFormat="1" ht="40.5" customHeight="1">
      <c r="B26" s="2253" t="s">
        <v>519</v>
      </c>
      <c r="C26" s="2253"/>
      <c r="D26" s="2253"/>
      <c r="E26" s="2253"/>
      <c r="F26" s="2253"/>
      <c r="G26" s="2253"/>
      <c r="H26" s="2253"/>
      <c r="I26" s="2253"/>
      <c r="J26" s="2253"/>
      <c r="K26" s="2253"/>
      <c r="L26" s="2253"/>
      <c r="M26" s="2253"/>
      <c r="N26" s="2253"/>
      <c r="O26" s="2253"/>
      <c r="P26" s="2253"/>
      <c r="Q26" s="2261"/>
    </row>
    <row r="27" spans="2:35">
      <c r="B27" s="347" t="s">
        <v>144</v>
      </c>
      <c r="C27" s="348" t="s">
        <v>515</v>
      </c>
      <c r="D27" s="349" t="s">
        <v>514</v>
      </c>
      <c r="E27" s="350"/>
      <c r="F27" s="349" t="s">
        <v>497</v>
      </c>
      <c r="G27" s="351">
        <v>10.32</v>
      </c>
      <c r="H27" s="349" t="s">
        <v>497</v>
      </c>
      <c r="I27" s="349">
        <v>79.459999999999994</v>
      </c>
      <c r="J27" s="349" t="s">
        <v>497</v>
      </c>
      <c r="K27" s="351">
        <f>G27+I27</f>
        <v>89.78</v>
      </c>
      <c r="L27" s="349" t="s">
        <v>497</v>
      </c>
      <c r="M27" s="351">
        <v>10.32</v>
      </c>
      <c r="N27" s="349" t="s">
        <v>497</v>
      </c>
      <c r="O27" s="349">
        <v>79.459999999999994</v>
      </c>
      <c r="P27" s="349" t="s">
        <v>497</v>
      </c>
      <c r="Q27" s="351">
        <f>M27+O27</f>
        <v>89.78</v>
      </c>
      <c r="R27" s="349"/>
      <c r="S27" s="351"/>
      <c r="T27" s="349"/>
      <c r="U27" s="349"/>
      <c r="V27" s="349"/>
      <c r="W27" s="351"/>
      <c r="X27" s="349" t="s">
        <v>497</v>
      </c>
      <c r="Y27" s="351">
        <v>10.32</v>
      </c>
      <c r="Z27" s="349" t="s">
        <v>497</v>
      </c>
      <c r="AA27" s="349">
        <v>148.09</v>
      </c>
      <c r="AB27" s="349" t="s">
        <v>497</v>
      </c>
      <c r="AC27" s="351">
        <f>Y27+AA27</f>
        <v>158.41</v>
      </c>
      <c r="AD27" s="349" t="s">
        <v>497</v>
      </c>
      <c r="AE27" s="351">
        <v>10.32</v>
      </c>
      <c r="AF27" s="349" t="s">
        <v>497</v>
      </c>
      <c r="AG27" s="349">
        <v>182.41</v>
      </c>
      <c r="AH27" s="349" t="s">
        <v>497</v>
      </c>
      <c r="AI27" s="351">
        <f>AE27+AG27</f>
        <v>192.73</v>
      </c>
    </row>
    <row r="28" spans="2:35">
      <c r="B28" s="347" t="s">
        <v>145</v>
      </c>
      <c r="C28" s="348" t="s">
        <v>516</v>
      </c>
      <c r="D28" s="349" t="s">
        <v>514</v>
      </c>
      <c r="E28" s="350"/>
      <c r="F28" s="349" t="s">
        <v>497</v>
      </c>
      <c r="G28" s="351">
        <v>10.32</v>
      </c>
      <c r="H28" s="349" t="s">
        <v>497</v>
      </c>
      <c r="I28" s="349">
        <v>113.78</v>
      </c>
      <c r="J28" s="349" t="s">
        <v>497</v>
      </c>
      <c r="K28" s="351">
        <f>G28+I28</f>
        <v>124.1</v>
      </c>
      <c r="L28" s="349" t="s">
        <v>497</v>
      </c>
      <c r="M28" s="351">
        <v>10.32</v>
      </c>
      <c r="N28" s="349" t="s">
        <v>497</v>
      </c>
      <c r="O28" s="349">
        <v>113.78</v>
      </c>
      <c r="P28" s="349" t="s">
        <v>497</v>
      </c>
      <c r="Q28" s="351">
        <f>M28+O28</f>
        <v>124.1</v>
      </c>
      <c r="R28" s="349"/>
      <c r="S28" s="351"/>
      <c r="T28" s="349"/>
      <c r="U28" s="349"/>
      <c r="V28" s="349"/>
      <c r="W28" s="351"/>
    </row>
    <row r="29" spans="2:35" s="23" customFormat="1" ht="34.5" customHeight="1">
      <c r="B29" s="2253" t="s">
        <v>520</v>
      </c>
      <c r="C29" s="2253"/>
      <c r="D29" s="2253"/>
      <c r="E29" s="2253"/>
      <c r="F29" s="2253"/>
      <c r="G29" s="2253"/>
      <c r="H29" s="2253"/>
      <c r="I29" s="2253"/>
      <c r="J29" s="2253"/>
      <c r="K29" s="2253"/>
      <c r="L29" s="2253"/>
      <c r="M29" s="2253"/>
      <c r="N29" s="2253"/>
      <c r="O29" s="2253"/>
      <c r="P29" s="2253"/>
      <c r="Q29" s="2253"/>
    </row>
    <row r="30" spans="2:35">
      <c r="B30" s="347" t="s">
        <v>144</v>
      </c>
      <c r="C30" s="348" t="s">
        <v>515</v>
      </c>
      <c r="D30" s="349" t="s">
        <v>514</v>
      </c>
      <c r="E30" s="350"/>
      <c r="F30" s="349" t="s">
        <v>497</v>
      </c>
      <c r="G30" s="351">
        <v>1.03</v>
      </c>
      <c r="H30" s="349" t="s">
        <v>497</v>
      </c>
      <c r="I30" s="349">
        <v>7.95</v>
      </c>
      <c r="J30" s="349" t="s">
        <v>497</v>
      </c>
      <c r="K30" s="351">
        <f>G30+I30</f>
        <v>8.98</v>
      </c>
      <c r="L30" s="349" t="s">
        <v>497</v>
      </c>
      <c r="M30" s="351">
        <v>1.03</v>
      </c>
      <c r="N30" s="349" t="s">
        <v>497</v>
      </c>
      <c r="O30" s="349">
        <v>7.95</v>
      </c>
      <c r="P30" s="349" t="s">
        <v>497</v>
      </c>
      <c r="Q30" s="351">
        <f>M30+O30</f>
        <v>8.98</v>
      </c>
      <c r="R30" s="349"/>
      <c r="S30" s="351"/>
      <c r="T30" s="349"/>
      <c r="U30" s="349"/>
      <c r="V30" s="349"/>
      <c r="W30" s="351"/>
      <c r="X30" s="349" t="s">
        <v>497</v>
      </c>
      <c r="Y30" s="351">
        <v>1.03</v>
      </c>
      <c r="Z30" s="349" t="s">
        <v>497</v>
      </c>
      <c r="AA30" s="349">
        <v>14.81</v>
      </c>
      <c r="AB30" s="349" t="s">
        <v>497</v>
      </c>
      <c r="AC30" s="351">
        <f>Y30+AA30</f>
        <v>15.84</v>
      </c>
      <c r="AD30" s="349" t="s">
        <v>497</v>
      </c>
      <c r="AE30" s="351">
        <v>1.03</v>
      </c>
      <c r="AF30" s="349" t="s">
        <v>497</v>
      </c>
      <c r="AG30" s="349">
        <v>18.239999999999998</v>
      </c>
      <c r="AH30" s="349" t="s">
        <v>497</v>
      </c>
      <c r="AI30" s="351">
        <f>AE30+AG30</f>
        <v>19.27</v>
      </c>
    </row>
    <row r="31" spans="2:35">
      <c r="B31" s="347" t="s">
        <v>145</v>
      </c>
      <c r="C31" s="348" t="s">
        <v>516</v>
      </c>
      <c r="D31" s="349" t="s">
        <v>514</v>
      </c>
      <c r="E31" s="350"/>
      <c r="F31" s="349" t="s">
        <v>497</v>
      </c>
      <c r="G31" s="351">
        <v>1.03</v>
      </c>
      <c r="H31" s="349" t="s">
        <v>497</v>
      </c>
      <c r="I31" s="349">
        <v>11.38</v>
      </c>
      <c r="J31" s="349" t="s">
        <v>497</v>
      </c>
      <c r="K31" s="351">
        <f>G31+I31</f>
        <v>12.41</v>
      </c>
      <c r="L31" s="349" t="s">
        <v>497</v>
      </c>
      <c r="M31" s="351">
        <v>1.03</v>
      </c>
      <c r="N31" s="349" t="s">
        <v>497</v>
      </c>
      <c r="O31" s="349">
        <v>11.38</v>
      </c>
      <c r="P31" s="349" t="s">
        <v>497</v>
      </c>
      <c r="Q31" s="351">
        <f>M31+O31</f>
        <v>12.41</v>
      </c>
      <c r="R31" s="349"/>
      <c r="S31" s="351"/>
      <c r="T31" s="349"/>
      <c r="U31" s="349"/>
      <c r="V31" s="349"/>
      <c r="W31" s="351"/>
    </row>
    <row r="32" spans="2:35" s="23" customFormat="1" ht="39.75" customHeight="1">
      <c r="B32" s="2253" t="s">
        <v>521</v>
      </c>
      <c r="C32" s="2253"/>
      <c r="D32" s="2253"/>
      <c r="E32" s="2253"/>
      <c r="F32" s="2253"/>
      <c r="G32" s="2253"/>
      <c r="H32" s="2253"/>
      <c r="I32" s="2253"/>
      <c r="J32" s="2253"/>
      <c r="K32" s="2253"/>
      <c r="L32" s="2253"/>
      <c r="M32" s="2253"/>
      <c r="N32" s="2253"/>
      <c r="O32" s="2253"/>
      <c r="P32" s="2253"/>
      <c r="Q32" s="2253"/>
    </row>
    <row r="33" spans="2:35">
      <c r="B33" s="347" t="s">
        <v>144</v>
      </c>
      <c r="C33" s="348" t="s">
        <v>515</v>
      </c>
      <c r="D33" s="349" t="s">
        <v>514</v>
      </c>
      <c r="E33" s="350"/>
      <c r="F33" s="349" t="s">
        <v>497</v>
      </c>
      <c r="G33" s="351">
        <v>2.46</v>
      </c>
      <c r="H33" s="349" t="s">
        <v>497</v>
      </c>
      <c r="I33" s="349">
        <v>15.91</v>
      </c>
      <c r="J33" s="349" t="s">
        <v>497</v>
      </c>
      <c r="K33" s="351">
        <f>G33+I33</f>
        <v>18.37</v>
      </c>
      <c r="L33" s="349" t="s">
        <v>497</v>
      </c>
      <c r="M33" s="351">
        <v>2.46</v>
      </c>
      <c r="N33" s="349" t="s">
        <v>497</v>
      </c>
      <c r="O33" s="349">
        <v>15.91</v>
      </c>
      <c r="P33" s="349" t="s">
        <v>497</v>
      </c>
      <c r="Q33" s="351">
        <f>M33+O33</f>
        <v>18.37</v>
      </c>
      <c r="R33" s="349"/>
      <c r="S33" s="351"/>
      <c r="T33" s="349"/>
      <c r="U33" s="349"/>
      <c r="V33" s="349"/>
      <c r="W33" s="351"/>
      <c r="X33" s="349" t="s">
        <v>497</v>
      </c>
      <c r="Y33" s="351">
        <v>2.46</v>
      </c>
      <c r="Z33" s="349" t="s">
        <v>497</v>
      </c>
      <c r="AA33" s="349">
        <v>29.23</v>
      </c>
      <c r="AB33" s="349" t="s">
        <v>497</v>
      </c>
      <c r="AC33" s="351">
        <f>Y33+AA33</f>
        <v>31.69</v>
      </c>
      <c r="AD33" s="349" t="s">
        <v>497</v>
      </c>
      <c r="AE33" s="351">
        <v>2.46</v>
      </c>
      <c r="AF33" s="349" t="s">
        <v>497</v>
      </c>
      <c r="AG33" s="349">
        <v>35.9</v>
      </c>
      <c r="AH33" s="349" t="s">
        <v>497</v>
      </c>
      <c r="AI33" s="351">
        <f>AE33+AG33</f>
        <v>38.36</v>
      </c>
    </row>
    <row r="34" spans="2:35" ht="30" customHeight="1">
      <c r="B34" s="347" t="s">
        <v>145</v>
      </c>
      <c r="C34" s="348" t="s">
        <v>516</v>
      </c>
      <c r="D34" s="349" t="s">
        <v>514</v>
      </c>
      <c r="E34" s="350"/>
      <c r="F34" s="349" t="s">
        <v>497</v>
      </c>
      <c r="G34" s="351">
        <v>2.46</v>
      </c>
      <c r="H34" s="349" t="s">
        <v>497</v>
      </c>
      <c r="I34" s="349">
        <v>22.57</v>
      </c>
      <c r="J34" s="349" t="s">
        <v>497</v>
      </c>
      <c r="K34" s="351">
        <f>G34+I34</f>
        <v>25.03</v>
      </c>
      <c r="L34" s="349" t="s">
        <v>497</v>
      </c>
      <c r="M34" s="351">
        <v>2.46</v>
      </c>
      <c r="N34" s="349" t="s">
        <v>497</v>
      </c>
      <c r="O34" s="349">
        <v>22.57</v>
      </c>
      <c r="P34" s="349" t="s">
        <v>497</v>
      </c>
      <c r="Q34" s="351">
        <f>M34+O34</f>
        <v>25.03</v>
      </c>
      <c r="R34" s="349"/>
      <c r="S34" s="351"/>
      <c r="T34" s="349"/>
      <c r="U34" s="349"/>
      <c r="V34" s="349"/>
      <c r="W34" s="351"/>
    </row>
  </sheetData>
  <mergeCells count="21">
    <mergeCell ref="B32:Q32"/>
    <mergeCell ref="C2:C3"/>
    <mergeCell ref="P3:Q3"/>
    <mergeCell ref="R10:W10"/>
    <mergeCell ref="B2:B3"/>
    <mergeCell ref="B29:Q29"/>
    <mergeCell ref="B18:Q18"/>
    <mergeCell ref="B26:Q26"/>
    <mergeCell ref="B1:Q1"/>
    <mergeCell ref="D2:D3"/>
    <mergeCell ref="L2:Q2"/>
    <mergeCell ref="L3:M3"/>
    <mergeCell ref="N3:O3"/>
    <mergeCell ref="F2:K2"/>
    <mergeCell ref="AD10:AI10"/>
    <mergeCell ref="B5:Q5"/>
    <mergeCell ref="B10:Q10"/>
    <mergeCell ref="F3:G3"/>
    <mergeCell ref="H3:I3"/>
    <mergeCell ref="J3:K3"/>
    <mergeCell ref="X10:AC10"/>
  </mergeCells>
  <printOptions horizontalCentered="1"/>
  <pageMargins left="0.19687500000000002" right="0.19687500000000002" top="0.19687500000000002" bottom="0.19687500000000002" header="0.2" footer="0"/>
  <pageSetup paperSize="9" scale="96" orientation="portrait" r:id="rId1"/>
  <headerFooter alignWithMargins="0"/>
  <rowBreaks count="1" manualBreakCount="1">
    <brk id="25" min="1" max="16" man="1"/>
  </rowBreaks>
</worksheet>
</file>

<file path=xl/worksheets/sheet26.xml><?xml version="1.0" encoding="utf-8"?>
<worksheet xmlns="http://schemas.openxmlformats.org/spreadsheetml/2006/main" xmlns:r="http://schemas.openxmlformats.org/officeDocument/2006/relationships">
  <dimension ref="A1:F118"/>
  <sheetViews>
    <sheetView topLeftCell="A100" workbookViewId="0">
      <selection activeCell="H131" sqref="H131"/>
    </sheetView>
  </sheetViews>
  <sheetFormatPr defaultColWidth="8.81640625" defaultRowHeight="12.5"/>
  <cols>
    <col min="1" max="5" width="9.1796875" style="16" customWidth="1"/>
    <col min="6" max="6" width="9.453125" style="17" bestFit="1" customWidth="1"/>
  </cols>
  <sheetData>
    <row r="1" spans="1:6" ht="15">
      <c r="A1" s="644" t="s">
        <v>1115</v>
      </c>
    </row>
    <row r="2" spans="1:6">
      <c r="A2" s="2262" t="s">
        <v>313</v>
      </c>
      <c r="B2" s="2262"/>
      <c r="C2" s="2262" t="s">
        <v>314</v>
      </c>
      <c r="D2" s="2262"/>
      <c r="E2" s="2262" t="s">
        <v>315</v>
      </c>
      <c r="F2" s="2262"/>
    </row>
    <row r="3" spans="1:6">
      <c r="A3" s="16" t="s">
        <v>316</v>
      </c>
      <c r="B3" s="16" t="s">
        <v>149</v>
      </c>
      <c r="C3" s="16" t="s">
        <v>316</v>
      </c>
      <c r="D3" s="16" t="s">
        <v>149</v>
      </c>
      <c r="E3" s="16" t="s">
        <v>316</v>
      </c>
      <c r="F3" s="17" t="s">
        <v>149</v>
      </c>
    </row>
    <row r="4" spans="1:6" ht="14">
      <c r="A4" s="16">
        <v>1</v>
      </c>
      <c r="B4" s="22">
        <f>'conveyance 2'!C9</f>
        <v>27.4</v>
      </c>
      <c r="C4" s="16">
        <v>1</v>
      </c>
      <c r="D4" s="22">
        <f>'conveyance 2'!D9</f>
        <v>28.3</v>
      </c>
      <c r="E4" s="16">
        <v>1</v>
      </c>
      <c r="F4" s="21">
        <v>45.7</v>
      </c>
    </row>
    <row r="5" spans="1:6" ht="14">
      <c r="A5" s="16">
        <v>2</v>
      </c>
      <c r="B5" s="22">
        <f>'conveyance 2'!C10</f>
        <v>38.4</v>
      </c>
      <c r="C5" s="16">
        <v>2</v>
      </c>
      <c r="D5" s="22">
        <f>'conveyance 2'!D10</f>
        <v>39.5</v>
      </c>
      <c r="E5" s="16">
        <v>2</v>
      </c>
      <c r="F5" s="21">
        <v>64</v>
      </c>
    </row>
    <row r="6" spans="1:6" ht="14">
      <c r="A6" s="16">
        <v>3</v>
      </c>
      <c r="B6" s="22">
        <f>'conveyance 2'!C11</f>
        <v>52.7</v>
      </c>
      <c r="C6" s="16">
        <v>3</v>
      </c>
      <c r="D6" s="22">
        <f>'conveyance 2'!D11</f>
        <v>52.7</v>
      </c>
      <c r="E6" s="16">
        <v>3</v>
      </c>
      <c r="F6" s="21">
        <v>85.4</v>
      </c>
    </row>
    <row r="7" spans="1:6" ht="14">
      <c r="A7" s="16">
        <v>4</v>
      </c>
      <c r="B7" s="22">
        <f>'conveyance 2'!C12</f>
        <v>64</v>
      </c>
      <c r="C7" s="16">
        <v>4</v>
      </c>
      <c r="D7" s="22">
        <f>'conveyance 2'!D12</f>
        <v>64</v>
      </c>
      <c r="E7" s="16">
        <v>4</v>
      </c>
      <c r="F7" s="21">
        <v>103.6</v>
      </c>
    </row>
    <row r="8" spans="1:6" ht="14">
      <c r="A8" s="16">
        <v>5</v>
      </c>
      <c r="B8" s="22">
        <f>'conveyance 2'!C13</f>
        <v>75.3</v>
      </c>
      <c r="C8" s="16">
        <v>5</v>
      </c>
      <c r="D8" s="22">
        <f>'conveyance 2'!D13</f>
        <v>75.3</v>
      </c>
      <c r="E8" s="16">
        <v>5</v>
      </c>
      <c r="F8" s="21">
        <v>121.9</v>
      </c>
    </row>
    <row r="9" spans="1:6" ht="14">
      <c r="A9" s="16">
        <v>6</v>
      </c>
      <c r="B9" s="22">
        <f>'conveyance 2'!C14</f>
        <v>86.6</v>
      </c>
      <c r="C9" s="16">
        <v>6</v>
      </c>
      <c r="D9" s="22">
        <f>'conveyance 2'!D14</f>
        <v>86.6</v>
      </c>
      <c r="E9" s="16">
        <v>6</v>
      </c>
      <c r="F9" s="21">
        <f>F8+18.3</f>
        <v>140.20000000000002</v>
      </c>
    </row>
    <row r="10" spans="1:6" ht="14">
      <c r="A10" s="16">
        <v>7</v>
      </c>
      <c r="B10" s="22">
        <f>'conveyance 2'!C15</f>
        <v>97.899999999999991</v>
      </c>
      <c r="C10" s="16">
        <v>7</v>
      </c>
      <c r="D10" s="22">
        <f>'conveyance 2'!D15</f>
        <v>97.899999999999991</v>
      </c>
      <c r="E10" s="16">
        <v>7</v>
      </c>
      <c r="F10" s="21">
        <f t="shared" ref="F10:F33" si="0">F9+18.3</f>
        <v>158.50000000000003</v>
      </c>
    </row>
    <row r="11" spans="1:6" ht="14">
      <c r="A11" s="16">
        <v>8</v>
      </c>
      <c r="B11" s="22">
        <f>'conveyance 2'!C16</f>
        <v>109.19999999999999</v>
      </c>
      <c r="C11" s="16">
        <v>8</v>
      </c>
      <c r="D11" s="22">
        <f>'conveyance 2'!D16</f>
        <v>109.19999999999999</v>
      </c>
      <c r="E11" s="16">
        <v>8</v>
      </c>
      <c r="F11" s="21">
        <f t="shared" si="0"/>
        <v>176.80000000000004</v>
      </c>
    </row>
    <row r="12" spans="1:6" ht="14">
      <c r="A12" s="16">
        <v>9</v>
      </c>
      <c r="B12" s="22">
        <f>'conveyance 2'!C17</f>
        <v>120.49999999999999</v>
      </c>
      <c r="C12" s="16">
        <v>9</v>
      </c>
      <c r="D12" s="22">
        <f>'conveyance 2'!D17</f>
        <v>120.49999999999999</v>
      </c>
      <c r="E12" s="16">
        <v>9</v>
      </c>
      <c r="F12" s="21">
        <f t="shared" si="0"/>
        <v>195.10000000000005</v>
      </c>
    </row>
    <row r="13" spans="1:6" ht="14">
      <c r="A13" s="16">
        <v>10</v>
      </c>
      <c r="B13" s="22">
        <f>'conveyance 2'!C18</f>
        <v>131.79999999999998</v>
      </c>
      <c r="C13" s="16">
        <v>10</v>
      </c>
      <c r="D13" s="22">
        <f>'conveyance 2'!D18</f>
        <v>131.79999999999998</v>
      </c>
      <c r="E13" s="16">
        <v>10</v>
      </c>
      <c r="F13" s="21">
        <f t="shared" si="0"/>
        <v>213.40000000000006</v>
      </c>
    </row>
    <row r="14" spans="1:6" ht="14">
      <c r="A14" s="16">
        <v>11</v>
      </c>
      <c r="B14" s="22">
        <f>'conveyance 2'!C19</f>
        <v>143.1</v>
      </c>
      <c r="C14" s="16">
        <v>11</v>
      </c>
      <c r="D14" s="22">
        <f>'conveyance 2'!D19</f>
        <v>143.1</v>
      </c>
      <c r="E14" s="16">
        <v>11</v>
      </c>
      <c r="F14" s="21">
        <f t="shared" si="0"/>
        <v>231.70000000000007</v>
      </c>
    </row>
    <row r="15" spans="1:6" ht="14">
      <c r="A15" s="16">
        <v>12</v>
      </c>
      <c r="B15" s="22">
        <f>'conveyance 2'!C20</f>
        <v>154.4</v>
      </c>
      <c r="C15" s="16">
        <v>12</v>
      </c>
      <c r="D15" s="22">
        <f>'conveyance 2'!D20</f>
        <v>154.4</v>
      </c>
      <c r="E15" s="16">
        <v>12</v>
      </c>
      <c r="F15" s="21">
        <f t="shared" si="0"/>
        <v>250.00000000000009</v>
      </c>
    </row>
    <row r="16" spans="1:6" ht="14">
      <c r="A16" s="16">
        <v>13</v>
      </c>
      <c r="B16" s="22">
        <f>'conveyance 2'!C21</f>
        <v>165.70000000000002</v>
      </c>
      <c r="C16" s="16">
        <v>13</v>
      </c>
      <c r="D16" s="22">
        <f>'conveyance 2'!D21</f>
        <v>165.70000000000002</v>
      </c>
      <c r="E16" s="16">
        <v>13</v>
      </c>
      <c r="F16" s="21">
        <f t="shared" si="0"/>
        <v>268.30000000000007</v>
      </c>
    </row>
    <row r="17" spans="1:6" ht="14">
      <c r="A17" s="16">
        <v>14</v>
      </c>
      <c r="B17" s="22">
        <f>'conveyance 2'!C22</f>
        <v>177.00000000000003</v>
      </c>
      <c r="C17" s="16">
        <v>14</v>
      </c>
      <c r="D17" s="22">
        <f>'conveyance 2'!D22</f>
        <v>177.00000000000003</v>
      </c>
      <c r="E17" s="16">
        <v>14</v>
      </c>
      <c r="F17" s="21">
        <f t="shared" si="0"/>
        <v>286.60000000000008</v>
      </c>
    </row>
    <row r="18" spans="1:6" ht="14">
      <c r="A18" s="16">
        <v>15</v>
      </c>
      <c r="B18" s="22">
        <f>'conveyance 2'!C23</f>
        <v>188.30000000000004</v>
      </c>
      <c r="C18" s="16">
        <v>15</v>
      </c>
      <c r="D18" s="22">
        <f>'conveyance 2'!D23</f>
        <v>188.30000000000004</v>
      </c>
      <c r="E18" s="16">
        <v>15</v>
      </c>
      <c r="F18" s="21">
        <f t="shared" si="0"/>
        <v>304.90000000000009</v>
      </c>
    </row>
    <row r="19" spans="1:6" ht="14">
      <c r="A19" s="16">
        <v>16</v>
      </c>
      <c r="B19" s="22">
        <f>'conveyance 2'!C24</f>
        <v>199.60000000000005</v>
      </c>
      <c r="C19" s="16">
        <v>16</v>
      </c>
      <c r="D19" s="22">
        <f>'conveyance 2'!D24</f>
        <v>199.60000000000005</v>
      </c>
      <c r="E19" s="16">
        <v>16</v>
      </c>
      <c r="F19" s="21">
        <f t="shared" si="0"/>
        <v>323.2000000000001</v>
      </c>
    </row>
    <row r="20" spans="1:6" ht="14">
      <c r="A20" s="16">
        <v>17</v>
      </c>
      <c r="B20" s="22">
        <f>'conveyance 2'!C25</f>
        <v>210.90000000000006</v>
      </c>
      <c r="C20" s="16">
        <v>17</v>
      </c>
      <c r="D20" s="22">
        <f>'conveyance 2'!D25</f>
        <v>210.90000000000006</v>
      </c>
      <c r="E20" s="16">
        <v>17</v>
      </c>
      <c r="F20" s="21">
        <f t="shared" si="0"/>
        <v>341.50000000000011</v>
      </c>
    </row>
    <row r="21" spans="1:6" ht="14">
      <c r="A21" s="16">
        <v>18</v>
      </c>
      <c r="B21" s="22">
        <f>'conveyance 2'!C26</f>
        <v>222.20000000000007</v>
      </c>
      <c r="C21" s="16">
        <v>18</v>
      </c>
      <c r="D21" s="22">
        <f>'conveyance 2'!D26</f>
        <v>222.20000000000007</v>
      </c>
      <c r="E21" s="16">
        <v>18</v>
      </c>
      <c r="F21" s="21">
        <f t="shared" si="0"/>
        <v>359.80000000000013</v>
      </c>
    </row>
    <row r="22" spans="1:6" ht="14">
      <c r="A22" s="16">
        <v>19</v>
      </c>
      <c r="B22" s="22">
        <f>'conveyance 2'!C27</f>
        <v>233.50000000000009</v>
      </c>
      <c r="C22" s="16">
        <v>19</v>
      </c>
      <c r="D22" s="22">
        <f>'conveyance 2'!D27</f>
        <v>233.50000000000009</v>
      </c>
      <c r="E22" s="16">
        <v>19</v>
      </c>
      <c r="F22" s="21">
        <f t="shared" si="0"/>
        <v>378.10000000000014</v>
      </c>
    </row>
    <row r="23" spans="1:6" ht="14">
      <c r="A23" s="16">
        <v>20</v>
      </c>
      <c r="B23" s="22">
        <f>'conveyance 2'!C28</f>
        <v>244.8000000000001</v>
      </c>
      <c r="C23" s="16">
        <v>20</v>
      </c>
      <c r="D23" s="22">
        <f>'conveyance 2'!D28</f>
        <v>244.8000000000001</v>
      </c>
      <c r="E23" s="16">
        <v>20</v>
      </c>
      <c r="F23" s="21">
        <f t="shared" si="0"/>
        <v>396.40000000000015</v>
      </c>
    </row>
    <row r="24" spans="1:6" ht="14">
      <c r="A24" s="16">
        <v>21</v>
      </c>
      <c r="B24" s="22">
        <f>'conveyance 2'!C29</f>
        <v>256.10000000000008</v>
      </c>
      <c r="C24" s="16">
        <v>21</v>
      </c>
      <c r="D24" s="22">
        <f>'conveyance 2'!D29</f>
        <v>256.10000000000008</v>
      </c>
      <c r="E24" s="16">
        <v>21</v>
      </c>
      <c r="F24" s="21">
        <f t="shared" si="0"/>
        <v>414.70000000000016</v>
      </c>
    </row>
    <row r="25" spans="1:6" ht="14">
      <c r="A25" s="16">
        <v>22</v>
      </c>
      <c r="B25" s="22">
        <f>'conveyance 2'!C30</f>
        <v>267.40000000000009</v>
      </c>
      <c r="C25" s="16">
        <v>22</v>
      </c>
      <c r="D25" s="22">
        <f>'conveyance 2'!D30</f>
        <v>267.40000000000009</v>
      </c>
      <c r="E25" s="16">
        <v>22</v>
      </c>
      <c r="F25" s="21">
        <f t="shared" si="0"/>
        <v>433.00000000000017</v>
      </c>
    </row>
    <row r="26" spans="1:6" ht="14">
      <c r="A26" s="16">
        <v>23</v>
      </c>
      <c r="B26" s="22">
        <f>'conveyance 2'!C31</f>
        <v>278.7000000000001</v>
      </c>
      <c r="C26" s="16">
        <v>23</v>
      </c>
      <c r="D26" s="22">
        <f>'conveyance 2'!D31</f>
        <v>278.7000000000001</v>
      </c>
      <c r="E26" s="16">
        <v>23</v>
      </c>
      <c r="F26" s="21">
        <f t="shared" si="0"/>
        <v>451.30000000000018</v>
      </c>
    </row>
    <row r="27" spans="1:6" ht="14">
      <c r="A27" s="16">
        <v>24</v>
      </c>
      <c r="B27" s="22">
        <f>'conveyance 2'!C32</f>
        <v>290.00000000000011</v>
      </c>
      <c r="C27" s="16">
        <v>24</v>
      </c>
      <c r="D27" s="22">
        <f>'conveyance 2'!D32</f>
        <v>290.00000000000011</v>
      </c>
      <c r="E27" s="16">
        <v>24</v>
      </c>
      <c r="F27" s="21">
        <f t="shared" si="0"/>
        <v>469.60000000000019</v>
      </c>
    </row>
    <row r="28" spans="1:6" ht="14">
      <c r="A28" s="16">
        <v>25</v>
      </c>
      <c r="B28" s="22">
        <f>'conveyance 2'!C33</f>
        <v>301.30000000000013</v>
      </c>
      <c r="C28" s="16">
        <v>25</v>
      </c>
      <c r="D28" s="22">
        <f>'conveyance 2'!D33</f>
        <v>301.30000000000013</v>
      </c>
      <c r="E28" s="16">
        <v>25</v>
      </c>
      <c r="F28" s="21">
        <f t="shared" si="0"/>
        <v>487.9000000000002</v>
      </c>
    </row>
    <row r="29" spans="1:6" ht="14">
      <c r="A29" s="16">
        <v>26</v>
      </c>
      <c r="B29" s="22">
        <f>'conveyance 2'!C34</f>
        <v>312.60000000000014</v>
      </c>
      <c r="C29" s="16">
        <v>26</v>
      </c>
      <c r="D29" s="22">
        <f>'conveyance 2'!D34</f>
        <v>312.60000000000014</v>
      </c>
      <c r="E29" s="16">
        <v>26</v>
      </c>
      <c r="F29" s="21">
        <f t="shared" si="0"/>
        <v>506.20000000000022</v>
      </c>
    </row>
    <row r="30" spans="1:6" ht="14">
      <c r="A30" s="16">
        <v>27</v>
      </c>
      <c r="B30" s="22">
        <f>'conveyance 2'!C35</f>
        <v>323.90000000000015</v>
      </c>
      <c r="C30" s="16">
        <v>27</v>
      </c>
      <c r="D30" s="22">
        <f>'conveyance 2'!D35</f>
        <v>323.90000000000015</v>
      </c>
      <c r="E30" s="16">
        <v>27</v>
      </c>
      <c r="F30" s="21">
        <f t="shared" si="0"/>
        <v>524.50000000000023</v>
      </c>
    </row>
    <row r="31" spans="1:6" ht="14">
      <c r="A31" s="16">
        <v>28</v>
      </c>
      <c r="B31" s="22">
        <f>'conveyance 2'!C36</f>
        <v>335.20000000000016</v>
      </c>
      <c r="C31" s="16">
        <v>28</v>
      </c>
      <c r="D31" s="22">
        <f>'conveyance 2'!D36</f>
        <v>335.20000000000016</v>
      </c>
      <c r="E31" s="16">
        <v>28</v>
      </c>
      <c r="F31" s="21">
        <f t="shared" si="0"/>
        <v>542.80000000000018</v>
      </c>
    </row>
    <row r="32" spans="1:6" ht="14">
      <c r="A32" s="16">
        <v>29</v>
      </c>
      <c r="B32" s="22">
        <f>'conveyance 2'!C37</f>
        <v>346.50000000000017</v>
      </c>
      <c r="C32" s="16">
        <v>29</v>
      </c>
      <c r="D32" s="22">
        <f>'conveyance 2'!D37</f>
        <v>346.50000000000017</v>
      </c>
      <c r="E32" s="16">
        <v>29</v>
      </c>
      <c r="F32" s="21">
        <f t="shared" si="0"/>
        <v>561.10000000000014</v>
      </c>
    </row>
    <row r="33" spans="1:6" ht="14">
      <c r="A33" s="16">
        <v>30</v>
      </c>
      <c r="B33" s="22">
        <f>'conveyance 2'!C38</f>
        <v>357.80000000000018</v>
      </c>
      <c r="C33" s="16">
        <v>30</v>
      </c>
      <c r="D33" s="22">
        <f>'conveyance 2'!D38</f>
        <v>357.80000000000018</v>
      </c>
      <c r="E33" s="16">
        <v>30</v>
      </c>
      <c r="F33" s="21">
        <f t="shared" si="0"/>
        <v>579.40000000000009</v>
      </c>
    </row>
    <row r="34" spans="1:6" ht="14">
      <c r="A34" s="16">
        <v>31</v>
      </c>
      <c r="B34" s="22">
        <f>'conveyance 2'!C39</f>
        <v>367.20000000000016</v>
      </c>
      <c r="C34" s="16">
        <v>31</v>
      </c>
      <c r="D34" s="22">
        <f>'conveyance 2'!D39</f>
        <v>367.20000000000016</v>
      </c>
      <c r="E34" s="16">
        <v>31</v>
      </c>
      <c r="F34" s="21">
        <f>F33+15.2</f>
        <v>594.60000000000014</v>
      </c>
    </row>
    <row r="35" spans="1:6" ht="14">
      <c r="A35" s="16">
        <v>32</v>
      </c>
      <c r="B35" s="22">
        <f>'conveyance 2'!C40</f>
        <v>376.60000000000014</v>
      </c>
      <c r="C35" s="16">
        <v>32</v>
      </c>
      <c r="D35" s="22">
        <f>'conveyance 2'!D40</f>
        <v>376.60000000000014</v>
      </c>
      <c r="E35" s="16">
        <v>32</v>
      </c>
      <c r="F35" s="21">
        <f t="shared" ref="F35:F98" si="1">F34+15.2</f>
        <v>609.80000000000018</v>
      </c>
    </row>
    <row r="36" spans="1:6" ht="14">
      <c r="A36" s="16">
        <v>33</v>
      </c>
      <c r="B36" s="22">
        <f>'conveyance 2'!C41</f>
        <v>386.00000000000011</v>
      </c>
      <c r="C36" s="16">
        <v>33</v>
      </c>
      <c r="D36" s="22">
        <f>'conveyance 2'!D41</f>
        <v>386.00000000000011</v>
      </c>
      <c r="E36" s="16">
        <v>33</v>
      </c>
      <c r="F36" s="21">
        <f t="shared" si="1"/>
        <v>625.00000000000023</v>
      </c>
    </row>
    <row r="37" spans="1:6" ht="14">
      <c r="A37" s="16">
        <v>34</v>
      </c>
      <c r="B37" s="22">
        <f>'conveyance 2'!C42</f>
        <v>395.40000000000009</v>
      </c>
      <c r="C37" s="16">
        <v>34</v>
      </c>
      <c r="D37" s="22">
        <f>'conveyance 2'!D42</f>
        <v>395.40000000000009</v>
      </c>
      <c r="E37" s="16">
        <v>34</v>
      </c>
      <c r="F37" s="21">
        <f t="shared" si="1"/>
        <v>640.20000000000027</v>
      </c>
    </row>
    <row r="38" spans="1:6" ht="14">
      <c r="A38" s="16">
        <v>35</v>
      </c>
      <c r="B38" s="22">
        <f>'conveyance 2'!C43</f>
        <v>404.80000000000007</v>
      </c>
      <c r="C38" s="16">
        <v>35</v>
      </c>
      <c r="D38" s="22">
        <f>'conveyance 2'!D43</f>
        <v>404.80000000000007</v>
      </c>
      <c r="E38" s="16">
        <v>35</v>
      </c>
      <c r="F38" s="21">
        <f t="shared" si="1"/>
        <v>655.40000000000032</v>
      </c>
    </row>
    <row r="39" spans="1:6" ht="14">
      <c r="A39" s="16">
        <v>36</v>
      </c>
      <c r="B39" s="22">
        <f>'conveyance 2'!C44</f>
        <v>414.20000000000005</v>
      </c>
      <c r="C39" s="16">
        <v>36</v>
      </c>
      <c r="D39" s="22">
        <f>'conveyance 2'!D44</f>
        <v>414.20000000000005</v>
      </c>
      <c r="E39" s="16">
        <v>36</v>
      </c>
      <c r="F39" s="21">
        <f t="shared" si="1"/>
        <v>670.60000000000036</v>
      </c>
    </row>
    <row r="40" spans="1:6" ht="14">
      <c r="A40" s="16">
        <v>37</v>
      </c>
      <c r="B40" s="22">
        <f>'conveyance 2'!C45</f>
        <v>423.6</v>
      </c>
      <c r="C40" s="16">
        <v>37</v>
      </c>
      <c r="D40" s="22">
        <f>'conveyance 2'!D45</f>
        <v>423.6</v>
      </c>
      <c r="E40" s="16">
        <v>37</v>
      </c>
      <c r="F40" s="21">
        <f t="shared" si="1"/>
        <v>685.80000000000041</v>
      </c>
    </row>
    <row r="41" spans="1:6" ht="14">
      <c r="A41" s="16">
        <v>38</v>
      </c>
      <c r="B41" s="22">
        <f>'conveyance 2'!C46</f>
        <v>433</v>
      </c>
      <c r="C41" s="16">
        <v>38</v>
      </c>
      <c r="D41" s="22">
        <f>'conveyance 2'!D46</f>
        <v>433</v>
      </c>
      <c r="E41" s="16">
        <v>38</v>
      </c>
      <c r="F41" s="21">
        <f t="shared" si="1"/>
        <v>701.00000000000045</v>
      </c>
    </row>
    <row r="42" spans="1:6" ht="14">
      <c r="A42" s="16">
        <v>39</v>
      </c>
      <c r="B42" s="22">
        <f>'conveyance 2'!C47</f>
        <v>442.4</v>
      </c>
      <c r="C42" s="16">
        <v>39</v>
      </c>
      <c r="D42" s="22">
        <f>'conveyance 2'!D47</f>
        <v>442.4</v>
      </c>
      <c r="E42" s="16">
        <v>39</v>
      </c>
      <c r="F42" s="21">
        <f t="shared" si="1"/>
        <v>716.2000000000005</v>
      </c>
    </row>
    <row r="43" spans="1:6" ht="14">
      <c r="A43" s="16">
        <v>40</v>
      </c>
      <c r="B43" s="22">
        <f>'conveyance 2'!C48</f>
        <v>451.79999999999995</v>
      </c>
      <c r="C43" s="16">
        <v>40</v>
      </c>
      <c r="D43" s="22">
        <f>'conveyance 2'!D48</f>
        <v>451.79999999999995</v>
      </c>
      <c r="E43" s="16">
        <v>40</v>
      </c>
      <c r="F43" s="21">
        <f t="shared" si="1"/>
        <v>731.40000000000055</v>
      </c>
    </row>
    <row r="44" spans="1:6" ht="14">
      <c r="A44" s="16">
        <v>41</v>
      </c>
      <c r="B44" s="22">
        <f>'conveyance 2'!C49</f>
        <v>461.19999999999993</v>
      </c>
      <c r="C44" s="16">
        <v>41</v>
      </c>
      <c r="D44" s="22">
        <f>'conveyance 2'!D49</f>
        <v>461.19999999999993</v>
      </c>
      <c r="E44" s="16">
        <v>41</v>
      </c>
      <c r="F44" s="21">
        <f t="shared" si="1"/>
        <v>746.60000000000059</v>
      </c>
    </row>
    <row r="45" spans="1:6" ht="14">
      <c r="A45" s="16">
        <v>42</v>
      </c>
      <c r="B45" s="22">
        <f>'conveyance 2'!C50</f>
        <v>470.59999999999991</v>
      </c>
      <c r="C45" s="16">
        <v>42</v>
      </c>
      <c r="D45" s="22">
        <f>'conveyance 2'!D50</f>
        <v>470.59999999999991</v>
      </c>
      <c r="E45" s="16">
        <v>42</v>
      </c>
      <c r="F45" s="21">
        <f t="shared" si="1"/>
        <v>761.80000000000064</v>
      </c>
    </row>
    <row r="46" spans="1:6" ht="14">
      <c r="A46" s="16">
        <v>43</v>
      </c>
      <c r="B46" s="22">
        <f>'conveyance 2'!C51</f>
        <v>479.99999999999989</v>
      </c>
      <c r="C46" s="16">
        <v>43</v>
      </c>
      <c r="D46" s="22">
        <f>'conveyance 2'!D51</f>
        <v>479.99999999999989</v>
      </c>
      <c r="E46" s="16">
        <v>43</v>
      </c>
      <c r="F46" s="21">
        <f t="shared" si="1"/>
        <v>777.00000000000068</v>
      </c>
    </row>
    <row r="47" spans="1:6" ht="14">
      <c r="A47" s="16">
        <v>44</v>
      </c>
      <c r="B47" s="22">
        <f>'conveyance 2'!C52</f>
        <v>489.39999999999986</v>
      </c>
      <c r="C47" s="16">
        <v>44</v>
      </c>
      <c r="D47" s="22">
        <f>'conveyance 2'!D52</f>
        <v>489.39999999999986</v>
      </c>
      <c r="E47" s="16">
        <v>44</v>
      </c>
      <c r="F47" s="21">
        <f t="shared" si="1"/>
        <v>792.20000000000073</v>
      </c>
    </row>
    <row r="48" spans="1:6" ht="14">
      <c r="A48" s="16">
        <v>45</v>
      </c>
      <c r="B48" s="22">
        <f>'conveyance 2'!C53</f>
        <v>498.79999999999984</v>
      </c>
      <c r="C48" s="16">
        <v>45</v>
      </c>
      <c r="D48" s="22">
        <f>'conveyance 2'!D53</f>
        <v>498.79999999999984</v>
      </c>
      <c r="E48" s="16">
        <v>45</v>
      </c>
      <c r="F48" s="21">
        <f t="shared" si="1"/>
        <v>807.40000000000077</v>
      </c>
    </row>
    <row r="49" spans="1:6" ht="14">
      <c r="A49" s="16">
        <v>46</v>
      </c>
      <c r="B49" s="22">
        <f>'conveyance 2'!C54</f>
        <v>508.19999999999982</v>
      </c>
      <c r="C49" s="16">
        <v>46</v>
      </c>
      <c r="D49" s="22">
        <f>'conveyance 2'!D54</f>
        <v>508.19999999999982</v>
      </c>
      <c r="E49" s="16">
        <v>46</v>
      </c>
      <c r="F49" s="21">
        <f t="shared" si="1"/>
        <v>822.60000000000082</v>
      </c>
    </row>
    <row r="50" spans="1:6" ht="14">
      <c r="A50" s="16">
        <v>47</v>
      </c>
      <c r="B50" s="22">
        <f>'conveyance 2'!C55</f>
        <v>517.5999999999998</v>
      </c>
      <c r="C50" s="16">
        <v>47</v>
      </c>
      <c r="D50" s="22">
        <f>'conveyance 2'!D55</f>
        <v>517.5999999999998</v>
      </c>
      <c r="E50" s="16">
        <v>47</v>
      </c>
      <c r="F50" s="21">
        <f t="shared" si="1"/>
        <v>837.80000000000086</v>
      </c>
    </row>
    <row r="51" spans="1:6" ht="14">
      <c r="A51" s="16">
        <v>48</v>
      </c>
      <c r="B51" s="22">
        <f>'conveyance 2'!C56</f>
        <v>526.99999999999977</v>
      </c>
      <c r="C51" s="16">
        <v>48</v>
      </c>
      <c r="D51" s="22">
        <f>'conveyance 2'!D56</f>
        <v>526.99999999999977</v>
      </c>
      <c r="E51" s="16">
        <v>48</v>
      </c>
      <c r="F51" s="21">
        <f t="shared" si="1"/>
        <v>853.00000000000091</v>
      </c>
    </row>
    <row r="52" spans="1:6" ht="14">
      <c r="A52" s="16">
        <v>49</v>
      </c>
      <c r="B52" s="22">
        <f>'conveyance 2'!C57</f>
        <v>536.39999999999975</v>
      </c>
      <c r="C52" s="16">
        <v>49</v>
      </c>
      <c r="D52" s="22">
        <f>'conveyance 2'!D57</f>
        <v>536.39999999999975</v>
      </c>
      <c r="E52" s="16">
        <v>49</v>
      </c>
      <c r="F52" s="21">
        <f t="shared" si="1"/>
        <v>868.20000000000095</v>
      </c>
    </row>
    <row r="53" spans="1:6" ht="14">
      <c r="A53" s="16">
        <v>50</v>
      </c>
      <c r="B53" s="22">
        <f>'conveyance 2'!C58</f>
        <v>545.79999999999973</v>
      </c>
      <c r="C53" s="16">
        <v>50</v>
      </c>
      <c r="D53" s="22">
        <f>'conveyance 2'!D58</f>
        <v>545.79999999999973</v>
      </c>
      <c r="E53" s="16">
        <v>50</v>
      </c>
      <c r="F53" s="21">
        <f t="shared" si="1"/>
        <v>883.400000000001</v>
      </c>
    </row>
    <row r="54" spans="1:6" ht="14">
      <c r="A54" s="16">
        <v>51</v>
      </c>
      <c r="B54" s="22">
        <f>'conveyance 2'!C59</f>
        <v>555.1999999999997</v>
      </c>
      <c r="C54" s="16">
        <v>51</v>
      </c>
      <c r="D54" s="22">
        <f>'conveyance 2'!D59</f>
        <v>555.1999999999997</v>
      </c>
      <c r="E54" s="16">
        <v>51</v>
      </c>
      <c r="F54" s="21">
        <f t="shared" si="1"/>
        <v>898.60000000000105</v>
      </c>
    </row>
    <row r="55" spans="1:6" ht="14">
      <c r="A55" s="16">
        <v>52</v>
      </c>
      <c r="B55" s="22">
        <f>'conveyance 2'!C60</f>
        <v>564.59999999999968</v>
      </c>
      <c r="C55" s="16">
        <v>52</v>
      </c>
      <c r="D55" s="22">
        <f>'conveyance 2'!D60</f>
        <v>564.59999999999968</v>
      </c>
      <c r="E55" s="16">
        <v>52</v>
      </c>
      <c r="F55" s="21">
        <f t="shared" si="1"/>
        <v>913.80000000000109</v>
      </c>
    </row>
    <row r="56" spans="1:6" ht="14">
      <c r="A56" s="16">
        <v>53</v>
      </c>
      <c r="B56" s="22">
        <f>'conveyance 2'!C61</f>
        <v>573.99999999999966</v>
      </c>
      <c r="C56" s="16">
        <v>53</v>
      </c>
      <c r="D56" s="22">
        <f>'conveyance 2'!D61</f>
        <v>573.99999999999966</v>
      </c>
      <c r="E56" s="16">
        <v>53</v>
      </c>
      <c r="F56" s="21">
        <f t="shared" si="1"/>
        <v>929.00000000000114</v>
      </c>
    </row>
    <row r="57" spans="1:6" ht="14">
      <c r="A57" s="16">
        <v>54</v>
      </c>
      <c r="B57" s="22">
        <f>'conveyance 2'!C62</f>
        <v>583.39999999999964</v>
      </c>
      <c r="C57" s="16">
        <v>54</v>
      </c>
      <c r="D57" s="22">
        <f>'conveyance 2'!D62</f>
        <v>583.39999999999964</v>
      </c>
      <c r="E57" s="16">
        <v>54</v>
      </c>
      <c r="F57" s="21">
        <f t="shared" si="1"/>
        <v>944.20000000000118</v>
      </c>
    </row>
    <row r="58" spans="1:6" ht="14">
      <c r="A58" s="16">
        <v>55</v>
      </c>
      <c r="B58" s="22">
        <f>'conveyance 2'!C63</f>
        <v>592.79999999999961</v>
      </c>
      <c r="C58" s="16">
        <v>55</v>
      </c>
      <c r="D58" s="22">
        <f>'conveyance 2'!D63</f>
        <v>592.79999999999961</v>
      </c>
      <c r="E58" s="16">
        <v>55</v>
      </c>
      <c r="F58" s="21">
        <f t="shared" si="1"/>
        <v>959.40000000000123</v>
      </c>
    </row>
    <row r="59" spans="1:6" ht="14">
      <c r="A59" s="16">
        <v>56</v>
      </c>
      <c r="B59" s="22">
        <f>'conveyance 2'!C64</f>
        <v>602.19999999999959</v>
      </c>
      <c r="C59" s="16">
        <v>56</v>
      </c>
      <c r="D59" s="22">
        <f>'conveyance 2'!D64</f>
        <v>602.19999999999959</v>
      </c>
      <c r="E59" s="16">
        <v>56</v>
      </c>
      <c r="F59" s="21">
        <f t="shared" si="1"/>
        <v>974.60000000000127</v>
      </c>
    </row>
    <row r="60" spans="1:6" ht="14">
      <c r="A60" s="16">
        <v>57</v>
      </c>
      <c r="B60" s="22">
        <f>'conveyance 2'!C65</f>
        <v>611.59999999999957</v>
      </c>
      <c r="C60" s="16">
        <v>57</v>
      </c>
      <c r="D60" s="22">
        <f>'conveyance 2'!D65</f>
        <v>611.59999999999957</v>
      </c>
      <c r="E60" s="16">
        <v>57</v>
      </c>
      <c r="F60" s="21">
        <f t="shared" si="1"/>
        <v>989.80000000000132</v>
      </c>
    </row>
    <row r="61" spans="1:6" ht="14">
      <c r="A61" s="16">
        <v>58</v>
      </c>
      <c r="B61" s="22">
        <f>'conveyance 2'!C66</f>
        <v>620.99999999999955</v>
      </c>
      <c r="C61" s="16">
        <v>58</v>
      </c>
      <c r="D61" s="22">
        <f>'conveyance 2'!D66</f>
        <v>620.99999999999955</v>
      </c>
      <c r="E61" s="16">
        <v>58</v>
      </c>
      <c r="F61" s="21">
        <f t="shared" si="1"/>
        <v>1005.0000000000014</v>
      </c>
    </row>
    <row r="62" spans="1:6" ht="14">
      <c r="A62" s="16">
        <v>59</v>
      </c>
      <c r="B62" s="22">
        <f>'conveyance 2'!C67</f>
        <v>630.39999999999952</v>
      </c>
      <c r="C62" s="16">
        <v>59</v>
      </c>
      <c r="D62" s="22">
        <f>'conveyance 2'!D67</f>
        <v>630.39999999999952</v>
      </c>
      <c r="E62" s="16">
        <v>59</v>
      </c>
      <c r="F62" s="21">
        <f t="shared" si="1"/>
        <v>1020.2000000000014</v>
      </c>
    </row>
    <row r="63" spans="1:6" ht="14">
      <c r="A63" s="16">
        <v>60</v>
      </c>
      <c r="B63" s="22">
        <f>'conveyance 2'!C68</f>
        <v>639.7999999999995</v>
      </c>
      <c r="C63" s="16">
        <v>60</v>
      </c>
      <c r="D63" s="22">
        <f>'conveyance 2'!D68</f>
        <v>639.7999999999995</v>
      </c>
      <c r="E63" s="16">
        <v>60</v>
      </c>
      <c r="F63" s="21">
        <f t="shared" si="1"/>
        <v>1035.4000000000015</v>
      </c>
    </row>
    <row r="64" spans="1:6" ht="14">
      <c r="A64" s="16">
        <v>61</v>
      </c>
      <c r="B64" s="22">
        <f>'conveyance 2'!C69</f>
        <v>649.19999999999948</v>
      </c>
      <c r="C64" s="16">
        <v>61</v>
      </c>
      <c r="D64" s="22">
        <f>'conveyance 2'!D69</f>
        <v>649.19999999999948</v>
      </c>
      <c r="E64" s="16">
        <v>61</v>
      </c>
      <c r="F64" s="21">
        <f t="shared" si="1"/>
        <v>1050.6000000000015</v>
      </c>
    </row>
    <row r="65" spans="1:6" ht="14">
      <c r="A65" s="16">
        <v>62</v>
      </c>
      <c r="B65" s="22">
        <f>'conveyance 2'!C70</f>
        <v>658.59999999999945</v>
      </c>
      <c r="C65" s="16">
        <v>62</v>
      </c>
      <c r="D65" s="22">
        <f>'conveyance 2'!D70</f>
        <v>658.59999999999945</v>
      </c>
      <c r="E65" s="16">
        <v>62</v>
      </c>
      <c r="F65" s="21">
        <f t="shared" si="1"/>
        <v>1065.8000000000015</v>
      </c>
    </row>
    <row r="66" spans="1:6" ht="14">
      <c r="A66" s="16">
        <v>63</v>
      </c>
      <c r="B66" s="22">
        <f>'conveyance 2'!C71</f>
        <v>667.99999999999943</v>
      </c>
      <c r="C66" s="16">
        <v>63</v>
      </c>
      <c r="D66" s="22">
        <f>'conveyance 2'!D71</f>
        <v>667.99999999999943</v>
      </c>
      <c r="E66" s="16">
        <v>63</v>
      </c>
      <c r="F66" s="21">
        <f t="shared" si="1"/>
        <v>1081.0000000000016</v>
      </c>
    </row>
    <row r="67" spans="1:6" ht="14">
      <c r="A67" s="16">
        <v>64</v>
      </c>
      <c r="B67" s="22">
        <f>'conveyance 2'!C72</f>
        <v>677.39999999999941</v>
      </c>
      <c r="C67" s="16">
        <v>64</v>
      </c>
      <c r="D67" s="22">
        <f>'conveyance 2'!D72</f>
        <v>677.39999999999941</v>
      </c>
      <c r="E67" s="16">
        <v>64</v>
      </c>
      <c r="F67" s="21">
        <f t="shared" si="1"/>
        <v>1096.2000000000016</v>
      </c>
    </row>
    <row r="68" spans="1:6" ht="14">
      <c r="A68" s="16">
        <v>65</v>
      </c>
      <c r="B68" s="22">
        <f>'conveyance 2'!C73</f>
        <v>686.79999999999939</v>
      </c>
      <c r="C68" s="16">
        <v>65</v>
      </c>
      <c r="D68" s="22">
        <f>'conveyance 2'!D73</f>
        <v>686.79999999999939</v>
      </c>
      <c r="E68" s="16">
        <v>65</v>
      </c>
      <c r="F68" s="21">
        <f t="shared" si="1"/>
        <v>1111.4000000000017</v>
      </c>
    </row>
    <row r="69" spans="1:6" ht="14">
      <c r="A69" s="16">
        <v>66</v>
      </c>
      <c r="B69" s="22">
        <f>'conveyance 2'!C74</f>
        <v>696.19999999999936</v>
      </c>
      <c r="C69" s="16">
        <v>66</v>
      </c>
      <c r="D69" s="22">
        <f>'conveyance 2'!D74</f>
        <v>696.19999999999936</v>
      </c>
      <c r="E69" s="16">
        <v>66</v>
      </c>
      <c r="F69" s="21">
        <f t="shared" si="1"/>
        <v>1126.6000000000017</v>
      </c>
    </row>
    <row r="70" spans="1:6" ht="14">
      <c r="A70" s="16">
        <v>67</v>
      </c>
      <c r="B70" s="22">
        <f>'conveyance 2'!C75</f>
        <v>705.59999999999934</v>
      </c>
      <c r="C70" s="16">
        <v>67</v>
      </c>
      <c r="D70" s="22">
        <f>'conveyance 2'!D75</f>
        <v>705.59999999999934</v>
      </c>
      <c r="E70" s="16">
        <v>67</v>
      </c>
      <c r="F70" s="21">
        <f t="shared" si="1"/>
        <v>1141.8000000000018</v>
      </c>
    </row>
    <row r="71" spans="1:6" ht="14">
      <c r="A71" s="16">
        <v>68</v>
      </c>
      <c r="B71" s="22">
        <f>'conveyance 2'!C76</f>
        <v>714.99999999999932</v>
      </c>
      <c r="C71" s="16">
        <v>68</v>
      </c>
      <c r="D71" s="22">
        <f>'conveyance 2'!D76</f>
        <v>714.99999999999932</v>
      </c>
      <c r="E71" s="16">
        <v>68</v>
      </c>
      <c r="F71" s="21">
        <f t="shared" si="1"/>
        <v>1157.0000000000018</v>
      </c>
    </row>
    <row r="72" spans="1:6" ht="14">
      <c r="A72" s="16">
        <v>69</v>
      </c>
      <c r="B72" s="22">
        <f>'conveyance 2'!C77</f>
        <v>724.3999999999993</v>
      </c>
      <c r="C72" s="16">
        <v>69</v>
      </c>
      <c r="D72" s="22">
        <f>'conveyance 2'!D77</f>
        <v>724.3999999999993</v>
      </c>
      <c r="E72" s="16">
        <v>69</v>
      </c>
      <c r="F72" s="21">
        <f t="shared" si="1"/>
        <v>1172.2000000000019</v>
      </c>
    </row>
    <row r="73" spans="1:6" ht="14">
      <c r="A73" s="16">
        <v>70</v>
      </c>
      <c r="B73" s="22">
        <f>'conveyance 2'!C78</f>
        <v>733.79999999999927</v>
      </c>
      <c r="C73" s="16">
        <v>70</v>
      </c>
      <c r="D73" s="22">
        <f>'conveyance 2'!D78</f>
        <v>733.79999999999927</v>
      </c>
      <c r="E73" s="16">
        <v>70</v>
      </c>
      <c r="F73" s="21">
        <f t="shared" si="1"/>
        <v>1187.4000000000019</v>
      </c>
    </row>
    <row r="74" spans="1:6" ht="14">
      <c r="A74" s="16">
        <v>71</v>
      </c>
      <c r="B74" s="22">
        <f>'conveyance 2'!C79</f>
        <v>743.19999999999925</v>
      </c>
      <c r="C74" s="16">
        <v>71</v>
      </c>
      <c r="D74" s="22">
        <f>'conveyance 2'!D79</f>
        <v>743.19999999999925</v>
      </c>
      <c r="E74" s="16">
        <v>71</v>
      </c>
      <c r="F74" s="21">
        <f t="shared" si="1"/>
        <v>1202.600000000002</v>
      </c>
    </row>
    <row r="75" spans="1:6" ht="14">
      <c r="A75" s="16">
        <v>72</v>
      </c>
      <c r="B75" s="22">
        <f>'conveyance 2'!C80</f>
        <v>752.59999999999923</v>
      </c>
      <c r="C75" s="16">
        <v>72</v>
      </c>
      <c r="D75" s="22">
        <f>'conveyance 2'!D80</f>
        <v>752.59999999999923</v>
      </c>
      <c r="E75" s="16">
        <v>72</v>
      </c>
      <c r="F75" s="21">
        <f t="shared" si="1"/>
        <v>1217.800000000002</v>
      </c>
    </row>
    <row r="76" spans="1:6" ht="14">
      <c r="A76" s="16">
        <v>73</v>
      </c>
      <c r="B76" s="22">
        <f>'conveyance 2'!C81</f>
        <v>761.9999999999992</v>
      </c>
      <c r="C76" s="16">
        <v>73</v>
      </c>
      <c r="D76" s="22">
        <f>'conveyance 2'!D81</f>
        <v>761.9999999999992</v>
      </c>
      <c r="E76" s="16">
        <v>73</v>
      </c>
      <c r="F76" s="21">
        <f t="shared" si="1"/>
        <v>1233.000000000002</v>
      </c>
    </row>
    <row r="77" spans="1:6" ht="14">
      <c r="A77" s="16">
        <v>74</v>
      </c>
      <c r="B77" s="22">
        <f>'conveyance 2'!C82</f>
        <v>771.39999999999918</v>
      </c>
      <c r="C77" s="16">
        <v>74</v>
      </c>
      <c r="D77" s="22">
        <f>'conveyance 2'!D82</f>
        <v>771.39999999999918</v>
      </c>
      <c r="E77" s="16">
        <v>74</v>
      </c>
      <c r="F77" s="21">
        <f t="shared" si="1"/>
        <v>1248.2000000000021</v>
      </c>
    </row>
    <row r="78" spans="1:6" ht="14">
      <c r="A78" s="16">
        <v>75</v>
      </c>
      <c r="B78" s="22">
        <f>'conveyance 2'!C83</f>
        <v>780.79999999999916</v>
      </c>
      <c r="C78" s="16">
        <v>75</v>
      </c>
      <c r="D78" s="22">
        <f>'conveyance 2'!D83</f>
        <v>780.79999999999916</v>
      </c>
      <c r="E78" s="16">
        <v>75</v>
      </c>
      <c r="F78" s="21">
        <f t="shared" si="1"/>
        <v>1263.4000000000021</v>
      </c>
    </row>
    <row r="79" spans="1:6" ht="14">
      <c r="A79" s="16">
        <v>76</v>
      </c>
      <c r="B79" s="22">
        <f>'conveyance 2'!C84</f>
        <v>790.19999999999914</v>
      </c>
      <c r="C79" s="16">
        <v>76</v>
      </c>
      <c r="D79" s="22">
        <f>'conveyance 2'!D84</f>
        <v>790.19999999999914</v>
      </c>
      <c r="E79" s="16">
        <v>76</v>
      </c>
      <c r="F79" s="21">
        <f t="shared" si="1"/>
        <v>1278.6000000000022</v>
      </c>
    </row>
    <row r="80" spans="1:6" ht="14">
      <c r="A80" s="16">
        <v>77</v>
      </c>
      <c r="B80" s="22">
        <f>'conveyance 2'!C85</f>
        <v>799.59999999999911</v>
      </c>
      <c r="C80" s="16">
        <v>77</v>
      </c>
      <c r="D80" s="22">
        <f>'conveyance 2'!D85</f>
        <v>799.59999999999911</v>
      </c>
      <c r="E80" s="16">
        <v>77</v>
      </c>
      <c r="F80" s="21">
        <f t="shared" si="1"/>
        <v>1293.8000000000022</v>
      </c>
    </row>
    <row r="81" spans="1:6" ht="14">
      <c r="A81" s="16">
        <v>78</v>
      </c>
      <c r="B81" s="22">
        <f>'conveyance 2'!C86</f>
        <v>808.99999999999909</v>
      </c>
      <c r="C81" s="16">
        <v>78</v>
      </c>
      <c r="D81" s="22">
        <f>'conveyance 2'!D86</f>
        <v>808.99999999999909</v>
      </c>
      <c r="E81" s="16">
        <v>78</v>
      </c>
      <c r="F81" s="21">
        <f t="shared" si="1"/>
        <v>1309.0000000000023</v>
      </c>
    </row>
    <row r="82" spans="1:6" ht="14">
      <c r="A82" s="16">
        <v>79</v>
      </c>
      <c r="B82" s="22">
        <f>'conveyance 2'!C87</f>
        <v>818.39999999999907</v>
      </c>
      <c r="C82" s="16">
        <v>79</v>
      </c>
      <c r="D82" s="22">
        <f>'conveyance 2'!D87</f>
        <v>818.39999999999907</v>
      </c>
      <c r="E82" s="16">
        <v>79</v>
      </c>
      <c r="F82" s="21">
        <f t="shared" si="1"/>
        <v>1324.2000000000023</v>
      </c>
    </row>
    <row r="83" spans="1:6" ht="14">
      <c r="A83" s="16">
        <v>80</v>
      </c>
      <c r="B83" s="22">
        <f>'conveyance 2'!C88</f>
        <v>827.79999999999905</v>
      </c>
      <c r="C83" s="16">
        <v>80</v>
      </c>
      <c r="D83" s="22">
        <f>'conveyance 2'!D88</f>
        <v>827.79999999999905</v>
      </c>
      <c r="E83" s="16">
        <v>80</v>
      </c>
      <c r="F83" s="21">
        <f t="shared" si="1"/>
        <v>1339.4000000000024</v>
      </c>
    </row>
    <row r="84" spans="1:6" ht="14">
      <c r="A84" s="16">
        <v>81</v>
      </c>
      <c r="B84" s="22">
        <f>'conveyance 2'!C89</f>
        <v>837.19999999999902</v>
      </c>
      <c r="C84" s="16">
        <v>81</v>
      </c>
      <c r="D84" s="22">
        <f>'conveyance 2'!D89</f>
        <v>837.19999999999902</v>
      </c>
      <c r="E84" s="16">
        <v>81</v>
      </c>
      <c r="F84" s="21">
        <f t="shared" si="1"/>
        <v>1354.6000000000024</v>
      </c>
    </row>
    <row r="85" spans="1:6" ht="14">
      <c r="A85" s="16">
        <v>82</v>
      </c>
      <c r="B85" s="22">
        <f>'conveyance 2'!C90</f>
        <v>846.599999999999</v>
      </c>
      <c r="C85" s="16">
        <v>82</v>
      </c>
      <c r="D85" s="22">
        <f>'conveyance 2'!D90</f>
        <v>846.599999999999</v>
      </c>
      <c r="E85" s="16">
        <v>82</v>
      </c>
      <c r="F85" s="21">
        <f t="shared" si="1"/>
        <v>1369.8000000000025</v>
      </c>
    </row>
    <row r="86" spans="1:6" ht="14">
      <c r="A86" s="16">
        <v>83</v>
      </c>
      <c r="B86" s="22">
        <f>'conveyance 2'!C91</f>
        <v>855.99999999999898</v>
      </c>
      <c r="C86" s="16">
        <v>83</v>
      </c>
      <c r="D86" s="22">
        <f>'conveyance 2'!D91</f>
        <v>855.99999999999898</v>
      </c>
      <c r="E86" s="16">
        <v>83</v>
      </c>
      <c r="F86" s="21">
        <f t="shared" si="1"/>
        <v>1385.0000000000025</v>
      </c>
    </row>
    <row r="87" spans="1:6" ht="14">
      <c r="A87" s="16">
        <v>84</v>
      </c>
      <c r="B87" s="22">
        <f>'conveyance 2'!C92</f>
        <v>865.39999999999895</v>
      </c>
      <c r="C87" s="16">
        <v>84</v>
      </c>
      <c r="D87" s="22">
        <f>'conveyance 2'!D92</f>
        <v>865.39999999999895</v>
      </c>
      <c r="E87" s="16">
        <v>84</v>
      </c>
      <c r="F87" s="21">
        <f t="shared" si="1"/>
        <v>1400.2000000000025</v>
      </c>
    </row>
    <row r="88" spans="1:6" ht="14">
      <c r="A88" s="16">
        <v>85</v>
      </c>
      <c r="B88" s="22">
        <f>'conveyance 2'!C93</f>
        <v>874.79999999999893</v>
      </c>
      <c r="C88" s="16">
        <v>85</v>
      </c>
      <c r="D88" s="22">
        <f>'conveyance 2'!D93</f>
        <v>874.79999999999893</v>
      </c>
      <c r="E88" s="16">
        <v>85</v>
      </c>
      <c r="F88" s="21">
        <f t="shared" si="1"/>
        <v>1415.4000000000026</v>
      </c>
    </row>
    <row r="89" spans="1:6" ht="14">
      <c r="A89" s="16">
        <v>86</v>
      </c>
      <c r="B89" s="22">
        <f>'conveyance 2'!C94</f>
        <v>884.19999999999891</v>
      </c>
      <c r="C89" s="16">
        <v>86</v>
      </c>
      <c r="D89" s="22">
        <f>'conveyance 2'!D94</f>
        <v>884.19999999999891</v>
      </c>
      <c r="E89" s="16">
        <v>86</v>
      </c>
      <c r="F89" s="21">
        <f t="shared" si="1"/>
        <v>1430.6000000000026</v>
      </c>
    </row>
    <row r="90" spans="1:6" ht="14">
      <c r="A90" s="16">
        <v>87</v>
      </c>
      <c r="B90" s="22">
        <f>'conveyance 2'!C95</f>
        <v>893.59999999999889</v>
      </c>
      <c r="C90" s="16">
        <v>87</v>
      </c>
      <c r="D90" s="22">
        <f>'conveyance 2'!D95</f>
        <v>893.59999999999889</v>
      </c>
      <c r="E90" s="16">
        <v>87</v>
      </c>
      <c r="F90" s="21">
        <f t="shared" si="1"/>
        <v>1445.8000000000027</v>
      </c>
    </row>
    <row r="91" spans="1:6" ht="14">
      <c r="A91" s="16">
        <v>88</v>
      </c>
      <c r="B91" s="22">
        <f>'conveyance 2'!C96</f>
        <v>902.99999999999886</v>
      </c>
      <c r="C91" s="16">
        <v>88</v>
      </c>
      <c r="D91" s="22">
        <f>'conveyance 2'!D96</f>
        <v>902.99999999999886</v>
      </c>
      <c r="E91" s="16">
        <v>88</v>
      </c>
      <c r="F91" s="21">
        <f t="shared" si="1"/>
        <v>1461.0000000000027</v>
      </c>
    </row>
    <row r="92" spans="1:6" ht="14">
      <c r="A92" s="16">
        <v>89</v>
      </c>
      <c r="B92" s="22">
        <f>'conveyance 2'!C97</f>
        <v>912.39999999999884</v>
      </c>
      <c r="C92" s="16">
        <v>89</v>
      </c>
      <c r="D92" s="22">
        <f>'conveyance 2'!D97</f>
        <v>912.39999999999884</v>
      </c>
      <c r="E92" s="16">
        <v>89</v>
      </c>
      <c r="F92" s="21">
        <f t="shared" si="1"/>
        <v>1476.2000000000028</v>
      </c>
    </row>
    <row r="93" spans="1:6" ht="14">
      <c r="A93" s="16">
        <v>90</v>
      </c>
      <c r="B93" s="22">
        <f>'conveyance 2'!C98</f>
        <v>921.79999999999882</v>
      </c>
      <c r="C93" s="16">
        <v>90</v>
      </c>
      <c r="D93" s="22">
        <f>'conveyance 2'!D98</f>
        <v>921.79999999999882</v>
      </c>
      <c r="E93" s="16">
        <v>90</v>
      </c>
      <c r="F93" s="21">
        <f t="shared" si="1"/>
        <v>1491.4000000000028</v>
      </c>
    </row>
    <row r="94" spans="1:6" ht="14">
      <c r="A94" s="16">
        <v>91</v>
      </c>
      <c r="B94" s="22">
        <f>'conveyance 2'!C99</f>
        <v>931.19999999999879</v>
      </c>
      <c r="C94" s="16">
        <v>91</v>
      </c>
      <c r="D94" s="22">
        <f>'conveyance 2'!D99</f>
        <v>931.19999999999879</v>
      </c>
      <c r="E94" s="16">
        <v>91</v>
      </c>
      <c r="F94" s="21">
        <f t="shared" si="1"/>
        <v>1506.6000000000029</v>
      </c>
    </row>
    <row r="95" spans="1:6" ht="14">
      <c r="A95" s="16">
        <v>92</v>
      </c>
      <c r="B95" s="22">
        <f>'conveyance 2'!C100</f>
        <v>940.59999999999877</v>
      </c>
      <c r="C95" s="16">
        <v>92</v>
      </c>
      <c r="D95" s="22">
        <f>'conveyance 2'!D100</f>
        <v>940.59999999999877</v>
      </c>
      <c r="E95" s="16">
        <v>92</v>
      </c>
      <c r="F95" s="21">
        <f t="shared" si="1"/>
        <v>1521.8000000000029</v>
      </c>
    </row>
    <row r="96" spans="1:6" ht="14">
      <c r="A96" s="16">
        <v>93</v>
      </c>
      <c r="B96" s="22">
        <f>'conveyance 2'!C101</f>
        <v>949.99999999999875</v>
      </c>
      <c r="C96" s="16">
        <v>93</v>
      </c>
      <c r="D96" s="22">
        <f>'conveyance 2'!D101</f>
        <v>949.99999999999875</v>
      </c>
      <c r="E96" s="16">
        <v>93</v>
      </c>
      <c r="F96" s="21">
        <f t="shared" si="1"/>
        <v>1537.000000000003</v>
      </c>
    </row>
    <row r="97" spans="1:6" ht="14">
      <c r="A97" s="16">
        <v>94</v>
      </c>
      <c r="B97" s="22">
        <f>'conveyance 2'!C102</f>
        <v>959.39999999999873</v>
      </c>
      <c r="C97" s="16">
        <v>94</v>
      </c>
      <c r="D97" s="22">
        <f>'conveyance 2'!D102</f>
        <v>959.39999999999873</v>
      </c>
      <c r="E97" s="16">
        <v>94</v>
      </c>
      <c r="F97" s="21">
        <f t="shared" si="1"/>
        <v>1552.200000000003</v>
      </c>
    </row>
    <row r="98" spans="1:6" ht="14">
      <c r="A98" s="16">
        <v>95</v>
      </c>
      <c r="B98" s="22">
        <f>'conveyance 2'!C103</f>
        <v>968.7999999999987</v>
      </c>
      <c r="C98" s="16">
        <v>95</v>
      </c>
      <c r="D98" s="22">
        <f>'conveyance 2'!D103</f>
        <v>968.7999999999987</v>
      </c>
      <c r="E98" s="16">
        <v>95</v>
      </c>
      <c r="F98" s="21">
        <f t="shared" si="1"/>
        <v>1567.400000000003</v>
      </c>
    </row>
    <row r="99" spans="1:6" ht="14">
      <c r="A99" s="16">
        <v>96</v>
      </c>
      <c r="B99" s="22">
        <f>'conveyance 2'!C104</f>
        <v>978.19999999999868</v>
      </c>
      <c r="C99" s="16">
        <v>96</v>
      </c>
      <c r="D99" s="22">
        <f>'conveyance 2'!D104</f>
        <v>978.19999999999868</v>
      </c>
      <c r="E99" s="16">
        <v>96</v>
      </c>
      <c r="F99" s="21">
        <f>F98+15.2</f>
        <v>1582.6000000000031</v>
      </c>
    </row>
    <row r="100" spans="1:6" ht="14">
      <c r="A100" s="16">
        <v>97</v>
      </c>
      <c r="B100" s="22">
        <f>'conveyance 2'!C105</f>
        <v>987.59999999999866</v>
      </c>
      <c r="C100" s="16">
        <v>97</v>
      </c>
      <c r="D100" s="22">
        <f>'conveyance 2'!D105</f>
        <v>987.59999999999866</v>
      </c>
      <c r="E100" s="16">
        <v>97</v>
      </c>
      <c r="F100" s="21">
        <f>F99+15.2</f>
        <v>1597.8000000000031</v>
      </c>
    </row>
    <row r="101" spans="1:6" ht="14">
      <c r="A101" s="16">
        <v>98</v>
      </c>
      <c r="B101" s="22">
        <f>'conveyance 2'!C106</f>
        <v>996.99999999999864</v>
      </c>
      <c r="C101" s="16">
        <v>98</v>
      </c>
      <c r="D101" s="22">
        <f>'conveyance 2'!D106</f>
        <v>996.99999999999864</v>
      </c>
      <c r="E101" s="16">
        <v>98</v>
      </c>
      <c r="F101" s="21">
        <f>F100+15.2</f>
        <v>1613.0000000000032</v>
      </c>
    </row>
    <row r="102" spans="1:6" ht="14">
      <c r="A102" s="16">
        <v>99</v>
      </c>
      <c r="B102" s="22">
        <f>'conveyance 2'!C107</f>
        <v>1006.3999999999986</v>
      </c>
      <c r="C102" s="16">
        <v>99</v>
      </c>
      <c r="D102" s="22">
        <f>'conveyance 2'!D107</f>
        <v>1006.3999999999986</v>
      </c>
      <c r="E102" s="16">
        <v>99</v>
      </c>
      <c r="F102" s="21">
        <f>F101+15.2</f>
        <v>1628.2000000000032</v>
      </c>
    </row>
    <row r="103" spans="1:6" ht="14">
      <c r="A103" s="16">
        <v>100</v>
      </c>
      <c r="B103" s="22">
        <f>'conveyance 2'!C108</f>
        <v>1015.7999999999986</v>
      </c>
      <c r="C103" s="16">
        <v>100</v>
      </c>
      <c r="D103" s="22">
        <f>'conveyance 2'!D108</f>
        <v>1015.7999999999986</v>
      </c>
      <c r="E103" s="16">
        <v>100</v>
      </c>
      <c r="F103" s="21">
        <f t="shared" ref="F103:F118" si="2">F102+15.2</f>
        <v>1643.4000000000033</v>
      </c>
    </row>
    <row r="104" spans="1:6" ht="14">
      <c r="A104" s="16">
        <v>101</v>
      </c>
      <c r="B104" s="22">
        <f>'conveyance 2'!C109</f>
        <v>1025.1999999999987</v>
      </c>
      <c r="C104" s="1378">
        <v>101</v>
      </c>
      <c r="D104" s="22">
        <f>'conveyance 2'!D109</f>
        <v>1025.1999999999987</v>
      </c>
      <c r="E104" s="16">
        <v>101</v>
      </c>
      <c r="F104" s="21">
        <f t="shared" si="2"/>
        <v>1658.6000000000033</v>
      </c>
    </row>
    <row r="105" spans="1:6" ht="14">
      <c r="A105" s="16">
        <v>102</v>
      </c>
      <c r="B105" s="22">
        <f>'conveyance 2'!C110</f>
        <v>1034.5999999999988</v>
      </c>
      <c r="C105" s="16">
        <v>102</v>
      </c>
      <c r="D105" s="22">
        <f>'conveyance 2'!D110</f>
        <v>1034.5999999999988</v>
      </c>
      <c r="E105" s="16">
        <v>102</v>
      </c>
      <c r="F105" s="21">
        <f t="shared" si="2"/>
        <v>1673.8000000000034</v>
      </c>
    </row>
    <row r="106" spans="1:6" ht="14">
      <c r="A106" s="16">
        <v>103</v>
      </c>
      <c r="B106" s="22">
        <f>'conveyance 2'!C111</f>
        <v>1043.9999999999989</v>
      </c>
      <c r="C106" s="1378">
        <v>103</v>
      </c>
      <c r="D106" s="22">
        <f>'conveyance 2'!D111</f>
        <v>1043.9999999999989</v>
      </c>
      <c r="E106" s="16">
        <v>103</v>
      </c>
      <c r="F106" s="21">
        <f t="shared" si="2"/>
        <v>1689.0000000000034</v>
      </c>
    </row>
    <row r="107" spans="1:6" ht="14">
      <c r="A107" s="16">
        <v>104</v>
      </c>
      <c r="B107" s="22">
        <f>'conveyance 2'!C112</f>
        <v>1053.399999999999</v>
      </c>
      <c r="C107" s="1378">
        <v>104</v>
      </c>
      <c r="D107" s="22">
        <f>'conveyance 2'!D112</f>
        <v>1053.399999999999</v>
      </c>
      <c r="E107" s="16">
        <v>104</v>
      </c>
      <c r="F107" s="21">
        <f t="shared" si="2"/>
        <v>1704.2000000000035</v>
      </c>
    </row>
    <row r="108" spans="1:6" ht="14">
      <c r="A108" s="16">
        <v>105</v>
      </c>
      <c r="B108" s="22">
        <f>'conveyance 2'!C113</f>
        <v>1062.799999999999</v>
      </c>
      <c r="C108" s="1378">
        <v>105</v>
      </c>
      <c r="D108" s="22">
        <f>'conveyance 2'!D113</f>
        <v>1062.799999999999</v>
      </c>
      <c r="E108" s="16">
        <v>105</v>
      </c>
      <c r="F108" s="21">
        <f t="shared" si="2"/>
        <v>1719.4000000000035</v>
      </c>
    </row>
    <row r="109" spans="1:6" ht="14">
      <c r="A109" s="16">
        <v>106</v>
      </c>
      <c r="B109" s="22">
        <f>'conveyance 2'!C114</f>
        <v>1072.1999999999991</v>
      </c>
      <c r="C109" s="1378">
        <v>106</v>
      </c>
      <c r="D109" s="22">
        <f>'conveyance 2'!D114</f>
        <v>1072.1999999999991</v>
      </c>
      <c r="E109" s="16">
        <v>106</v>
      </c>
      <c r="F109" s="21">
        <f t="shared" si="2"/>
        <v>1734.6000000000035</v>
      </c>
    </row>
    <row r="110" spans="1:6" ht="14">
      <c r="A110" s="16">
        <v>107</v>
      </c>
      <c r="B110" s="22">
        <f>'conveyance 2'!C115</f>
        <v>1081.5999999999992</v>
      </c>
      <c r="C110" s="1378">
        <v>107</v>
      </c>
      <c r="D110" s="22">
        <f>'conveyance 2'!D115</f>
        <v>1081.5999999999992</v>
      </c>
      <c r="E110" s="16">
        <v>107</v>
      </c>
      <c r="F110" s="21">
        <f t="shared" si="2"/>
        <v>1749.8000000000036</v>
      </c>
    </row>
    <row r="111" spans="1:6" ht="14">
      <c r="A111" s="16">
        <v>108</v>
      </c>
      <c r="B111" s="22">
        <f>'conveyance 2'!C116</f>
        <v>1090.9999999999993</v>
      </c>
      <c r="C111" s="1378">
        <v>108</v>
      </c>
      <c r="D111" s="22">
        <f>'conveyance 2'!D116</f>
        <v>1090.9999999999993</v>
      </c>
      <c r="E111" s="16">
        <v>108</v>
      </c>
      <c r="F111" s="21">
        <f t="shared" si="2"/>
        <v>1765.0000000000036</v>
      </c>
    </row>
    <row r="112" spans="1:6" ht="14">
      <c r="A112" s="16">
        <v>109</v>
      </c>
      <c r="B112" s="22">
        <f>'conveyance 2'!C117</f>
        <v>1100.3999999999994</v>
      </c>
      <c r="C112" s="1378">
        <v>109</v>
      </c>
      <c r="D112" s="22">
        <f>'conveyance 2'!D117</f>
        <v>1100.3999999999994</v>
      </c>
      <c r="E112" s="16">
        <v>109</v>
      </c>
      <c r="F112" s="21">
        <f t="shared" si="2"/>
        <v>1780.2000000000037</v>
      </c>
    </row>
    <row r="113" spans="1:6" ht="14">
      <c r="A113" s="16">
        <v>110</v>
      </c>
      <c r="B113" s="22">
        <f>'conveyance 2'!C118</f>
        <v>1109.7999999999995</v>
      </c>
      <c r="C113" s="1378">
        <v>110</v>
      </c>
      <c r="D113" s="22">
        <f>'conveyance 2'!D118</f>
        <v>1109.7999999999995</v>
      </c>
      <c r="E113" s="16">
        <v>110</v>
      </c>
      <c r="F113" s="21">
        <f t="shared" si="2"/>
        <v>1795.4000000000037</v>
      </c>
    </row>
    <row r="114" spans="1:6" ht="14">
      <c r="F114" s="21">
        <f t="shared" si="2"/>
        <v>1810.6000000000038</v>
      </c>
    </row>
    <row r="115" spans="1:6" ht="14">
      <c r="F115" s="21">
        <f t="shared" si="2"/>
        <v>1825.8000000000038</v>
      </c>
    </row>
    <row r="116" spans="1:6" ht="14">
      <c r="F116" s="21">
        <f t="shared" si="2"/>
        <v>1841.0000000000039</v>
      </c>
    </row>
    <row r="117" spans="1:6" ht="14">
      <c r="F117" s="21">
        <f t="shared" si="2"/>
        <v>1856.2000000000039</v>
      </c>
    </row>
    <row r="118" spans="1:6" ht="14">
      <c r="F118" s="21">
        <f t="shared" si="2"/>
        <v>1871.400000000004</v>
      </c>
    </row>
  </sheetData>
  <mergeCells count="3">
    <mergeCell ref="A2:B2"/>
    <mergeCell ref="C2:D2"/>
    <mergeCell ref="E2:F2"/>
  </mergeCells>
  <pageMargins left="0.75" right="0.75" top="0.26" bottom="0.22" header="0.21" footer="0"/>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dimension ref="B1:N134"/>
  <sheetViews>
    <sheetView view="pageBreakPreview" zoomScaleSheetLayoutView="100" workbookViewId="0">
      <selection activeCell="A4" sqref="A1:IV65536"/>
    </sheetView>
  </sheetViews>
  <sheetFormatPr defaultColWidth="8.7265625" defaultRowHeight="12.5"/>
  <cols>
    <col min="1" max="1" width="3.7265625" customWidth="1"/>
    <col min="2" max="3" width="15.453125" style="16" customWidth="1"/>
    <col min="4" max="4" width="20" customWidth="1"/>
    <col min="5" max="5" width="14" customWidth="1"/>
    <col min="6" max="6" width="16.81640625" customWidth="1"/>
  </cols>
  <sheetData>
    <row r="1" spans="2:14" s="625" customFormat="1" ht="18" customHeight="1">
      <c r="B1" s="2263" t="s">
        <v>1113</v>
      </c>
      <c r="C1" s="2263"/>
      <c r="D1" s="2263"/>
      <c r="E1" s="2263"/>
      <c r="F1" s="2263"/>
    </row>
    <row r="2" spans="2:14" s="625" customFormat="1" ht="16.5" customHeight="1">
      <c r="B2" s="2263" t="s">
        <v>538</v>
      </c>
      <c r="C2" s="2263"/>
      <c r="D2" s="2263"/>
      <c r="E2" s="2263"/>
      <c r="F2" s="2263"/>
    </row>
    <row r="3" spans="2:14" s="11" customFormat="1" ht="33.75" customHeight="1">
      <c r="B3" s="2264" t="s">
        <v>539</v>
      </c>
      <c r="C3" s="2264" t="s">
        <v>541</v>
      </c>
      <c r="D3" s="2264" t="s">
        <v>540</v>
      </c>
      <c r="E3" s="2264" t="s">
        <v>579</v>
      </c>
      <c r="F3" s="2264"/>
    </row>
    <row r="4" spans="2:14" s="11" customFormat="1" ht="88.5" customHeight="1">
      <c r="B4" s="2264"/>
      <c r="C4" s="2264"/>
      <c r="D4" s="2264"/>
      <c r="E4" s="2264" t="s">
        <v>542</v>
      </c>
      <c r="F4" s="626" t="s">
        <v>1114</v>
      </c>
      <c r="I4" s="627"/>
      <c r="J4" s="627"/>
      <c r="K4" s="627"/>
      <c r="L4" s="627"/>
    </row>
    <row r="5" spans="2:14" s="11" customFormat="1" ht="30.75" customHeight="1">
      <c r="B5" s="2264"/>
      <c r="C5" s="2264"/>
      <c r="D5" s="2264"/>
      <c r="E5" s="2264"/>
      <c r="F5" s="626" t="s">
        <v>543</v>
      </c>
      <c r="I5" s="627"/>
      <c r="J5" s="627"/>
      <c r="K5" s="627"/>
      <c r="L5" s="627"/>
    </row>
    <row r="6" spans="2:14" ht="17.25" customHeight="1">
      <c r="B6" s="628"/>
      <c r="C6" s="628"/>
      <c r="D6" s="628"/>
      <c r="E6" s="628"/>
      <c r="F6" s="629">
        <v>109.6</v>
      </c>
      <c r="I6" s="627"/>
      <c r="J6" s="627"/>
      <c r="K6" s="627"/>
      <c r="L6" s="627"/>
    </row>
    <row r="7" spans="2:14" ht="25.5" customHeight="1">
      <c r="B7" s="630" t="s">
        <v>544</v>
      </c>
      <c r="C7" s="631">
        <v>11.3</v>
      </c>
      <c r="D7" s="631">
        <v>11.3</v>
      </c>
      <c r="E7" s="632"/>
      <c r="F7" s="629">
        <v>18.3</v>
      </c>
      <c r="I7" s="627"/>
      <c r="J7" s="627"/>
      <c r="K7" s="627"/>
      <c r="L7" s="627"/>
      <c r="N7" s="371"/>
    </row>
    <row r="8" spans="2:14" ht="27.75" customHeight="1" thickBot="1">
      <c r="B8" s="633" t="s">
        <v>545</v>
      </c>
      <c r="C8" s="634">
        <v>9.4</v>
      </c>
      <c r="D8" s="634">
        <v>9.4</v>
      </c>
      <c r="E8" s="635"/>
      <c r="F8" s="636">
        <v>15.2</v>
      </c>
      <c r="I8" s="627"/>
      <c r="J8" s="627"/>
      <c r="K8" s="627"/>
      <c r="L8" s="627"/>
    </row>
    <row r="9" spans="2:14" s="627" customFormat="1" ht="18" customHeight="1">
      <c r="B9" s="637" t="s">
        <v>546</v>
      </c>
      <c r="C9" s="638">
        <v>27.4</v>
      </c>
      <c r="D9" s="638">
        <v>28.3</v>
      </c>
      <c r="E9" s="639">
        <v>45.7</v>
      </c>
      <c r="F9" s="640">
        <f t="shared" ref="F9:F72" si="0">E9+$F$6</f>
        <v>155.30000000000001</v>
      </c>
      <c r="G9" s="641"/>
    </row>
    <row r="10" spans="2:14" s="627" customFormat="1" ht="18" customHeight="1">
      <c r="B10" s="637" t="s">
        <v>547</v>
      </c>
      <c r="C10" s="638">
        <v>38.4</v>
      </c>
      <c r="D10" s="638">
        <v>39.5</v>
      </c>
      <c r="E10" s="639">
        <v>64</v>
      </c>
      <c r="F10" s="640">
        <f t="shared" si="0"/>
        <v>173.6</v>
      </c>
      <c r="G10" s="641"/>
    </row>
    <row r="11" spans="2:14" s="627" customFormat="1" ht="18" customHeight="1">
      <c r="B11" s="637" t="s">
        <v>548</v>
      </c>
      <c r="C11" s="638">
        <v>52.7</v>
      </c>
      <c r="D11" s="638">
        <v>52.7</v>
      </c>
      <c r="E11" s="639">
        <v>85.4</v>
      </c>
      <c r="F11" s="640">
        <f t="shared" si="0"/>
        <v>195</v>
      </c>
    </row>
    <row r="12" spans="2:14" s="627" customFormat="1" ht="18" customHeight="1">
      <c r="B12" s="637" t="s">
        <v>549</v>
      </c>
      <c r="C12" s="638">
        <v>64</v>
      </c>
      <c r="D12" s="638">
        <v>64</v>
      </c>
      <c r="E12" s="639">
        <v>103.6</v>
      </c>
      <c r="F12" s="640">
        <f t="shared" si="0"/>
        <v>213.2</v>
      </c>
    </row>
    <row r="13" spans="2:14" s="627" customFormat="1" ht="18" customHeight="1">
      <c r="B13" s="637" t="s">
        <v>550</v>
      </c>
      <c r="C13" s="638">
        <v>75.3</v>
      </c>
      <c r="D13" s="638">
        <v>75.3</v>
      </c>
      <c r="E13" s="639">
        <v>121.9</v>
      </c>
      <c r="F13" s="640">
        <f t="shared" si="0"/>
        <v>231.5</v>
      </c>
      <c r="G13" s="641"/>
    </row>
    <row r="14" spans="2:14" s="627" customFormat="1" ht="18" customHeight="1">
      <c r="B14" s="637">
        <v>6</v>
      </c>
      <c r="C14" s="642">
        <f t="shared" ref="C14:C38" si="1">$C$7+C13</f>
        <v>86.6</v>
      </c>
      <c r="D14" s="642">
        <f t="shared" ref="D14:D38" si="2">$D$7+D13</f>
        <v>86.6</v>
      </c>
      <c r="E14" s="639">
        <f t="shared" ref="E14:E38" si="3">E13+$F$7</f>
        <v>140.20000000000002</v>
      </c>
      <c r="F14" s="639">
        <f t="shared" si="0"/>
        <v>249.8</v>
      </c>
      <c r="G14" s="641"/>
    </row>
    <row r="15" spans="2:14" s="627" customFormat="1" ht="18" customHeight="1">
      <c r="B15" s="637">
        <v>7</v>
      </c>
      <c r="C15" s="642">
        <f t="shared" si="1"/>
        <v>97.899999999999991</v>
      </c>
      <c r="D15" s="642">
        <f t="shared" si="2"/>
        <v>97.899999999999991</v>
      </c>
      <c r="E15" s="639">
        <f t="shared" si="3"/>
        <v>158.50000000000003</v>
      </c>
      <c r="F15" s="639">
        <f t="shared" si="0"/>
        <v>268.10000000000002</v>
      </c>
      <c r="G15" s="641"/>
    </row>
    <row r="16" spans="2:14" s="627" customFormat="1" ht="18" customHeight="1">
      <c r="B16" s="637">
        <v>8</v>
      </c>
      <c r="C16" s="642">
        <f t="shared" si="1"/>
        <v>109.19999999999999</v>
      </c>
      <c r="D16" s="642">
        <f t="shared" si="2"/>
        <v>109.19999999999999</v>
      </c>
      <c r="E16" s="639">
        <f t="shared" si="3"/>
        <v>176.80000000000004</v>
      </c>
      <c r="F16" s="639">
        <f t="shared" si="0"/>
        <v>286.40000000000003</v>
      </c>
    </row>
    <row r="17" spans="2:6" s="627" customFormat="1" ht="18" customHeight="1">
      <c r="B17" s="637">
        <v>9</v>
      </c>
      <c r="C17" s="642">
        <f t="shared" si="1"/>
        <v>120.49999999999999</v>
      </c>
      <c r="D17" s="642">
        <f t="shared" si="2"/>
        <v>120.49999999999999</v>
      </c>
      <c r="E17" s="639">
        <f t="shared" si="3"/>
        <v>195.10000000000005</v>
      </c>
      <c r="F17" s="639">
        <f t="shared" si="0"/>
        <v>304.70000000000005</v>
      </c>
    </row>
    <row r="18" spans="2:6" s="627" customFormat="1" ht="18" customHeight="1">
      <c r="B18" s="637">
        <v>10</v>
      </c>
      <c r="C18" s="642">
        <f t="shared" si="1"/>
        <v>131.79999999999998</v>
      </c>
      <c r="D18" s="642">
        <f t="shared" si="2"/>
        <v>131.79999999999998</v>
      </c>
      <c r="E18" s="639">
        <f t="shared" si="3"/>
        <v>213.40000000000006</v>
      </c>
      <c r="F18" s="639">
        <f t="shared" si="0"/>
        <v>323.00000000000006</v>
      </c>
    </row>
    <row r="19" spans="2:6" s="627" customFormat="1" ht="18" customHeight="1">
      <c r="B19" s="637">
        <v>11</v>
      </c>
      <c r="C19" s="642">
        <f t="shared" si="1"/>
        <v>143.1</v>
      </c>
      <c r="D19" s="642">
        <f t="shared" si="2"/>
        <v>143.1</v>
      </c>
      <c r="E19" s="639">
        <f t="shared" si="3"/>
        <v>231.70000000000007</v>
      </c>
      <c r="F19" s="639">
        <f t="shared" si="0"/>
        <v>341.30000000000007</v>
      </c>
    </row>
    <row r="20" spans="2:6" s="627" customFormat="1" ht="18" customHeight="1">
      <c r="B20" s="637">
        <v>12</v>
      </c>
      <c r="C20" s="642">
        <f t="shared" si="1"/>
        <v>154.4</v>
      </c>
      <c r="D20" s="642">
        <f t="shared" si="2"/>
        <v>154.4</v>
      </c>
      <c r="E20" s="639">
        <f t="shared" si="3"/>
        <v>250.00000000000009</v>
      </c>
      <c r="F20" s="639">
        <f t="shared" si="0"/>
        <v>359.60000000000008</v>
      </c>
    </row>
    <row r="21" spans="2:6" s="627" customFormat="1" ht="18" customHeight="1">
      <c r="B21" s="637">
        <v>13</v>
      </c>
      <c r="C21" s="642">
        <f t="shared" si="1"/>
        <v>165.70000000000002</v>
      </c>
      <c r="D21" s="642">
        <f t="shared" si="2"/>
        <v>165.70000000000002</v>
      </c>
      <c r="E21" s="639">
        <f t="shared" si="3"/>
        <v>268.30000000000007</v>
      </c>
      <c r="F21" s="639">
        <f t="shared" si="0"/>
        <v>377.90000000000009</v>
      </c>
    </row>
    <row r="22" spans="2:6" s="627" customFormat="1" ht="18" customHeight="1">
      <c r="B22" s="637">
        <v>14</v>
      </c>
      <c r="C22" s="642">
        <f t="shared" si="1"/>
        <v>177.00000000000003</v>
      </c>
      <c r="D22" s="642">
        <f t="shared" si="2"/>
        <v>177.00000000000003</v>
      </c>
      <c r="E22" s="639">
        <f t="shared" si="3"/>
        <v>286.60000000000008</v>
      </c>
      <c r="F22" s="639">
        <f t="shared" si="0"/>
        <v>396.20000000000005</v>
      </c>
    </row>
    <row r="23" spans="2:6" s="627" customFormat="1" ht="18" customHeight="1">
      <c r="B23" s="637">
        <v>15</v>
      </c>
      <c r="C23" s="642">
        <f t="shared" si="1"/>
        <v>188.30000000000004</v>
      </c>
      <c r="D23" s="642">
        <f t="shared" si="2"/>
        <v>188.30000000000004</v>
      </c>
      <c r="E23" s="639">
        <f t="shared" si="3"/>
        <v>304.90000000000009</v>
      </c>
      <c r="F23" s="639">
        <f t="shared" si="0"/>
        <v>414.50000000000011</v>
      </c>
    </row>
    <row r="24" spans="2:6" s="627" customFormat="1" ht="18" customHeight="1">
      <c r="B24" s="637">
        <v>16</v>
      </c>
      <c r="C24" s="642">
        <f t="shared" si="1"/>
        <v>199.60000000000005</v>
      </c>
      <c r="D24" s="642">
        <f t="shared" si="2"/>
        <v>199.60000000000005</v>
      </c>
      <c r="E24" s="639">
        <f t="shared" si="3"/>
        <v>323.2000000000001</v>
      </c>
      <c r="F24" s="639">
        <f t="shared" si="0"/>
        <v>432.80000000000007</v>
      </c>
    </row>
    <row r="25" spans="2:6" s="627" customFormat="1" ht="18" customHeight="1">
      <c r="B25" s="637">
        <v>17</v>
      </c>
      <c r="C25" s="642">
        <f t="shared" si="1"/>
        <v>210.90000000000006</v>
      </c>
      <c r="D25" s="642">
        <f t="shared" si="2"/>
        <v>210.90000000000006</v>
      </c>
      <c r="E25" s="639">
        <f t="shared" si="3"/>
        <v>341.50000000000011</v>
      </c>
      <c r="F25" s="639">
        <f t="shared" si="0"/>
        <v>451.10000000000014</v>
      </c>
    </row>
    <row r="26" spans="2:6" s="627" customFormat="1" ht="18" customHeight="1">
      <c r="B26" s="637">
        <v>18</v>
      </c>
      <c r="C26" s="642">
        <f t="shared" si="1"/>
        <v>222.20000000000007</v>
      </c>
      <c r="D26" s="642">
        <f t="shared" si="2"/>
        <v>222.20000000000007</v>
      </c>
      <c r="E26" s="639">
        <f t="shared" si="3"/>
        <v>359.80000000000013</v>
      </c>
      <c r="F26" s="639">
        <f t="shared" si="0"/>
        <v>469.40000000000009</v>
      </c>
    </row>
    <row r="27" spans="2:6" s="627" customFormat="1" ht="18" customHeight="1">
      <c r="B27" s="637">
        <v>19</v>
      </c>
      <c r="C27" s="642">
        <f t="shared" si="1"/>
        <v>233.50000000000009</v>
      </c>
      <c r="D27" s="642">
        <f t="shared" si="2"/>
        <v>233.50000000000009</v>
      </c>
      <c r="E27" s="639">
        <f t="shared" si="3"/>
        <v>378.10000000000014</v>
      </c>
      <c r="F27" s="639">
        <f t="shared" si="0"/>
        <v>487.70000000000016</v>
      </c>
    </row>
    <row r="28" spans="2:6" s="627" customFormat="1" ht="18" customHeight="1">
      <c r="B28" s="637">
        <v>20</v>
      </c>
      <c r="C28" s="642">
        <f t="shared" si="1"/>
        <v>244.8000000000001</v>
      </c>
      <c r="D28" s="642">
        <f t="shared" si="2"/>
        <v>244.8000000000001</v>
      </c>
      <c r="E28" s="639">
        <f t="shared" si="3"/>
        <v>396.40000000000015</v>
      </c>
      <c r="F28" s="639">
        <f t="shared" si="0"/>
        <v>506.00000000000011</v>
      </c>
    </row>
    <row r="29" spans="2:6" s="627" customFormat="1" ht="18" customHeight="1">
      <c r="B29" s="637">
        <v>21</v>
      </c>
      <c r="C29" s="642">
        <f t="shared" si="1"/>
        <v>256.10000000000008</v>
      </c>
      <c r="D29" s="642">
        <f t="shared" si="2"/>
        <v>256.10000000000008</v>
      </c>
      <c r="E29" s="639">
        <f t="shared" si="3"/>
        <v>414.70000000000016</v>
      </c>
      <c r="F29" s="639">
        <f t="shared" si="0"/>
        <v>524.30000000000018</v>
      </c>
    </row>
    <row r="30" spans="2:6" s="627" customFormat="1" ht="18" customHeight="1">
      <c r="B30" s="637">
        <v>22</v>
      </c>
      <c r="C30" s="642">
        <f t="shared" si="1"/>
        <v>267.40000000000009</v>
      </c>
      <c r="D30" s="642">
        <f t="shared" si="2"/>
        <v>267.40000000000009</v>
      </c>
      <c r="E30" s="639">
        <f t="shared" si="3"/>
        <v>433.00000000000017</v>
      </c>
      <c r="F30" s="639">
        <f t="shared" si="0"/>
        <v>542.60000000000014</v>
      </c>
    </row>
    <row r="31" spans="2:6" s="627" customFormat="1" ht="18" customHeight="1">
      <c r="B31" s="637">
        <v>23</v>
      </c>
      <c r="C31" s="642">
        <f t="shared" si="1"/>
        <v>278.7000000000001</v>
      </c>
      <c r="D31" s="642">
        <f t="shared" si="2"/>
        <v>278.7000000000001</v>
      </c>
      <c r="E31" s="639">
        <f t="shared" si="3"/>
        <v>451.30000000000018</v>
      </c>
      <c r="F31" s="639">
        <f t="shared" si="0"/>
        <v>560.9000000000002</v>
      </c>
    </row>
    <row r="32" spans="2:6" s="627" customFormat="1" ht="18" customHeight="1">
      <c r="B32" s="637">
        <v>24</v>
      </c>
      <c r="C32" s="642">
        <f t="shared" si="1"/>
        <v>290.00000000000011</v>
      </c>
      <c r="D32" s="642">
        <f t="shared" si="2"/>
        <v>290.00000000000011</v>
      </c>
      <c r="E32" s="639">
        <f t="shared" si="3"/>
        <v>469.60000000000019</v>
      </c>
      <c r="F32" s="639">
        <f t="shared" si="0"/>
        <v>579.20000000000016</v>
      </c>
    </row>
    <row r="33" spans="2:7" s="627" customFormat="1" ht="18" customHeight="1">
      <c r="B33" s="637">
        <v>25</v>
      </c>
      <c r="C33" s="642">
        <f t="shared" si="1"/>
        <v>301.30000000000013</v>
      </c>
      <c r="D33" s="642">
        <f t="shared" si="2"/>
        <v>301.30000000000013</v>
      </c>
      <c r="E33" s="639">
        <f t="shared" si="3"/>
        <v>487.9000000000002</v>
      </c>
      <c r="F33" s="639">
        <f t="shared" si="0"/>
        <v>597.50000000000023</v>
      </c>
    </row>
    <row r="34" spans="2:7" s="627" customFormat="1" ht="18" customHeight="1">
      <c r="B34" s="637">
        <v>26</v>
      </c>
      <c r="C34" s="642">
        <f t="shared" si="1"/>
        <v>312.60000000000014</v>
      </c>
      <c r="D34" s="642">
        <f t="shared" si="2"/>
        <v>312.60000000000014</v>
      </c>
      <c r="E34" s="639">
        <f t="shared" si="3"/>
        <v>506.20000000000022</v>
      </c>
      <c r="F34" s="639">
        <f t="shared" si="0"/>
        <v>615.80000000000018</v>
      </c>
    </row>
    <row r="35" spans="2:7" s="627" customFormat="1" ht="18" customHeight="1">
      <c r="B35" s="637">
        <v>27</v>
      </c>
      <c r="C35" s="642">
        <f t="shared" si="1"/>
        <v>323.90000000000015</v>
      </c>
      <c r="D35" s="642">
        <f t="shared" si="2"/>
        <v>323.90000000000015</v>
      </c>
      <c r="E35" s="639">
        <f t="shared" si="3"/>
        <v>524.50000000000023</v>
      </c>
      <c r="F35" s="639">
        <f t="shared" si="0"/>
        <v>634.10000000000025</v>
      </c>
    </row>
    <row r="36" spans="2:7" s="627" customFormat="1" ht="18" customHeight="1">
      <c r="B36" s="637">
        <v>28</v>
      </c>
      <c r="C36" s="642">
        <f t="shared" si="1"/>
        <v>335.20000000000016</v>
      </c>
      <c r="D36" s="642">
        <f t="shared" si="2"/>
        <v>335.20000000000016</v>
      </c>
      <c r="E36" s="639">
        <f t="shared" si="3"/>
        <v>542.80000000000018</v>
      </c>
      <c r="F36" s="639">
        <f t="shared" si="0"/>
        <v>652.4000000000002</v>
      </c>
    </row>
    <row r="37" spans="2:7" s="627" customFormat="1" ht="18" customHeight="1">
      <c r="B37" s="637">
        <v>29</v>
      </c>
      <c r="C37" s="642">
        <f t="shared" si="1"/>
        <v>346.50000000000017</v>
      </c>
      <c r="D37" s="642">
        <f t="shared" si="2"/>
        <v>346.50000000000017</v>
      </c>
      <c r="E37" s="639">
        <f t="shared" si="3"/>
        <v>561.10000000000014</v>
      </c>
      <c r="F37" s="639">
        <f t="shared" si="0"/>
        <v>670.70000000000016</v>
      </c>
      <c r="G37" s="641"/>
    </row>
    <row r="38" spans="2:7" s="627" customFormat="1" ht="18" customHeight="1">
      <c r="B38" s="637">
        <v>30</v>
      </c>
      <c r="C38" s="642">
        <f t="shared" si="1"/>
        <v>357.80000000000018</v>
      </c>
      <c r="D38" s="642">
        <f t="shared" si="2"/>
        <v>357.80000000000018</v>
      </c>
      <c r="E38" s="639">
        <f t="shared" si="3"/>
        <v>579.40000000000009</v>
      </c>
      <c r="F38" s="639">
        <f t="shared" si="0"/>
        <v>689.00000000000011</v>
      </c>
      <c r="G38" s="641"/>
    </row>
    <row r="39" spans="2:7" s="627" customFormat="1" ht="18" customHeight="1">
      <c r="B39" s="637">
        <v>31</v>
      </c>
      <c r="C39" s="642">
        <f t="shared" ref="C39:D54" si="4">$D$8+C38</f>
        <v>367.20000000000016</v>
      </c>
      <c r="D39" s="642">
        <f t="shared" si="4"/>
        <v>367.20000000000016</v>
      </c>
      <c r="E39" s="639">
        <f t="shared" ref="E39:E102" si="5">E38+$F$8</f>
        <v>594.60000000000014</v>
      </c>
      <c r="F39" s="639">
        <f t="shared" si="0"/>
        <v>704.20000000000016</v>
      </c>
      <c r="G39" s="643"/>
    </row>
    <row r="40" spans="2:7" s="627" customFormat="1" ht="18" customHeight="1">
      <c r="B40" s="637">
        <v>32</v>
      </c>
      <c r="C40" s="642">
        <f t="shared" si="4"/>
        <v>376.60000000000014</v>
      </c>
      <c r="D40" s="642">
        <f t="shared" si="4"/>
        <v>376.60000000000014</v>
      </c>
      <c r="E40" s="639">
        <f t="shared" si="5"/>
        <v>609.80000000000018</v>
      </c>
      <c r="F40" s="639">
        <f t="shared" si="0"/>
        <v>719.4000000000002</v>
      </c>
      <c r="G40" s="643"/>
    </row>
    <row r="41" spans="2:7" s="627" customFormat="1" ht="18" customHeight="1">
      <c r="B41" s="637">
        <v>33</v>
      </c>
      <c r="C41" s="642">
        <f t="shared" si="4"/>
        <v>386.00000000000011</v>
      </c>
      <c r="D41" s="642">
        <f t="shared" si="4"/>
        <v>386.00000000000011</v>
      </c>
      <c r="E41" s="639">
        <f t="shared" si="5"/>
        <v>625.00000000000023</v>
      </c>
      <c r="F41" s="639">
        <f t="shared" si="0"/>
        <v>734.60000000000025</v>
      </c>
      <c r="G41" s="643"/>
    </row>
    <row r="42" spans="2:7" s="627" customFormat="1" ht="18" customHeight="1">
      <c r="B42" s="637">
        <v>34</v>
      </c>
      <c r="C42" s="642">
        <f t="shared" si="4"/>
        <v>395.40000000000009</v>
      </c>
      <c r="D42" s="642">
        <f t="shared" si="4"/>
        <v>395.40000000000009</v>
      </c>
      <c r="E42" s="639">
        <f t="shared" si="5"/>
        <v>640.20000000000027</v>
      </c>
      <c r="F42" s="639">
        <f t="shared" si="0"/>
        <v>749.8000000000003</v>
      </c>
    </row>
    <row r="43" spans="2:7" s="627" customFormat="1" ht="18" customHeight="1">
      <c r="B43" s="637">
        <v>35</v>
      </c>
      <c r="C43" s="642">
        <f t="shared" si="4"/>
        <v>404.80000000000007</v>
      </c>
      <c r="D43" s="642">
        <f t="shared" si="4"/>
        <v>404.80000000000007</v>
      </c>
      <c r="E43" s="639">
        <f t="shared" si="5"/>
        <v>655.40000000000032</v>
      </c>
      <c r="F43" s="639">
        <f t="shared" si="0"/>
        <v>765.00000000000034</v>
      </c>
    </row>
    <row r="44" spans="2:7" s="627" customFormat="1" ht="18" customHeight="1">
      <c r="B44" s="637">
        <v>36</v>
      </c>
      <c r="C44" s="642">
        <f t="shared" si="4"/>
        <v>414.20000000000005</v>
      </c>
      <c r="D44" s="642">
        <f t="shared" si="4"/>
        <v>414.20000000000005</v>
      </c>
      <c r="E44" s="639">
        <f t="shared" si="5"/>
        <v>670.60000000000036</v>
      </c>
      <c r="F44" s="639">
        <f t="shared" si="0"/>
        <v>780.20000000000039</v>
      </c>
    </row>
    <row r="45" spans="2:7" s="627" customFormat="1" ht="18" customHeight="1">
      <c r="B45" s="637">
        <v>37</v>
      </c>
      <c r="C45" s="642">
        <f t="shared" si="4"/>
        <v>423.6</v>
      </c>
      <c r="D45" s="642">
        <f t="shared" si="4"/>
        <v>423.6</v>
      </c>
      <c r="E45" s="639">
        <f t="shared" si="5"/>
        <v>685.80000000000041</v>
      </c>
      <c r="F45" s="639">
        <f t="shared" si="0"/>
        <v>795.40000000000043</v>
      </c>
    </row>
    <row r="46" spans="2:7" s="627" customFormat="1" ht="18" customHeight="1">
      <c r="B46" s="637">
        <v>38</v>
      </c>
      <c r="C46" s="642">
        <f t="shared" si="4"/>
        <v>433</v>
      </c>
      <c r="D46" s="642">
        <f t="shared" si="4"/>
        <v>433</v>
      </c>
      <c r="E46" s="639">
        <f t="shared" si="5"/>
        <v>701.00000000000045</v>
      </c>
      <c r="F46" s="639">
        <f t="shared" si="0"/>
        <v>810.60000000000048</v>
      </c>
    </row>
    <row r="47" spans="2:7" s="627" customFormat="1" ht="18" customHeight="1">
      <c r="B47" s="637">
        <v>39</v>
      </c>
      <c r="C47" s="642">
        <f t="shared" si="4"/>
        <v>442.4</v>
      </c>
      <c r="D47" s="642">
        <f t="shared" si="4"/>
        <v>442.4</v>
      </c>
      <c r="E47" s="639">
        <f t="shared" si="5"/>
        <v>716.2000000000005</v>
      </c>
      <c r="F47" s="639">
        <f t="shared" si="0"/>
        <v>825.80000000000052</v>
      </c>
    </row>
    <row r="48" spans="2:7" s="627" customFormat="1" ht="18" customHeight="1">
      <c r="B48" s="637">
        <v>40</v>
      </c>
      <c r="C48" s="642">
        <f t="shared" si="4"/>
        <v>451.79999999999995</v>
      </c>
      <c r="D48" s="642">
        <f t="shared" si="4"/>
        <v>451.79999999999995</v>
      </c>
      <c r="E48" s="639">
        <f t="shared" si="5"/>
        <v>731.40000000000055</v>
      </c>
      <c r="F48" s="639">
        <f t="shared" si="0"/>
        <v>841.00000000000057</v>
      </c>
    </row>
    <row r="49" spans="2:6" s="627" customFormat="1" ht="18" customHeight="1">
      <c r="B49" s="637">
        <v>41</v>
      </c>
      <c r="C49" s="642">
        <f t="shared" si="4"/>
        <v>461.19999999999993</v>
      </c>
      <c r="D49" s="642">
        <f t="shared" si="4"/>
        <v>461.19999999999993</v>
      </c>
      <c r="E49" s="639">
        <f t="shared" si="5"/>
        <v>746.60000000000059</v>
      </c>
      <c r="F49" s="639">
        <f t="shared" si="0"/>
        <v>856.20000000000061</v>
      </c>
    </row>
    <row r="50" spans="2:6" s="627" customFormat="1" ht="18" customHeight="1">
      <c r="B50" s="637">
        <v>42</v>
      </c>
      <c r="C50" s="642">
        <f t="shared" si="4"/>
        <v>470.59999999999991</v>
      </c>
      <c r="D50" s="642">
        <f t="shared" si="4"/>
        <v>470.59999999999991</v>
      </c>
      <c r="E50" s="639">
        <f t="shared" si="5"/>
        <v>761.80000000000064</v>
      </c>
      <c r="F50" s="639">
        <f t="shared" si="0"/>
        <v>871.40000000000066</v>
      </c>
    </row>
    <row r="51" spans="2:6" s="627" customFormat="1" ht="18" customHeight="1">
      <c r="B51" s="637">
        <v>43</v>
      </c>
      <c r="C51" s="642">
        <f t="shared" si="4"/>
        <v>479.99999999999989</v>
      </c>
      <c r="D51" s="642">
        <f t="shared" si="4"/>
        <v>479.99999999999989</v>
      </c>
      <c r="E51" s="639">
        <f t="shared" si="5"/>
        <v>777.00000000000068</v>
      </c>
      <c r="F51" s="639">
        <f t="shared" si="0"/>
        <v>886.6000000000007</v>
      </c>
    </row>
    <row r="52" spans="2:6" s="627" customFormat="1" ht="18" customHeight="1">
      <c r="B52" s="637">
        <v>44</v>
      </c>
      <c r="C52" s="642">
        <f t="shared" si="4"/>
        <v>489.39999999999986</v>
      </c>
      <c r="D52" s="642">
        <f t="shared" si="4"/>
        <v>489.39999999999986</v>
      </c>
      <c r="E52" s="639">
        <f t="shared" si="5"/>
        <v>792.20000000000073</v>
      </c>
      <c r="F52" s="639">
        <f t="shared" si="0"/>
        <v>901.80000000000075</v>
      </c>
    </row>
    <row r="53" spans="2:6" s="627" customFormat="1" ht="18" customHeight="1">
      <c r="B53" s="637">
        <v>45</v>
      </c>
      <c r="C53" s="642">
        <f t="shared" si="4"/>
        <v>498.79999999999984</v>
      </c>
      <c r="D53" s="642">
        <f t="shared" si="4"/>
        <v>498.79999999999984</v>
      </c>
      <c r="E53" s="639">
        <f t="shared" si="5"/>
        <v>807.40000000000077</v>
      </c>
      <c r="F53" s="639">
        <f t="shared" si="0"/>
        <v>917.0000000000008</v>
      </c>
    </row>
    <row r="54" spans="2:6" s="627" customFormat="1" ht="18" customHeight="1">
      <c r="B54" s="637">
        <v>46</v>
      </c>
      <c r="C54" s="642">
        <f t="shared" si="4"/>
        <v>508.19999999999982</v>
      </c>
      <c r="D54" s="642">
        <f t="shared" si="4"/>
        <v>508.19999999999982</v>
      </c>
      <c r="E54" s="639">
        <f t="shared" si="5"/>
        <v>822.60000000000082</v>
      </c>
      <c r="F54" s="639">
        <f t="shared" si="0"/>
        <v>932.20000000000084</v>
      </c>
    </row>
    <row r="55" spans="2:6" s="627" customFormat="1" ht="18" customHeight="1">
      <c r="B55" s="637">
        <v>47</v>
      </c>
      <c r="C55" s="642">
        <f t="shared" ref="C55:D70" si="6">$D$8+C54</f>
        <v>517.5999999999998</v>
      </c>
      <c r="D55" s="642">
        <f t="shared" si="6"/>
        <v>517.5999999999998</v>
      </c>
      <c r="E55" s="639">
        <f t="shared" si="5"/>
        <v>837.80000000000086</v>
      </c>
      <c r="F55" s="639">
        <f t="shared" si="0"/>
        <v>947.40000000000089</v>
      </c>
    </row>
    <row r="56" spans="2:6" s="627" customFormat="1" ht="18" customHeight="1">
      <c r="B56" s="637">
        <v>48</v>
      </c>
      <c r="C56" s="642">
        <f t="shared" si="6"/>
        <v>526.99999999999977</v>
      </c>
      <c r="D56" s="642">
        <f t="shared" si="6"/>
        <v>526.99999999999977</v>
      </c>
      <c r="E56" s="639">
        <f t="shared" si="5"/>
        <v>853.00000000000091</v>
      </c>
      <c r="F56" s="639">
        <f t="shared" si="0"/>
        <v>962.60000000000093</v>
      </c>
    </row>
    <row r="57" spans="2:6" s="627" customFormat="1" ht="18" customHeight="1">
      <c r="B57" s="637">
        <v>49</v>
      </c>
      <c r="C57" s="642">
        <f t="shared" si="6"/>
        <v>536.39999999999975</v>
      </c>
      <c r="D57" s="642">
        <f t="shared" si="6"/>
        <v>536.39999999999975</v>
      </c>
      <c r="E57" s="639">
        <f t="shared" si="5"/>
        <v>868.20000000000095</v>
      </c>
      <c r="F57" s="639">
        <f t="shared" si="0"/>
        <v>977.80000000000098</v>
      </c>
    </row>
    <row r="58" spans="2:6" s="627" customFormat="1" ht="18" customHeight="1">
      <c r="B58" s="637">
        <v>50</v>
      </c>
      <c r="C58" s="642">
        <f t="shared" si="6"/>
        <v>545.79999999999973</v>
      </c>
      <c r="D58" s="642">
        <f t="shared" si="6"/>
        <v>545.79999999999973</v>
      </c>
      <c r="E58" s="639">
        <f t="shared" si="5"/>
        <v>883.400000000001</v>
      </c>
      <c r="F58" s="639">
        <f t="shared" si="0"/>
        <v>993.00000000000102</v>
      </c>
    </row>
    <row r="59" spans="2:6" s="627" customFormat="1" ht="18" customHeight="1">
      <c r="B59" s="637">
        <v>51</v>
      </c>
      <c r="C59" s="642">
        <f t="shared" si="6"/>
        <v>555.1999999999997</v>
      </c>
      <c r="D59" s="642">
        <f t="shared" si="6"/>
        <v>555.1999999999997</v>
      </c>
      <c r="E59" s="639">
        <f t="shared" si="5"/>
        <v>898.60000000000105</v>
      </c>
      <c r="F59" s="639">
        <f t="shared" si="0"/>
        <v>1008.2000000000011</v>
      </c>
    </row>
    <row r="60" spans="2:6" s="627" customFormat="1" ht="18" customHeight="1">
      <c r="B60" s="637">
        <v>52</v>
      </c>
      <c r="C60" s="642">
        <f t="shared" si="6"/>
        <v>564.59999999999968</v>
      </c>
      <c r="D60" s="642">
        <f t="shared" si="6"/>
        <v>564.59999999999968</v>
      </c>
      <c r="E60" s="639">
        <f t="shared" si="5"/>
        <v>913.80000000000109</v>
      </c>
      <c r="F60" s="639">
        <f t="shared" si="0"/>
        <v>1023.4000000000011</v>
      </c>
    </row>
    <row r="61" spans="2:6" s="627" customFormat="1" ht="18" customHeight="1">
      <c r="B61" s="637">
        <v>53</v>
      </c>
      <c r="C61" s="642">
        <f t="shared" si="6"/>
        <v>573.99999999999966</v>
      </c>
      <c r="D61" s="642">
        <f t="shared" si="6"/>
        <v>573.99999999999966</v>
      </c>
      <c r="E61" s="639">
        <f t="shared" si="5"/>
        <v>929.00000000000114</v>
      </c>
      <c r="F61" s="639">
        <f t="shared" si="0"/>
        <v>1038.600000000001</v>
      </c>
    </row>
    <row r="62" spans="2:6" s="627" customFormat="1" ht="18" customHeight="1">
      <c r="B62" s="637">
        <v>54</v>
      </c>
      <c r="C62" s="642">
        <f t="shared" si="6"/>
        <v>583.39999999999964</v>
      </c>
      <c r="D62" s="642">
        <f t="shared" si="6"/>
        <v>583.39999999999964</v>
      </c>
      <c r="E62" s="639">
        <f t="shared" si="5"/>
        <v>944.20000000000118</v>
      </c>
      <c r="F62" s="639">
        <f t="shared" si="0"/>
        <v>1053.8000000000011</v>
      </c>
    </row>
    <row r="63" spans="2:6" s="627" customFormat="1" ht="18" customHeight="1">
      <c r="B63" s="637">
        <v>55</v>
      </c>
      <c r="C63" s="642">
        <f t="shared" si="6"/>
        <v>592.79999999999961</v>
      </c>
      <c r="D63" s="642">
        <f t="shared" si="6"/>
        <v>592.79999999999961</v>
      </c>
      <c r="E63" s="639">
        <f t="shared" si="5"/>
        <v>959.40000000000123</v>
      </c>
      <c r="F63" s="639">
        <f t="shared" si="0"/>
        <v>1069.0000000000011</v>
      </c>
    </row>
    <row r="64" spans="2:6" s="627" customFormat="1" ht="18" customHeight="1">
      <c r="B64" s="637">
        <v>56</v>
      </c>
      <c r="C64" s="642">
        <f t="shared" si="6"/>
        <v>602.19999999999959</v>
      </c>
      <c r="D64" s="642">
        <f t="shared" si="6"/>
        <v>602.19999999999959</v>
      </c>
      <c r="E64" s="639">
        <f t="shared" si="5"/>
        <v>974.60000000000127</v>
      </c>
      <c r="F64" s="639">
        <f t="shared" si="0"/>
        <v>1084.2000000000012</v>
      </c>
    </row>
    <row r="65" spans="2:6" s="627" customFormat="1" ht="18" customHeight="1">
      <c r="B65" s="637">
        <v>57</v>
      </c>
      <c r="C65" s="642">
        <f t="shared" si="6"/>
        <v>611.59999999999957</v>
      </c>
      <c r="D65" s="642">
        <f t="shared" si="6"/>
        <v>611.59999999999957</v>
      </c>
      <c r="E65" s="639">
        <f t="shared" si="5"/>
        <v>989.80000000000132</v>
      </c>
      <c r="F65" s="639">
        <f t="shared" si="0"/>
        <v>1099.4000000000012</v>
      </c>
    </row>
    <row r="66" spans="2:6" s="627" customFormat="1" ht="18" customHeight="1">
      <c r="B66" s="637">
        <v>58</v>
      </c>
      <c r="C66" s="642">
        <f t="shared" si="6"/>
        <v>620.99999999999955</v>
      </c>
      <c r="D66" s="642">
        <f t="shared" si="6"/>
        <v>620.99999999999955</v>
      </c>
      <c r="E66" s="639">
        <f t="shared" si="5"/>
        <v>1005.0000000000014</v>
      </c>
      <c r="F66" s="639">
        <f t="shared" si="0"/>
        <v>1114.6000000000013</v>
      </c>
    </row>
    <row r="67" spans="2:6" s="627" customFormat="1" ht="18" customHeight="1">
      <c r="B67" s="637">
        <v>59</v>
      </c>
      <c r="C67" s="642">
        <f t="shared" si="6"/>
        <v>630.39999999999952</v>
      </c>
      <c r="D67" s="642">
        <f t="shared" si="6"/>
        <v>630.39999999999952</v>
      </c>
      <c r="E67" s="639">
        <f t="shared" si="5"/>
        <v>1020.2000000000014</v>
      </c>
      <c r="F67" s="639">
        <f t="shared" si="0"/>
        <v>1129.8000000000013</v>
      </c>
    </row>
    <row r="68" spans="2:6" s="627" customFormat="1" ht="18" customHeight="1">
      <c r="B68" s="637">
        <v>60</v>
      </c>
      <c r="C68" s="642">
        <f t="shared" si="6"/>
        <v>639.7999999999995</v>
      </c>
      <c r="D68" s="642">
        <f t="shared" si="6"/>
        <v>639.7999999999995</v>
      </c>
      <c r="E68" s="639">
        <f t="shared" si="5"/>
        <v>1035.4000000000015</v>
      </c>
      <c r="F68" s="639">
        <f t="shared" si="0"/>
        <v>1145.0000000000014</v>
      </c>
    </row>
    <row r="69" spans="2:6" s="627" customFormat="1" ht="18" customHeight="1">
      <c r="B69" s="637">
        <v>61</v>
      </c>
      <c r="C69" s="642">
        <f t="shared" si="6"/>
        <v>649.19999999999948</v>
      </c>
      <c r="D69" s="642">
        <f t="shared" si="6"/>
        <v>649.19999999999948</v>
      </c>
      <c r="E69" s="639">
        <f t="shared" si="5"/>
        <v>1050.6000000000015</v>
      </c>
      <c r="F69" s="639">
        <f t="shared" si="0"/>
        <v>1160.2000000000014</v>
      </c>
    </row>
    <row r="70" spans="2:6" s="627" customFormat="1" ht="18" customHeight="1">
      <c r="B70" s="637">
        <v>62</v>
      </c>
      <c r="C70" s="642">
        <f t="shared" si="6"/>
        <v>658.59999999999945</v>
      </c>
      <c r="D70" s="642">
        <f t="shared" si="6"/>
        <v>658.59999999999945</v>
      </c>
      <c r="E70" s="639">
        <f t="shared" si="5"/>
        <v>1065.8000000000015</v>
      </c>
      <c r="F70" s="639">
        <f t="shared" si="0"/>
        <v>1175.4000000000015</v>
      </c>
    </row>
    <row r="71" spans="2:6" s="627" customFormat="1" ht="18" customHeight="1">
      <c r="B71" s="637">
        <v>63</v>
      </c>
      <c r="C71" s="642">
        <f t="shared" ref="C71:D86" si="7">$D$8+C70</f>
        <v>667.99999999999943</v>
      </c>
      <c r="D71" s="642">
        <f t="shared" si="7"/>
        <v>667.99999999999943</v>
      </c>
      <c r="E71" s="639">
        <f t="shared" si="5"/>
        <v>1081.0000000000016</v>
      </c>
      <c r="F71" s="639">
        <f t="shared" si="0"/>
        <v>1190.6000000000015</v>
      </c>
    </row>
    <row r="72" spans="2:6" s="627" customFormat="1" ht="18" customHeight="1">
      <c r="B72" s="637">
        <v>64</v>
      </c>
      <c r="C72" s="642">
        <f t="shared" si="7"/>
        <v>677.39999999999941</v>
      </c>
      <c r="D72" s="642">
        <f t="shared" si="7"/>
        <v>677.39999999999941</v>
      </c>
      <c r="E72" s="639">
        <f t="shared" si="5"/>
        <v>1096.2000000000016</v>
      </c>
      <c r="F72" s="639">
        <f t="shared" si="0"/>
        <v>1205.8000000000015</v>
      </c>
    </row>
    <row r="73" spans="2:6" s="627" customFormat="1" ht="18" customHeight="1">
      <c r="B73" s="637">
        <v>65</v>
      </c>
      <c r="C73" s="642">
        <f t="shared" si="7"/>
        <v>686.79999999999939</v>
      </c>
      <c r="D73" s="642">
        <f t="shared" si="7"/>
        <v>686.79999999999939</v>
      </c>
      <c r="E73" s="639">
        <f t="shared" si="5"/>
        <v>1111.4000000000017</v>
      </c>
      <c r="F73" s="639">
        <f t="shared" ref="F73:F104" si="8">E73+$F$6</f>
        <v>1221.0000000000016</v>
      </c>
    </row>
    <row r="74" spans="2:6" s="627" customFormat="1" ht="18" customHeight="1">
      <c r="B74" s="637">
        <v>66</v>
      </c>
      <c r="C74" s="642">
        <f t="shared" si="7"/>
        <v>696.19999999999936</v>
      </c>
      <c r="D74" s="642">
        <f t="shared" si="7"/>
        <v>696.19999999999936</v>
      </c>
      <c r="E74" s="639">
        <f t="shared" si="5"/>
        <v>1126.6000000000017</v>
      </c>
      <c r="F74" s="639">
        <f t="shared" si="8"/>
        <v>1236.2000000000016</v>
      </c>
    </row>
    <row r="75" spans="2:6" s="627" customFormat="1" ht="18" customHeight="1">
      <c r="B75" s="637">
        <v>67</v>
      </c>
      <c r="C75" s="642">
        <f t="shared" si="7"/>
        <v>705.59999999999934</v>
      </c>
      <c r="D75" s="642">
        <f t="shared" si="7"/>
        <v>705.59999999999934</v>
      </c>
      <c r="E75" s="639">
        <f t="shared" si="5"/>
        <v>1141.8000000000018</v>
      </c>
      <c r="F75" s="639">
        <f t="shared" si="8"/>
        <v>1251.4000000000017</v>
      </c>
    </row>
    <row r="76" spans="2:6" s="627" customFormat="1" ht="18" customHeight="1">
      <c r="B76" s="637">
        <v>68</v>
      </c>
      <c r="C76" s="642">
        <f t="shared" si="7"/>
        <v>714.99999999999932</v>
      </c>
      <c r="D76" s="642">
        <f t="shared" si="7"/>
        <v>714.99999999999932</v>
      </c>
      <c r="E76" s="639">
        <f t="shared" si="5"/>
        <v>1157.0000000000018</v>
      </c>
      <c r="F76" s="639">
        <f t="shared" si="8"/>
        <v>1266.6000000000017</v>
      </c>
    </row>
    <row r="77" spans="2:6" s="627" customFormat="1" ht="18" customHeight="1">
      <c r="B77" s="637">
        <v>69</v>
      </c>
      <c r="C77" s="642">
        <f t="shared" si="7"/>
        <v>724.3999999999993</v>
      </c>
      <c r="D77" s="642">
        <f t="shared" si="7"/>
        <v>724.3999999999993</v>
      </c>
      <c r="E77" s="639">
        <f t="shared" si="5"/>
        <v>1172.2000000000019</v>
      </c>
      <c r="F77" s="639">
        <f t="shared" si="8"/>
        <v>1281.8000000000018</v>
      </c>
    </row>
    <row r="78" spans="2:6" s="627" customFormat="1" ht="18" customHeight="1">
      <c r="B78" s="637">
        <v>70</v>
      </c>
      <c r="C78" s="642">
        <f t="shared" si="7"/>
        <v>733.79999999999927</v>
      </c>
      <c r="D78" s="642">
        <f t="shared" si="7"/>
        <v>733.79999999999927</v>
      </c>
      <c r="E78" s="639">
        <f t="shared" si="5"/>
        <v>1187.4000000000019</v>
      </c>
      <c r="F78" s="639">
        <f t="shared" si="8"/>
        <v>1297.0000000000018</v>
      </c>
    </row>
    <row r="79" spans="2:6" s="627" customFormat="1" ht="18" customHeight="1">
      <c r="B79" s="637">
        <v>71</v>
      </c>
      <c r="C79" s="642">
        <f t="shared" si="7"/>
        <v>743.19999999999925</v>
      </c>
      <c r="D79" s="642">
        <f t="shared" si="7"/>
        <v>743.19999999999925</v>
      </c>
      <c r="E79" s="639">
        <f t="shared" si="5"/>
        <v>1202.600000000002</v>
      </c>
      <c r="F79" s="639">
        <f t="shared" si="8"/>
        <v>1312.2000000000019</v>
      </c>
    </row>
    <row r="80" spans="2:6" s="627" customFormat="1" ht="18" customHeight="1">
      <c r="B80" s="637">
        <v>72</v>
      </c>
      <c r="C80" s="642">
        <f t="shared" si="7"/>
        <v>752.59999999999923</v>
      </c>
      <c r="D80" s="642">
        <f t="shared" si="7"/>
        <v>752.59999999999923</v>
      </c>
      <c r="E80" s="639">
        <f t="shared" si="5"/>
        <v>1217.800000000002</v>
      </c>
      <c r="F80" s="639">
        <f t="shared" si="8"/>
        <v>1327.4000000000019</v>
      </c>
    </row>
    <row r="81" spans="2:6" s="627" customFormat="1" ht="18" customHeight="1">
      <c r="B81" s="637">
        <v>73</v>
      </c>
      <c r="C81" s="642">
        <f t="shared" si="7"/>
        <v>761.9999999999992</v>
      </c>
      <c r="D81" s="642">
        <f t="shared" si="7"/>
        <v>761.9999999999992</v>
      </c>
      <c r="E81" s="639">
        <f t="shared" si="5"/>
        <v>1233.000000000002</v>
      </c>
      <c r="F81" s="639">
        <f t="shared" si="8"/>
        <v>1342.600000000002</v>
      </c>
    </row>
    <row r="82" spans="2:6" s="627" customFormat="1" ht="18" customHeight="1">
      <c r="B82" s="637">
        <v>74</v>
      </c>
      <c r="C82" s="642">
        <f t="shared" si="7"/>
        <v>771.39999999999918</v>
      </c>
      <c r="D82" s="642">
        <f t="shared" si="7"/>
        <v>771.39999999999918</v>
      </c>
      <c r="E82" s="639">
        <f t="shared" si="5"/>
        <v>1248.2000000000021</v>
      </c>
      <c r="F82" s="639">
        <f t="shared" si="8"/>
        <v>1357.800000000002</v>
      </c>
    </row>
    <row r="83" spans="2:6" s="627" customFormat="1" ht="18" customHeight="1">
      <c r="B83" s="637">
        <v>75</v>
      </c>
      <c r="C83" s="642">
        <f t="shared" si="7"/>
        <v>780.79999999999916</v>
      </c>
      <c r="D83" s="642">
        <f t="shared" si="7"/>
        <v>780.79999999999916</v>
      </c>
      <c r="E83" s="639">
        <f t="shared" si="5"/>
        <v>1263.4000000000021</v>
      </c>
      <c r="F83" s="639">
        <f t="shared" si="8"/>
        <v>1373.000000000002</v>
      </c>
    </row>
    <row r="84" spans="2:6" s="627" customFormat="1" ht="18" customHeight="1">
      <c r="B84" s="637">
        <v>76</v>
      </c>
      <c r="C84" s="642">
        <f t="shared" si="7"/>
        <v>790.19999999999914</v>
      </c>
      <c r="D84" s="642">
        <f t="shared" si="7"/>
        <v>790.19999999999914</v>
      </c>
      <c r="E84" s="639">
        <f t="shared" si="5"/>
        <v>1278.6000000000022</v>
      </c>
      <c r="F84" s="639">
        <f t="shared" si="8"/>
        <v>1388.2000000000021</v>
      </c>
    </row>
    <row r="85" spans="2:6" s="627" customFormat="1" ht="18" customHeight="1">
      <c r="B85" s="637">
        <v>77</v>
      </c>
      <c r="C85" s="642">
        <f t="shared" si="7"/>
        <v>799.59999999999911</v>
      </c>
      <c r="D85" s="642">
        <f t="shared" si="7"/>
        <v>799.59999999999911</v>
      </c>
      <c r="E85" s="639">
        <f t="shared" si="5"/>
        <v>1293.8000000000022</v>
      </c>
      <c r="F85" s="639">
        <f t="shared" si="8"/>
        <v>1403.4000000000021</v>
      </c>
    </row>
    <row r="86" spans="2:6" s="627" customFormat="1" ht="18" customHeight="1">
      <c r="B86" s="637">
        <v>78</v>
      </c>
      <c r="C86" s="642">
        <f t="shared" si="7"/>
        <v>808.99999999999909</v>
      </c>
      <c r="D86" s="642">
        <f t="shared" si="7"/>
        <v>808.99999999999909</v>
      </c>
      <c r="E86" s="639">
        <f t="shared" si="5"/>
        <v>1309.0000000000023</v>
      </c>
      <c r="F86" s="639">
        <f t="shared" si="8"/>
        <v>1418.6000000000022</v>
      </c>
    </row>
    <row r="87" spans="2:6" s="627" customFormat="1" ht="18" customHeight="1">
      <c r="B87" s="637">
        <v>79</v>
      </c>
      <c r="C87" s="642">
        <f t="shared" ref="C87:D102" si="9">$D$8+C86</f>
        <v>818.39999999999907</v>
      </c>
      <c r="D87" s="642">
        <f t="shared" si="9"/>
        <v>818.39999999999907</v>
      </c>
      <c r="E87" s="639">
        <f t="shared" si="5"/>
        <v>1324.2000000000023</v>
      </c>
      <c r="F87" s="639">
        <f t="shared" si="8"/>
        <v>1433.8000000000022</v>
      </c>
    </row>
    <row r="88" spans="2:6" s="627" customFormat="1" ht="18" customHeight="1">
      <c r="B88" s="637">
        <v>80</v>
      </c>
      <c r="C88" s="642">
        <f t="shared" si="9"/>
        <v>827.79999999999905</v>
      </c>
      <c r="D88" s="642">
        <f t="shared" si="9"/>
        <v>827.79999999999905</v>
      </c>
      <c r="E88" s="639">
        <f t="shared" si="5"/>
        <v>1339.4000000000024</v>
      </c>
      <c r="F88" s="639">
        <f t="shared" si="8"/>
        <v>1449.0000000000023</v>
      </c>
    </row>
    <row r="89" spans="2:6" s="627" customFormat="1" ht="18" customHeight="1">
      <c r="B89" s="637">
        <v>81</v>
      </c>
      <c r="C89" s="642">
        <f t="shared" si="9"/>
        <v>837.19999999999902</v>
      </c>
      <c r="D89" s="642">
        <f t="shared" si="9"/>
        <v>837.19999999999902</v>
      </c>
      <c r="E89" s="639">
        <f t="shared" si="5"/>
        <v>1354.6000000000024</v>
      </c>
      <c r="F89" s="639">
        <f t="shared" si="8"/>
        <v>1464.2000000000023</v>
      </c>
    </row>
    <row r="90" spans="2:6" s="627" customFormat="1" ht="18" customHeight="1">
      <c r="B90" s="637">
        <v>82</v>
      </c>
      <c r="C90" s="642">
        <f t="shared" si="9"/>
        <v>846.599999999999</v>
      </c>
      <c r="D90" s="642">
        <f t="shared" si="9"/>
        <v>846.599999999999</v>
      </c>
      <c r="E90" s="639">
        <f t="shared" si="5"/>
        <v>1369.8000000000025</v>
      </c>
      <c r="F90" s="639">
        <f t="shared" si="8"/>
        <v>1479.4000000000024</v>
      </c>
    </row>
    <row r="91" spans="2:6" s="627" customFormat="1" ht="18" customHeight="1">
      <c r="B91" s="637">
        <v>83</v>
      </c>
      <c r="C91" s="642">
        <f t="shared" si="9"/>
        <v>855.99999999999898</v>
      </c>
      <c r="D91" s="642">
        <f t="shared" si="9"/>
        <v>855.99999999999898</v>
      </c>
      <c r="E91" s="639">
        <f t="shared" si="5"/>
        <v>1385.0000000000025</v>
      </c>
      <c r="F91" s="639">
        <f t="shared" si="8"/>
        <v>1494.6000000000024</v>
      </c>
    </row>
    <row r="92" spans="2:6" s="627" customFormat="1" ht="18" customHeight="1">
      <c r="B92" s="637">
        <v>84</v>
      </c>
      <c r="C92" s="642">
        <f t="shared" si="9"/>
        <v>865.39999999999895</v>
      </c>
      <c r="D92" s="642">
        <f t="shared" si="9"/>
        <v>865.39999999999895</v>
      </c>
      <c r="E92" s="639">
        <f t="shared" si="5"/>
        <v>1400.2000000000025</v>
      </c>
      <c r="F92" s="639">
        <f t="shared" si="8"/>
        <v>1509.8000000000025</v>
      </c>
    </row>
    <row r="93" spans="2:6" s="627" customFormat="1" ht="18" customHeight="1">
      <c r="B93" s="637">
        <v>85</v>
      </c>
      <c r="C93" s="642">
        <f t="shared" si="9"/>
        <v>874.79999999999893</v>
      </c>
      <c r="D93" s="642">
        <f t="shared" si="9"/>
        <v>874.79999999999893</v>
      </c>
      <c r="E93" s="639">
        <f t="shared" si="5"/>
        <v>1415.4000000000026</v>
      </c>
      <c r="F93" s="639">
        <f t="shared" si="8"/>
        <v>1525.0000000000025</v>
      </c>
    </row>
    <row r="94" spans="2:6" s="627" customFormat="1" ht="18" customHeight="1">
      <c r="B94" s="637">
        <v>86</v>
      </c>
      <c r="C94" s="642">
        <f t="shared" si="9"/>
        <v>884.19999999999891</v>
      </c>
      <c r="D94" s="642">
        <f t="shared" si="9"/>
        <v>884.19999999999891</v>
      </c>
      <c r="E94" s="639">
        <f t="shared" si="5"/>
        <v>1430.6000000000026</v>
      </c>
      <c r="F94" s="639">
        <f t="shared" si="8"/>
        <v>1540.2000000000025</v>
      </c>
    </row>
    <row r="95" spans="2:6" s="627" customFormat="1" ht="18" customHeight="1">
      <c r="B95" s="637">
        <v>87</v>
      </c>
      <c r="C95" s="642">
        <f t="shared" si="9"/>
        <v>893.59999999999889</v>
      </c>
      <c r="D95" s="642">
        <f t="shared" si="9"/>
        <v>893.59999999999889</v>
      </c>
      <c r="E95" s="639">
        <f t="shared" si="5"/>
        <v>1445.8000000000027</v>
      </c>
      <c r="F95" s="639">
        <f t="shared" si="8"/>
        <v>1555.4000000000026</v>
      </c>
    </row>
    <row r="96" spans="2:6" s="627" customFormat="1" ht="18" customHeight="1">
      <c r="B96" s="637">
        <v>88</v>
      </c>
      <c r="C96" s="642">
        <f t="shared" si="9"/>
        <v>902.99999999999886</v>
      </c>
      <c r="D96" s="642">
        <f t="shared" si="9"/>
        <v>902.99999999999886</v>
      </c>
      <c r="E96" s="639">
        <f t="shared" si="5"/>
        <v>1461.0000000000027</v>
      </c>
      <c r="F96" s="639">
        <f t="shared" si="8"/>
        <v>1570.6000000000026</v>
      </c>
    </row>
    <row r="97" spans="2:6" s="627" customFormat="1" ht="18" customHeight="1">
      <c r="B97" s="637">
        <v>89</v>
      </c>
      <c r="C97" s="642">
        <f t="shared" si="9"/>
        <v>912.39999999999884</v>
      </c>
      <c r="D97" s="642">
        <f t="shared" si="9"/>
        <v>912.39999999999884</v>
      </c>
      <c r="E97" s="639">
        <f t="shared" si="5"/>
        <v>1476.2000000000028</v>
      </c>
      <c r="F97" s="639">
        <f t="shared" si="8"/>
        <v>1585.8000000000027</v>
      </c>
    </row>
    <row r="98" spans="2:6" s="627" customFormat="1" ht="18" customHeight="1">
      <c r="B98" s="637">
        <v>90</v>
      </c>
      <c r="C98" s="642">
        <f t="shared" si="9"/>
        <v>921.79999999999882</v>
      </c>
      <c r="D98" s="642">
        <f t="shared" si="9"/>
        <v>921.79999999999882</v>
      </c>
      <c r="E98" s="639">
        <f t="shared" si="5"/>
        <v>1491.4000000000028</v>
      </c>
      <c r="F98" s="639">
        <f t="shared" si="8"/>
        <v>1601.0000000000027</v>
      </c>
    </row>
    <row r="99" spans="2:6" s="627" customFormat="1" ht="18" customHeight="1">
      <c r="B99" s="637">
        <v>91</v>
      </c>
      <c r="C99" s="642">
        <f t="shared" si="9"/>
        <v>931.19999999999879</v>
      </c>
      <c r="D99" s="642">
        <f t="shared" si="9"/>
        <v>931.19999999999879</v>
      </c>
      <c r="E99" s="639">
        <f t="shared" si="5"/>
        <v>1506.6000000000029</v>
      </c>
      <c r="F99" s="639">
        <f t="shared" si="8"/>
        <v>1616.2000000000028</v>
      </c>
    </row>
    <row r="100" spans="2:6" s="627" customFormat="1" ht="18" customHeight="1">
      <c r="B100" s="637">
        <v>92</v>
      </c>
      <c r="C100" s="642">
        <f t="shared" si="9"/>
        <v>940.59999999999877</v>
      </c>
      <c r="D100" s="642">
        <f t="shared" si="9"/>
        <v>940.59999999999877</v>
      </c>
      <c r="E100" s="639">
        <f t="shared" si="5"/>
        <v>1521.8000000000029</v>
      </c>
      <c r="F100" s="639">
        <f t="shared" si="8"/>
        <v>1631.4000000000028</v>
      </c>
    </row>
    <row r="101" spans="2:6" s="627" customFormat="1" ht="18" customHeight="1">
      <c r="B101" s="637">
        <v>93</v>
      </c>
      <c r="C101" s="642">
        <f t="shared" si="9"/>
        <v>949.99999999999875</v>
      </c>
      <c r="D101" s="642">
        <f t="shared" si="9"/>
        <v>949.99999999999875</v>
      </c>
      <c r="E101" s="639">
        <f t="shared" si="5"/>
        <v>1537.000000000003</v>
      </c>
      <c r="F101" s="639">
        <f t="shared" si="8"/>
        <v>1646.6000000000029</v>
      </c>
    </row>
    <row r="102" spans="2:6" s="627" customFormat="1" ht="18" customHeight="1">
      <c r="B102" s="637">
        <v>94</v>
      </c>
      <c r="C102" s="642">
        <f t="shared" si="9"/>
        <v>959.39999999999873</v>
      </c>
      <c r="D102" s="642">
        <f t="shared" si="9"/>
        <v>959.39999999999873</v>
      </c>
      <c r="E102" s="639">
        <f t="shared" si="5"/>
        <v>1552.200000000003</v>
      </c>
      <c r="F102" s="639">
        <f t="shared" si="8"/>
        <v>1661.8000000000029</v>
      </c>
    </row>
    <row r="103" spans="2:6" s="627" customFormat="1" ht="18" customHeight="1">
      <c r="B103" s="637">
        <v>95</v>
      </c>
      <c r="C103" s="642">
        <f t="shared" ref="C103:D118" si="10">$D$8+C102</f>
        <v>968.7999999999987</v>
      </c>
      <c r="D103" s="642">
        <f t="shared" si="10"/>
        <v>968.7999999999987</v>
      </c>
      <c r="E103" s="639">
        <f t="shared" ref="E103:E133" si="11">E102+$F$8</f>
        <v>1567.400000000003</v>
      </c>
      <c r="F103" s="639">
        <f t="shared" si="8"/>
        <v>1677.000000000003</v>
      </c>
    </row>
    <row r="104" spans="2:6" s="627" customFormat="1" ht="18" customHeight="1">
      <c r="B104" s="637">
        <v>96</v>
      </c>
      <c r="C104" s="642">
        <f t="shared" si="10"/>
        <v>978.19999999999868</v>
      </c>
      <c r="D104" s="642">
        <f t="shared" si="10"/>
        <v>978.19999999999868</v>
      </c>
      <c r="E104" s="639">
        <f t="shared" si="11"/>
        <v>1582.6000000000031</v>
      </c>
      <c r="F104" s="639">
        <f t="shared" si="8"/>
        <v>1692.200000000003</v>
      </c>
    </row>
    <row r="105" spans="2:6" s="627" customFormat="1" ht="18" customHeight="1">
      <c r="B105" s="637">
        <v>97</v>
      </c>
      <c r="C105" s="642">
        <f t="shared" si="10"/>
        <v>987.59999999999866</v>
      </c>
      <c r="D105" s="642">
        <f t="shared" si="10"/>
        <v>987.59999999999866</v>
      </c>
      <c r="E105" s="639">
        <f t="shared" si="11"/>
        <v>1597.8000000000031</v>
      </c>
      <c r="F105" s="639">
        <f>E105+$F$6</f>
        <v>1707.400000000003</v>
      </c>
    </row>
    <row r="106" spans="2:6" s="627" customFormat="1" ht="18" customHeight="1">
      <c r="B106" s="637">
        <v>98</v>
      </c>
      <c r="C106" s="642">
        <f t="shared" si="10"/>
        <v>996.99999999999864</v>
      </c>
      <c r="D106" s="642">
        <f t="shared" si="10"/>
        <v>996.99999999999864</v>
      </c>
      <c r="E106" s="639">
        <f t="shared" si="11"/>
        <v>1613.0000000000032</v>
      </c>
      <c r="F106" s="639">
        <f>E106+$F$6</f>
        <v>1722.6000000000031</v>
      </c>
    </row>
    <row r="107" spans="2:6" s="627" customFormat="1" ht="18" customHeight="1">
      <c r="B107" s="637">
        <v>99</v>
      </c>
      <c r="C107" s="642">
        <f t="shared" si="10"/>
        <v>1006.3999999999986</v>
      </c>
      <c r="D107" s="642">
        <f t="shared" si="10"/>
        <v>1006.3999999999986</v>
      </c>
      <c r="E107" s="639">
        <f t="shared" si="11"/>
        <v>1628.2000000000032</v>
      </c>
      <c r="F107" s="639">
        <f>E107+$F$6</f>
        <v>1737.8000000000031</v>
      </c>
    </row>
    <row r="108" spans="2:6" s="627" customFormat="1" ht="21" customHeight="1">
      <c r="B108" s="637">
        <v>100</v>
      </c>
      <c r="C108" s="642">
        <f t="shared" si="10"/>
        <v>1015.7999999999986</v>
      </c>
      <c r="D108" s="642">
        <f t="shared" si="10"/>
        <v>1015.7999999999986</v>
      </c>
      <c r="E108" s="639">
        <f t="shared" si="11"/>
        <v>1643.4000000000033</v>
      </c>
      <c r="F108" s="639">
        <f>E108+$F$6</f>
        <v>1753.0000000000032</v>
      </c>
    </row>
    <row r="109" spans="2:6" ht="21" customHeight="1">
      <c r="B109" s="637">
        <v>101</v>
      </c>
      <c r="C109" s="642">
        <f t="shared" si="10"/>
        <v>1025.1999999999987</v>
      </c>
      <c r="D109" s="642">
        <f t="shared" si="10"/>
        <v>1025.1999999999987</v>
      </c>
      <c r="E109" s="639">
        <f t="shared" si="11"/>
        <v>1658.6000000000033</v>
      </c>
      <c r="F109" s="639">
        <f t="shared" ref="F109:F133" si="12">E109+$F$6</f>
        <v>1768.2000000000032</v>
      </c>
    </row>
    <row r="110" spans="2:6" ht="21" customHeight="1">
      <c r="B110" s="637">
        <v>102</v>
      </c>
      <c r="C110" s="642">
        <f t="shared" si="10"/>
        <v>1034.5999999999988</v>
      </c>
      <c r="D110" s="642">
        <f t="shared" si="10"/>
        <v>1034.5999999999988</v>
      </c>
      <c r="E110" s="639">
        <f t="shared" si="11"/>
        <v>1673.8000000000034</v>
      </c>
      <c r="F110" s="639">
        <f t="shared" si="12"/>
        <v>1783.4000000000033</v>
      </c>
    </row>
    <row r="111" spans="2:6" ht="21" customHeight="1">
      <c r="B111" s="637">
        <v>103</v>
      </c>
      <c r="C111" s="642">
        <f t="shared" si="10"/>
        <v>1043.9999999999989</v>
      </c>
      <c r="D111" s="642">
        <f t="shared" si="10"/>
        <v>1043.9999999999989</v>
      </c>
      <c r="E111" s="639">
        <f t="shared" si="11"/>
        <v>1689.0000000000034</v>
      </c>
      <c r="F111" s="639">
        <f t="shared" si="12"/>
        <v>1798.6000000000033</v>
      </c>
    </row>
    <row r="112" spans="2:6" ht="21" customHeight="1">
      <c r="B112" s="637">
        <v>104</v>
      </c>
      <c r="C112" s="642">
        <f t="shared" si="10"/>
        <v>1053.399999999999</v>
      </c>
      <c r="D112" s="642">
        <f t="shared" si="10"/>
        <v>1053.399999999999</v>
      </c>
      <c r="E112" s="639">
        <f t="shared" si="11"/>
        <v>1704.2000000000035</v>
      </c>
      <c r="F112" s="639">
        <f t="shared" si="12"/>
        <v>1813.8000000000034</v>
      </c>
    </row>
    <row r="113" spans="2:6" ht="21" customHeight="1">
      <c r="B113" s="637">
        <v>105</v>
      </c>
      <c r="C113" s="642">
        <f t="shared" si="10"/>
        <v>1062.799999999999</v>
      </c>
      <c r="D113" s="642">
        <f t="shared" si="10"/>
        <v>1062.799999999999</v>
      </c>
      <c r="E113" s="639">
        <f t="shared" si="11"/>
        <v>1719.4000000000035</v>
      </c>
      <c r="F113" s="639">
        <f t="shared" si="12"/>
        <v>1829.0000000000034</v>
      </c>
    </row>
    <row r="114" spans="2:6" ht="21" customHeight="1">
      <c r="B114" s="637">
        <v>106</v>
      </c>
      <c r="C114" s="642">
        <f t="shared" si="10"/>
        <v>1072.1999999999991</v>
      </c>
      <c r="D114" s="642">
        <f t="shared" si="10"/>
        <v>1072.1999999999991</v>
      </c>
      <c r="E114" s="639">
        <f t="shared" si="11"/>
        <v>1734.6000000000035</v>
      </c>
      <c r="F114" s="639">
        <f t="shared" si="12"/>
        <v>1844.2000000000035</v>
      </c>
    </row>
    <row r="115" spans="2:6" ht="21" customHeight="1">
      <c r="B115" s="637">
        <v>107</v>
      </c>
      <c r="C115" s="642">
        <f t="shared" si="10"/>
        <v>1081.5999999999992</v>
      </c>
      <c r="D115" s="642">
        <f t="shared" si="10"/>
        <v>1081.5999999999992</v>
      </c>
      <c r="E115" s="639">
        <f t="shared" si="11"/>
        <v>1749.8000000000036</v>
      </c>
      <c r="F115" s="639">
        <f t="shared" si="12"/>
        <v>1859.4000000000035</v>
      </c>
    </row>
    <row r="116" spans="2:6" ht="21" customHeight="1">
      <c r="B116" s="637">
        <v>108</v>
      </c>
      <c r="C116" s="642">
        <f t="shared" si="10"/>
        <v>1090.9999999999993</v>
      </c>
      <c r="D116" s="642">
        <f t="shared" si="10"/>
        <v>1090.9999999999993</v>
      </c>
      <c r="E116" s="639">
        <f t="shared" si="11"/>
        <v>1765.0000000000036</v>
      </c>
      <c r="F116" s="639">
        <f t="shared" si="12"/>
        <v>1874.6000000000035</v>
      </c>
    </row>
    <row r="117" spans="2:6" ht="21" customHeight="1">
      <c r="B117" s="637">
        <v>109</v>
      </c>
      <c r="C117" s="642">
        <f t="shared" si="10"/>
        <v>1100.3999999999994</v>
      </c>
      <c r="D117" s="642">
        <f t="shared" si="10"/>
        <v>1100.3999999999994</v>
      </c>
      <c r="E117" s="639">
        <f t="shared" si="11"/>
        <v>1780.2000000000037</v>
      </c>
      <c r="F117" s="639">
        <f t="shared" si="12"/>
        <v>1889.8000000000036</v>
      </c>
    </row>
    <row r="118" spans="2:6" ht="21" customHeight="1">
      <c r="B118" s="637">
        <v>110</v>
      </c>
      <c r="C118" s="642">
        <f t="shared" si="10"/>
        <v>1109.7999999999995</v>
      </c>
      <c r="D118" s="642">
        <f t="shared" si="10"/>
        <v>1109.7999999999995</v>
      </c>
      <c r="E118" s="639">
        <f t="shared" si="11"/>
        <v>1795.4000000000037</v>
      </c>
      <c r="F118" s="639">
        <f t="shared" si="12"/>
        <v>1905.0000000000036</v>
      </c>
    </row>
    <row r="119" spans="2:6" ht="21" customHeight="1">
      <c r="B119" s="637">
        <v>111</v>
      </c>
      <c r="C119" s="642">
        <f t="shared" ref="C119:D133" si="13">$D$8+C118</f>
        <v>1119.1999999999996</v>
      </c>
      <c r="D119" s="642">
        <f t="shared" si="13"/>
        <v>1119.1999999999996</v>
      </c>
      <c r="E119" s="639">
        <f t="shared" si="11"/>
        <v>1810.6000000000038</v>
      </c>
      <c r="F119" s="639">
        <f t="shared" si="12"/>
        <v>1920.2000000000037</v>
      </c>
    </row>
    <row r="120" spans="2:6" ht="21" customHeight="1">
      <c r="B120" s="637">
        <v>112</v>
      </c>
      <c r="C120" s="642">
        <f t="shared" si="13"/>
        <v>1128.5999999999997</v>
      </c>
      <c r="D120" s="642">
        <f t="shared" si="13"/>
        <v>1128.5999999999997</v>
      </c>
      <c r="E120" s="639">
        <f t="shared" si="11"/>
        <v>1825.8000000000038</v>
      </c>
      <c r="F120" s="639">
        <f t="shared" si="12"/>
        <v>1935.4000000000037</v>
      </c>
    </row>
    <row r="121" spans="2:6" ht="21" customHeight="1">
      <c r="B121" s="637">
        <v>113</v>
      </c>
      <c r="C121" s="642">
        <f t="shared" si="13"/>
        <v>1137.9999999999998</v>
      </c>
      <c r="D121" s="642">
        <f t="shared" si="13"/>
        <v>1137.9999999999998</v>
      </c>
      <c r="E121" s="639">
        <f t="shared" si="11"/>
        <v>1841.0000000000039</v>
      </c>
      <c r="F121" s="639">
        <f t="shared" si="12"/>
        <v>1950.6000000000038</v>
      </c>
    </row>
    <row r="122" spans="2:6" ht="21" customHeight="1">
      <c r="B122" s="637">
        <v>114</v>
      </c>
      <c r="C122" s="642">
        <f t="shared" si="13"/>
        <v>1147.3999999999999</v>
      </c>
      <c r="D122" s="642">
        <f t="shared" si="13"/>
        <v>1147.3999999999999</v>
      </c>
      <c r="E122" s="639">
        <f t="shared" si="11"/>
        <v>1856.2000000000039</v>
      </c>
      <c r="F122" s="639">
        <f t="shared" si="12"/>
        <v>1965.8000000000038</v>
      </c>
    </row>
    <row r="123" spans="2:6" ht="21" customHeight="1">
      <c r="B123" s="637">
        <v>115</v>
      </c>
      <c r="C123" s="642">
        <f t="shared" si="13"/>
        <v>1156.8</v>
      </c>
      <c r="D123" s="642">
        <f t="shared" si="13"/>
        <v>1156.8</v>
      </c>
      <c r="E123" s="639">
        <f t="shared" si="11"/>
        <v>1871.400000000004</v>
      </c>
      <c r="F123" s="639">
        <f t="shared" si="12"/>
        <v>1981.0000000000039</v>
      </c>
    </row>
    <row r="124" spans="2:6" ht="21" customHeight="1">
      <c r="B124" s="637">
        <v>116</v>
      </c>
      <c r="C124" s="642">
        <f t="shared" si="13"/>
        <v>1166.2</v>
      </c>
      <c r="D124" s="642">
        <f t="shared" si="13"/>
        <v>1166.2</v>
      </c>
      <c r="E124" s="639">
        <f t="shared" si="11"/>
        <v>1886.600000000004</v>
      </c>
      <c r="F124" s="639">
        <f t="shared" si="12"/>
        <v>1996.2000000000039</v>
      </c>
    </row>
    <row r="125" spans="2:6" ht="21" customHeight="1">
      <c r="B125" s="637">
        <v>117</v>
      </c>
      <c r="C125" s="642">
        <f t="shared" si="13"/>
        <v>1175.6000000000001</v>
      </c>
      <c r="D125" s="642">
        <f t="shared" si="13"/>
        <v>1175.6000000000001</v>
      </c>
      <c r="E125" s="639">
        <f t="shared" si="11"/>
        <v>1901.800000000004</v>
      </c>
      <c r="F125" s="639">
        <f t="shared" si="12"/>
        <v>2011.400000000004</v>
      </c>
    </row>
    <row r="126" spans="2:6" ht="21" customHeight="1">
      <c r="B126" s="637">
        <v>118</v>
      </c>
      <c r="C126" s="642">
        <f t="shared" si="13"/>
        <v>1185.0000000000002</v>
      </c>
      <c r="D126" s="642">
        <f t="shared" si="13"/>
        <v>1185.0000000000002</v>
      </c>
      <c r="E126" s="639">
        <f t="shared" si="11"/>
        <v>1917.0000000000041</v>
      </c>
      <c r="F126" s="639">
        <f t="shared" si="12"/>
        <v>2026.600000000004</v>
      </c>
    </row>
    <row r="127" spans="2:6" ht="21" customHeight="1">
      <c r="B127" s="637">
        <v>119</v>
      </c>
      <c r="C127" s="642">
        <f t="shared" si="13"/>
        <v>1194.4000000000003</v>
      </c>
      <c r="D127" s="642">
        <f t="shared" si="13"/>
        <v>1194.4000000000003</v>
      </c>
      <c r="E127" s="639">
        <f t="shared" si="11"/>
        <v>1932.2000000000041</v>
      </c>
      <c r="F127" s="639">
        <f t="shared" si="12"/>
        <v>2041.800000000004</v>
      </c>
    </row>
    <row r="128" spans="2:6" ht="21" customHeight="1">
      <c r="B128" s="637">
        <v>120</v>
      </c>
      <c r="C128" s="642">
        <f t="shared" si="13"/>
        <v>1203.8000000000004</v>
      </c>
      <c r="D128" s="642">
        <f t="shared" si="13"/>
        <v>1203.8000000000004</v>
      </c>
      <c r="E128" s="639">
        <f t="shared" si="11"/>
        <v>1947.4000000000042</v>
      </c>
      <c r="F128" s="639">
        <f t="shared" si="12"/>
        <v>2057.0000000000041</v>
      </c>
    </row>
    <row r="129" spans="2:6" ht="21" customHeight="1">
      <c r="B129" s="637">
        <v>121</v>
      </c>
      <c r="C129" s="642">
        <f t="shared" si="13"/>
        <v>1213.2000000000005</v>
      </c>
      <c r="D129" s="642">
        <f t="shared" si="13"/>
        <v>1213.2000000000005</v>
      </c>
      <c r="E129" s="639">
        <f t="shared" si="11"/>
        <v>1962.6000000000042</v>
      </c>
      <c r="F129" s="639">
        <f t="shared" si="12"/>
        <v>2072.2000000000044</v>
      </c>
    </row>
    <row r="130" spans="2:6" ht="21" customHeight="1">
      <c r="B130" s="637">
        <v>122</v>
      </c>
      <c r="C130" s="642">
        <f t="shared" si="13"/>
        <v>1222.6000000000006</v>
      </c>
      <c r="D130" s="642">
        <f t="shared" si="13"/>
        <v>1222.6000000000006</v>
      </c>
      <c r="E130" s="639">
        <f t="shared" si="11"/>
        <v>1977.8000000000043</v>
      </c>
      <c r="F130" s="639">
        <f t="shared" si="12"/>
        <v>2087.4000000000042</v>
      </c>
    </row>
    <row r="131" spans="2:6" ht="21" customHeight="1">
      <c r="B131" s="637">
        <v>123</v>
      </c>
      <c r="C131" s="642">
        <f t="shared" si="13"/>
        <v>1232.0000000000007</v>
      </c>
      <c r="D131" s="642">
        <f t="shared" si="13"/>
        <v>1232.0000000000007</v>
      </c>
      <c r="E131" s="639">
        <f t="shared" si="11"/>
        <v>1993.0000000000043</v>
      </c>
      <c r="F131" s="639">
        <f t="shared" si="12"/>
        <v>2102.6000000000045</v>
      </c>
    </row>
    <row r="132" spans="2:6" ht="21" customHeight="1">
      <c r="B132" s="637">
        <v>124</v>
      </c>
      <c r="C132" s="642">
        <f t="shared" si="13"/>
        <v>1241.4000000000008</v>
      </c>
      <c r="D132" s="642">
        <f t="shared" si="13"/>
        <v>1241.4000000000008</v>
      </c>
      <c r="E132" s="639">
        <f t="shared" si="11"/>
        <v>2008.2000000000044</v>
      </c>
      <c r="F132" s="639">
        <f t="shared" si="12"/>
        <v>2117.8000000000043</v>
      </c>
    </row>
    <row r="133" spans="2:6" ht="21" customHeight="1">
      <c r="B133" s="637">
        <v>125</v>
      </c>
      <c r="C133" s="642">
        <f t="shared" si="13"/>
        <v>1250.8000000000009</v>
      </c>
      <c r="D133" s="642">
        <f t="shared" si="13"/>
        <v>1250.8000000000009</v>
      </c>
      <c r="E133" s="639">
        <f t="shared" si="11"/>
        <v>2023.4000000000044</v>
      </c>
      <c r="F133" s="639">
        <f t="shared" si="12"/>
        <v>2133.0000000000045</v>
      </c>
    </row>
    <row r="134" spans="2:6" ht="21" customHeight="1"/>
  </sheetData>
  <mergeCells count="7">
    <mergeCell ref="B1:F1"/>
    <mergeCell ref="B2:F2"/>
    <mergeCell ref="B3:B5"/>
    <mergeCell ref="C3:C5"/>
    <mergeCell ref="D3:D5"/>
    <mergeCell ref="E3:F3"/>
    <mergeCell ref="E4:E5"/>
  </mergeCells>
  <pageMargins left="0.75" right="0.75" top="0.35" bottom="0.26" header="0" footer="0"/>
  <pageSetup paperSize="9" orientation="portrait" verticalDpi="300" r:id="rId1"/>
  <headerFooter alignWithMargins="0"/>
</worksheet>
</file>

<file path=xl/worksheets/sheet28.xml><?xml version="1.0" encoding="utf-8"?>
<worksheet xmlns="http://schemas.openxmlformats.org/spreadsheetml/2006/main" xmlns:r="http://schemas.openxmlformats.org/officeDocument/2006/relationships">
  <dimension ref="A1"/>
  <sheetViews>
    <sheetView workbookViewId="0"/>
  </sheetViews>
  <sheetFormatPr defaultColWidth="8.81640625" defaultRowHeight="12.5"/>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sheetPr>
    <tabColor rgb="FFFF0000"/>
    <pageSetUpPr fitToPage="1"/>
  </sheetPr>
  <dimension ref="A1:J37"/>
  <sheetViews>
    <sheetView zoomScaleSheetLayoutView="100" workbookViewId="0">
      <selection sqref="A1:J1"/>
    </sheetView>
  </sheetViews>
  <sheetFormatPr defaultColWidth="8.81640625" defaultRowHeight="18"/>
  <cols>
    <col min="1" max="1" width="4.1796875" style="1716" customWidth="1"/>
    <col min="2" max="2" width="47.81640625" style="1716" customWidth="1"/>
    <col min="3" max="3" width="8.1796875" style="1716" customWidth="1"/>
    <col min="4" max="4" width="8.81640625" style="1716" customWidth="1"/>
    <col min="5" max="5" width="12" style="1716" customWidth="1"/>
    <col min="6" max="6" width="7.453125" style="1716" customWidth="1"/>
    <col min="7" max="7" width="8.453125" style="1716" customWidth="1"/>
    <col min="8" max="8" width="12.7265625" style="1716" customWidth="1"/>
    <col min="9" max="9" width="13.7265625" style="1716" customWidth="1"/>
    <col min="10" max="10" width="8.7265625" style="1716" customWidth="1"/>
    <col min="11" max="250" width="8.81640625" style="1716"/>
    <col min="251" max="251" width="4.1796875" style="1716" customWidth="1"/>
    <col min="252" max="252" width="54" style="1716" customWidth="1"/>
    <col min="253" max="253" width="8.1796875" style="1716" customWidth="1"/>
    <col min="254" max="254" width="4.453125" style="1716" customWidth="1"/>
    <col min="255" max="255" width="8.81640625" style="1716" customWidth="1"/>
    <col min="256" max="257" width="3.7265625" style="1716" customWidth="1"/>
    <col min="258" max="258" width="8.7265625" style="1716" customWidth="1"/>
    <col min="259" max="259" width="7.453125" style="1716" customWidth="1"/>
    <col min="260" max="260" width="3.81640625" style="1716" customWidth="1"/>
    <col min="261" max="261" width="8.453125" style="1716" customWidth="1"/>
    <col min="262" max="262" width="3.453125" style="1716" customWidth="1"/>
    <col min="263" max="263" width="4.453125" style="1716" customWidth="1"/>
    <col min="264" max="265" width="9.1796875" style="1716" customWidth="1"/>
    <col min="266" max="266" width="8.7265625" style="1716" customWidth="1"/>
    <col min="267" max="506" width="8.81640625" style="1716"/>
    <col min="507" max="507" width="4.1796875" style="1716" customWidth="1"/>
    <col min="508" max="508" width="54" style="1716" customWidth="1"/>
    <col min="509" max="509" width="8.1796875" style="1716" customWidth="1"/>
    <col min="510" max="510" width="4.453125" style="1716" customWidth="1"/>
    <col min="511" max="511" width="8.81640625" style="1716" customWidth="1"/>
    <col min="512" max="513" width="3.7265625" style="1716" customWidth="1"/>
    <col min="514" max="514" width="8.7265625" style="1716" customWidth="1"/>
    <col min="515" max="515" width="7.453125" style="1716" customWidth="1"/>
    <col min="516" max="516" width="3.81640625" style="1716" customWidth="1"/>
    <col min="517" max="517" width="8.453125" style="1716" customWidth="1"/>
    <col min="518" max="518" width="3.453125" style="1716" customWidth="1"/>
    <col min="519" max="519" width="4.453125" style="1716" customWidth="1"/>
    <col min="520" max="521" width="9.1796875" style="1716" customWidth="1"/>
    <col min="522" max="522" width="8.7265625" style="1716" customWidth="1"/>
    <col min="523" max="762" width="8.81640625" style="1716"/>
    <col min="763" max="763" width="4.1796875" style="1716" customWidth="1"/>
    <col min="764" max="764" width="54" style="1716" customWidth="1"/>
    <col min="765" max="765" width="8.1796875" style="1716" customWidth="1"/>
    <col min="766" max="766" width="4.453125" style="1716" customWidth="1"/>
    <col min="767" max="767" width="8.81640625" style="1716" customWidth="1"/>
    <col min="768" max="769" width="3.7265625" style="1716" customWidth="1"/>
    <col min="770" max="770" width="8.7265625" style="1716" customWidth="1"/>
    <col min="771" max="771" width="7.453125" style="1716" customWidth="1"/>
    <col min="772" max="772" width="3.81640625" style="1716" customWidth="1"/>
    <col min="773" max="773" width="8.453125" style="1716" customWidth="1"/>
    <col min="774" max="774" width="3.453125" style="1716" customWidth="1"/>
    <col min="775" max="775" width="4.453125" style="1716" customWidth="1"/>
    <col min="776" max="777" width="9.1796875" style="1716" customWidth="1"/>
    <col min="778" max="778" width="8.7265625" style="1716" customWidth="1"/>
    <col min="779" max="1018" width="8.81640625" style="1716"/>
    <col min="1019" max="1019" width="4.1796875" style="1716" customWidth="1"/>
    <col min="1020" max="1020" width="54" style="1716" customWidth="1"/>
    <col min="1021" max="1021" width="8.1796875" style="1716" customWidth="1"/>
    <col min="1022" max="1022" width="4.453125" style="1716" customWidth="1"/>
    <col min="1023" max="1023" width="8.81640625" style="1716" customWidth="1"/>
    <col min="1024" max="1025" width="3.7265625" style="1716" customWidth="1"/>
    <col min="1026" max="1026" width="8.7265625" style="1716" customWidth="1"/>
    <col min="1027" max="1027" width="7.453125" style="1716" customWidth="1"/>
    <col min="1028" max="1028" width="3.81640625" style="1716" customWidth="1"/>
    <col min="1029" max="1029" width="8.453125" style="1716" customWidth="1"/>
    <col min="1030" max="1030" width="3.453125" style="1716" customWidth="1"/>
    <col min="1031" max="1031" width="4.453125" style="1716" customWidth="1"/>
    <col min="1032" max="1033" width="9.1796875" style="1716" customWidth="1"/>
    <col min="1034" max="1034" width="8.7265625" style="1716" customWidth="1"/>
    <col min="1035" max="1274" width="8.81640625" style="1716"/>
    <col min="1275" max="1275" width="4.1796875" style="1716" customWidth="1"/>
    <col min="1276" max="1276" width="54" style="1716" customWidth="1"/>
    <col min="1277" max="1277" width="8.1796875" style="1716" customWidth="1"/>
    <col min="1278" max="1278" width="4.453125" style="1716" customWidth="1"/>
    <col min="1279" max="1279" width="8.81640625" style="1716" customWidth="1"/>
    <col min="1280" max="1281" width="3.7265625" style="1716" customWidth="1"/>
    <col min="1282" max="1282" width="8.7265625" style="1716" customWidth="1"/>
    <col min="1283" max="1283" width="7.453125" style="1716" customWidth="1"/>
    <col min="1284" max="1284" width="3.81640625" style="1716" customWidth="1"/>
    <col min="1285" max="1285" width="8.453125" style="1716" customWidth="1"/>
    <col min="1286" max="1286" width="3.453125" style="1716" customWidth="1"/>
    <col min="1287" max="1287" width="4.453125" style="1716" customWidth="1"/>
    <col min="1288" max="1289" width="9.1796875" style="1716" customWidth="1"/>
    <col min="1290" max="1290" width="8.7265625" style="1716" customWidth="1"/>
    <col min="1291" max="1530" width="8.81640625" style="1716"/>
    <col min="1531" max="1531" width="4.1796875" style="1716" customWidth="1"/>
    <col min="1532" max="1532" width="54" style="1716" customWidth="1"/>
    <col min="1533" max="1533" width="8.1796875" style="1716" customWidth="1"/>
    <col min="1534" max="1534" width="4.453125" style="1716" customWidth="1"/>
    <col min="1535" max="1535" width="8.81640625" style="1716" customWidth="1"/>
    <col min="1536" max="1537" width="3.7265625" style="1716" customWidth="1"/>
    <col min="1538" max="1538" width="8.7265625" style="1716" customWidth="1"/>
    <col min="1539" max="1539" width="7.453125" style="1716" customWidth="1"/>
    <col min="1540" max="1540" width="3.81640625" style="1716" customWidth="1"/>
    <col min="1541" max="1541" width="8.453125" style="1716" customWidth="1"/>
    <col min="1542" max="1542" width="3.453125" style="1716" customWidth="1"/>
    <col min="1543" max="1543" width="4.453125" style="1716" customWidth="1"/>
    <col min="1544" max="1545" width="9.1796875" style="1716" customWidth="1"/>
    <col min="1546" max="1546" width="8.7265625" style="1716" customWidth="1"/>
    <col min="1547" max="1786" width="8.81640625" style="1716"/>
    <col min="1787" max="1787" width="4.1796875" style="1716" customWidth="1"/>
    <col min="1788" max="1788" width="54" style="1716" customWidth="1"/>
    <col min="1789" max="1789" width="8.1796875" style="1716" customWidth="1"/>
    <col min="1790" max="1790" width="4.453125" style="1716" customWidth="1"/>
    <col min="1791" max="1791" width="8.81640625" style="1716" customWidth="1"/>
    <col min="1792" max="1793" width="3.7265625" style="1716" customWidth="1"/>
    <col min="1794" max="1794" width="8.7265625" style="1716" customWidth="1"/>
    <col min="1795" max="1795" width="7.453125" style="1716" customWidth="1"/>
    <col min="1796" max="1796" width="3.81640625" style="1716" customWidth="1"/>
    <col min="1797" max="1797" width="8.453125" style="1716" customWidth="1"/>
    <col min="1798" max="1798" width="3.453125" style="1716" customWidth="1"/>
    <col min="1799" max="1799" width="4.453125" style="1716" customWidth="1"/>
    <col min="1800" max="1801" width="9.1796875" style="1716" customWidth="1"/>
    <col min="1802" max="1802" width="8.7265625" style="1716" customWidth="1"/>
    <col min="1803" max="2042" width="8.81640625" style="1716"/>
    <col min="2043" max="2043" width="4.1796875" style="1716" customWidth="1"/>
    <col min="2044" max="2044" width="54" style="1716" customWidth="1"/>
    <col min="2045" max="2045" width="8.1796875" style="1716" customWidth="1"/>
    <col min="2046" max="2046" width="4.453125" style="1716" customWidth="1"/>
    <col min="2047" max="2047" width="8.81640625" style="1716" customWidth="1"/>
    <col min="2048" max="2049" width="3.7265625" style="1716" customWidth="1"/>
    <col min="2050" max="2050" width="8.7265625" style="1716" customWidth="1"/>
    <col min="2051" max="2051" width="7.453125" style="1716" customWidth="1"/>
    <col min="2052" max="2052" width="3.81640625" style="1716" customWidth="1"/>
    <col min="2053" max="2053" width="8.453125" style="1716" customWidth="1"/>
    <col min="2054" max="2054" width="3.453125" style="1716" customWidth="1"/>
    <col min="2055" max="2055" width="4.453125" style="1716" customWidth="1"/>
    <col min="2056" max="2057" width="9.1796875" style="1716" customWidth="1"/>
    <col min="2058" max="2058" width="8.7265625" style="1716" customWidth="1"/>
    <col min="2059" max="2298" width="8.81640625" style="1716"/>
    <col min="2299" max="2299" width="4.1796875" style="1716" customWidth="1"/>
    <col min="2300" max="2300" width="54" style="1716" customWidth="1"/>
    <col min="2301" max="2301" width="8.1796875" style="1716" customWidth="1"/>
    <col min="2302" max="2302" width="4.453125" style="1716" customWidth="1"/>
    <col min="2303" max="2303" width="8.81640625" style="1716" customWidth="1"/>
    <col min="2304" max="2305" width="3.7265625" style="1716" customWidth="1"/>
    <col min="2306" max="2306" width="8.7265625" style="1716" customWidth="1"/>
    <col min="2307" max="2307" width="7.453125" style="1716" customWidth="1"/>
    <col min="2308" max="2308" width="3.81640625" style="1716" customWidth="1"/>
    <col min="2309" max="2309" width="8.453125" style="1716" customWidth="1"/>
    <col min="2310" max="2310" width="3.453125" style="1716" customWidth="1"/>
    <col min="2311" max="2311" width="4.453125" style="1716" customWidth="1"/>
    <col min="2312" max="2313" width="9.1796875" style="1716" customWidth="1"/>
    <col min="2314" max="2314" width="8.7265625" style="1716" customWidth="1"/>
    <col min="2315" max="2554" width="8.81640625" style="1716"/>
    <col min="2555" max="2555" width="4.1796875" style="1716" customWidth="1"/>
    <col min="2556" max="2556" width="54" style="1716" customWidth="1"/>
    <col min="2557" max="2557" width="8.1796875" style="1716" customWidth="1"/>
    <col min="2558" max="2558" width="4.453125" style="1716" customWidth="1"/>
    <col min="2559" max="2559" width="8.81640625" style="1716" customWidth="1"/>
    <col min="2560" max="2561" width="3.7265625" style="1716" customWidth="1"/>
    <col min="2562" max="2562" width="8.7265625" style="1716" customWidth="1"/>
    <col min="2563" max="2563" width="7.453125" style="1716" customWidth="1"/>
    <col min="2564" max="2564" width="3.81640625" style="1716" customWidth="1"/>
    <col min="2565" max="2565" width="8.453125" style="1716" customWidth="1"/>
    <col min="2566" max="2566" width="3.453125" style="1716" customWidth="1"/>
    <col min="2567" max="2567" width="4.453125" style="1716" customWidth="1"/>
    <col min="2568" max="2569" width="9.1796875" style="1716" customWidth="1"/>
    <col min="2570" max="2570" width="8.7265625" style="1716" customWidth="1"/>
    <col min="2571" max="2810" width="8.81640625" style="1716"/>
    <col min="2811" max="2811" width="4.1796875" style="1716" customWidth="1"/>
    <col min="2812" max="2812" width="54" style="1716" customWidth="1"/>
    <col min="2813" max="2813" width="8.1796875" style="1716" customWidth="1"/>
    <col min="2814" max="2814" width="4.453125" style="1716" customWidth="1"/>
    <col min="2815" max="2815" width="8.81640625" style="1716" customWidth="1"/>
    <col min="2816" max="2817" width="3.7265625" style="1716" customWidth="1"/>
    <col min="2818" max="2818" width="8.7265625" style="1716" customWidth="1"/>
    <col min="2819" max="2819" width="7.453125" style="1716" customWidth="1"/>
    <col min="2820" max="2820" width="3.81640625" style="1716" customWidth="1"/>
    <col min="2821" max="2821" width="8.453125" style="1716" customWidth="1"/>
    <col min="2822" max="2822" width="3.453125" style="1716" customWidth="1"/>
    <col min="2823" max="2823" width="4.453125" style="1716" customWidth="1"/>
    <col min="2824" max="2825" width="9.1796875" style="1716" customWidth="1"/>
    <col min="2826" max="2826" width="8.7265625" style="1716" customWidth="1"/>
    <col min="2827" max="3066" width="8.81640625" style="1716"/>
    <col min="3067" max="3067" width="4.1796875" style="1716" customWidth="1"/>
    <col min="3068" max="3068" width="54" style="1716" customWidth="1"/>
    <col min="3069" max="3069" width="8.1796875" style="1716" customWidth="1"/>
    <col min="3070" max="3070" width="4.453125" style="1716" customWidth="1"/>
    <col min="3071" max="3071" width="8.81640625" style="1716" customWidth="1"/>
    <col min="3072" max="3073" width="3.7265625" style="1716" customWidth="1"/>
    <col min="3074" max="3074" width="8.7265625" style="1716" customWidth="1"/>
    <col min="3075" max="3075" width="7.453125" style="1716" customWidth="1"/>
    <col min="3076" max="3076" width="3.81640625" style="1716" customWidth="1"/>
    <col min="3077" max="3077" width="8.453125" style="1716" customWidth="1"/>
    <col min="3078" max="3078" width="3.453125" style="1716" customWidth="1"/>
    <col min="3079" max="3079" width="4.453125" style="1716" customWidth="1"/>
    <col min="3080" max="3081" width="9.1796875" style="1716" customWidth="1"/>
    <col min="3082" max="3082" width="8.7265625" style="1716" customWidth="1"/>
    <col min="3083" max="3322" width="8.81640625" style="1716"/>
    <col min="3323" max="3323" width="4.1796875" style="1716" customWidth="1"/>
    <col min="3324" max="3324" width="54" style="1716" customWidth="1"/>
    <col min="3325" max="3325" width="8.1796875" style="1716" customWidth="1"/>
    <col min="3326" max="3326" width="4.453125" style="1716" customWidth="1"/>
    <col min="3327" max="3327" width="8.81640625" style="1716" customWidth="1"/>
    <col min="3328" max="3329" width="3.7265625" style="1716" customWidth="1"/>
    <col min="3330" max="3330" width="8.7265625" style="1716" customWidth="1"/>
    <col min="3331" max="3331" width="7.453125" style="1716" customWidth="1"/>
    <col min="3332" max="3332" width="3.81640625" style="1716" customWidth="1"/>
    <col min="3333" max="3333" width="8.453125" style="1716" customWidth="1"/>
    <col min="3334" max="3334" width="3.453125" style="1716" customWidth="1"/>
    <col min="3335" max="3335" width="4.453125" style="1716" customWidth="1"/>
    <col min="3336" max="3337" width="9.1796875" style="1716" customWidth="1"/>
    <col min="3338" max="3338" width="8.7265625" style="1716" customWidth="1"/>
    <col min="3339" max="3578" width="8.81640625" style="1716"/>
    <col min="3579" max="3579" width="4.1796875" style="1716" customWidth="1"/>
    <col min="3580" max="3580" width="54" style="1716" customWidth="1"/>
    <col min="3581" max="3581" width="8.1796875" style="1716" customWidth="1"/>
    <col min="3582" max="3582" width="4.453125" style="1716" customWidth="1"/>
    <col min="3583" max="3583" width="8.81640625" style="1716" customWidth="1"/>
    <col min="3584" max="3585" width="3.7265625" style="1716" customWidth="1"/>
    <col min="3586" max="3586" width="8.7265625" style="1716" customWidth="1"/>
    <col min="3587" max="3587" width="7.453125" style="1716" customWidth="1"/>
    <col min="3588" max="3588" width="3.81640625" style="1716" customWidth="1"/>
    <col min="3589" max="3589" width="8.453125" style="1716" customWidth="1"/>
    <col min="3590" max="3590" width="3.453125" style="1716" customWidth="1"/>
    <col min="3591" max="3591" width="4.453125" style="1716" customWidth="1"/>
    <col min="3592" max="3593" width="9.1796875" style="1716" customWidth="1"/>
    <col min="3594" max="3594" width="8.7265625" style="1716" customWidth="1"/>
    <col min="3595" max="3834" width="8.81640625" style="1716"/>
    <col min="3835" max="3835" width="4.1796875" style="1716" customWidth="1"/>
    <col min="3836" max="3836" width="54" style="1716" customWidth="1"/>
    <col min="3837" max="3837" width="8.1796875" style="1716" customWidth="1"/>
    <col min="3838" max="3838" width="4.453125" style="1716" customWidth="1"/>
    <col min="3839" max="3839" width="8.81640625" style="1716" customWidth="1"/>
    <col min="3840" max="3841" width="3.7265625" style="1716" customWidth="1"/>
    <col min="3842" max="3842" width="8.7265625" style="1716" customWidth="1"/>
    <col min="3843" max="3843" width="7.453125" style="1716" customWidth="1"/>
    <col min="3844" max="3844" width="3.81640625" style="1716" customWidth="1"/>
    <col min="3845" max="3845" width="8.453125" style="1716" customWidth="1"/>
    <col min="3846" max="3846" width="3.453125" style="1716" customWidth="1"/>
    <col min="3847" max="3847" width="4.453125" style="1716" customWidth="1"/>
    <col min="3848" max="3849" width="9.1796875" style="1716" customWidth="1"/>
    <col min="3850" max="3850" width="8.7265625" style="1716" customWidth="1"/>
    <col min="3851" max="4090" width="8.81640625" style="1716"/>
    <col min="4091" max="4091" width="4.1796875" style="1716" customWidth="1"/>
    <col min="4092" max="4092" width="54" style="1716" customWidth="1"/>
    <col min="4093" max="4093" width="8.1796875" style="1716" customWidth="1"/>
    <col min="4094" max="4094" width="4.453125" style="1716" customWidth="1"/>
    <col min="4095" max="4095" width="8.81640625" style="1716" customWidth="1"/>
    <col min="4096" max="4097" width="3.7265625" style="1716" customWidth="1"/>
    <col min="4098" max="4098" width="8.7265625" style="1716" customWidth="1"/>
    <col min="4099" max="4099" width="7.453125" style="1716" customWidth="1"/>
    <col min="4100" max="4100" width="3.81640625" style="1716" customWidth="1"/>
    <col min="4101" max="4101" width="8.453125" style="1716" customWidth="1"/>
    <col min="4102" max="4102" width="3.453125" style="1716" customWidth="1"/>
    <col min="4103" max="4103" width="4.453125" style="1716" customWidth="1"/>
    <col min="4104" max="4105" width="9.1796875" style="1716" customWidth="1"/>
    <col min="4106" max="4106" width="8.7265625" style="1716" customWidth="1"/>
    <col min="4107" max="4346" width="8.81640625" style="1716"/>
    <col min="4347" max="4347" width="4.1796875" style="1716" customWidth="1"/>
    <col min="4348" max="4348" width="54" style="1716" customWidth="1"/>
    <col min="4349" max="4349" width="8.1796875" style="1716" customWidth="1"/>
    <col min="4350" max="4350" width="4.453125" style="1716" customWidth="1"/>
    <col min="4351" max="4351" width="8.81640625" style="1716" customWidth="1"/>
    <col min="4352" max="4353" width="3.7265625" style="1716" customWidth="1"/>
    <col min="4354" max="4354" width="8.7265625" style="1716" customWidth="1"/>
    <col min="4355" max="4355" width="7.453125" style="1716" customWidth="1"/>
    <col min="4356" max="4356" width="3.81640625" style="1716" customWidth="1"/>
    <col min="4357" max="4357" width="8.453125" style="1716" customWidth="1"/>
    <col min="4358" max="4358" width="3.453125" style="1716" customWidth="1"/>
    <col min="4359" max="4359" width="4.453125" style="1716" customWidth="1"/>
    <col min="4360" max="4361" width="9.1796875" style="1716" customWidth="1"/>
    <col min="4362" max="4362" width="8.7265625" style="1716" customWidth="1"/>
    <col min="4363" max="4602" width="8.81640625" style="1716"/>
    <col min="4603" max="4603" width="4.1796875" style="1716" customWidth="1"/>
    <col min="4604" max="4604" width="54" style="1716" customWidth="1"/>
    <col min="4605" max="4605" width="8.1796875" style="1716" customWidth="1"/>
    <col min="4606" max="4606" width="4.453125" style="1716" customWidth="1"/>
    <col min="4607" max="4607" width="8.81640625" style="1716" customWidth="1"/>
    <col min="4608" max="4609" width="3.7265625" style="1716" customWidth="1"/>
    <col min="4610" max="4610" width="8.7265625" style="1716" customWidth="1"/>
    <col min="4611" max="4611" width="7.453125" style="1716" customWidth="1"/>
    <col min="4612" max="4612" width="3.81640625" style="1716" customWidth="1"/>
    <col min="4613" max="4613" width="8.453125" style="1716" customWidth="1"/>
    <col min="4614" max="4614" width="3.453125" style="1716" customWidth="1"/>
    <col min="4615" max="4615" width="4.453125" style="1716" customWidth="1"/>
    <col min="4616" max="4617" width="9.1796875" style="1716" customWidth="1"/>
    <col min="4618" max="4618" width="8.7265625" style="1716" customWidth="1"/>
    <col min="4619" max="4858" width="8.81640625" style="1716"/>
    <col min="4859" max="4859" width="4.1796875" style="1716" customWidth="1"/>
    <col min="4860" max="4860" width="54" style="1716" customWidth="1"/>
    <col min="4861" max="4861" width="8.1796875" style="1716" customWidth="1"/>
    <col min="4862" max="4862" width="4.453125" style="1716" customWidth="1"/>
    <col min="4863" max="4863" width="8.81640625" style="1716" customWidth="1"/>
    <col min="4864" max="4865" width="3.7265625" style="1716" customWidth="1"/>
    <col min="4866" max="4866" width="8.7265625" style="1716" customWidth="1"/>
    <col min="4867" max="4867" width="7.453125" style="1716" customWidth="1"/>
    <col min="4868" max="4868" width="3.81640625" style="1716" customWidth="1"/>
    <col min="4869" max="4869" width="8.453125" style="1716" customWidth="1"/>
    <col min="4870" max="4870" width="3.453125" style="1716" customWidth="1"/>
    <col min="4871" max="4871" width="4.453125" style="1716" customWidth="1"/>
    <col min="4872" max="4873" width="9.1796875" style="1716" customWidth="1"/>
    <col min="4874" max="4874" width="8.7265625" style="1716" customWidth="1"/>
    <col min="4875" max="5114" width="8.81640625" style="1716"/>
    <col min="5115" max="5115" width="4.1796875" style="1716" customWidth="1"/>
    <col min="5116" max="5116" width="54" style="1716" customWidth="1"/>
    <col min="5117" max="5117" width="8.1796875" style="1716" customWidth="1"/>
    <col min="5118" max="5118" width="4.453125" style="1716" customWidth="1"/>
    <col min="5119" max="5119" width="8.81640625" style="1716" customWidth="1"/>
    <col min="5120" max="5121" width="3.7265625" style="1716" customWidth="1"/>
    <col min="5122" max="5122" width="8.7265625" style="1716" customWidth="1"/>
    <col min="5123" max="5123" width="7.453125" style="1716" customWidth="1"/>
    <col min="5124" max="5124" width="3.81640625" style="1716" customWidth="1"/>
    <col min="5125" max="5125" width="8.453125" style="1716" customWidth="1"/>
    <col min="5126" max="5126" width="3.453125" style="1716" customWidth="1"/>
    <col min="5127" max="5127" width="4.453125" style="1716" customWidth="1"/>
    <col min="5128" max="5129" width="9.1796875" style="1716" customWidth="1"/>
    <col min="5130" max="5130" width="8.7265625" style="1716" customWidth="1"/>
    <col min="5131" max="5370" width="8.81640625" style="1716"/>
    <col min="5371" max="5371" width="4.1796875" style="1716" customWidth="1"/>
    <col min="5372" max="5372" width="54" style="1716" customWidth="1"/>
    <col min="5373" max="5373" width="8.1796875" style="1716" customWidth="1"/>
    <col min="5374" max="5374" width="4.453125" style="1716" customWidth="1"/>
    <col min="5375" max="5375" width="8.81640625" style="1716" customWidth="1"/>
    <col min="5376" max="5377" width="3.7265625" style="1716" customWidth="1"/>
    <col min="5378" max="5378" width="8.7265625" style="1716" customWidth="1"/>
    <col min="5379" max="5379" width="7.453125" style="1716" customWidth="1"/>
    <col min="5380" max="5380" width="3.81640625" style="1716" customWidth="1"/>
    <col min="5381" max="5381" width="8.453125" style="1716" customWidth="1"/>
    <col min="5382" max="5382" width="3.453125" style="1716" customWidth="1"/>
    <col min="5383" max="5383" width="4.453125" style="1716" customWidth="1"/>
    <col min="5384" max="5385" width="9.1796875" style="1716" customWidth="1"/>
    <col min="5386" max="5386" width="8.7265625" style="1716" customWidth="1"/>
    <col min="5387" max="5626" width="8.81640625" style="1716"/>
    <col min="5627" max="5627" width="4.1796875" style="1716" customWidth="1"/>
    <col min="5628" max="5628" width="54" style="1716" customWidth="1"/>
    <col min="5629" max="5629" width="8.1796875" style="1716" customWidth="1"/>
    <col min="5630" max="5630" width="4.453125" style="1716" customWidth="1"/>
    <col min="5631" max="5631" width="8.81640625" style="1716" customWidth="1"/>
    <col min="5632" max="5633" width="3.7265625" style="1716" customWidth="1"/>
    <col min="5634" max="5634" width="8.7265625" style="1716" customWidth="1"/>
    <col min="5635" max="5635" width="7.453125" style="1716" customWidth="1"/>
    <col min="5636" max="5636" width="3.81640625" style="1716" customWidth="1"/>
    <col min="5637" max="5637" width="8.453125" style="1716" customWidth="1"/>
    <col min="5638" max="5638" width="3.453125" style="1716" customWidth="1"/>
    <col min="5639" max="5639" width="4.453125" style="1716" customWidth="1"/>
    <col min="5640" max="5641" width="9.1796875" style="1716" customWidth="1"/>
    <col min="5642" max="5642" width="8.7265625" style="1716" customWidth="1"/>
    <col min="5643" max="5882" width="8.81640625" style="1716"/>
    <col min="5883" max="5883" width="4.1796875" style="1716" customWidth="1"/>
    <col min="5884" max="5884" width="54" style="1716" customWidth="1"/>
    <col min="5885" max="5885" width="8.1796875" style="1716" customWidth="1"/>
    <col min="5886" max="5886" width="4.453125" style="1716" customWidth="1"/>
    <col min="5887" max="5887" width="8.81640625" style="1716" customWidth="1"/>
    <col min="5888" max="5889" width="3.7265625" style="1716" customWidth="1"/>
    <col min="5890" max="5890" width="8.7265625" style="1716" customWidth="1"/>
    <col min="5891" max="5891" width="7.453125" style="1716" customWidth="1"/>
    <col min="5892" max="5892" width="3.81640625" style="1716" customWidth="1"/>
    <col min="5893" max="5893" width="8.453125" style="1716" customWidth="1"/>
    <col min="5894" max="5894" width="3.453125" style="1716" customWidth="1"/>
    <col min="5895" max="5895" width="4.453125" style="1716" customWidth="1"/>
    <col min="5896" max="5897" width="9.1796875" style="1716" customWidth="1"/>
    <col min="5898" max="5898" width="8.7265625" style="1716" customWidth="1"/>
    <col min="5899" max="6138" width="8.81640625" style="1716"/>
    <col min="6139" max="6139" width="4.1796875" style="1716" customWidth="1"/>
    <col min="6140" max="6140" width="54" style="1716" customWidth="1"/>
    <col min="6141" max="6141" width="8.1796875" style="1716" customWidth="1"/>
    <col min="6142" max="6142" width="4.453125" style="1716" customWidth="1"/>
    <col min="6143" max="6143" width="8.81640625" style="1716" customWidth="1"/>
    <col min="6144" max="6145" width="3.7265625" style="1716" customWidth="1"/>
    <col min="6146" max="6146" width="8.7265625" style="1716" customWidth="1"/>
    <col min="6147" max="6147" width="7.453125" style="1716" customWidth="1"/>
    <col min="6148" max="6148" width="3.81640625" style="1716" customWidth="1"/>
    <col min="6149" max="6149" width="8.453125" style="1716" customWidth="1"/>
    <col min="6150" max="6150" width="3.453125" style="1716" customWidth="1"/>
    <col min="6151" max="6151" width="4.453125" style="1716" customWidth="1"/>
    <col min="6152" max="6153" width="9.1796875" style="1716" customWidth="1"/>
    <col min="6154" max="6154" width="8.7265625" style="1716" customWidth="1"/>
    <col min="6155" max="6394" width="8.81640625" style="1716"/>
    <col min="6395" max="6395" width="4.1796875" style="1716" customWidth="1"/>
    <col min="6396" max="6396" width="54" style="1716" customWidth="1"/>
    <col min="6397" max="6397" width="8.1796875" style="1716" customWidth="1"/>
    <col min="6398" max="6398" width="4.453125" style="1716" customWidth="1"/>
    <col min="6399" max="6399" width="8.81640625" style="1716" customWidth="1"/>
    <col min="6400" max="6401" width="3.7265625" style="1716" customWidth="1"/>
    <col min="6402" max="6402" width="8.7265625" style="1716" customWidth="1"/>
    <col min="6403" max="6403" width="7.453125" style="1716" customWidth="1"/>
    <col min="6404" max="6404" width="3.81640625" style="1716" customWidth="1"/>
    <col min="6405" max="6405" width="8.453125" style="1716" customWidth="1"/>
    <col min="6406" max="6406" width="3.453125" style="1716" customWidth="1"/>
    <col min="6407" max="6407" width="4.453125" style="1716" customWidth="1"/>
    <col min="6408" max="6409" width="9.1796875" style="1716" customWidth="1"/>
    <col min="6410" max="6410" width="8.7265625" style="1716" customWidth="1"/>
    <col min="6411" max="6650" width="8.81640625" style="1716"/>
    <col min="6651" max="6651" width="4.1796875" style="1716" customWidth="1"/>
    <col min="6652" max="6652" width="54" style="1716" customWidth="1"/>
    <col min="6653" max="6653" width="8.1796875" style="1716" customWidth="1"/>
    <col min="6654" max="6654" width="4.453125" style="1716" customWidth="1"/>
    <col min="6655" max="6655" width="8.81640625" style="1716" customWidth="1"/>
    <col min="6656" max="6657" width="3.7265625" style="1716" customWidth="1"/>
    <col min="6658" max="6658" width="8.7265625" style="1716" customWidth="1"/>
    <col min="6659" max="6659" width="7.453125" style="1716" customWidth="1"/>
    <col min="6660" max="6660" width="3.81640625" style="1716" customWidth="1"/>
    <col min="6661" max="6661" width="8.453125" style="1716" customWidth="1"/>
    <col min="6662" max="6662" width="3.453125" style="1716" customWidth="1"/>
    <col min="6663" max="6663" width="4.453125" style="1716" customWidth="1"/>
    <col min="6664" max="6665" width="9.1796875" style="1716" customWidth="1"/>
    <col min="6666" max="6666" width="8.7265625" style="1716" customWidth="1"/>
    <col min="6667" max="6906" width="8.81640625" style="1716"/>
    <col min="6907" max="6907" width="4.1796875" style="1716" customWidth="1"/>
    <col min="6908" max="6908" width="54" style="1716" customWidth="1"/>
    <col min="6909" max="6909" width="8.1796875" style="1716" customWidth="1"/>
    <col min="6910" max="6910" width="4.453125" style="1716" customWidth="1"/>
    <col min="6911" max="6911" width="8.81640625" style="1716" customWidth="1"/>
    <col min="6912" max="6913" width="3.7265625" style="1716" customWidth="1"/>
    <col min="6914" max="6914" width="8.7265625" style="1716" customWidth="1"/>
    <col min="6915" max="6915" width="7.453125" style="1716" customWidth="1"/>
    <col min="6916" max="6916" width="3.81640625" style="1716" customWidth="1"/>
    <col min="6917" max="6917" width="8.453125" style="1716" customWidth="1"/>
    <col min="6918" max="6918" width="3.453125" style="1716" customWidth="1"/>
    <col min="6919" max="6919" width="4.453125" style="1716" customWidth="1"/>
    <col min="6920" max="6921" width="9.1796875" style="1716" customWidth="1"/>
    <col min="6922" max="6922" width="8.7265625" style="1716" customWidth="1"/>
    <col min="6923" max="7162" width="8.81640625" style="1716"/>
    <col min="7163" max="7163" width="4.1796875" style="1716" customWidth="1"/>
    <col min="7164" max="7164" width="54" style="1716" customWidth="1"/>
    <col min="7165" max="7165" width="8.1796875" style="1716" customWidth="1"/>
    <col min="7166" max="7166" width="4.453125" style="1716" customWidth="1"/>
    <col min="7167" max="7167" width="8.81640625" style="1716" customWidth="1"/>
    <col min="7168" max="7169" width="3.7265625" style="1716" customWidth="1"/>
    <col min="7170" max="7170" width="8.7265625" style="1716" customWidth="1"/>
    <col min="7171" max="7171" width="7.453125" style="1716" customWidth="1"/>
    <col min="7172" max="7172" width="3.81640625" style="1716" customWidth="1"/>
    <col min="7173" max="7173" width="8.453125" style="1716" customWidth="1"/>
    <col min="7174" max="7174" width="3.453125" style="1716" customWidth="1"/>
    <col min="7175" max="7175" width="4.453125" style="1716" customWidth="1"/>
    <col min="7176" max="7177" width="9.1796875" style="1716" customWidth="1"/>
    <col min="7178" max="7178" width="8.7265625" style="1716" customWidth="1"/>
    <col min="7179" max="7418" width="8.81640625" style="1716"/>
    <col min="7419" max="7419" width="4.1796875" style="1716" customWidth="1"/>
    <col min="7420" max="7420" width="54" style="1716" customWidth="1"/>
    <col min="7421" max="7421" width="8.1796875" style="1716" customWidth="1"/>
    <col min="7422" max="7422" width="4.453125" style="1716" customWidth="1"/>
    <col min="7423" max="7423" width="8.81640625" style="1716" customWidth="1"/>
    <col min="7424" max="7425" width="3.7265625" style="1716" customWidth="1"/>
    <col min="7426" max="7426" width="8.7265625" style="1716" customWidth="1"/>
    <col min="7427" max="7427" width="7.453125" style="1716" customWidth="1"/>
    <col min="7428" max="7428" width="3.81640625" style="1716" customWidth="1"/>
    <col min="7429" max="7429" width="8.453125" style="1716" customWidth="1"/>
    <col min="7430" max="7430" width="3.453125" style="1716" customWidth="1"/>
    <col min="7431" max="7431" width="4.453125" style="1716" customWidth="1"/>
    <col min="7432" max="7433" width="9.1796875" style="1716" customWidth="1"/>
    <col min="7434" max="7434" width="8.7265625" style="1716" customWidth="1"/>
    <col min="7435" max="7674" width="8.81640625" style="1716"/>
    <col min="7675" max="7675" width="4.1796875" style="1716" customWidth="1"/>
    <col min="7676" max="7676" width="54" style="1716" customWidth="1"/>
    <col min="7677" max="7677" width="8.1796875" style="1716" customWidth="1"/>
    <col min="7678" max="7678" width="4.453125" style="1716" customWidth="1"/>
    <col min="7679" max="7679" width="8.81640625" style="1716" customWidth="1"/>
    <col min="7680" max="7681" width="3.7265625" style="1716" customWidth="1"/>
    <col min="7682" max="7682" width="8.7265625" style="1716" customWidth="1"/>
    <col min="7683" max="7683" width="7.453125" style="1716" customWidth="1"/>
    <col min="7684" max="7684" width="3.81640625" style="1716" customWidth="1"/>
    <col min="7685" max="7685" width="8.453125" style="1716" customWidth="1"/>
    <col min="7686" max="7686" width="3.453125" style="1716" customWidth="1"/>
    <col min="7687" max="7687" width="4.453125" style="1716" customWidth="1"/>
    <col min="7688" max="7689" width="9.1796875" style="1716" customWidth="1"/>
    <col min="7690" max="7690" width="8.7265625" style="1716" customWidth="1"/>
    <col min="7691" max="7930" width="8.81640625" style="1716"/>
    <col min="7931" max="7931" width="4.1796875" style="1716" customWidth="1"/>
    <col min="7932" max="7932" width="54" style="1716" customWidth="1"/>
    <col min="7933" max="7933" width="8.1796875" style="1716" customWidth="1"/>
    <col min="7934" max="7934" width="4.453125" style="1716" customWidth="1"/>
    <col min="7935" max="7935" width="8.81640625" style="1716" customWidth="1"/>
    <col min="7936" max="7937" width="3.7265625" style="1716" customWidth="1"/>
    <col min="7938" max="7938" width="8.7265625" style="1716" customWidth="1"/>
    <col min="7939" max="7939" width="7.453125" style="1716" customWidth="1"/>
    <col min="7940" max="7940" width="3.81640625" style="1716" customWidth="1"/>
    <col min="7941" max="7941" width="8.453125" style="1716" customWidth="1"/>
    <col min="7942" max="7942" width="3.453125" style="1716" customWidth="1"/>
    <col min="7943" max="7943" width="4.453125" style="1716" customWidth="1"/>
    <col min="7944" max="7945" width="9.1796875" style="1716" customWidth="1"/>
    <col min="7946" max="7946" width="8.7265625" style="1716" customWidth="1"/>
    <col min="7947" max="8186" width="8.81640625" style="1716"/>
    <col min="8187" max="8187" width="4.1796875" style="1716" customWidth="1"/>
    <col min="8188" max="8188" width="54" style="1716" customWidth="1"/>
    <col min="8189" max="8189" width="8.1796875" style="1716" customWidth="1"/>
    <col min="8190" max="8190" width="4.453125" style="1716" customWidth="1"/>
    <col min="8191" max="8191" width="8.81640625" style="1716" customWidth="1"/>
    <col min="8192" max="8193" width="3.7265625" style="1716" customWidth="1"/>
    <col min="8194" max="8194" width="8.7265625" style="1716" customWidth="1"/>
    <col min="8195" max="8195" width="7.453125" style="1716" customWidth="1"/>
    <col min="8196" max="8196" width="3.81640625" style="1716" customWidth="1"/>
    <col min="8197" max="8197" width="8.453125" style="1716" customWidth="1"/>
    <col min="8198" max="8198" width="3.453125" style="1716" customWidth="1"/>
    <col min="8199" max="8199" width="4.453125" style="1716" customWidth="1"/>
    <col min="8200" max="8201" width="9.1796875" style="1716" customWidth="1"/>
    <col min="8202" max="8202" width="8.7265625" style="1716" customWidth="1"/>
    <col min="8203" max="8442" width="8.81640625" style="1716"/>
    <col min="8443" max="8443" width="4.1796875" style="1716" customWidth="1"/>
    <col min="8444" max="8444" width="54" style="1716" customWidth="1"/>
    <col min="8445" max="8445" width="8.1796875" style="1716" customWidth="1"/>
    <col min="8446" max="8446" width="4.453125" style="1716" customWidth="1"/>
    <col min="8447" max="8447" width="8.81640625" style="1716" customWidth="1"/>
    <col min="8448" max="8449" width="3.7265625" style="1716" customWidth="1"/>
    <col min="8450" max="8450" width="8.7265625" style="1716" customWidth="1"/>
    <col min="8451" max="8451" width="7.453125" style="1716" customWidth="1"/>
    <col min="8452" max="8452" width="3.81640625" style="1716" customWidth="1"/>
    <col min="8453" max="8453" width="8.453125" style="1716" customWidth="1"/>
    <col min="8454" max="8454" width="3.453125" style="1716" customWidth="1"/>
    <col min="8455" max="8455" width="4.453125" style="1716" customWidth="1"/>
    <col min="8456" max="8457" width="9.1796875" style="1716" customWidth="1"/>
    <col min="8458" max="8458" width="8.7265625" style="1716" customWidth="1"/>
    <col min="8459" max="8698" width="8.81640625" style="1716"/>
    <col min="8699" max="8699" width="4.1796875" style="1716" customWidth="1"/>
    <col min="8700" max="8700" width="54" style="1716" customWidth="1"/>
    <col min="8701" max="8701" width="8.1796875" style="1716" customWidth="1"/>
    <col min="8702" max="8702" width="4.453125" style="1716" customWidth="1"/>
    <col min="8703" max="8703" width="8.81640625" style="1716" customWidth="1"/>
    <col min="8704" max="8705" width="3.7265625" style="1716" customWidth="1"/>
    <col min="8706" max="8706" width="8.7265625" style="1716" customWidth="1"/>
    <col min="8707" max="8707" width="7.453125" style="1716" customWidth="1"/>
    <col min="8708" max="8708" width="3.81640625" style="1716" customWidth="1"/>
    <col min="8709" max="8709" width="8.453125" style="1716" customWidth="1"/>
    <col min="8710" max="8710" width="3.453125" style="1716" customWidth="1"/>
    <col min="8711" max="8711" width="4.453125" style="1716" customWidth="1"/>
    <col min="8712" max="8713" width="9.1796875" style="1716" customWidth="1"/>
    <col min="8714" max="8714" width="8.7265625" style="1716" customWidth="1"/>
    <col min="8715" max="8954" width="8.81640625" style="1716"/>
    <col min="8955" max="8955" width="4.1796875" style="1716" customWidth="1"/>
    <col min="8956" max="8956" width="54" style="1716" customWidth="1"/>
    <col min="8957" max="8957" width="8.1796875" style="1716" customWidth="1"/>
    <col min="8958" max="8958" width="4.453125" style="1716" customWidth="1"/>
    <col min="8959" max="8959" width="8.81640625" style="1716" customWidth="1"/>
    <col min="8960" max="8961" width="3.7265625" style="1716" customWidth="1"/>
    <col min="8962" max="8962" width="8.7265625" style="1716" customWidth="1"/>
    <col min="8963" max="8963" width="7.453125" style="1716" customWidth="1"/>
    <col min="8964" max="8964" width="3.81640625" style="1716" customWidth="1"/>
    <col min="8965" max="8965" width="8.453125" style="1716" customWidth="1"/>
    <col min="8966" max="8966" width="3.453125" style="1716" customWidth="1"/>
    <col min="8967" max="8967" width="4.453125" style="1716" customWidth="1"/>
    <col min="8968" max="8969" width="9.1796875" style="1716" customWidth="1"/>
    <col min="8970" max="8970" width="8.7265625" style="1716" customWidth="1"/>
    <col min="8971" max="9210" width="8.81640625" style="1716"/>
    <col min="9211" max="9211" width="4.1796875" style="1716" customWidth="1"/>
    <col min="9212" max="9212" width="54" style="1716" customWidth="1"/>
    <col min="9213" max="9213" width="8.1796875" style="1716" customWidth="1"/>
    <col min="9214" max="9214" width="4.453125" style="1716" customWidth="1"/>
    <col min="9215" max="9215" width="8.81640625" style="1716" customWidth="1"/>
    <col min="9216" max="9217" width="3.7265625" style="1716" customWidth="1"/>
    <col min="9218" max="9218" width="8.7265625" style="1716" customWidth="1"/>
    <col min="9219" max="9219" width="7.453125" style="1716" customWidth="1"/>
    <col min="9220" max="9220" width="3.81640625" style="1716" customWidth="1"/>
    <col min="9221" max="9221" width="8.453125" style="1716" customWidth="1"/>
    <col min="9222" max="9222" width="3.453125" style="1716" customWidth="1"/>
    <col min="9223" max="9223" width="4.453125" style="1716" customWidth="1"/>
    <col min="9224" max="9225" width="9.1796875" style="1716" customWidth="1"/>
    <col min="9226" max="9226" width="8.7265625" style="1716" customWidth="1"/>
    <col min="9227" max="9466" width="8.81640625" style="1716"/>
    <col min="9467" max="9467" width="4.1796875" style="1716" customWidth="1"/>
    <col min="9468" max="9468" width="54" style="1716" customWidth="1"/>
    <col min="9469" max="9469" width="8.1796875" style="1716" customWidth="1"/>
    <col min="9470" max="9470" width="4.453125" style="1716" customWidth="1"/>
    <col min="9471" max="9471" width="8.81640625" style="1716" customWidth="1"/>
    <col min="9472" max="9473" width="3.7265625" style="1716" customWidth="1"/>
    <col min="9474" max="9474" width="8.7265625" style="1716" customWidth="1"/>
    <col min="9475" max="9475" width="7.453125" style="1716" customWidth="1"/>
    <col min="9476" max="9476" width="3.81640625" style="1716" customWidth="1"/>
    <col min="9477" max="9477" width="8.453125" style="1716" customWidth="1"/>
    <col min="9478" max="9478" width="3.453125" style="1716" customWidth="1"/>
    <col min="9479" max="9479" width="4.453125" style="1716" customWidth="1"/>
    <col min="9480" max="9481" width="9.1796875" style="1716" customWidth="1"/>
    <col min="9482" max="9482" width="8.7265625" style="1716" customWidth="1"/>
    <col min="9483" max="9722" width="8.81640625" style="1716"/>
    <col min="9723" max="9723" width="4.1796875" style="1716" customWidth="1"/>
    <col min="9724" max="9724" width="54" style="1716" customWidth="1"/>
    <col min="9725" max="9725" width="8.1796875" style="1716" customWidth="1"/>
    <col min="9726" max="9726" width="4.453125" style="1716" customWidth="1"/>
    <col min="9727" max="9727" width="8.81640625" style="1716" customWidth="1"/>
    <col min="9728" max="9729" width="3.7265625" style="1716" customWidth="1"/>
    <col min="9730" max="9730" width="8.7265625" style="1716" customWidth="1"/>
    <col min="9731" max="9731" width="7.453125" style="1716" customWidth="1"/>
    <col min="9732" max="9732" width="3.81640625" style="1716" customWidth="1"/>
    <col min="9733" max="9733" width="8.453125" style="1716" customWidth="1"/>
    <col min="9734" max="9734" width="3.453125" style="1716" customWidth="1"/>
    <col min="9735" max="9735" width="4.453125" style="1716" customWidth="1"/>
    <col min="9736" max="9737" width="9.1796875" style="1716" customWidth="1"/>
    <col min="9738" max="9738" width="8.7265625" style="1716" customWidth="1"/>
    <col min="9739" max="9978" width="8.81640625" style="1716"/>
    <col min="9979" max="9979" width="4.1796875" style="1716" customWidth="1"/>
    <col min="9980" max="9980" width="54" style="1716" customWidth="1"/>
    <col min="9981" max="9981" width="8.1796875" style="1716" customWidth="1"/>
    <col min="9982" max="9982" width="4.453125" style="1716" customWidth="1"/>
    <col min="9983" max="9983" width="8.81640625" style="1716" customWidth="1"/>
    <col min="9984" max="9985" width="3.7265625" style="1716" customWidth="1"/>
    <col min="9986" max="9986" width="8.7265625" style="1716" customWidth="1"/>
    <col min="9987" max="9987" width="7.453125" style="1716" customWidth="1"/>
    <col min="9988" max="9988" width="3.81640625" style="1716" customWidth="1"/>
    <col min="9989" max="9989" width="8.453125" style="1716" customWidth="1"/>
    <col min="9990" max="9990" width="3.453125" style="1716" customWidth="1"/>
    <col min="9991" max="9991" width="4.453125" style="1716" customWidth="1"/>
    <col min="9992" max="9993" width="9.1796875" style="1716" customWidth="1"/>
    <col min="9994" max="9994" width="8.7265625" style="1716" customWidth="1"/>
    <col min="9995" max="10234" width="8.81640625" style="1716"/>
    <col min="10235" max="10235" width="4.1796875" style="1716" customWidth="1"/>
    <col min="10236" max="10236" width="54" style="1716" customWidth="1"/>
    <col min="10237" max="10237" width="8.1796875" style="1716" customWidth="1"/>
    <col min="10238" max="10238" width="4.453125" style="1716" customWidth="1"/>
    <col min="10239" max="10239" width="8.81640625" style="1716" customWidth="1"/>
    <col min="10240" max="10241" width="3.7265625" style="1716" customWidth="1"/>
    <col min="10242" max="10242" width="8.7265625" style="1716" customWidth="1"/>
    <col min="10243" max="10243" width="7.453125" style="1716" customWidth="1"/>
    <col min="10244" max="10244" width="3.81640625" style="1716" customWidth="1"/>
    <col min="10245" max="10245" width="8.453125" style="1716" customWidth="1"/>
    <col min="10246" max="10246" width="3.453125" style="1716" customWidth="1"/>
    <col min="10247" max="10247" width="4.453125" style="1716" customWidth="1"/>
    <col min="10248" max="10249" width="9.1796875" style="1716" customWidth="1"/>
    <col min="10250" max="10250" width="8.7265625" style="1716" customWidth="1"/>
    <col min="10251" max="10490" width="8.81640625" style="1716"/>
    <col min="10491" max="10491" width="4.1796875" style="1716" customWidth="1"/>
    <col min="10492" max="10492" width="54" style="1716" customWidth="1"/>
    <col min="10493" max="10493" width="8.1796875" style="1716" customWidth="1"/>
    <col min="10494" max="10494" width="4.453125" style="1716" customWidth="1"/>
    <col min="10495" max="10495" width="8.81640625" style="1716" customWidth="1"/>
    <col min="10496" max="10497" width="3.7265625" style="1716" customWidth="1"/>
    <col min="10498" max="10498" width="8.7265625" style="1716" customWidth="1"/>
    <col min="10499" max="10499" width="7.453125" style="1716" customWidth="1"/>
    <col min="10500" max="10500" width="3.81640625" style="1716" customWidth="1"/>
    <col min="10501" max="10501" width="8.453125" style="1716" customWidth="1"/>
    <col min="10502" max="10502" width="3.453125" style="1716" customWidth="1"/>
    <col min="10503" max="10503" width="4.453125" style="1716" customWidth="1"/>
    <col min="10504" max="10505" width="9.1796875" style="1716" customWidth="1"/>
    <col min="10506" max="10506" width="8.7265625" style="1716" customWidth="1"/>
    <col min="10507" max="10746" width="8.81640625" style="1716"/>
    <col min="10747" max="10747" width="4.1796875" style="1716" customWidth="1"/>
    <col min="10748" max="10748" width="54" style="1716" customWidth="1"/>
    <col min="10749" max="10749" width="8.1796875" style="1716" customWidth="1"/>
    <col min="10750" max="10750" width="4.453125" style="1716" customWidth="1"/>
    <col min="10751" max="10751" width="8.81640625" style="1716" customWidth="1"/>
    <col min="10752" max="10753" width="3.7265625" style="1716" customWidth="1"/>
    <col min="10754" max="10754" width="8.7265625" style="1716" customWidth="1"/>
    <col min="10755" max="10755" width="7.453125" style="1716" customWidth="1"/>
    <col min="10756" max="10756" width="3.81640625" style="1716" customWidth="1"/>
    <col min="10757" max="10757" width="8.453125" style="1716" customWidth="1"/>
    <col min="10758" max="10758" width="3.453125" style="1716" customWidth="1"/>
    <col min="10759" max="10759" width="4.453125" style="1716" customWidth="1"/>
    <col min="10760" max="10761" width="9.1796875" style="1716" customWidth="1"/>
    <col min="10762" max="10762" width="8.7265625" style="1716" customWidth="1"/>
    <col min="10763" max="11002" width="8.81640625" style="1716"/>
    <col min="11003" max="11003" width="4.1796875" style="1716" customWidth="1"/>
    <col min="11004" max="11004" width="54" style="1716" customWidth="1"/>
    <col min="11005" max="11005" width="8.1796875" style="1716" customWidth="1"/>
    <col min="11006" max="11006" width="4.453125" style="1716" customWidth="1"/>
    <col min="11007" max="11007" width="8.81640625" style="1716" customWidth="1"/>
    <col min="11008" max="11009" width="3.7265625" style="1716" customWidth="1"/>
    <col min="11010" max="11010" width="8.7265625" style="1716" customWidth="1"/>
    <col min="11011" max="11011" width="7.453125" style="1716" customWidth="1"/>
    <col min="11012" max="11012" width="3.81640625" style="1716" customWidth="1"/>
    <col min="11013" max="11013" width="8.453125" style="1716" customWidth="1"/>
    <col min="11014" max="11014" width="3.453125" style="1716" customWidth="1"/>
    <col min="11015" max="11015" width="4.453125" style="1716" customWidth="1"/>
    <col min="11016" max="11017" width="9.1796875" style="1716" customWidth="1"/>
    <col min="11018" max="11018" width="8.7265625" style="1716" customWidth="1"/>
    <col min="11019" max="11258" width="8.81640625" style="1716"/>
    <col min="11259" max="11259" width="4.1796875" style="1716" customWidth="1"/>
    <col min="11260" max="11260" width="54" style="1716" customWidth="1"/>
    <col min="11261" max="11261" width="8.1796875" style="1716" customWidth="1"/>
    <col min="11262" max="11262" width="4.453125" style="1716" customWidth="1"/>
    <col min="11263" max="11263" width="8.81640625" style="1716" customWidth="1"/>
    <col min="11264" max="11265" width="3.7265625" style="1716" customWidth="1"/>
    <col min="11266" max="11266" width="8.7265625" style="1716" customWidth="1"/>
    <col min="11267" max="11267" width="7.453125" style="1716" customWidth="1"/>
    <col min="11268" max="11268" width="3.81640625" style="1716" customWidth="1"/>
    <col min="11269" max="11269" width="8.453125" style="1716" customWidth="1"/>
    <col min="11270" max="11270" width="3.453125" style="1716" customWidth="1"/>
    <col min="11271" max="11271" width="4.453125" style="1716" customWidth="1"/>
    <col min="11272" max="11273" width="9.1796875" style="1716" customWidth="1"/>
    <col min="11274" max="11274" width="8.7265625" style="1716" customWidth="1"/>
    <col min="11275" max="11514" width="8.81640625" style="1716"/>
    <col min="11515" max="11515" width="4.1796875" style="1716" customWidth="1"/>
    <col min="11516" max="11516" width="54" style="1716" customWidth="1"/>
    <col min="11517" max="11517" width="8.1796875" style="1716" customWidth="1"/>
    <col min="11518" max="11518" width="4.453125" style="1716" customWidth="1"/>
    <col min="11519" max="11519" width="8.81640625" style="1716" customWidth="1"/>
    <col min="11520" max="11521" width="3.7265625" style="1716" customWidth="1"/>
    <col min="11522" max="11522" width="8.7265625" style="1716" customWidth="1"/>
    <col min="11523" max="11523" width="7.453125" style="1716" customWidth="1"/>
    <col min="11524" max="11524" width="3.81640625" style="1716" customWidth="1"/>
    <col min="11525" max="11525" width="8.453125" style="1716" customWidth="1"/>
    <col min="11526" max="11526" width="3.453125" style="1716" customWidth="1"/>
    <col min="11527" max="11527" width="4.453125" style="1716" customWidth="1"/>
    <col min="11528" max="11529" width="9.1796875" style="1716" customWidth="1"/>
    <col min="11530" max="11530" width="8.7265625" style="1716" customWidth="1"/>
    <col min="11531" max="11770" width="8.81640625" style="1716"/>
    <col min="11771" max="11771" width="4.1796875" style="1716" customWidth="1"/>
    <col min="11772" max="11772" width="54" style="1716" customWidth="1"/>
    <col min="11773" max="11773" width="8.1796875" style="1716" customWidth="1"/>
    <col min="11774" max="11774" width="4.453125" style="1716" customWidth="1"/>
    <col min="11775" max="11775" width="8.81640625" style="1716" customWidth="1"/>
    <col min="11776" max="11777" width="3.7265625" style="1716" customWidth="1"/>
    <col min="11778" max="11778" width="8.7265625" style="1716" customWidth="1"/>
    <col min="11779" max="11779" width="7.453125" style="1716" customWidth="1"/>
    <col min="11780" max="11780" width="3.81640625" style="1716" customWidth="1"/>
    <col min="11781" max="11781" width="8.453125" style="1716" customWidth="1"/>
    <col min="11782" max="11782" width="3.453125" style="1716" customWidth="1"/>
    <col min="11783" max="11783" width="4.453125" style="1716" customWidth="1"/>
    <col min="11784" max="11785" width="9.1796875" style="1716" customWidth="1"/>
    <col min="11786" max="11786" width="8.7265625" style="1716" customWidth="1"/>
    <col min="11787" max="12026" width="8.81640625" style="1716"/>
    <col min="12027" max="12027" width="4.1796875" style="1716" customWidth="1"/>
    <col min="12028" max="12028" width="54" style="1716" customWidth="1"/>
    <col min="12029" max="12029" width="8.1796875" style="1716" customWidth="1"/>
    <col min="12030" max="12030" width="4.453125" style="1716" customWidth="1"/>
    <col min="12031" max="12031" width="8.81640625" style="1716" customWidth="1"/>
    <col min="12032" max="12033" width="3.7265625" style="1716" customWidth="1"/>
    <col min="12034" max="12034" width="8.7265625" style="1716" customWidth="1"/>
    <col min="12035" max="12035" width="7.453125" style="1716" customWidth="1"/>
    <col min="12036" max="12036" width="3.81640625" style="1716" customWidth="1"/>
    <col min="12037" max="12037" width="8.453125" style="1716" customWidth="1"/>
    <col min="12038" max="12038" width="3.453125" style="1716" customWidth="1"/>
    <col min="12039" max="12039" width="4.453125" style="1716" customWidth="1"/>
    <col min="12040" max="12041" width="9.1796875" style="1716" customWidth="1"/>
    <col min="12042" max="12042" width="8.7265625" style="1716" customWidth="1"/>
    <col min="12043" max="12282" width="8.81640625" style="1716"/>
    <col min="12283" max="12283" width="4.1796875" style="1716" customWidth="1"/>
    <col min="12284" max="12284" width="54" style="1716" customWidth="1"/>
    <col min="12285" max="12285" width="8.1796875" style="1716" customWidth="1"/>
    <col min="12286" max="12286" width="4.453125" style="1716" customWidth="1"/>
    <col min="12287" max="12287" width="8.81640625" style="1716" customWidth="1"/>
    <col min="12288" max="12289" width="3.7265625" style="1716" customWidth="1"/>
    <col min="12290" max="12290" width="8.7265625" style="1716" customWidth="1"/>
    <col min="12291" max="12291" width="7.453125" style="1716" customWidth="1"/>
    <col min="12292" max="12292" width="3.81640625" style="1716" customWidth="1"/>
    <col min="12293" max="12293" width="8.453125" style="1716" customWidth="1"/>
    <col min="12294" max="12294" width="3.453125" style="1716" customWidth="1"/>
    <col min="12295" max="12295" width="4.453125" style="1716" customWidth="1"/>
    <col min="12296" max="12297" width="9.1796875" style="1716" customWidth="1"/>
    <col min="12298" max="12298" width="8.7265625" style="1716" customWidth="1"/>
    <col min="12299" max="12538" width="8.81640625" style="1716"/>
    <col min="12539" max="12539" width="4.1796875" style="1716" customWidth="1"/>
    <col min="12540" max="12540" width="54" style="1716" customWidth="1"/>
    <col min="12541" max="12541" width="8.1796875" style="1716" customWidth="1"/>
    <col min="12542" max="12542" width="4.453125" style="1716" customWidth="1"/>
    <col min="12543" max="12543" width="8.81640625" style="1716" customWidth="1"/>
    <col min="12544" max="12545" width="3.7265625" style="1716" customWidth="1"/>
    <col min="12546" max="12546" width="8.7265625" style="1716" customWidth="1"/>
    <col min="12547" max="12547" width="7.453125" style="1716" customWidth="1"/>
    <col min="12548" max="12548" width="3.81640625" style="1716" customWidth="1"/>
    <col min="12549" max="12549" width="8.453125" style="1716" customWidth="1"/>
    <col min="12550" max="12550" width="3.453125" style="1716" customWidth="1"/>
    <col min="12551" max="12551" width="4.453125" style="1716" customWidth="1"/>
    <col min="12552" max="12553" width="9.1796875" style="1716" customWidth="1"/>
    <col min="12554" max="12554" width="8.7265625" style="1716" customWidth="1"/>
    <col min="12555" max="12794" width="8.81640625" style="1716"/>
    <col min="12795" max="12795" width="4.1796875" style="1716" customWidth="1"/>
    <col min="12796" max="12796" width="54" style="1716" customWidth="1"/>
    <col min="12797" max="12797" width="8.1796875" style="1716" customWidth="1"/>
    <col min="12798" max="12798" width="4.453125" style="1716" customWidth="1"/>
    <col min="12799" max="12799" width="8.81640625" style="1716" customWidth="1"/>
    <col min="12800" max="12801" width="3.7265625" style="1716" customWidth="1"/>
    <col min="12802" max="12802" width="8.7265625" style="1716" customWidth="1"/>
    <col min="12803" max="12803" width="7.453125" style="1716" customWidth="1"/>
    <col min="12804" max="12804" width="3.81640625" style="1716" customWidth="1"/>
    <col min="12805" max="12805" width="8.453125" style="1716" customWidth="1"/>
    <col min="12806" max="12806" width="3.453125" style="1716" customWidth="1"/>
    <col min="12807" max="12807" width="4.453125" style="1716" customWidth="1"/>
    <col min="12808" max="12809" width="9.1796875" style="1716" customWidth="1"/>
    <col min="12810" max="12810" width="8.7265625" style="1716" customWidth="1"/>
    <col min="12811" max="13050" width="8.81640625" style="1716"/>
    <col min="13051" max="13051" width="4.1796875" style="1716" customWidth="1"/>
    <col min="13052" max="13052" width="54" style="1716" customWidth="1"/>
    <col min="13053" max="13053" width="8.1796875" style="1716" customWidth="1"/>
    <col min="13054" max="13054" width="4.453125" style="1716" customWidth="1"/>
    <col min="13055" max="13055" width="8.81640625" style="1716" customWidth="1"/>
    <col min="13056" max="13057" width="3.7265625" style="1716" customWidth="1"/>
    <col min="13058" max="13058" width="8.7265625" style="1716" customWidth="1"/>
    <col min="13059" max="13059" width="7.453125" style="1716" customWidth="1"/>
    <col min="13060" max="13060" width="3.81640625" style="1716" customWidth="1"/>
    <col min="13061" max="13061" width="8.453125" style="1716" customWidth="1"/>
    <col min="13062" max="13062" width="3.453125" style="1716" customWidth="1"/>
    <col min="13063" max="13063" width="4.453125" style="1716" customWidth="1"/>
    <col min="13064" max="13065" width="9.1796875" style="1716" customWidth="1"/>
    <col min="13066" max="13066" width="8.7265625" style="1716" customWidth="1"/>
    <col min="13067" max="13306" width="8.81640625" style="1716"/>
    <col min="13307" max="13307" width="4.1796875" style="1716" customWidth="1"/>
    <col min="13308" max="13308" width="54" style="1716" customWidth="1"/>
    <col min="13309" max="13309" width="8.1796875" style="1716" customWidth="1"/>
    <col min="13310" max="13310" width="4.453125" style="1716" customWidth="1"/>
    <col min="13311" max="13311" width="8.81640625" style="1716" customWidth="1"/>
    <col min="13312" max="13313" width="3.7265625" style="1716" customWidth="1"/>
    <col min="13314" max="13314" width="8.7265625" style="1716" customWidth="1"/>
    <col min="13315" max="13315" width="7.453125" style="1716" customWidth="1"/>
    <col min="13316" max="13316" width="3.81640625" style="1716" customWidth="1"/>
    <col min="13317" max="13317" width="8.453125" style="1716" customWidth="1"/>
    <col min="13318" max="13318" width="3.453125" style="1716" customWidth="1"/>
    <col min="13319" max="13319" width="4.453125" style="1716" customWidth="1"/>
    <col min="13320" max="13321" width="9.1796875" style="1716" customWidth="1"/>
    <col min="13322" max="13322" width="8.7265625" style="1716" customWidth="1"/>
    <col min="13323" max="13562" width="8.81640625" style="1716"/>
    <col min="13563" max="13563" width="4.1796875" style="1716" customWidth="1"/>
    <col min="13564" max="13564" width="54" style="1716" customWidth="1"/>
    <col min="13565" max="13565" width="8.1796875" style="1716" customWidth="1"/>
    <col min="13566" max="13566" width="4.453125" style="1716" customWidth="1"/>
    <col min="13567" max="13567" width="8.81640625" style="1716" customWidth="1"/>
    <col min="13568" max="13569" width="3.7265625" style="1716" customWidth="1"/>
    <col min="13570" max="13570" width="8.7265625" style="1716" customWidth="1"/>
    <col min="13571" max="13571" width="7.453125" style="1716" customWidth="1"/>
    <col min="13572" max="13572" width="3.81640625" style="1716" customWidth="1"/>
    <col min="13573" max="13573" width="8.453125" style="1716" customWidth="1"/>
    <col min="13574" max="13574" width="3.453125" style="1716" customWidth="1"/>
    <col min="13575" max="13575" width="4.453125" style="1716" customWidth="1"/>
    <col min="13576" max="13577" width="9.1796875" style="1716" customWidth="1"/>
    <col min="13578" max="13578" width="8.7265625" style="1716" customWidth="1"/>
    <col min="13579" max="13818" width="8.81640625" style="1716"/>
    <col min="13819" max="13819" width="4.1796875" style="1716" customWidth="1"/>
    <col min="13820" max="13820" width="54" style="1716" customWidth="1"/>
    <col min="13821" max="13821" width="8.1796875" style="1716" customWidth="1"/>
    <col min="13822" max="13822" width="4.453125" style="1716" customWidth="1"/>
    <col min="13823" max="13823" width="8.81640625" style="1716" customWidth="1"/>
    <col min="13824" max="13825" width="3.7265625" style="1716" customWidth="1"/>
    <col min="13826" max="13826" width="8.7265625" style="1716" customWidth="1"/>
    <col min="13827" max="13827" width="7.453125" style="1716" customWidth="1"/>
    <col min="13828" max="13828" width="3.81640625" style="1716" customWidth="1"/>
    <col min="13829" max="13829" width="8.453125" style="1716" customWidth="1"/>
    <col min="13830" max="13830" width="3.453125" style="1716" customWidth="1"/>
    <col min="13831" max="13831" width="4.453125" style="1716" customWidth="1"/>
    <col min="13832" max="13833" width="9.1796875" style="1716" customWidth="1"/>
    <col min="13834" max="13834" width="8.7265625" style="1716" customWidth="1"/>
    <col min="13835" max="14074" width="8.81640625" style="1716"/>
    <col min="14075" max="14075" width="4.1796875" style="1716" customWidth="1"/>
    <col min="14076" max="14076" width="54" style="1716" customWidth="1"/>
    <col min="14077" max="14077" width="8.1796875" style="1716" customWidth="1"/>
    <col min="14078" max="14078" width="4.453125" style="1716" customWidth="1"/>
    <col min="14079" max="14079" width="8.81640625" style="1716" customWidth="1"/>
    <col min="14080" max="14081" width="3.7265625" style="1716" customWidth="1"/>
    <col min="14082" max="14082" width="8.7265625" style="1716" customWidth="1"/>
    <col min="14083" max="14083" width="7.453125" style="1716" customWidth="1"/>
    <col min="14084" max="14084" width="3.81640625" style="1716" customWidth="1"/>
    <col min="14085" max="14085" width="8.453125" style="1716" customWidth="1"/>
    <col min="14086" max="14086" width="3.453125" style="1716" customWidth="1"/>
    <col min="14087" max="14087" width="4.453125" style="1716" customWidth="1"/>
    <col min="14088" max="14089" width="9.1796875" style="1716" customWidth="1"/>
    <col min="14090" max="14090" width="8.7265625" style="1716" customWidth="1"/>
    <col min="14091" max="14330" width="8.81640625" style="1716"/>
    <col min="14331" max="14331" width="4.1796875" style="1716" customWidth="1"/>
    <col min="14332" max="14332" width="54" style="1716" customWidth="1"/>
    <col min="14333" max="14333" width="8.1796875" style="1716" customWidth="1"/>
    <col min="14334" max="14334" width="4.453125" style="1716" customWidth="1"/>
    <col min="14335" max="14335" width="8.81640625" style="1716" customWidth="1"/>
    <col min="14336" max="14337" width="3.7265625" style="1716" customWidth="1"/>
    <col min="14338" max="14338" width="8.7265625" style="1716" customWidth="1"/>
    <col min="14339" max="14339" width="7.453125" style="1716" customWidth="1"/>
    <col min="14340" max="14340" width="3.81640625" style="1716" customWidth="1"/>
    <col min="14341" max="14341" width="8.453125" style="1716" customWidth="1"/>
    <col min="14342" max="14342" width="3.453125" style="1716" customWidth="1"/>
    <col min="14343" max="14343" width="4.453125" style="1716" customWidth="1"/>
    <col min="14344" max="14345" width="9.1796875" style="1716" customWidth="1"/>
    <col min="14346" max="14346" width="8.7265625" style="1716" customWidth="1"/>
    <col min="14347" max="14586" width="8.81640625" style="1716"/>
    <col min="14587" max="14587" width="4.1796875" style="1716" customWidth="1"/>
    <col min="14588" max="14588" width="54" style="1716" customWidth="1"/>
    <col min="14589" max="14589" width="8.1796875" style="1716" customWidth="1"/>
    <col min="14590" max="14590" width="4.453125" style="1716" customWidth="1"/>
    <col min="14591" max="14591" width="8.81640625" style="1716" customWidth="1"/>
    <col min="14592" max="14593" width="3.7265625" style="1716" customWidth="1"/>
    <col min="14594" max="14594" width="8.7265625" style="1716" customWidth="1"/>
    <col min="14595" max="14595" width="7.453125" style="1716" customWidth="1"/>
    <col min="14596" max="14596" width="3.81640625" style="1716" customWidth="1"/>
    <col min="14597" max="14597" width="8.453125" style="1716" customWidth="1"/>
    <col min="14598" max="14598" width="3.453125" style="1716" customWidth="1"/>
    <col min="14599" max="14599" width="4.453125" style="1716" customWidth="1"/>
    <col min="14600" max="14601" width="9.1796875" style="1716" customWidth="1"/>
    <col min="14602" max="14602" width="8.7265625" style="1716" customWidth="1"/>
    <col min="14603" max="14842" width="8.81640625" style="1716"/>
    <col min="14843" max="14843" width="4.1796875" style="1716" customWidth="1"/>
    <col min="14844" max="14844" width="54" style="1716" customWidth="1"/>
    <col min="14845" max="14845" width="8.1796875" style="1716" customWidth="1"/>
    <col min="14846" max="14846" width="4.453125" style="1716" customWidth="1"/>
    <col min="14847" max="14847" width="8.81640625" style="1716" customWidth="1"/>
    <col min="14848" max="14849" width="3.7265625" style="1716" customWidth="1"/>
    <col min="14850" max="14850" width="8.7265625" style="1716" customWidth="1"/>
    <col min="14851" max="14851" width="7.453125" style="1716" customWidth="1"/>
    <col min="14852" max="14852" width="3.81640625" style="1716" customWidth="1"/>
    <col min="14853" max="14853" width="8.453125" style="1716" customWidth="1"/>
    <col min="14854" max="14854" width="3.453125" style="1716" customWidth="1"/>
    <col min="14855" max="14855" width="4.453125" style="1716" customWidth="1"/>
    <col min="14856" max="14857" width="9.1796875" style="1716" customWidth="1"/>
    <col min="14858" max="14858" width="8.7265625" style="1716" customWidth="1"/>
    <col min="14859" max="15098" width="8.81640625" style="1716"/>
    <col min="15099" max="15099" width="4.1796875" style="1716" customWidth="1"/>
    <col min="15100" max="15100" width="54" style="1716" customWidth="1"/>
    <col min="15101" max="15101" width="8.1796875" style="1716" customWidth="1"/>
    <col min="15102" max="15102" width="4.453125" style="1716" customWidth="1"/>
    <col min="15103" max="15103" width="8.81640625" style="1716" customWidth="1"/>
    <col min="15104" max="15105" width="3.7265625" style="1716" customWidth="1"/>
    <col min="15106" max="15106" width="8.7265625" style="1716" customWidth="1"/>
    <col min="15107" max="15107" width="7.453125" style="1716" customWidth="1"/>
    <col min="15108" max="15108" width="3.81640625" style="1716" customWidth="1"/>
    <col min="15109" max="15109" width="8.453125" style="1716" customWidth="1"/>
    <col min="15110" max="15110" width="3.453125" style="1716" customWidth="1"/>
    <col min="15111" max="15111" width="4.453125" style="1716" customWidth="1"/>
    <col min="15112" max="15113" width="9.1796875" style="1716" customWidth="1"/>
    <col min="15114" max="15114" width="8.7265625" style="1716" customWidth="1"/>
    <col min="15115" max="15354" width="8.81640625" style="1716"/>
    <col min="15355" max="15355" width="4.1796875" style="1716" customWidth="1"/>
    <col min="15356" max="15356" width="54" style="1716" customWidth="1"/>
    <col min="15357" max="15357" width="8.1796875" style="1716" customWidth="1"/>
    <col min="15358" max="15358" width="4.453125" style="1716" customWidth="1"/>
    <col min="15359" max="15359" width="8.81640625" style="1716" customWidth="1"/>
    <col min="15360" max="15361" width="3.7265625" style="1716" customWidth="1"/>
    <col min="15362" max="15362" width="8.7265625" style="1716" customWidth="1"/>
    <col min="15363" max="15363" width="7.453125" style="1716" customWidth="1"/>
    <col min="15364" max="15364" width="3.81640625" style="1716" customWidth="1"/>
    <col min="15365" max="15365" width="8.453125" style="1716" customWidth="1"/>
    <col min="15366" max="15366" width="3.453125" style="1716" customWidth="1"/>
    <col min="15367" max="15367" width="4.453125" style="1716" customWidth="1"/>
    <col min="15368" max="15369" width="9.1796875" style="1716" customWidth="1"/>
    <col min="15370" max="15370" width="8.7265625" style="1716" customWidth="1"/>
    <col min="15371" max="15610" width="8.81640625" style="1716"/>
    <col min="15611" max="15611" width="4.1796875" style="1716" customWidth="1"/>
    <col min="15612" max="15612" width="54" style="1716" customWidth="1"/>
    <col min="15613" max="15613" width="8.1796875" style="1716" customWidth="1"/>
    <col min="15614" max="15614" width="4.453125" style="1716" customWidth="1"/>
    <col min="15615" max="15615" width="8.81640625" style="1716" customWidth="1"/>
    <col min="15616" max="15617" width="3.7265625" style="1716" customWidth="1"/>
    <col min="15618" max="15618" width="8.7265625" style="1716" customWidth="1"/>
    <col min="15619" max="15619" width="7.453125" style="1716" customWidth="1"/>
    <col min="15620" max="15620" width="3.81640625" style="1716" customWidth="1"/>
    <col min="15621" max="15621" width="8.453125" style="1716" customWidth="1"/>
    <col min="15622" max="15622" width="3.453125" style="1716" customWidth="1"/>
    <col min="15623" max="15623" width="4.453125" style="1716" customWidth="1"/>
    <col min="15624" max="15625" width="9.1796875" style="1716" customWidth="1"/>
    <col min="15626" max="15626" width="8.7265625" style="1716" customWidth="1"/>
    <col min="15627" max="15866" width="8.81640625" style="1716"/>
    <col min="15867" max="15867" width="4.1796875" style="1716" customWidth="1"/>
    <col min="15868" max="15868" width="54" style="1716" customWidth="1"/>
    <col min="15869" max="15869" width="8.1796875" style="1716" customWidth="1"/>
    <col min="15870" max="15870" width="4.453125" style="1716" customWidth="1"/>
    <col min="15871" max="15871" width="8.81640625" style="1716" customWidth="1"/>
    <col min="15872" max="15873" width="3.7265625" style="1716" customWidth="1"/>
    <col min="15874" max="15874" width="8.7265625" style="1716" customWidth="1"/>
    <col min="15875" max="15875" width="7.453125" style="1716" customWidth="1"/>
    <col min="15876" max="15876" width="3.81640625" style="1716" customWidth="1"/>
    <col min="15877" max="15877" width="8.453125" style="1716" customWidth="1"/>
    <col min="15878" max="15878" width="3.453125" style="1716" customWidth="1"/>
    <col min="15879" max="15879" width="4.453125" style="1716" customWidth="1"/>
    <col min="15880" max="15881" width="9.1796875" style="1716" customWidth="1"/>
    <col min="15882" max="15882" width="8.7265625" style="1716" customWidth="1"/>
    <col min="15883" max="16122" width="8.81640625" style="1716"/>
    <col min="16123" max="16123" width="4.1796875" style="1716" customWidth="1"/>
    <col min="16124" max="16124" width="54" style="1716" customWidth="1"/>
    <col min="16125" max="16125" width="8.1796875" style="1716" customWidth="1"/>
    <col min="16126" max="16126" width="4.453125" style="1716" customWidth="1"/>
    <col min="16127" max="16127" width="8.81640625" style="1716" customWidth="1"/>
    <col min="16128" max="16129" width="3.7265625" style="1716" customWidth="1"/>
    <col min="16130" max="16130" width="8.7265625" style="1716" customWidth="1"/>
    <col min="16131" max="16131" width="7.453125" style="1716" customWidth="1"/>
    <col min="16132" max="16132" width="3.81640625" style="1716" customWidth="1"/>
    <col min="16133" max="16133" width="8.453125" style="1716" customWidth="1"/>
    <col min="16134" max="16134" width="3.453125" style="1716" customWidth="1"/>
    <col min="16135" max="16135" width="4.453125" style="1716" customWidth="1"/>
    <col min="16136" max="16137" width="9.1796875" style="1716" customWidth="1"/>
    <col min="16138" max="16138" width="8.7265625" style="1716" customWidth="1"/>
    <col min="16139" max="16384" width="8.81640625" style="1716"/>
  </cols>
  <sheetData>
    <row r="1" spans="1:10" ht="17.25" customHeight="1">
      <c r="A1" s="1965" t="s">
        <v>2119</v>
      </c>
      <c r="B1" s="1965"/>
      <c r="C1" s="1965"/>
      <c r="D1" s="1965"/>
      <c r="E1" s="1965"/>
      <c r="F1" s="1965"/>
      <c r="G1" s="1965"/>
      <c r="H1" s="1965"/>
      <c r="I1" s="1965"/>
      <c r="J1" s="1965"/>
    </row>
    <row r="2" spans="1:10" ht="23.25" customHeight="1">
      <c r="A2" s="1921" t="str">
        <f>'Abstract (2)'!A2:J2</f>
        <v>Name of work :: Construction of Function Hall at Kadapanatham Of Baireddipalle Mandal</v>
      </c>
      <c r="B2" s="1922"/>
      <c r="C2" s="1922"/>
      <c r="D2" s="1922"/>
      <c r="E2" s="1922"/>
      <c r="F2" s="1922"/>
      <c r="G2" s="1922"/>
      <c r="H2" s="1922"/>
      <c r="I2" s="1922"/>
      <c r="J2" s="1922"/>
    </row>
    <row r="3" spans="1:10" ht="17.25" customHeight="1">
      <c r="A3" s="1717"/>
      <c r="B3" s="1718"/>
      <c r="C3" s="1717"/>
      <c r="D3" s="1717"/>
      <c r="E3" s="1717"/>
      <c r="H3" s="1719"/>
    </row>
    <row r="4" spans="1:10" ht="17.25" customHeight="1">
      <c r="A4" s="1966" t="s">
        <v>2120</v>
      </c>
      <c r="B4" s="1966" t="s">
        <v>1021</v>
      </c>
      <c r="C4" s="1967" t="s">
        <v>2121</v>
      </c>
      <c r="D4" s="1968"/>
      <c r="E4" s="1969"/>
      <c r="F4" s="1967" t="s">
        <v>2122</v>
      </c>
      <c r="G4" s="1968"/>
      <c r="H4" s="1969"/>
      <c r="I4" s="1967" t="s">
        <v>2123</v>
      </c>
      <c r="J4" s="1969"/>
    </row>
    <row r="5" spans="1:10" ht="83.25" customHeight="1">
      <c r="A5" s="1966"/>
      <c r="B5" s="1966"/>
      <c r="C5" s="1720" t="s">
        <v>235</v>
      </c>
      <c r="D5" s="1720" t="s">
        <v>2124</v>
      </c>
      <c r="E5" s="1720" t="s">
        <v>2125</v>
      </c>
      <c r="F5" s="1721" t="s">
        <v>235</v>
      </c>
      <c r="G5" s="1721" t="s">
        <v>2124</v>
      </c>
      <c r="H5" s="1721" t="s">
        <v>2125</v>
      </c>
      <c r="I5" s="1722" t="s">
        <v>2126</v>
      </c>
      <c r="J5" s="1721" t="s">
        <v>2127</v>
      </c>
    </row>
    <row r="6" spans="1:10">
      <c r="A6" s="1723">
        <v>1</v>
      </c>
      <c r="B6" s="1723">
        <v>2</v>
      </c>
      <c r="C6" s="1723">
        <v>3</v>
      </c>
      <c r="D6" s="1723">
        <v>4</v>
      </c>
      <c r="E6" s="1723">
        <v>6</v>
      </c>
      <c r="F6" s="1724">
        <v>7</v>
      </c>
      <c r="G6" s="1724">
        <v>8</v>
      </c>
      <c r="H6" s="1724">
        <v>10</v>
      </c>
      <c r="I6" s="1724">
        <v>11</v>
      </c>
      <c r="J6" s="1724">
        <v>12</v>
      </c>
    </row>
    <row r="7" spans="1:10" ht="114.75" hidden="1" customHeight="1">
      <c r="A7" s="1725">
        <v>1</v>
      </c>
      <c r="B7" s="1961" t="s">
        <v>2128</v>
      </c>
      <c r="C7" s="1962"/>
      <c r="D7" s="1962"/>
      <c r="E7" s="1726"/>
    </row>
    <row r="8" spans="1:10" ht="36" hidden="1" customHeight="1">
      <c r="A8" s="1727"/>
      <c r="B8" s="1728" t="s">
        <v>2129</v>
      </c>
      <c r="C8" s="1729" t="e">
        <f>ROUND(#REF!*#REF!*#REF!,2)</f>
        <v>#REF!</v>
      </c>
      <c r="D8" s="1730"/>
      <c r="E8" s="1730"/>
      <c r="F8" s="1716" t="e">
        <v>#REF!</v>
      </c>
    </row>
    <row r="9" spans="1:10" ht="18.75" hidden="1" customHeight="1">
      <c r="A9" s="1731"/>
      <c r="B9" s="1732"/>
      <c r="C9" s="1733"/>
      <c r="D9" s="1733">
        <v>1670.79</v>
      </c>
      <c r="E9" s="1733" t="e">
        <f>ROUND(C9*D9/#REF!,0)</f>
        <v>#REF!</v>
      </c>
      <c r="G9" s="1716">
        <v>1670.79</v>
      </c>
      <c r="H9" s="1716">
        <v>0</v>
      </c>
    </row>
    <row r="10" spans="1:10" ht="72" hidden="1">
      <c r="A10" s="1730">
        <v>1</v>
      </c>
      <c r="B10" s="1734" t="s">
        <v>2130</v>
      </c>
      <c r="C10" s="1735"/>
      <c r="D10" s="1736"/>
      <c r="E10" s="1736"/>
      <c r="F10" s="1735"/>
      <c r="G10" s="1736"/>
      <c r="H10" s="1736"/>
      <c r="I10" s="1737"/>
      <c r="J10" s="1737"/>
    </row>
    <row r="11" spans="1:10" ht="15" hidden="1" customHeight="1">
      <c r="A11" s="1730"/>
      <c r="B11" s="1734"/>
      <c r="C11" s="1738">
        <v>0</v>
      </c>
      <c r="D11" s="1739">
        <f>G11</f>
        <v>105.71</v>
      </c>
      <c r="E11" s="1740">
        <f>ROUND(C11*D11,0)</f>
        <v>0</v>
      </c>
      <c r="F11" s="1737">
        <v>0</v>
      </c>
      <c r="G11" s="1737">
        <f>'[124]WE-5.00'!E11</f>
        <v>105.71</v>
      </c>
      <c r="H11" s="1737">
        <f>ROUND(F11*G11,0)</f>
        <v>0</v>
      </c>
      <c r="I11" s="1741">
        <f>IF(H11&gt;E11,H11-E11,0)</f>
        <v>0</v>
      </c>
      <c r="J11" s="1741">
        <f>IF(H11&lt;E11,E11-H11,0)</f>
        <v>0</v>
      </c>
    </row>
    <row r="12" spans="1:10" ht="72" hidden="1">
      <c r="A12" s="1730">
        <v>2</v>
      </c>
      <c r="B12" s="1734" t="s">
        <v>2131</v>
      </c>
      <c r="C12" s="1742"/>
      <c r="D12" s="1743"/>
      <c r="E12" s="1744"/>
      <c r="F12" s="1745"/>
      <c r="G12" s="1745"/>
      <c r="H12" s="1745"/>
      <c r="I12" s="1745"/>
      <c r="J12" s="1745"/>
    </row>
    <row r="13" spans="1:10" ht="15" hidden="1" customHeight="1">
      <c r="A13" s="1730"/>
      <c r="B13" s="1734"/>
      <c r="C13" s="1739">
        <v>0</v>
      </c>
      <c r="D13" s="1739">
        <f>G13</f>
        <v>395.25</v>
      </c>
      <c r="E13" s="1740">
        <f>ROUND(C13*D13,0)</f>
        <v>0</v>
      </c>
      <c r="F13" s="1737">
        <v>0</v>
      </c>
      <c r="G13" s="1737">
        <f>'[124]WE-5.00'!E17</f>
        <v>395.25</v>
      </c>
      <c r="H13" s="1737">
        <f>ROUND(F13*G13,0)</f>
        <v>0</v>
      </c>
      <c r="I13" s="1741">
        <f>IF(H13&gt;E13,H13-E13,0)</f>
        <v>0</v>
      </c>
      <c r="J13" s="1741">
        <f>IF(H13&lt;E13,E13-H13,0)</f>
        <v>0</v>
      </c>
    </row>
    <row r="14" spans="1:10" ht="36" hidden="1">
      <c r="A14" s="1730">
        <v>3</v>
      </c>
      <c r="B14" s="1734" t="s">
        <v>2132</v>
      </c>
      <c r="C14" s="1735"/>
      <c r="D14" s="1743"/>
      <c r="E14" s="1744"/>
      <c r="F14" s="1745"/>
      <c r="G14" s="1745"/>
      <c r="H14" s="1745"/>
      <c r="I14" s="1745"/>
      <c r="J14" s="1745"/>
    </row>
    <row r="15" spans="1:10" ht="13.5" hidden="1" customHeight="1">
      <c r="A15" s="1730"/>
      <c r="B15" s="1734"/>
      <c r="C15" s="1739">
        <v>0</v>
      </c>
      <c r="D15" s="1739">
        <f>G15</f>
        <v>3067.35</v>
      </c>
      <c r="E15" s="1740">
        <f>ROUND(C15*D15,0)</f>
        <v>0</v>
      </c>
      <c r="F15" s="1737">
        <v>0</v>
      </c>
      <c r="G15" s="1737">
        <f>'[124]WE-5.00'!E24</f>
        <v>3067.35</v>
      </c>
      <c r="H15" s="1737">
        <f>ROUND(F15*G15,0)</f>
        <v>0</v>
      </c>
      <c r="I15" s="1741">
        <f>IF(H15&gt;E15,H15-E15,0)</f>
        <v>0</v>
      </c>
      <c r="J15" s="1741">
        <f>IF(H15&lt;E15,E15-H15,0)</f>
        <v>0</v>
      </c>
    </row>
    <row r="16" spans="1:10">
      <c r="A16" s="1730">
        <v>1</v>
      </c>
      <c r="B16" s="1746" t="s">
        <v>2181</v>
      </c>
      <c r="C16" s="1735"/>
      <c r="D16" s="1739"/>
      <c r="E16" s="1740"/>
      <c r="F16" s="1737"/>
      <c r="G16" s="1737"/>
    </row>
    <row r="17" spans="1:10" ht="28.5" customHeight="1">
      <c r="A17" s="1730"/>
      <c r="C17" s="1823">
        <v>1</v>
      </c>
      <c r="D17" s="1747">
        <v>3500000</v>
      </c>
      <c r="E17" s="1748">
        <f>D17</f>
        <v>3500000</v>
      </c>
      <c r="F17" s="1826">
        <v>1</v>
      </c>
      <c r="G17" s="1749">
        <v>4000000</v>
      </c>
      <c r="H17" s="1750">
        <f>G17</f>
        <v>4000000</v>
      </c>
      <c r="I17" s="1751">
        <f>H17-E17</f>
        <v>500000</v>
      </c>
      <c r="J17" s="1751">
        <f>IF(H17&lt;E16,E16-H17,0)</f>
        <v>0</v>
      </c>
    </row>
    <row r="18" spans="1:10">
      <c r="A18" s="1730">
        <v>2</v>
      </c>
      <c r="B18" s="1734" t="s">
        <v>1969</v>
      </c>
      <c r="C18" s="1736"/>
      <c r="D18" s="1739"/>
      <c r="E18" s="1748"/>
      <c r="F18" s="1827"/>
      <c r="G18" s="1737"/>
      <c r="H18" s="1752"/>
      <c r="I18" s="1751"/>
      <c r="J18" s="1751"/>
    </row>
    <row r="19" spans="1:10" ht="30" customHeight="1">
      <c r="A19" s="1730"/>
      <c r="B19" s="1746"/>
      <c r="C19" s="1823">
        <v>0</v>
      </c>
      <c r="D19" s="1747">
        <v>0</v>
      </c>
      <c r="E19" s="1748">
        <v>0</v>
      </c>
      <c r="F19" s="1826">
        <v>1</v>
      </c>
      <c r="G19" s="1749">
        <v>2180000</v>
      </c>
      <c r="H19" s="1750">
        <v>2180000</v>
      </c>
      <c r="I19" s="1751">
        <f>IF(H19&gt;E19,H19-E18,0)</f>
        <v>2180000</v>
      </c>
      <c r="J19" s="1751">
        <f>IF(H19&lt;E18,E18-H19,0)</f>
        <v>0</v>
      </c>
    </row>
    <row r="20" spans="1:10" ht="24" customHeight="1">
      <c r="A20" s="1730">
        <v>3</v>
      </c>
      <c r="B20" s="1746" t="s">
        <v>1972</v>
      </c>
      <c r="C20" s="1824"/>
      <c r="D20" s="1728"/>
      <c r="E20" s="1753"/>
      <c r="F20" s="1824"/>
      <c r="G20" s="1728"/>
      <c r="H20" s="1753"/>
      <c r="I20" s="1728"/>
      <c r="J20" s="1728"/>
    </row>
    <row r="21" spans="1:10" ht="25.5" customHeight="1">
      <c r="A21" s="1730"/>
      <c r="B21" s="1746"/>
      <c r="C21" s="1825">
        <v>0</v>
      </c>
      <c r="D21" s="1747">
        <v>0</v>
      </c>
      <c r="E21" s="1748">
        <v>0</v>
      </c>
      <c r="F21" s="1826">
        <v>1</v>
      </c>
      <c r="G21" s="1749">
        <v>1750000</v>
      </c>
      <c r="H21" s="1750">
        <f>ROUND(F21*G21,0)</f>
        <v>1750000</v>
      </c>
      <c r="I21" s="1751">
        <f>IF(H21&gt;E21,H21-E20,0)</f>
        <v>1750000</v>
      </c>
      <c r="J21" s="1751">
        <f>IF(H21&lt;E20,E20-H21,0)</f>
        <v>0</v>
      </c>
    </row>
    <row r="22" spans="1:10" ht="15.75" customHeight="1" thickBot="1">
      <c r="A22" s="1730"/>
      <c r="B22" s="1734"/>
      <c r="C22" s="1754"/>
      <c r="D22" s="1739"/>
      <c r="E22" s="1740"/>
      <c r="F22" s="1737"/>
      <c r="G22" s="1737"/>
      <c r="H22" s="1749"/>
      <c r="I22" s="1751"/>
      <c r="J22" s="1751"/>
    </row>
    <row r="23" spans="1:10" ht="114.75" hidden="1" customHeight="1">
      <c r="A23" s="1730">
        <v>19</v>
      </c>
      <c r="B23" s="1734" t="str">
        <f>'[124]WE-5.00'!B71</f>
        <v xml:space="preserve">Providing skirting to internal walls to 15 cm height/risers of steps with 25 mm thick with polished cuddapah slabs length equal to flooring stones, set over base coat of CM (1:3) 12 mm thick with cement slurry of honey like consistency spread at the rate of 3.30 kgs per sqm and jointed with white cement paste mixed with pigment of matching shade to full depth, including cost of all materials like Shahabad stone, cement, sand and water etc., complete including seigniorage charges, etc., complete for finished item of work, </v>
      </c>
      <c r="C23" s="1754"/>
      <c r="D23" s="1754"/>
      <c r="E23" s="1755"/>
      <c r="F23" s="1737" t="e">
        <f>'[124]WE-5.00'!C72</f>
        <v>#REF!</v>
      </c>
      <c r="G23" s="1745"/>
      <c r="H23" s="1750"/>
      <c r="I23" s="1751">
        <f>IF(H23&gt;E23,H23-E23,0)</f>
        <v>0</v>
      </c>
      <c r="J23" s="1751">
        <f>IF(H23&lt;E23,E23-H23,0)</f>
        <v>0</v>
      </c>
    </row>
    <row r="24" spans="1:10" ht="22.5" hidden="1" customHeight="1">
      <c r="A24" s="1730"/>
      <c r="B24" s="1734" t="str">
        <f>'[124]WE-5.00'!B72</f>
        <v>vp 25</v>
      </c>
      <c r="C24" s="1756"/>
      <c r="D24" s="1757" t="s">
        <v>142</v>
      </c>
      <c r="E24" s="1758">
        <f>SUM(E23:E23)</f>
        <v>0</v>
      </c>
      <c r="F24" s="1759"/>
      <c r="G24" s="1759"/>
      <c r="H24" s="1760">
        <f>SUM(H23:H23)</f>
        <v>0</v>
      </c>
      <c r="I24" s="1760">
        <f>SUM(I11:I23)</f>
        <v>4430000</v>
      </c>
      <c r="J24" s="1761">
        <f>SUM(J11:J23)</f>
        <v>0</v>
      </c>
    </row>
    <row r="25" spans="1:10" ht="20.25" customHeight="1" thickTop="1" thickBot="1">
      <c r="A25" s="1762"/>
      <c r="B25" s="1763"/>
      <c r="C25" s="1763"/>
      <c r="D25" s="1763"/>
      <c r="E25" s="1764">
        <f>SUM(E17:E22)</f>
        <v>3500000</v>
      </c>
      <c r="F25" s="1763"/>
      <c r="G25" s="1763"/>
      <c r="H25" s="1764">
        <f>SUM(H17:H22)</f>
        <v>7930000</v>
      </c>
      <c r="I25" s="1764">
        <f>SUM(I17:I22)</f>
        <v>4430000</v>
      </c>
      <c r="J25" s="1764">
        <f>SUM(J17:J22)</f>
        <v>0</v>
      </c>
    </row>
    <row r="26" spans="1:10" ht="18.5" thickTop="1">
      <c r="A26" s="1765"/>
      <c r="B26" s="1765"/>
      <c r="C26" s="1765"/>
      <c r="D26" s="1766"/>
      <c r="E26" s="1767"/>
      <c r="F26" s="1768"/>
      <c r="G26" s="1719"/>
      <c r="H26" s="1769"/>
    </row>
    <row r="27" spans="1:10">
      <c r="A27" s="1765"/>
      <c r="B27" s="1766" t="s">
        <v>2121</v>
      </c>
      <c r="C27" s="1963">
        <f>E25</f>
        <v>3500000</v>
      </c>
      <c r="D27" s="1963"/>
      <c r="G27" s="1716" t="s">
        <v>2133</v>
      </c>
      <c r="I27" s="1768">
        <f>I24</f>
        <v>4430000</v>
      </c>
    </row>
    <row r="28" spans="1:10" s="1771" customFormat="1" ht="18.5" thickBot="1">
      <c r="A28" s="1770"/>
      <c r="B28" s="1766" t="s">
        <v>2122</v>
      </c>
      <c r="C28" s="1963">
        <f>H25</f>
        <v>7930000</v>
      </c>
      <c r="D28" s="1963"/>
      <c r="G28" s="1716" t="s">
        <v>2134</v>
      </c>
      <c r="I28" s="1772">
        <f>J24</f>
        <v>0</v>
      </c>
    </row>
    <row r="29" spans="1:10" s="1771" customFormat="1" ht="19" thickTop="1" thickBot="1">
      <c r="A29" s="1770"/>
      <c r="B29" s="1766" t="s">
        <v>2123</v>
      </c>
      <c r="C29" s="1964">
        <f>C27-C28</f>
        <v>-4430000</v>
      </c>
      <c r="D29" s="1964"/>
      <c r="G29" s="1766" t="s">
        <v>2123</v>
      </c>
      <c r="I29" s="1763">
        <f>I28-I27</f>
        <v>-4430000</v>
      </c>
    </row>
    <row r="30" spans="1:10" s="1771" customFormat="1">
      <c r="A30" s="1770"/>
      <c r="B30" s="1773"/>
      <c r="C30" s="1774"/>
    </row>
    <row r="31" spans="1:10" s="1771" customFormat="1">
      <c r="A31" s="1770"/>
      <c r="B31" s="1770"/>
      <c r="C31" s="1774"/>
    </row>
    <row r="32" spans="1:10" s="1776" customFormat="1" hidden="1">
      <c r="A32" s="1775"/>
      <c r="B32" s="1773" t="s">
        <v>2135</v>
      </c>
    </row>
    <row r="33" spans="1:9" s="1776" customFormat="1" hidden="1">
      <c r="A33" s="1775"/>
      <c r="B33" s="1773" t="s">
        <v>2136</v>
      </c>
    </row>
    <row r="34" spans="1:9" s="1776" customFormat="1" hidden="1">
      <c r="A34" s="1775"/>
      <c r="B34" s="1773" t="s">
        <v>1722</v>
      </c>
    </row>
    <row r="35" spans="1:9">
      <c r="F35" s="1820" t="str">
        <f>'Specification (3)'!E35</f>
        <v>Dy.Exe.Engineer</v>
      </c>
      <c r="G35" s="1821"/>
      <c r="H35" s="1821"/>
      <c r="I35" s="1822" t="str">
        <f>'Specification (3)'!H35</f>
        <v>Asst. Exe Engineer</v>
      </c>
    </row>
    <row r="36" spans="1:9" ht="18.75" customHeight="1">
      <c r="F36" s="1820" t="str">
        <f>'Specification (3)'!E36</f>
        <v>PRI, Baireddipalle</v>
      </c>
      <c r="G36" s="1821"/>
      <c r="H36" s="1821"/>
      <c r="I36" s="1822" t="str">
        <f>'Specification (3)'!H36</f>
        <v>MPP, Baireddipalle</v>
      </c>
    </row>
    <row r="37" spans="1:9" ht="18.75" customHeight="1"/>
  </sheetData>
  <mergeCells count="10">
    <mergeCell ref="B7:D7"/>
    <mergeCell ref="C27:D27"/>
    <mergeCell ref="C28:D28"/>
    <mergeCell ref="C29:D29"/>
    <mergeCell ref="A1:J1"/>
    <mergeCell ref="A4:A5"/>
    <mergeCell ref="B4:B5"/>
    <mergeCell ref="C4:E4"/>
    <mergeCell ref="F4:H4"/>
    <mergeCell ref="I4:J4"/>
  </mergeCells>
  <printOptions horizontalCentered="1"/>
  <pageMargins left="0.19685039370078741" right="3.937007874015748E-2" top="0.27559055118110237" bottom="0.27559055118110237" header="0.15748031496062992" footer="0.15748031496062992"/>
  <pageSetup paperSize="9" fitToHeight="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sheetPr>
    <tabColor rgb="FFFF0000"/>
  </sheetPr>
  <dimension ref="B2:Q37"/>
  <sheetViews>
    <sheetView view="pageBreakPreview" topLeftCell="A16" zoomScaleSheetLayoutView="100" workbookViewId="0">
      <selection activeCell="B22" sqref="B22:H22"/>
    </sheetView>
  </sheetViews>
  <sheetFormatPr defaultColWidth="9.1796875" defaultRowHeight="13"/>
  <cols>
    <col min="1" max="1" width="3.1796875" style="1503" customWidth="1"/>
    <col min="2" max="2" width="5.453125" style="1503" customWidth="1"/>
    <col min="3" max="3" width="7.453125" style="1503" customWidth="1"/>
    <col min="4" max="4" width="13.453125" style="1503" customWidth="1"/>
    <col min="5" max="5" width="3.7265625" style="1503" customWidth="1"/>
    <col min="6" max="6" width="10.1796875" style="1503" customWidth="1"/>
    <col min="7" max="7" width="15.1796875" style="1503" customWidth="1"/>
    <col min="8" max="8" width="18" style="1503" customWidth="1"/>
    <col min="9" max="9" width="9.7265625" style="1503" customWidth="1"/>
    <col min="10" max="11" width="0" style="1503" hidden="1" customWidth="1"/>
    <col min="12" max="16384" width="9.1796875" style="1503"/>
  </cols>
  <sheetData>
    <row r="2" spans="2:9" ht="17.5">
      <c r="B2" s="1502"/>
      <c r="C2" s="1502"/>
      <c r="D2" s="1502"/>
      <c r="E2" s="1502"/>
      <c r="F2" s="1502"/>
      <c r="G2" s="1502"/>
      <c r="H2" s="1502"/>
      <c r="I2" s="1502"/>
    </row>
    <row r="3" spans="2:9" ht="17.5">
      <c r="B3" s="1502"/>
      <c r="C3" s="1502"/>
      <c r="D3" s="1502"/>
      <c r="E3" s="1502"/>
      <c r="F3" s="1502"/>
      <c r="G3" s="1502"/>
      <c r="H3" s="1502"/>
      <c r="I3" s="1502"/>
    </row>
    <row r="4" spans="2:9" ht="17.5">
      <c r="B4" s="1502"/>
      <c r="C4" s="1502"/>
      <c r="D4" s="1502"/>
      <c r="E4" s="1502"/>
      <c r="F4" s="1502"/>
      <c r="G4" s="1502"/>
      <c r="H4" s="1502"/>
      <c r="I4" s="1502"/>
    </row>
    <row r="5" spans="2:9" ht="17.5">
      <c r="B5" s="1502"/>
      <c r="C5" s="1502"/>
      <c r="D5" s="1502"/>
      <c r="E5" s="1502"/>
      <c r="F5" s="1502"/>
      <c r="G5" s="1502"/>
      <c r="H5" s="1502"/>
      <c r="I5" s="1502"/>
    </row>
    <row r="6" spans="2:9" ht="15" customHeight="1">
      <c r="B6" s="1502"/>
      <c r="C6" s="1502"/>
      <c r="D6" s="1502"/>
      <c r="E6" s="1502"/>
      <c r="F6" s="1502"/>
      <c r="G6" s="1502"/>
      <c r="H6" s="1502"/>
      <c r="I6" s="1502"/>
    </row>
    <row r="7" spans="2:9" ht="17.5">
      <c r="B7" s="1502"/>
      <c r="C7" s="1502"/>
      <c r="D7" s="1502"/>
      <c r="E7" s="1502"/>
      <c r="F7" s="1502"/>
      <c r="G7" s="1502"/>
      <c r="H7" s="1502"/>
      <c r="I7" s="1502"/>
    </row>
    <row r="8" spans="2:9" ht="17.5">
      <c r="B8" s="1502"/>
      <c r="C8" s="1502"/>
      <c r="D8" s="1502"/>
      <c r="E8" s="1502"/>
      <c r="F8" s="1502"/>
      <c r="G8" s="1502"/>
      <c r="H8" s="1502"/>
      <c r="I8" s="1502"/>
    </row>
    <row r="9" spans="2:9" ht="17.5">
      <c r="B9" s="1502"/>
      <c r="C9" s="1502"/>
      <c r="D9" s="1502"/>
      <c r="E9" s="1502"/>
      <c r="F9" s="1502"/>
      <c r="G9" s="1502"/>
      <c r="H9" s="1502"/>
      <c r="I9" s="1502"/>
    </row>
    <row r="10" spans="2:9" ht="17.5">
      <c r="B10" s="1502"/>
      <c r="C10" s="1502"/>
      <c r="D10" s="1502"/>
      <c r="E10" s="1502"/>
      <c r="F10" s="1502"/>
      <c r="G10" s="1502"/>
      <c r="H10" s="1502"/>
      <c r="I10" s="1502"/>
    </row>
    <row r="11" spans="2:9" ht="18">
      <c r="B11" s="1502"/>
      <c r="C11" s="1502"/>
      <c r="D11" s="1502"/>
      <c r="E11" s="1502"/>
      <c r="F11" s="1504" t="s">
        <v>851</v>
      </c>
      <c r="G11" s="1502"/>
      <c r="H11" s="1502"/>
      <c r="I11" s="1502"/>
    </row>
    <row r="12" spans="2:9" ht="18">
      <c r="B12" s="1502"/>
      <c r="C12" s="1502"/>
      <c r="D12" s="1502"/>
      <c r="E12" s="1502"/>
      <c r="F12" s="1504" t="s">
        <v>852</v>
      </c>
      <c r="G12" s="1502"/>
      <c r="H12" s="1502"/>
      <c r="I12" s="1502"/>
    </row>
    <row r="13" spans="2:9" ht="18">
      <c r="B13" s="1502"/>
      <c r="C13" s="1502"/>
      <c r="D13" s="1502"/>
      <c r="E13" s="1502"/>
      <c r="F13" s="1504"/>
      <c r="G13" s="1502"/>
      <c r="H13" s="1502"/>
      <c r="I13" s="1502"/>
    </row>
    <row r="14" spans="2:9" ht="17.5">
      <c r="B14" s="1502"/>
      <c r="C14" s="1502"/>
      <c r="D14" s="1502"/>
      <c r="E14" s="1505" t="s">
        <v>522</v>
      </c>
      <c r="F14" s="1502"/>
      <c r="G14" s="1502"/>
      <c r="H14" s="1502"/>
      <c r="I14" s="1502"/>
    </row>
    <row r="15" spans="2:9" ht="17.5">
      <c r="B15" s="1502"/>
      <c r="C15" s="1502"/>
      <c r="D15" s="1502"/>
      <c r="E15" s="1505"/>
      <c r="F15" s="1502"/>
      <c r="G15" s="1502"/>
      <c r="H15" s="1502"/>
      <c r="I15" s="1502"/>
    </row>
    <row r="16" spans="2:9" ht="18">
      <c r="B16" s="1502"/>
      <c r="C16" s="1970"/>
      <c r="D16" s="1970"/>
      <c r="E16" s="1970"/>
      <c r="F16" s="1970"/>
      <c r="G16" s="1970"/>
      <c r="H16" s="1970"/>
      <c r="I16" s="1502"/>
    </row>
    <row r="17" spans="2:17" ht="18">
      <c r="B17" s="1506"/>
      <c r="C17" s="1502"/>
      <c r="D17" s="1502"/>
      <c r="E17" s="1505"/>
      <c r="F17" s="1507"/>
      <c r="G17" s="1502"/>
      <c r="H17" s="1502"/>
      <c r="I17" s="1502"/>
    </row>
    <row r="18" spans="2:17" ht="18">
      <c r="B18" s="1502"/>
      <c r="C18" s="1502"/>
      <c r="D18" s="1502"/>
      <c r="E18" s="1502"/>
      <c r="F18" s="1507" t="s">
        <v>860</v>
      </c>
      <c r="G18" s="1502"/>
      <c r="H18" s="1502"/>
      <c r="I18" s="1502"/>
    </row>
    <row r="19" spans="2:17" ht="17.5">
      <c r="B19" s="1508"/>
      <c r="C19" s="1502"/>
      <c r="D19" s="1502"/>
      <c r="E19" s="1505"/>
      <c r="F19" s="1502"/>
      <c r="G19" s="1502"/>
      <c r="H19" s="1502"/>
      <c r="I19" s="1502"/>
    </row>
    <row r="20" spans="2:17" ht="17.5">
      <c r="B20" s="1508"/>
      <c r="C20" s="1502"/>
      <c r="D20" s="1502"/>
      <c r="E20" s="1505"/>
      <c r="F20" s="1502"/>
      <c r="G20" s="1502"/>
      <c r="H20" s="1502"/>
      <c r="I20" s="1502"/>
    </row>
    <row r="21" spans="2:17" ht="17.5">
      <c r="B21" s="1508"/>
      <c r="C21" s="1502"/>
      <c r="D21" s="1502"/>
      <c r="E21" s="1505"/>
      <c r="F21" s="1502"/>
      <c r="G21" s="1502"/>
      <c r="H21" s="1502"/>
      <c r="I21" s="1502"/>
    </row>
    <row r="22" spans="2:17" ht="39" customHeight="1">
      <c r="B22" s="1971" t="str">
        <f>'Lead statement (2)'!A2</f>
        <v>Name of work :: Construction of Function Hall at Kadapanatham Of Baireddipalle Mandal</v>
      </c>
      <c r="C22" s="1971"/>
      <c r="D22" s="1971"/>
      <c r="E22" s="1971"/>
      <c r="F22" s="1971"/>
      <c r="G22" s="1971"/>
      <c r="H22" s="1971"/>
      <c r="I22" s="1509"/>
      <c r="J22" s="1510"/>
      <c r="K22" s="1510" t="s">
        <v>853</v>
      </c>
      <c r="L22" s="1510"/>
      <c r="M22" s="1510"/>
      <c r="N22" s="1510"/>
      <c r="O22" s="1510"/>
      <c r="P22" s="1510"/>
      <c r="Q22" s="1510"/>
    </row>
    <row r="23" spans="2:17" ht="20.25" customHeight="1">
      <c r="B23" s="1502"/>
      <c r="C23" s="1511"/>
      <c r="D23" s="1506"/>
      <c r="E23" s="1512"/>
      <c r="F23" s="1513"/>
      <c r="G23" s="1514"/>
      <c r="H23" s="1514"/>
      <c r="I23" s="1509"/>
      <c r="J23" s="1510"/>
      <c r="K23" s="1510"/>
      <c r="L23" s="1510"/>
      <c r="M23" s="1510"/>
      <c r="N23" s="1510"/>
      <c r="O23" s="1510"/>
      <c r="P23" s="1510"/>
      <c r="Q23" s="1510"/>
    </row>
    <row r="24" spans="2:17" ht="18.75" customHeight="1">
      <c r="B24" s="1502"/>
      <c r="C24" s="1515" t="s">
        <v>1896</v>
      </c>
      <c r="D24" s="1502"/>
      <c r="E24" s="1502" t="s">
        <v>1720</v>
      </c>
      <c r="F24" s="1972" t="s">
        <v>1974</v>
      </c>
      <c r="G24" s="1972"/>
      <c r="H24" s="1516"/>
      <c r="I24" s="1516"/>
    </row>
    <row r="25" spans="2:17" ht="18">
      <c r="B25" s="1502"/>
      <c r="C25" s="1506"/>
      <c r="D25" s="1502"/>
      <c r="E25" s="1502"/>
      <c r="F25" s="1516"/>
      <c r="G25" s="1516"/>
      <c r="H25" s="1516"/>
      <c r="I25" s="1516"/>
    </row>
    <row r="26" spans="2:17" ht="18" customHeight="1">
      <c r="B26" s="1502"/>
      <c r="C26" s="1506" t="s">
        <v>1897</v>
      </c>
      <c r="D26" s="1506"/>
      <c r="E26" s="1506" t="s">
        <v>1720</v>
      </c>
      <c r="F26" s="1973" t="s">
        <v>1975</v>
      </c>
      <c r="G26" s="1973"/>
      <c r="H26" s="1516"/>
      <c r="I26" s="1516"/>
    </row>
    <row r="27" spans="2:17" ht="17.5">
      <c r="B27" s="1502"/>
      <c r="C27" s="1502"/>
      <c r="D27" s="1502"/>
      <c r="E27" s="1502"/>
      <c r="F27" s="1502"/>
      <c r="G27" s="1502"/>
      <c r="H27" s="1502"/>
      <c r="I27" s="1502"/>
    </row>
    <row r="28" spans="2:17" ht="18">
      <c r="B28" s="1506"/>
      <c r="C28" s="1506" t="s">
        <v>854</v>
      </c>
      <c r="D28" s="1506"/>
      <c r="E28" s="1506" t="s">
        <v>855</v>
      </c>
      <c r="F28" s="1506" t="str">
        <f>Cover!F27</f>
        <v>Kadapanatham</v>
      </c>
      <c r="G28" s="1506"/>
      <c r="H28" s="1506"/>
      <c r="I28" s="1502"/>
    </row>
    <row r="29" spans="2:17" ht="18">
      <c r="B29" s="1506"/>
      <c r="C29" s="1517"/>
      <c r="D29" s="1506"/>
      <c r="E29" s="1506"/>
      <c r="F29" s="1506"/>
      <c r="G29" s="1506"/>
      <c r="H29" s="1506"/>
      <c r="I29" s="1502"/>
    </row>
    <row r="30" spans="2:17" ht="18">
      <c r="B30" s="1506"/>
      <c r="C30" s="1506" t="s">
        <v>856</v>
      </c>
      <c r="D30" s="1506"/>
      <c r="E30" s="1506" t="s">
        <v>855</v>
      </c>
      <c r="F30" s="1506" t="str">
        <f>Cover!F29</f>
        <v>Baireddipalle</v>
      </c>
      <c r="G30" s="1506"/>
      <c r="H30" s="1506"/>
      <c r="I30" s="1502"/>
    </row>
    <row r="31" spans="2:17" ht="18">
      <c r="B31" s="1506"/>
      <c r="C31" s="1517"/>
      <c r="D31" s="1506"/>
      <c r="E31" s="1506"/>
      <c r="F31" s="1506"/>
      <c r="G31" s="1506"/>
      <c r="H31" s="1506"/>
      <c r="I31" s="1502"/>
    </row>
    <row r="32" spans="2:17" ht="18">
      <c r="B32" s="1506"/>
      <c r="C32" s="1517" t="s">
        <v>857</v>
      </c>
      <c r="D32" s="1506"/>
      <c r="E32" s="1506" t="s">
        <v>855</v>
      </c>
      <c r="F32" s="1506" t="str">
        <f>Cover!F31</f>
        <v>PRI Sub Division, Palamaneru</v>
      </c>
      <c r="G32" s="1506"/>
      <c r="H32" s="1506"/>
      <c r="I32" s="1502"/>
    </row>
    <row r="33" spans="2:9" ht="18">
      <c r="B33" s="1506"/>
      <c r="C33" s="1517"/>
      <c r="D33" s="1506"/>
      <c r="E33" s="1506"/>
      <c r="F33" s="1506"/>
      <c r="G33" s="1506"/>
      <c r="H33" s="1506"/>
      <c r="I33" s="1502"/>
    </row>
    <row r="34" spans="2:9" ht="18">
      <c r="B34" s="1506"/>
      <c r="C34" s="1517" t="s">
        <v>858</v>
      </c>
      <c r="D34" s="1506"/>
      <c r="E34" s="1517" t="s">
        <v>859</v>
      </c>
      <c r="F34" s="1506" t="s">
        <v>1719</v>
      </c>
      <c r="G34" s="1506"/>
      <c r="H34" s="1506"/>
      <c r="I34" s="1502"/>
    </row>
    <row r="35" spans="2:9" ht="18">
      <c r="B35" s="1506"/>
      <c r="C35" s="1517"/>
      <c r="D35" s="1506"/>
      <c r="E35" s="1517"/>
      <c r="F35" s="1506"/>
      <c r="G35" s="1506"/>
      <c r="H35" s="1506"/>
      <c r="I35" s="1502"/>
    </row>
    <row r="36" spans="2:9" ht="17.5">
      <c r="B36" s="1502"/>
      <c r="C36" s="1508"/>
      <c r="D36" s="1502"/>
      <c r="E36" s="1508"/>
      <c r="F36" s="1502"/>
      <c r="G36" s="1502"/>
      <c r="H36" s="1502"/>
      <c r="I36" s="1502"/>
    </row>
    <row r="37" spans="2:9" ht="17.5">
      <c r="B37" s="1502"/>
      <c r="C37" s="1502"/>
      <c r="D37" s="1502"/>
      <c r="E37" s="1502"/>
      <c r="F37" s="1502"/>
      <c r="G37" s="1502"/>
      <c r="H37" s="1502"/>
      <c r="I37" s="1502"/>
    </row>
  </sheetData>
  <mergeCells count="4">
    <mergeCell ref="C16:H16"/>
    <mergeCell ref="B22:H22"/>
    <mergeCell ref="F24:G24"/>
    <mergeCell ref="F26:G26"/>
  </mergeCells>
  <printOptions verticalCentered="1"/>
  <pageMargins left="0.7" right="0.27" top="0.57999999999999996" bottom="0.59" header="0.42" footer="0.5"/>
  <pageSetup paperSize="9" orientation="portrait" horizontalDpi="4294967295" r:id="rId1"/>
  <headerFooter alignWithMargins="0"/>
  <drawing r:id="rId2"/>
</worksheet>
</file>

<file path=xl/worksheets/sheet5.xml><?xml version="1.0" encoding="utf-8"?>
<worksheet xmlns="http://schemas.openxmlformats.org/spreadsheetml/2006/main" xmlns:r="http://schemas.openxmlformats.org/officeDocument/2006/relationships">
  <sheetPr>
    <tabColor rgb="FFFF0000"/>
  </sheetPr>
  <dimension ref="A1:I36"/>
  <sheetViews>
    <sheetView tabSelected="1" topLeftCell="A10" workbookViewId="0">
      <selection activeCell="L15" sqref="L15"/>
    </sheetView>
  </sheetViews>
  <sheetFormatPr defaultColWidth="9.1796875" defaultRowHeight="14"/>
  <cols>
    <col min="1" max="1" width="5.26953125" style="1147" customWidth="1"/>
    <col min="2" max="2" width="12.1796875" style="1147" customWidth="1"/>
    <col min="3" max="3" width="10.1796875" style="1147" customWidth="1"/>
    <col min="4" max="4" width="9.1796875" style="1147"/>
    <col min="5" max="5" width="10.26953125" style="1147" customWidth="1"/>
    <col min="6" max="6" width="11.1796875" style="1147" customWidth="1"/>
    <col min="7" max="8" width="9.1796875" style="1147"/>
    <col min="9" max="9" width="10.26953125" style="1147" customWidth="1"/>
    <col min="10" max="16384" width="9.1796875" style="1147"/>
  </cols>
  <sheetData>
    <row r="1" spans="1:9" ht="20.25" customHeight="1">
      <c r="A1" s="1977" t="s">
        <v>1087</v>
      </c>
      <c r="B1" s="1977"/>
      <c r="C1" s="1977"/>
      <c r="D1" s="1977"/>
      <c r="E1" s="1977"/>
      <c r="F1" s="1977"/>
      <c r="G1" s="1977"/>
      <c r="H1" s="1977"/>
      <c r="I1" s="1977"/>
    </row>
    <row r="3" spans="1:9" ht="36.75" customHeight="1">
      <c r="A3" s="1978" t="s">
        <v>2209</v>
      </c>
      <c r="B3" s="1978"/>
      <c r="C3" s="1978"/>
      <c r="D3" s="1978"/>
      <c r="E3" s="1978"/>
      <c r="F3" s="1978"/>
      <c r="G3" s="1978"/>
      <c r="H3" s="1978"/>
      <c r="I3" s="1978"/>
    </row>
    <row r="4" spans="1:9" s="1149" customFormat="1" ht="21.75" customHeight="1">
      <c r="A4" s="1149" t="s">
        <v>1784</v>
      </c>
      <c r="I4" s="1377" t="s">
        <v>1976</v>
      </c>
    </row>
    <row r="5" spans="1:9" ht="75.75" customHeight="1">
      <c r="A5" s="1978" t="s">
        <v>2210</v>
      </c>
      <c r="B5" s="1978"/>
      <c r="C5" s="1978"/>
      <c r="D5" s="1978"/>
      <c r="E5" s="1978"/>
      <c r="F5" s="1978"/>
      <c r="G5" s="1978"/>
      <c r="H5" s="1978"/>
      <c r="I5" s="1978"/>
    </row>
    <row r="6" spans="1:9" s="1148" customFormat="1" ht="23.25" customHeight="1">
      <c r="B6" s="1148" t="s">
        <v>1709</v>
      </c>
    </row>
    <row r="7" spans="1:9" ht="16.5" customHeight="1">
      <c r="A7" s="1152">
        <v>1</v>
      </c>
      <c r="B7" s="1975" t="s">
        <v>2165</v>
      </c>
      <c r="C7" s="1975"/>
      <c r="D7" s="1975"/>
      <c r="E7" s="1975"/>
      <c r="F7" s="1975"/>
      <c r="G7" s="1975"/>
      <c r="H7" s="1975"/>
      <c r="I7" s="1975"/>
    </row>
    <row r="8" spans="1:9">
      <c r="A8" s="1150"/>
    </row>
    <row r="9" spans="1:9">
      <c r="A9" s="1150">
        <v>2</v>
      </c>
      <c r="B9" s="1979" t="s">
        <v>1893</v>
      </c>
      <c r="C9" s="1979"/>
      <c r="D9" s="1979"/>
      <c r="E9" s="1979"/>
      <c r="F9" s="1979"/>
      <c r="G9" s="1979"/>
    </row>
    <row r="10" spans="1:9">
      <c r="A10" s="1150"/>
    </row>
    <row r="11" spans="1:9">
      <c r="A11" s="1150">
        <v>3</v>
      </c>
      <c r="B11" s="1147" t="s">
        <v>1710</v>
      </c>
    </row>
    <row r="12" spans="1:9">
      <c r="A12" s="1150"/>
    </row>
    <row r="13" spans="1:9" ht="21.75" customHeight="1">
      <c r="A13" s="1152">
        <v>4</v>
      </c>
      <c r="B13" s="1974" t="s">
        <v>1894</v>
      </c>
      <c r="C13" s="1974"/>
      <c r="D13" s="1974"/>
      <c r="E13" s="1974"/>
      <c r="F13" s="1974"/>
      <c r="G13" s="1974"/>
      <c r="H13" s="1974"/>
      <c r="I13" s="1974"/>
    </row>
    <row r="14" spans="1:9">
      <c r="A14" s="1150"/>
    </row>
    <row r="15" spans="1:9">
      <c r="A15" s="1150">
        <v>5</v>
      </c>
      <c r="B15" s="1147" t="s">
        <v>1711</v>
      </c>
    </row>
    <row r="16" spans="1:9">
      <c r="A16" s="1150"/>
    </row>
    <row r="17" spans="1:9" ht="30" customHeight="1">
      <c r="A17" s="1152">
        <v>6</v>
      </c>
      <c r="B17" s="1975" t="s">
        <v>1715</v>
      </c>
      <c r="C17" s="1975"/>
      <c r="D17" s="1975"/>
      <c r="E17" s="1975"/>
      <c r="F17" s="1975"/>
      <c r="G17" s="1975"/>
      <c r="H17" s="1975"/>
      <c r="I17" s="1975"/>
    </row>
    <row r="18" spans="1:9">
      <c r="A18" s="1150"/>
    </row>
    <row r="19" spans="1:9" ht="30" customHeight="1">
      <c r="A19" s="1152">
        <v>7</v>
      </c>
      <c r="B19" s="1974" t="s">
        <v>1716</v>
      </c>
      <c r="C19" s="1974"/>
      <c r="D19" s="1974"/>
      <c r="E19" s="1974"/>
      <c r="F19" s="1974"/>
      <c r="G19" s="1974"/>
      <c r="H19" s="1974"/>
      <c r="I19" s="1974"/>
    </row>
    <row r="20" spans="1:9" ht="9" customHeight="1">
      <c r="A20" s="1150"/>
    </row>
    <row r="21" spans="1:9" ht="30" customHeight="1">
      <c r="A21" s="1152">
        <v>8</v>
      </c>
      <c r="B21" s="1974" t="s">
        <v>1763</v>
      </c>
      <c r="C21" s="1974"/>
      <c r="D21" s="1974"/>
      <c r="E21" s="1974"/>
      <c r="F21" s="1974"/>
      <c r="G21" s="1974"/>
      <c r="H21" s="1974"/>
      <c r="I21" s="1974"/>
    </row>
    <row r="22" spans="1:9" ht="6" customHeight="1">
      <c r="A22" s="1150"/>
    </row>
    <row r="23" spans="1:9" ht="32.25" customHeight="1">
      <c r="A23" s="1152">
        <v>9</v>
      </c>
      <c r="B23" s="1974" t="s">
        <v>1712</v>
      </c>
      <c r="C23" s="1974"/>
      <c r="D23" s="1974"/>
      <c r="E23" s="1974"/>
      <c r="F23" s="1974"/>
      <c r="G23" s="1974"/>
      <c r="H23" s="1974"/>
      <c r="I23" s="1974"/>
    </row>
    <row r="24" spans="1:9">
      <c r="A24" s="1150"/>
    </row>
    <row r="25" spans="1:9">
      <c r="A25" s="1150">
        <v>10</v>
      </c>
      <c r="B25" s="1147" t="s">
        <v>1713</v>
      </c>
    </row>
    <row r="26" spans="1:9">
      <c r="A26" s="1150"/>
    </row>
    <row r="27" spans="1:9" ht="35.25" customHeight="1">
      <c r="A27" s="1152">
        <v>11</v>
      </c>
      <c r="B27" s="1974" t="s">
        <v>1977</v>
      </c>
      <c r="C27" s="1974"/>
      <c r="D27" s="1974"/>
      <c r="E27" s="1974"/>
      <c r="F27" s="1974"/>
      <c r="G27" s="1974"/>
      <c r="H27" s="1974"/>
      <c r="I27" s="1974"/>
    </row>
    <row r="28" spans="1:9" ht="30" customHeight="1">
      <c r="A28" s="1152">
        <v>12</v>
      </c>
      <c r="B28" s="1974" t="s">
        <v>1978</v>
      </c>
      <c r="C28" s="1974"/>
      <c r="D28" s="1974"/>
      <c r="E28" s="1974"/>
      <c r="F28" s="1974"/>
      <c r="G28" s="1974"/>
      <c r="H28" s="1974"/>
      <c r="I28" s="1974"/>
    </row>
    <row r="29" spans="1:9">
      <c r="A29" s="1150"/>
    </row>
    <row r="30" spans="1:9" ht="28.5" customHeight="1">
      <c r="A30" s="1152">
        <v>13</v>
      </c>
      <c r="B30" s="1974" t="s">
        <v>1714</v>
      </c>
      <c r="C30" s="1974"/>
      <c r="D30" s="1974"/>
      <c r="E30" s="1974"/>
      <c r="F30" s="1974"/>
      <c r="G30" s="1974"/>
      <c r="H30" s="1974"/>
      <c r="I30" s="1974"/>
    </row>
    <row r="31" spans="1:9" ht="27.75" customHeight="1">
      <c r="A31" s="1152"/>
      <c r="B31" s="1469"/>
      <c r="C31" s="1975" t="s">
        <v>1979</v>
      </c>
      <c r="D31" s="1975"/>
      <c r="E31" s="1975"/>
      <c r="F31" s="1975"/>
      <c r="G31" s="1975"/>
      <c r="H31" s="1975"/>
      <c r="I31" s="1975"/>
    </row>
    <row r="32" spans="1:9" ht="15.75" customHeight="1">
      <c r="A32" s="1149"/>
      <c r="B32" s="1471"/>
      <c r="C32" s="1471"/>
      <c r="D32" s="1471"/>
      <c r="E32" s="1471"/>
      <c r="F32" s="1471"/>
      <c r="G32" s="1471"/>
      <c r="H32" s="1471"/>
      <c r="I32" s="1471"/>
    </row>
    <row r="33" spans="1:9" ht="29.25" customHeight="1">
      <c r="A33" s="1976" t="s">
        <v>1785</v>
      </c>
      <c r="B33" s="1976"/>
      <c r="C33" s="1976"/>
      <c r="D33" s="1976"/>
      <c r="E33" s="1976"/>
      <c r="F33" s="1976"/>
      <c r="G33" s="1976"/>
      <c r="H33" s="1976"/>
      <c r="I33" s="1976"/>
    </row>
    <row r="34" spans="1:9" ht="29.25" customHeight="1">
      <c r="A34" s="1470"/>
      <c r="B34" s="1470"/>
      <c r="C34" s="1470"/>
      <c r="D34" s="1470"/>
      <c r="E34" s="1470"/>
      <c r="F34" s="1470"/>
      <c r="G34" s="1470"/>
      <c r="H34" s="1470"/>
      <c r="I34" s="1470"/>
    </row>
    <row r="35" spans="1:9">
      <c r="E35" s="1150" t="s">
        <v>2166</v>
      </c>
      <c r="H35" s="1940" t="s">
        <v>2189</v>
      </c>
    </row>
    <row r="36" spans="1:9">
      <c r="E36" s="1150" t="s">
        <v>2193</v>
      </c>
      <c r="H36" s="1940" t="s">
        <v>2192</v>
      </c>
    </row>
  </sheetData>
  <mergeCells count="15">
    <mergeCell ref="B13:I13"/>
    <mergeCell ref="A1:I1"/>
    <mergeCell ref="A3:I3"/>
    <mergeCell ref="A5:I5"/>
    <mergeCell ref="B7:I7"/>
    <mergeCell ref="B9:G9"/>
    <mergeCell ref="B30:I30"/>
    <mergeCell ref="C31:I31"/>
    <mergeCell ref="A33:I33"/>
    <mergeCell ref="B17:I17"/>
    <mergeCell ref="B19:I19"/>
    <mergeCell ref="B21:I21"/>
    <mergeCell ref="B23:I23"/>
    <mergeCell ref="B27:I27"/>
    <mergeCell ref="B28:I28"/>
  </mergeCells>
  <printOptions horizontalCentered="1"/>
  <pageMargins left="0.5" right="0.5" top="0.25" bottom="0.2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tabColor rgb="FFFF0000"/>
  </sheetPr>
  <dimension ref="A1:P271"/>
  <sheetViews>
    <sheetView topLeftCell="A255" zoomScale="115" zoomScaleNormal="115" zoomScaleSheetLayoutView="100" workbookViewId="0">
      <selection activeCell="B271" sqref="B271"/>
    </sheetView>
  </sheetViews>
  <sheetFormatPr defaultColWidth="9.1796875" defaultRowHeight="12.5"/>
  <cols>
    <col min="1" max="1" width="4.1796875" style="717" customWidth="1"/>
    <col min="2" max="2" width="22.1796875" style="713" customWidth="1"/>
    <col min="3" max="3" width="3.26953125" style="718" customWidth="1"/>
    <col min="4" max="4" width="2.26953125" style="718" customWidth="1"/>
    <col min="5" max="5" width="4" style="718" customWidth="1"/>
    <col min="6" max="6" width="8.453125" style="717" bestFit="1" customWidth="1"/>
    <col min="7" max="7" width="7.26953125" style="717" customWidth="1"/>
    <col min="8" max="8" width="8" style="717" customWidth="1"/>
    <col min="9" max="9" width="8.1796875" style="719" customWidth="1"/>
    <col min="10" max="10" width="5.453125" style="720" bestFit="1" customWidth="1"/>
    <col min="11" max="11" width="9.7265625" style="717" bestFit="1" customWidth="1"/>
    <col min="12" max="12" width="6.453125" style="717" customWidth="1"/>
    <col min="13" max="13" width="11" style="721" customWidth="1"/>
    <col min="14" max="15" width="9.1796875" style="713"/>
    <col min="16" max="16" width="9.54296875" style="713" bestFit="1" customWidth="1"/>
    <col min="17" max="16384" width="9.1796875" style="713"/>
  </cols>
  <sheetData>
    <row r="1" spans="1:13" ht="22.5" customHeight="1">
      <c r="A1" s="1999" t="s">
        <v>1600</v>
      </c>
      <c r="B1" s="1999"/>
      <c r="C1" s="1999"/>
      <c r="D1" s="1999"/>
      <c r="E1" s="1999"/>
      <c r="F1" s="1999"/>
      <c r="G1" s="1999"/>
      <c r="H1" s="1999"/>
      <c r="I1" s="1999"/>
      <c r="J1" s="1999"/>
      <c r="K1" s="1999"/>
      <c r="L1" s="1999"/>
      <c r="M1" s="1999"/>
    </row>
    <row r="2" spans="1:13" ht="36.75" customHeight="1">
      <c r="A2" s="2000" t="str">
        <f>'Lead statement (2)'!A2:J2</f>
        <v>Name of work :: Construction of Function Hall at Kadapanatham Of Baireddipalle Mandal</v>
      </c>
      <c r="B2" s="2001"/>
      <c r="C2" s="2001"/>
      <c r="D2" s="2001"/>
      <c r="E2" s="2001"/>
      <c r="F2" s="2001"/>
      <c r="G2" s="2001"/>
      <c r="H2" s="2001"/>
      <c r="I2" s="2001"/>
      <c r="J2" s="2001"/>
      <c r="K2" s="2001"/>
      <c r="L2" s="2001"/>
      <c r="M2" s="2001"/>
    </row>
    <row r="3" spans="1:13" s="717" customFormat="1" ht="22.5" customHeight="1">
      <c r="A3" s="2002" t="s">
        <v>1980</v>
      </c>
      <c r="B3" s="2002"/>
      <c r="C3" s="2002"/>
      <c r="D3" s="2002"/>
      <c r="E3" s="2002"/>
      <c r="F3" s="2002"/>
      <c r="G3" s="2003"/>
      <c r="H3" s="2003"/>
      <c r="I3" s="2003"/>
      <c r="J3" s="2003"/>
      <c r="K3" s="2004" t="s">
        <v>2063</v>
      </c>
      <c r="L3" s="2005"/>
      <c r="M3" s="2006"/>
    </row>
    <row r="4" spans="1:13" s="714" customFormat="1" ht="20.25" customHeight="1">
      <c r="A4" s="1993" t="s">
        <v>1601</v>
      </c>
      <c r="B4" s="1993" t="s">
        <v>1602</v>
      </c>
      <c r="C4" s="1993" t="s">
        <v>668</v>
      </c>
      <c r="D4" s="1993"/>
      <c r="E4" s="1993"/>
      <c r="F4" s="1993"/>
      <c r="G4" s="1993"/>
      <c r="H4" s="1993"/>
      <c r="I4" s="1993" t="s">
        <v>235</v>
      </c>
      <c r="J4" s="1993"/>
      <c r="K4" s="1993" t="s">
        <v>149</v>
      </c>
      <c r="L4" s="1993" t="s">
        <v>150</v>
      </c>
      <c r="M4" s="1994" t="s">
        <v>302</v>
      </c>
    </row>
    <row r="5" spans="1:13" s="714" customFormat="1" ht="19.5" customHeight="1">
      <c r="A5" s="1993"/>
      <c r="B5" s="1993"/>
      <c r="C5" s="1993" t="s">
        <v>1603</v>
      </c>
      <c r="D5" s="1993"/>
      <c r="E5" s="1993"/>
      <c r="F5" s="1476" t="s">
        <v>429</v>
      </c>
      <c r="G5" s="1476" t="s">
        <v>145</v>
      </c>
      <c r="H5" s="1476" t="s">
        <v>498</v>
      </c>
      <c r="I5" s="1993"/>
      <c r="J5" s="1993"/>
      <c r="K5" s="1993"/>
      <c r="L5" s="1993"/>
      <c r="M5" s="1994"/>
    </row>
    <row r="6" spans="1:13" s="716" customFormat="1" ht="15" customHeight="1">
      <c r="A6" s="1475">
        <v>1</v>
      </c>
      <c r="B6" s="1475">
        <v>2</v>
      </c>
      <c r="C6" s="1995">
        <v>3</v>
      </c>
      <c r="D6" s="1995"/>
      <c r="E6" s="1995"/>
      <c r="F6" s="1475">
        <v>4</v>
      </c>
      <c r="G6" s="1475">
        <v>5</v>
      </c>
      <c r="H6" s="1475">
        <v>6</v>
      </c>
      <c r="I6" s="1995">
        <v>7</v>
      </c>
      <c r="J6" s="1995"/>
      <c r="K6" s="1475">
        <v>8</v>
      </c>
      <c r="L6" s="1475">
        <v>9</v>
      </c>
      <c r="M6" s="715">
        <v>10</v>
      </c>
    </row>
    <row r="7" spans="1:13" s="716" customFormat="1" ht="52.5" hidden="1" customHeight="1">
      <c r="A7" s="1237">
        <v>1</v>
      </c>
      <c r="B7" s="1996" t="s">
        <v>2142</v>
      </c>
      <c r="C7" s="1997"/>
      <c r="D7" s="1997"/>
      <c r="E7" s="1997"/>
      <c r="F7" s="1997"/>
      <c r="G7" s="1997"/>
      <c r="H7" s="1997"/>
      <c r="I7" s="1998"/>
      <c r="J7" s="1238"/>
      <c r="K7" s="1239"/>
      <c r="L7" s="1239"/>
      <c r="M7" s="1240"/>
    </row>
    <row r="8" spans="1:13" s="716" customFormat="1" ht="14" hidden="1">
      <c r="A8" s="1237"/>
      <c r="B8" s="1787" t="s">
        <v>1891</v>
      </c>
      <c r="C8" s="1788"/>
      <c r="D8" s="1788"/>
      <c r="E8" s="1788"/>
      <c r="F8" s="1788"/>
      <c r="G8" s="1788"/>
      <c r="H8" s="1788"/>
      <c r="I8" s="1789"/>
      <c r="J8" s="1238"/>
      <c r="K8" s="1239"/>
      <c r="L8" s="1239"/>
      <c r="M8" s="1240"/>
    </row>
    <row r="9" spans="1:13" s="716" customFormat="1" ht="16.5" hidden="1" customHeight="1">
      <c r="A9" s="1241"/>
      <c r="B9" s="1242" t="s">
        <v>2143</v>
      </c>
      <c r="C9" s="1243">
        <v>1</v>
      </c>
      <c r="D9" s="1243" t="s">
        <v>672</v>
      </c>
      <c r="E9" s="1243">
        <v>1</v>
      </c>
      <c r="F9" s="1244">
        <v>12.2</v>
      </c>
      <c r="G9" s="1244">
        <v>0.35</v>
      </c>
      <c r="H9" s="1244">
        <v>2.7</v>
      </c>
      <c r="I9" s="1138">
        <f t="shared" ref="I9" si="0">ROUND(C9*E9*F9*G9*H9,2)</f>
        <v>11.53</v>
      </c>
      <c r="J9" s="1133"/>
      <c r="K9" s="1245"/>
      <c r="L9" s="1245"/>
      <c r="M9" s="1379"/>
    </row>
    <row r="10" spans="1:13" s="716" customFormat="1" ht="14" hidden="1">
      <c r="A10" s="1241"/>
      <c r="B10" s="1242" t="s">
        <v>680</v>
      </c>
      <c r="C10" s="1243">
        <v>1</v>
      </c>
      <c r="D10" s="1243" t="s">
        <v>672</v>
      </c>
      <c r="E10" s="1243">
        <v>1</v>
      </c>
      <c r="F10" s="1244">
        <v>18.2</v>
      </c>
      <c r="G10" s="1244">
        <v>0.35</v>
      </c>
      <c r="H10" s="1244">
        <v>2.7</v>
      </c>
      <c r="I10" s="1138">
        <f>ROUND(C10*E10*F10*G10*H10,2)</f>
        <v>17.2</v>
      </c>
      <c r="J10" s="1133"/>
      <c r="K10" s="1245"/>
      <c r="L10" s="1245"/>
      <c r="M10" s="1379"/>
    </row>
    <row r="11" spans="1:13" s="716" customFormat="1" ht="14" hidden="1">
      <c r="A11" s="1241"/>
      <c r="B11" s="1242" t="s">
        <v>2144</v>
      </c>
      <c r="C11" s="1243">
        <v>1</v>
      </c>
      <c r="D11" s="1243" t="s">
        <v>672</v>
      </c>
      <c r="E11" s="1243">
        <v>2</v>
      </c>
      <c r="F11" s="1244">
        <v>3</v>
      </c>
      <c r="G11" s="1244">
        <v>0.35</v>
      </c>
      <c r="H11" s="1244">
        <v>2.7</v>
      </c>
      <c r="I11" s="1138">
        <f>ROUND(C11*E11*F11*G11*H11,2)</f>
        <v>5.67</v>
      </c>
      <c r="J11" s="1133"/>
      <c r="K11" s="1245"/>
      <c r="L11" s="1245"/>
      <c r="M11" s="1379"/>
    </row>
    <row r="12" spans="1:13" s="716" customFormat="1" ht="14" hidden="1">
      <c r="A12" s="1241"/>
      <c r="B12" s="1242" t="s">
        <v>2145</v>
      </c>
      <c r="C12" s="1243">
        <v>1</v>
      </c>
      <c r="D12" s="1243" t="s">
        <v>672</v>
      </c>
      <c r="E12" s="1243">
        <v>2</v>
      </c>
      <c r="F12" s="1244">
        <v>1.05</v>
      </c>
      <c r="G12" s="1244">
        <v>0.35</v>
      </c>
      <c r="H12" s="1244">
        <v>1.95</v>
      </c>
      <c r="I12" s="1138">
        <f>ROUND(C12*E12*F12*G12*-H12,2)</f>
        <v>-1.43</v>
      </c>
      <c r="J12" s="1133"/>
      <c r="K12" s="1245"/>
      <c r="L12" s="1245"/>
      <c r="M12" s="1379"/>
    </row>
    <row r="13" spans="1:13" s="716" customFormat="1" ht="14" hidden="1">
      <c r="A13" s="1241"/>
      <c r="B13" s="1242" t="s">
        <v>2146</v>
      </c>
      <c r="C13" s="1243">
        <v>1</v>
      </c>
      <c r="D13" s="1243" t="s">
        <v>672</v>
      </c>
      <c r="E13" s="1243">
        <v>3</v>
      </c>
      <c r="F13" s="1244">
        <v>0.9</v>
      </c>
      <c r="G13" s="1244">
        <v>0.35</v>
      </c>
      <c r="H13" s="1244">
        <v>1.2</v>
      </c>
      <c r="I13" s="1138">
        <f>ROUND(C13*E13*F13*G13*-H13,2)</f>
        <v>-1.1299999999999999</v>
      </c>
      <c r="J13" s="1133"/>
      <c r="K13" s="1245"/>
      <c r="L13" s="1245"/>
      <c r="M13" s="1379"/>
    </row>
    <row r="14" spans="1:13" s="716" customFormat="1" ht="15.75" hidden="1" customHeight="1">
      <c r="A14" s="1241"/>
      <c r="B14" s="1785"/>
      <c r="C14" s="1241"/>
      <c r="D14" s="1241"/>
      <c r="E14" s="1241"/>
      <c r="F14" s="1251"/>
      <c r="G14" s="1251"/>
      <c r="H14" s="1251"/>
      <c r="I14" s="1140"/>
      <c r="J14" s="1135" t="s">
        <v>117</v>
      </c>
      <c r="K14" s="1252">
        <f>'Data  (2)'!I15</f>
        <v>172</v>
      </c>
      <c r="L14" s="1252" t="s">
        <v>143</v>
      </c>
      <c r="M14" s="1392">
        <f>ROUND(I14*K14,0)</f>
        <v>0</v>
      </c>
    </row>
    <row r="15" spans="1:13" s="716" customFormat="1" ht="14" hidden="1">
      <c r="A15" s="1237"/>
      <c r="B15" s="1790" t="s">
        <v>2147</v>
      </c>
      <c r="C15" s="1788"/>
      <c r="D15" s="1788"/>
      <c r="E15" s="1788"/>
      <c r="F15" s="1788"/>
      <c r="G15" s="1788"/>
      <c r="H15" s="1788"/>
      <c r="I15" s="1789"/>
      <c r="J15" s="1238"/>
      <c r="K15" s="1239"/>
      <c r="L15" s="1239"/>
      <c r="M15" s="1240"/>
    </row>
    <row r="16" spans="1:13" s="716" customFormat="1" ht="16.5" hidden="1" customHeight="1">
      <c r="A16" s="1241"/>
      <c r="B16" s="1242" t="s">
        <v>2148</v>
      </c>
      <c r="C16" s="1243">
        <v>1</v>
      </c>
      <c r="D16" s="1243" t="s">
        <v>672</v>
      </c>
      <c r="E16" s="1243">
        <v>1</v>
      </c>
      <c r="F16" s="1244">
        <v>9.5</v>
      </c>
      <c r="G16" s="1244">
        <v>6.8</v>
      </c>
      <c r="H16" s="1244">
        <v>0.15</v>
      </c>
      <c r="I16" s="1138">
        <f t="shared" ref="I16" si="1">ROUND(C16*E16*F16*G16*H16,2)</f>
        <v>9.69</v>
      </c>
      <c r="J16" s="1133"/>
      <c r="K16" s="1245"/>
      <c r="L16" s="1245"/>
      <c r="M16" s="1379"/>
    </row>
    <row r="17" spans="1:13" s="716" customFormat="1" ht="15.75" hidden="1" customHeight="1">
      <c r="A17" s="1241"/>
      <c r="B17" s="1785"/>
      <c r="C17" s="1241"/>
      <c r="D17" s="1241"/>
      <c r="E17" s="1241"/>
      <c r="F17" s="1251"/>
      <c r="G17" s="1251"/>
      <c r="H17" s="1251"/>
      <c r="I17" s="1140"/>
      <c r="J17" s="1135" t="s">
        <v>117</v>
      </c>
      <c r="K17" s="1252">
        <f>'Data  (2)'!I43</f>
        <v>2726</v>
      </c>
      <c r="L17" s="1252" t="s">
        <v>143</v>
      </c>
      <c r="M17" s="1392">
        <f>ROUND(I17*K17,0)</f>
        <v>0</v>
      </c>
    </row>
    <row r="18" spans="1:13" s="716" customFormat="1" ht="78.75" hidden="1" customHeight="1">
      <c r="A18" s="1237">
        <v>2</v>
      </c>
      <c r="B18" s="1996" t="s">
        <v>323</v>
      </c>
      <c r="C18" s="1997"/>
      <c r="D18" s="1997"/>
      <c r="E18" s="1997"/>
      <c r="F18" s="1997"/>
      <c r="G18" s="1997"/>
      <c r="H18" s="1997"/>
      <c r="I18" s="1998"/>
      <c r="J18" s="1238"/>
      <c r="K18" s="1239"/>
      <c r="L18" s="1239"/>
      <c r="M18" s="1240"/>
    </row>
    <row r="19" spans="1:13" s="716" customFormat="1" ht="16.5" hidden="1" customHeight="1">
      <c r="A19" s="1241"/>
      <c r="B19" s="1242" t="s">
        <v>2137</v>
      </c>
      <c r="C19" s="1243">
        <v>1</v>
      </c>
      <c r="D19" s="1243" t="s">
        <v>672</v>
      </c>
      <c r="E19" s="1243">
        <v>1</v>
      </c>
      <c r="F19" s="1244">
        <v>15</v>
      </c>
      <c r="G19" s="1244">
        <v>10</v>
      </c>
      <c r="H19" s="1244">
        <v>0.15</v>
      </c>
      <c r="I19" s="1138">
        <f t="shared" ref="I19" si="2">ROUND(C19*E19*F19*G19*H19,2)</f>
        <v>22.5</v>
      </c>
      <c r="J19" s="1133"/>
      <c r="K19" s="1245"/>
      <c r="L19" s="1245"/>
      <c r="M19" s="1379"/>
    </row>
    <row r="20" spans="1:13" s="716" customFormat="1" ht="15.75" hidden="1" customHeight="1">
      <c r="A20" s="1241"/>
      <c r="B20" s="1777"/>
      <c r="C20" s="1241"/>
      <c r="D20" s="1241"/>
      <c r="E20" s="1241"/>
      <c r="F20" s="1251"/>
      <c r="G20" s="1251"/>
      <c r="H20" s="1251"/>
      <c r="I20" s="1140">
        <v>0</v>
      </c>
      <c r="J20" s="1135" t="s">
        <v>117</v>
      </c>
      <c r="K20" s="1252">
        <f>'Data  (2)'!G52</f>
        <v>211</v>
      </c>
      <c r="L20" s="1252" t="s">
        <v>143</v>
      </c>
      <c r="M20" s="1463">
        <f>ROUND(I20*K20,0)</f>
        <v>0</v>
      </c>
    </row>
    <row r="21" spans="1:13" s="716" customFormat="1" ht="68.25" customHeight="1">
      <c r="A21" s="1237">
        <v>1</v>
      </c>
      <c r="B21" s="1996" t="s">
        <v>323</v>
      </c>
      <c r="C21" s="1997"/>
      <c r="D21" s="1997"/>
      <c r="E21" s="1997"/>
      <c r="F21" s="1997"/>
      <c r="G21" s="1997"/>
      <c r="H21" s="1997"/>
      <c r="I21" s="1998"/>
      <c r="J21" s="1238"/>
      <c r="K21" s="1239"/>
      <c r="L21" s="1239"/>
      <c r="M21" s="1240"/>
    </row>
    <row r="22" spans="1:13" s="716" customFormat="1" ht="16.5" customHeight="1">
      <c r="A22" s="1241"/>
      <c r="B22" s="1242" t="s">
        <v>1604</v>
      </c>
      <c r="C22" s="1243">
        <v>1</v>
      </c>
      <c r="D22" s="1243" t="s">
        <v>672</v>
      </c>
      <c r="E22" s="1243">
        <v>6</v>
      </c>
      <c r="F22" s="1244">
        <v>1.52</v>
      </c>
      <c r="G22" s="1244">
        <v>1.52</v>
      </c>
      <c r="H22" s="1244">
        <v>1.8</v>
      </c>
      <c r="I22" s="1138">
        <f t="shared" ref="I22" si="3">ROUND(C22*E22*F22*G22*H22,2)</f>
        <v>24.95</v>
      </c>
      <c r="J22" s="1133"/>
      <c r="K22" s="1245"/>
      <c r="L22" s="1245"/>
      <c r="M22" s="1379"/>
    </row>
    <row r="23" spans="1:13" s="716" customFormat="1" ht="14">
      <c r="A23" s="1241"/>
      <c r="B23" s="1242" t="s">
        <v>1605</v>
      </c>
      <c r="C23" s="1243">
        <v>1</v>
      </c>
      <c r="D23" s="1243" t="s">
        <v>672</v>
      </c>
      <c r="E23" s="1243">
        <v>6</v>
      </c>
      <c r="F23" s="1244">
        <v>1.95</v>
      </c>
      <c r="G23" s="1244">
        <v>1.95</v>
      </c>
      <c r="H23" s="1244">
        <v>1.8</v>
      </c>
      <c r="I23" s="1138">
        <f>ROUND(C23*E23*F23*G23*H23,2)</f>
        <v>41.07</v>
      </c>
      <c r="J23" s="1133"/>
      <c r="K23" s="1245"/>
      <c r="L23" s="1245"/>
      <c r="M23" s="1379"/>
    </row>
    <row r="24" spans="1:13" s="716" customFormat="1" ht="14">
      <c r="A24" s="1241"/>
      <c r="B24" s="1988" t="s">
        <v>2196</v>
      </c>
      <c r="C24" s="1988"/>
      <c r="D24" s="1988"/>
      <c r="E24" s="1988"/>
      <c r="F24" s="1988"/>
      <c r="G24" s="1988"/>
      <c r="H24" s="1988"/>
      <c r="I24" s="1246"/>
      <c r="J24" s="1134"/>
      <c r="K24" s="1247"/>
      <c r="L24" s="1247"/>
      <c r="M24" s="1379"/>
    </row>
    <row r="25" spans="1:13" s="716" customFormat="1" ht="14">
      <c r="A25" s="1241"/>
      <c r="B25" s="1477" t="s">
        <v>1608</v>
      </c>
      <c r="C25" s="1243">
        <v>1</v>
      </c>
      <c r="D25" s="1243" t="s">
        <v>672</v>
      </c>
      <c r="E25" s="1243">
        <v>2</v>
      </c>
      <c r="F25" s="1244">
        <f>10.8+0.23+3.6</f>
        <v>14.63</v>
      </c>
      <c r="G25" s="1244">
        <v>0.6</v>
      </c>
      <c r="H25" s="1244">
        <v>0.6</v>
      </c>
      <c r="I25" s="1138">
        <f>ROUND(C25*E25*F25*G25*H25,2)</f>
        <v>10.53</v>
      </c>
      <c r="J25" s="1133"/>
      <c r="K25" s="1245"/>
      <c r="L25" s="1245"/>
      <c r="M25" s="1379"/>
    </row>
    <row r="26" spans="1:13" s="716" customFormat="1" ht="14">
      <c r="A26" s="1241"/>
      <c r="B26" s="1477" t="s">
        <v>1609</v>
      </c>
      <c r="C26" s="1243">
        <v>1</v>
      </c>
      <c r="D26" s="1243" t="s">
        <v>672</v>
      </c>
      <c r="E26" s="1243">
        <v>2</v>
      </c>
      <c r="F26" s="1244">
        <f>8.46+0.23</f>
        <v>8.6900000000000013</v>
      </c>
      <c r="G26" s="1244">
        <v>0.6</v>
      </c>
      <c r="H26" s="1244">
        <v>0.6</v>
      </c>
      <c r="I26" s="1138">
        <f>ROUND(C26*E26*F26*G26*H26,2)</f>
        <v>6.26</v>
      </c>
      <c r="J26" s="1133"/>
      <c r="K26" s="1245"/>
      <c r="L26" s="1245"/>
      <c r="M26" s="1379"/>
    </row>
    <row r="27" spans="1:13" s="716" customFormat="1" ht="24.75" customHeight="1">
      <c r="A27" s="1241"/>
      <c r="B27" s="1249" t="s">
        <v>1610</v>
      </c>
      <c r="C27" s="1243">
        <v>1</v>
      </c>
      <c r="D27" s="1243" t="s">
        <v>672</v>
      </c>
      <c r="E27" s="1243">
        <v>6</v>
      </c>
      <c r="F27" s="1250">
        <v>1.52</v>
      </c>
      <c r="G27" s="1250">
        <v>0.6</v>
      </c>
      <c r="H27" s="1244">
        <v>0.6</v>
      </c>
      <c r="I27" s="1138">
        <f>-ROUND(C27*E27*F27*G27*H27,2)</f>
        <v>-3.28</v>
      </c>
      <c r="J27" s="1133"/>
      <c r="K27" s="1245"/>
      <c r="L27" s="1245"/>
      <c r="M27" s="1379"/>
    </row>
    <row r="28" spans="1:13" s="1114" customFormat="1" ht="17.25" hidden="1" customHeight="1">
      <c r="A28" s="1234"/>
      <c r="B28" s="1235" t="s">
        <v>1916</v>
      </c>
      <c r="C28" s="1234">
        <v>1</v>
      </c>
      <c r="D28" s="1234" t="s">
        <v>672</v>
      </c>
      <c r="E28" s="1234">
        <v>1</v>
      </c>
      <c r="F28" s="1236">
        <v>0</v>
      </c>
      <c r="G28" s="1236">
        <v>0.75</v>
      </c>
      <c r="H28" s="1236">
        <v>1.2</v>
      </c>
      <c r="I28" s="1138">
        <f>ROUND(C28*E28*F28*G28*H28,2)</f>
        <v>0</v>
      </c>
      <c r="J28" s="1235"/>
      <c r="K28" s="1235"/>
      <c r="L28" s="1235"/>
      <c r="M28" s="1394"/>
    </row>
    <row r="29" spans="1:13" s="716" customFormat="1" ht="24.75" customHeight="1">
      <c r="A29" s="1241"/>
      <c r="B29" s="1249" t="s">
        <v>1610</v>
      </c>
      <c r="C29" s="1243">
        <v>1</v>
      </c>
      <c r="D29" s="1243" t="s">
        <v>672</v>
      </c>
      <c r="E29" s="1243">
        <v>4</v>
      </c>
      <c r="F29" s="1250">
        <v>1.95</v>
      </c>
      <c r="G29" s="1250">
        <v>0.6</v>
      </c>
      <c r="H29" s="1244">
        <v>0.6</v>
      </c>
      <c r="I29" s="1138">
        <f>-ROUND(C29*E29*F29*G29*H29,2)</f>
        <v>-2.81</v>
      </c>
      <c r="J29" s="1133"/>
      <c r="K29" s="1245"/>
      <c r="L29" s="1245"/>
      <c r="M29" s="1379"/>
    </row>
    <row r="30" spans="1:13" s="716" customFormat="1" ht="15.75" customHeight="1">
      <c r="A30" s="1241"/>
      <c r="B30" s="1474"/>
      <c r="C30" s="1241"/>
      <c r="D30" s="1241"/>
      <c r="E30" s="1241"/>
      <c r="F30" s="1251"/>
      <c r="G30" s="1251"/>
      <c r="H30" s="1251"/>
      <c r="I30" s="1140">
        <f>SUM(I22:I28)</f>
        <v>79.53</v>
      </c>
      <c r="J30" s="1135" t="s">
        <v>117</v>
      </c>
      <c r="K30" s="1252">
        <f>'Data  (2)'!G52</f>
        <v>211</v>
      </c>
      <c r="L30" s="1252" t="s">
        <v>143</v>
      </c>
      <c r="M30" s="1392">
        <f>ROUND(I30*K30,0)</f>
        <v>16781</v>
      </c>
    </row>
    <row r="31" spans="1:13" s="716" customFormat="1" ht="34.5" customHeight="1">
      <c r="A31" s="1241">
        <v>2</v>
      </c>
      <c r="B31" s="1986" t="str">
        <f>'Data  (2)'!C83:C83</f>
        <v>Filling in foundation with Sand  trenches as per drawing and technical specification Clause 305.3.9 MORD &amp; 304 MORTH</v>
      </c>
      <c r="C31" s="1986"/>
      <c r="D31" s="1986"/>
      <c r="E31" s="1986"/>
      <c r="F31" s="1986"/>
      <c r="G31" s="1986"/>
      <c r="H31" s="1986"/>
      <c r="I31" s="1986"/>
      <c r="J31" s="1136"/>
      <c r="K31" s="1245"/>
      <c r="L31" s="1245"/>
      <c r="M31" s="1392"/>
    </row>
    <row r="32" spans="1:13" s="716" customFormat="1" ht="16.5" customHeight="1">
      <c r="A32" s="1241"/>
      <c r="B32" s="1242" t="s">
        <v>1604</v>
      </c>
      <c r="C32" s="1243">
        <v>1</v>
      </c>
      <c r="D32" s="1243" t="s">
        <v>672</v>
      </c>
      <c r="E32" s="1243">
        <f>E22</f>
        <v>6</v>
      </c>
      <c r="F32" s="1244">
        <f>F22</f>
        <v>1.52</v>
      </c>
      <c r="G32" s="1244">
        <f>G22</f>
        <v>1.52</v>
      </c>
      <c r="H32" s="1244">
        <v>0.1</v>
      </c>
      <c r="I32" s="1138">
        <f>ROUND(C32*E32*F32*G32*H32,2)</f>
        <v>1.39</v>
      </c>
      <c r="J32" s="1133"/>
      <c r="K32" s="1245"/>
      <c r="L32" s="1245"/>
      <c r="M32" s="1392"/>
    </row>
    <row r="33" spans="1:13" s="716" customFormat="1" ht="18" customHeight="1">
      <c r="A33" s="1241"/>
      <c r="B33" s="1242" t="s">
        <v>1605</v>
      </c>
      <c r="C33" s="1243">
        <v>1</v>
      </c>
      <c r="D33" s="1243" t="s">
        <v>672</v>
      </c>
      <c r="E33" s="1243">
        <v>6</v>
      </c>
      <c r="F33" s="1244">
        <v>1.95</v>
      </c>
      <c r="G33" s="1244">
        <v>1.95</v>
      </c>
      <c r="H33" s="1244">
        <v>0.1</v>
      </c>
      <c r="I33" s="1138">
        <f>ROUND(C33*E33*F33*G33*H33,2)</f>
        <v>2.2799999999999998</v>
      </c>
      <c r="J33" s="1133"/>
      <c r="K33" s="1245"/>
      <c r="L33" s="1245"/>
      <c r="M33" s="1392"/>
    </row>
    <row r="34" spans="1:13" s="716" customFormat="1" ht="18" customHeight="1">
      <c r="A34" s="1241"/>
      <c r="B34" s="1242"/>
      <c r="C34" s="1243"/>
      <c r="D34" s="1243"/>
      <c r="E34" s="1243"/>
      <c r="F34" s="1250"/>
      <c r="G34" s="1250"/>
      <c r="H34" s="1244"/>
      <c r="I34" s="1256">
        <f>SUM(I32:I33)</f>
        <v>3.67</v>
      </c>
      <c r="J34" s="1137" t="s">
        <v>181</v>
      </c>
      <c r="K34" s="1252">
        <f>'Data  (2)'!G94</f>
        <v>820.3</v>
      </c>
      <c r="L34" s="1252" t="s">
        <v>143</v>
      </c>
      <c r="M34" s="1392">
        <f>ROUND(I34*K34,0)</f>
        <v>3011</v>
      </c>
    </row>
    <row r="35" spans="1:13" s="716" customFormat="1" ht="54.75" customHeight="1">
      <c r="A35" s="1241">
        <v>3</v>
      </c>
      <c r="B35" s="1986" t="s">
        <v>1611</v>
      </c>
      <c r="C35" s="1986"/>
      <c r="D35" s="1986"/>
      <c r="E35" s="1986"/>
      <c r="F35" s="1986"/>
      <c r="G35" s="1986"/>
      <c r="H35" s="1986"/>
      <c r="I35" s="1986"/>
      <c r="J35" s="1136"/>
      <c r="K35" s="1245"/>
      <c r="L35" s="1245"/>
      <c r="M35" s="1392"/>
    </row>
    <row r="36" spans="1:13" s="716" customFormat="1" ht="16.5" customHeight="1">
      <c r="A36" s="1241"/>
      <c r="B36" s="1242" t="str">
        <f t="shared" ref="B36:E37" si="4">B22</f>
        <v>For Columns - F1</v>
      </c>
      <c r="C36" s="1241">
        <f t="shared" si="4"/>
        <v>1</v>
      </c>
      <c r="D36" s="1241" t="str">
        <f t="shared" si="4"/>
        <v>x</v>
      </c>
      <c r="E36" s="1241">
        <f t="shared" si="4"/>
        <v>6</v>
      </c>
      <c r="F36" s="1251">
        <v>1.52</v>
      </c>
      <c r="G36" s="1251">
        <v>1.52</v>
      </c>
      <c r="H36" s="1244">
        <v>0.15</v>
      </c>
      <c r="I36" s="1138">
        <f>ROUND(C36*E36*F36*G36*H36,2)</f>
        <v>2.08</v>
      </c>
      <c r="J36" s="1133"/>
      <c r="K36" s="1245"/>
      <c r="L36" s="1245"/>
      <c r="M36" s="1392"/>
    </row>
    <row r="37" spans="1:13" s="716" customFormat="1" ht="18" customHeight="1">
      <c r="A37" s="1241"/>
      <c r="B37" s="1242" t="str">
        <f t="shared" si="4"/>
        <v>For Columns - F2</v>
      </c>
      <c r="C37" s="1241">
        <f t="shared" si="4"/>
        <v>1</v>
      </c>
      <c r="D37" s="1241" t="str">
        <f t="shared" si="4"/>
        <v>x</v>
      </c>
      <c r="E37" s="1241">
        <f t="shared" si="4"/>
        <v>6</v>
      </c>
      <c r="F37" s="1251">
        <v>1.95</v>
      </c>
      <c r="G37" s="1251">
        <v>1.95</v>
      </c>
      <c r="H37" s="1244">
        <v>0.15</v>
      </c>
      <c r="I37" s="1138">
        <f>ROUND(C37*E37*F37*G37*H37,2)</f>
        <v>3.42</v>
      </c>
      <c r="J37" s="1133"/>
      <c r="K37" s="1245"/>
      <c r="L37" s="1245"/>
      <c r="M37" s="1392"/>
    </row>
    <row r="38" spans="1:13" s="716" customFormat="1" ht="15.5">
      <c r="A38" s="1241"/>
      <c r="B38" s="1253" t="s">
        <v>2196</v>
      </c>
      <c r="C38" s="1253"/>
      <c r="D38" s="1253"/>
      <c r="E38" s="1253"/>
      <c r="F38" s="1253"/>
      <c r="G38" s="1253"/>
      <c r="H38" s="1253"/>
      <c r="I38" s="1246"/>
      <c r="J38" s="1134"/>
      <c r="K38" s="1247"/>
      <c r="L38" s="1247"/>
      <c r="M38" s="1392"/>
    </row>
    <row r="39" spans="1:13" s="716" customFormat="1" ht="15.5">
      <c r="A39" s="1241"/>
      <c r="B39" s="1474" t="s">
        <v>1608</v>
      </c>
      <c r="C39" s="1243">
        <v>1</v>
      </c>
      <c r="D39" s="1243" t="s">
        <v>672</v>
      </c>
      <c r="E39" s="1243">
        <v>2</v>
      </c>
      <c r="F39" s="1250">
        <f>11.03+3.6</f>
        <v>14.629999999999999</v>
      </c>
      <c r="G39" s="1244">
        <v>0.45</v>
      </c>
      <c r="H39" s="1244">
        <v>0.15</v>
      </c>
      <c r="I39" s="1138">
        <f>ROUND(C39*E39*F39*G39*H39,2)</f>
        <v>1.98</v>
      </c>
      <c r="J39" s="1133"/>
      <c r="K39" s="1245"/>
      <c r="L39" s="1245"/>
      <c r="M39" s="1392"/>
    </row>
    <row r="40" spans="1:13" s="716" customFormat="1" ht="15.5">
      <c r="A40" s="1241"/>
      <c r="B40" s="1941" t="s">
        <v>1610</v>
      </c>
      <c r="C40" s="1243">
        <v>1</v>
      </c>
      <c r="D40" s="1243" t="s">
        <v>672</v>
      </c>
      <c r="E40" s="1243">
        <v>8</v>
      </c>
      <c r="F40" s="1244">
        <v>0.45</v>
      </c>
      <c r="G40" s="1244">
        <v>0.45</v>
      </c>
      <c r="H40" s="1244">
        <v>0.15</v>
      </c>
      <c r="I40" s="1138">
        <f>ROUND(C40*E40*F40*G40*-H40,2)</f>
        <v>-0.24</v>
      </c>
      <c r="J40" s="1133"/>
      <c r="K40" s="1245"/>
      <c r="L40" s="1245"/>
      <c r="M40" s="1392"/>
    </row>
    <row r="41" spans="1:13" s="716" customFormat="1" ht="15.5">
      <c r="A41" s="1241"/>
      <c r="B41" s="1474" t="s">
        <v>1609</v>
      </c>
      <c r="C41" s="1243">
        <v>1</v>
      </c>
      <c r="D41" s="1243" t="s">
        <v>672</v>
      </c>
      <c r="E41" s="1243">
        <v>2</v>
      </c>
      <c r="F41" s="1250">
        <f>8.23</f>
        <v>8.23</v>
      </c>
      <c r="G41" s="1244">
        <v>0.45</v>
      </c>
      <c r="H41" s="1244">
        <v>0.15</v>
      </c>
      <c r="I41" s="1138">
        <f>ROUND(C41*E41*F41*G41*H41,2)</f>
        <v>1.1100000000000001</v>
      </c>
      <c r="J41" s="1133"/>
      <c r="K41" s="1245"/>
      <c r="L41" s="1245"/>
      <c r="M41" s="1392"/>
    </row>
    <row r="42" spans="1:13" s="716" customFormat="1" ht="15.5">
      <c r="A42" s="1241"/>
      <c r="B42" s="1253" t="s">
        <v>2211</v>
      </c>
      <c r="C42" s="1253"/>
      <c r="D42" s="1253"/>
      <c r="E42" s="1253"/>
      <c r="F42" s="1253"/>
      <c r="G42" s="1253"/>
      <c r="H42" s="1253"/>
      <c r="I42" s="1246"/>
      <c r="J42" s="1134"/>
      <c r="K42" s="1247"/>
      <c r="L42" s="1247"/>
      <c r="M42" s="1392"/>
    </row>
    <row r="43" spans="1:13" s="716" customFormat="1" ht="15.5">
      <c r="A43" s="1241"/>
      <c r="B43" s="1941" t="s">
        <v>1609</v>
      </c>
      <c r="C43" s="1243">
        <v>1</v>
      </c>
      <c r="D43" s="1243" t="s">
        <v>672</v>
      </c>
      <c r="E43" s="1243">
        <v>3</v>
      </c>
      <c r="F43" s="1250">
        <f>8.46-0.23</f>
        <v>8.23</v>
      </c>
      <c r="G43" s="1244">
        <v>0.45</v>
      </c>
      <c r="H43" s="1244">
        <v>0.15</v>
      </c>
      <c r="I43" s="1138">
        <f>ROUND(C43*E43*F43*G43*H43,2)</f>
        <v>1.67</v>
      </c>
      <c r="J43" s="1133"/>
      <c r="K43" s="1245"/>
      <c r="L43" s="1245"/>
      <c r="M43" s="1392"/>
    </row>
    <row r="44" spans="1:13" s="716" customFormat="1" ht="15.5">
      <c r="A44" s="1241"/>
      <c r="B44" s="1253" t="s">
        <v>1614</v>
      </c>
      <c r="C44" s="1253"/>
      <c r="D44" s="1253"/>
      <c r="E44" s="1253"/>
      <c r="F44" s="1253"/>
      <c r="G44" s="1253"/>
      <c r="H44" s="1244"/>
      <c r="I44" s="1246"/>
      <c r="J44" s="1134"/>
      <c r="K44" s="1247"/>
      <c r="L44" s="1247"/>
      <c r="M44" s="1392"/>
    </row>
    <row r="45" spans="1:13" s="716" customFormat="1" ht="15.5">
      <c r="A45" s="1241"/>
      <c r="B45" s="1255" t="s">
        <v>2197</v>
      </c>
      <c r="C45" s="1243">
        <v>1</v>
      </c>
      <c r="D45" s="1243" t="s">
        <v>672</v>
      </c>
      <c r="E45" s="1243">
        <v>1</v>
      </c>
      <c r="F45" s="1244">
        <f>10.8-0.23+3.6</f>
        <v>14.17</v>
      </c>
      <c r="G45" s="1244">
        <f>8.46-0.23</f>
        <v>8.23</v>
      </c>
      <c r="H45" s="1244">
        <v>0.1</v>
      </c>
      <c r="I45" s="1138">
        <f t="shared" ref="I45:I47" si="5">ROUND(C45*E45*F45*G45*H45,2)</f>
        <v>11.66</v>
      </c>
      <c r="J45" s="1133"/>
      <c r="K45" s="1245"/>
      <c r="L45" s="1245"/>
      <c r="M45" s="1392"/>
    </row>
    <row r="46" spans="1:13" s="716" customFormat="1" ht="15.5" hidden="1">
      <c r="A46" s="1241"/>
      <c r="B46" s="1255" t="s">
        <v>1619</v>
      </c>
      <c r="C46" s="1243">
        <v>1</v>
      </c>
      <c r="D46" s="1243" t="s">
        <v>672</v>
      </c>
      <c r="E46" s="1243">
        <v>0</v>
      </c>
      <c r="F46" s="1244">
        <v>1.5</v>
      </c>
      <c r="G46" s="1244">
        <v>1.5</v>
      </c>
      <c r="H46" s="1244">
        <v>0.1</v>
      </c>
      <c r="I46" s="1138">
        <f t="shared" si="5"/>
        <v>0</v>
      </c>
      <c r="J46" s="1133"/>
      <c r="K46" s="1245"/>
      <c r="L46" s="1245"/>
      <c r="M46" s="1392"/>
    </row>
    <row r="47" spans="1:13" s="1114" customFormat="1" ht="17.25" hidden="1" customHeight="1">
      <c r="A47" s="1234"/>
      <c r="B47" s="1235" t="s">
        <v>1916</v>
      </c>
      <c r="C47" s="1234">
        <v>1</v>
      </c>
      <c r="D47" s="1234" t="s">
        <v>672</v>
      </c>
      <c r="E47" s="1234">
        <v>1</v>
      </c>
      <c r="F47" s="1236">
        <f>F28</f>
        <v>0</v>
      </c>
      <c r="G47" s="1236">
        <v>0.75</v>
      </c>
      <c r="H47" s="1236">
        <v>0.1</v>
      </c>
      <c r="I47" s="1138">
        <f t="shared" si="5"/>
        <v>0</v>
      </c>
      <c r="J47" s="1235"/>
      <c r="K47" s="1235"/>
      <c r="L47" s="1235"/>
      <c r="M47" s="1394"/>
    </row>
    <row r="48" spans="1:13" s="716" customFormat="1" ht="18" customHeight="1">
      <c r="A48" s="1241"/>
      <c r="B48" s="1242"/>
      <c r="C48" s="1243"/>
      <c r="D48" s="1243"/>
      <c r="E48" s="1243"/>
      <c r="F48" s="1250"/>
      <c r="G48" s="1250"/>
      <c r="H48" s="1244"/>
      <c r="I48" s="1256">
        <f>SUM(I36:I47)</f>
        <v>21.68</v>
      </c>
      <c r="J48" s="1137" t="s">
        <v>181</v>
      </c>
      <c r="K48" s="1252">
        <f>'Data  (2)'!G241</f>
        <v>3876.89</v>
      </c>
      <c r="L48" s="1252" t="s">
        <v>143</v>
      </c>
      <c r="M48" s="1392">
        <f>ROUND(I48*K48,0)</f>
        <v>84051</v>
      </c>
    </row>
    <row r="49" spans="1:13" s="716" customFormat="1" ht="15.5" hidden="1">
      <c r="A49" s="1241"/>
      <c r="B49" s="1242"/>
      <c r="C49" s="1243"/>
      <c r="D49" s="1243"/>
      <c r="E49" s="1243"/>
      <c r="F49" s="1250"/>
      <c r="G49" s="1250"/>
      <c r="H49" s="1244"/>
      <c r="I49" s="1256"/>
      <c r="J49" s="1137"/>
      <c r="K49" s="1252"/>
      <c r="L49" s="1252"/>
      <c r="M49" s="1392"/>
    </row>
    <row r="50" spans="1:13" s="716" customFormat="1" ht="75.75" hidden="1" customHeight="1">
      <c r="A50" s="1241">
        <v>3</v>
      </c>
      <c r="B50" s="1986" t="s">
        <v>1612</v>
      </c>
      <c r="C50" s="1986"/>
      <c r="D50" s="1986"/>
      <c r="E50" s="1986"/>
      <c r="F50" s="1986"/>
      <c r="G50" s="1986"/>
      <c r="H50" s="1986"/>
      <c r="I50" s="1256"/>
      <c r="J50" s="1137"/>
      <c r="K50" s="1252"/>
      <c r="L50" s="1252"/>
      <c r="M50" s="1392"/>
    </row>
    <row r="51" spans="1:13" s="716" customFormat="1" ht="21.75" hidden="1" customHeight="1">
      <c r="A51" s="1241"/>
      <c r="B51" s="1253" t="str">
        <f>B24</f>
        <v>For RR Masonry</v>
      </c>
      <c r="C51" s="1253"/>
      <c r="D51" s="1253"/>
      <c r="E51" s="1253"/>
      <c r="F51" s="1253"/>
      <c r="G51" s="1253"/>
      <c r="H51" s="1253"/>
      <c r="I51" s="1246"/>
      <c r="J51" s="1134"/>
      <c r="K51" s="1247"/>
      <c r="L51" s="1247"/>
      <c r="M51" s="1392"/>
    </row>
    <row r="52" spans="1:13" s="716" customFormat="1" ht="21.75" hidden="1" customHeight="1">
      <c r="A52" s="1241"/>
      <c r="B52" s="1474" t="str">
        <f>B25</f>
        <v>Long walls</v>
      </c>
      <c r="C52" s="1243">
        <f>C25</f>
        <v>1</v>
      </c>
      <c r="D52" s="1243" t="str">
        <f>D25</f>
        <v>x</v>
      </c>
      <c r="E52" s="1243">
        <f>E25</f>
        <v>2</v>
      </c>
      <c r="F52" s="1250">
        <v>12.7</v>
      </c>
      <c r="G52" s="1244">
        <v>0.45</v>
      </c>
      <c r="H52" s="1244">
        <v>0.1</v>
      </c>
      <c r="I52" s="1138">
        <f>ROUND(C52*E52*F52*G52*H52,2)</f>
        <v>1.1399999999999999</v>
      </c>
      <c r="J52" s="1133" t="s">
        <v>181</v>
      </c>
      <c r="K52" s="1245"/>
      <c r="L52" s="1245"/>
      <c r="M52" s="1392"/>
    </row>
    <row r="53" spans="1:13" s="716" customFormat="1" ht="22.5" hidden="1" customHeight="1">
      <c r="A53" s="1241"/>
      <c r="B53" s="1474" t="e">
        <f>#REF!</f>
        <v>#REF!</v>
      </c>
      <c r="C53" s="1243" t="e">
        <f>#REF!</f>
        <v>#REF!</v>
      </c>
      <c r="D53" s="1243" t="e">
        <f>#REF!</f>
        <v>#REF!</v>
      </c>
      <c r="E53" s="1243" t="e">
        <f>#REF!</f>
        <v>#REF!</v>
      </c>
      <c r="F53" s="1244" t="e">
        <f>#REF!</f>
        <v>#REF!</v>
      </c>
      <c r="G53" s="1244">
        <v>0.45</v>
      </c>
      <c r="H53" s="1244">
        <v>0.1</v>
      </c>
      <c r="I53" s="1138" t="e">
        <f>ROUND(C53*E53*F53*G53*H53,2)</f>
        <v>#REF!</v>
      </c>
      <c r="J53" s="1133" t="s">
        <v>181</v>
      </c>
      <c r="K53" s="1245"/>
      <c r="L53" s="1245"/>
      <c r="M53" s="1392"/>
    </row>
    <row r="54" spans="1:13" s="716" customFormat="1" ht="15.5" hidden="1">
      <c r="A54" s="1241"/>
      <c r="B54" s="1474" t="str">
        <f t="shared" ref="B54:G54" si="6">B27</f>
        <v>Deduct Columns portion</v>
      </c>
      <c r="C54" s="1243">
        <f t="shared" si="6"/>
        <v>1</v>
      </c>
      <c r="D54" s="1243" t="str">
        <f t="shared" si="6"/>
        <v>x</v>
      </c>
      <c r="E54" s="1243">
        <f t="shared" si="6"/>
        <v>6</v>
      </c>
      <c r="F54" s="1244">
        <f t="shared" si="6"/>
        <v>1.52</v>
      </c>
      <c r="G54" s="1244">
        <f t="shared" si="6"/>
        <v>0.6</v>
      </c>
      <c r="H54" s="1244">
        <v>0.1</v>
      </c>
      <c r="I54" s="1138">
        <f>-ROUND(C54*E54*F54*G54*H54,2)</f>
        <v>-0.55000000000000004</v>
      </c>
      <c r="J54" s="1133" t="s">
        <v>181</v>
      </c>
      <c r="K54" s="1245"/>
      <c r="L54" s="1245"/>
      <c r="M54" s="1392"/>
    </row>
    <row r="55" spans="1:13" s="716" customFormat="1" ht="22.5" hidden="1" customHeight="1">
      <c r="A55" s="1241"/>
      <c r="B55" s="1254" t="s">
        <v>1613</v>
      </c>
      <c r="C55" s="1243"/>
      <c r="D55" s="1243"/>
      <c r="E55" s="1243"/>
      <c r="F55" s="1244"/>
      <c r="G55" s="1244"/>
      <c r="H55" s="1244"/>
      <c r="I55" s="1138"/>
      <c r="J55" s="1133"/>
      <c r="K55" s="1245"/>
      <c r="L55" s="1245"/>
      <c r="M55" s="1392"/>
    </row>
    <row r="56" spans="1:13" s="716" customFormat="1" ht="25" hidden="1">
      <c r="A56" s="1241"/>
      <c r="B56" s="1242" t="s">
        <v>1606</v>
      </c>
      <c r="C56" s="1243">
        <v>1</v>
      </c>
      <c r="D56" s="1243" t="s">
        <v>672</v>
      </c>
      <c r="E56" s="1243">
        <v>1</v>
      </c>
      <c r="F56" s="1244" t="e">
        <f>#REF!</f>
        <v>#REF!</v>
      </c>
      <c r="G56" s="1244" t="e">
        <f>#REF!</f>
        <v>#REF!</v>
      </c>
      <c r="H56" s="1244">
        <v>0.15</v>
      </c>
      <c r="I56" s="1138" t="e">
        <f>ROUND(C56*E56*F56*G56*H56,2)</f>
        <v>#REF!</v>
      </c>
      <c r="J56" s="1133" t="s">
        <v>181</v>
      </c>
      <c r="K56" s="1245"/>
      <c r="L56" s="1245"/>
      <c r="M56" s="1392"/>
    </row>
    <row r="57" spans="1:13" s="716" customFormat="1" ht="22.5" hidden="1" customHeight="1">
      <c r="A57" s="1241"/>
      <c r="B57" s="1242" t="s">
        <v>1607</v>
      </c>
      <c r="C57" s="1243">
        <v>1</v>
      </c>
      <c r="D57" s="1243" t="s">
        <v>672</v>
      </c>
      <c r="E57" s="1243">
        <v>1</v>
      </c>
      <c r="F57" s="1244" t="e">
        <f>#REF!</f>
        <v>#REF!</v>
      </c>
      <c r="G57" s="1244" t="e">
        <f>#REF!</f>
        <v>#REF!</v>
      </c>
      <c r="H57" s="1244">
        <v>0.15</v>
      </c>
      <c r="I57" s="1138" t="e">
        <f>ROUND(C57*E57*F57*G57*H57,2)</f>
        <v>#REF!</v>
      </c>
      <c r="J57" s="1133" t="s">
        <v>181</v>
      </c>
      <c r="K57" s="1245"/>
      <c r="L57" s="1245"/>
      <c r="M57" s="1392"/>
    </row>
    <row r="58" spans="1:13" s="716" customFormat="1" ht="15.5" hidden="1">
      <c r="A58" s="1241"/>
      <c r="B58" s="1242" t="e">
        <f>#REF!</f>
        <v>#REF!</v>
      </c>
      <c r="C58" s="1243">
        <v>1</v>
      </c>
      <c r="D58" s="1243" t="s">
        <v>672</v>
      </c>
      <c r="E58" s="1243">
        <v>1</v>
      </c>
      <c r="F58" s="1244" t="e">
        <f>#REF!</f>
        <v>#REF!</v>
      </c>
      <c r="G58" s="1244" t="e">
        <f>#REF!</f>
        <v>#REF!</v>
      </c>
      <c r="H58" s="1244">
        <v>0.15</v>
      </c>
      <c r="I58" s="1138" t="e">
        <f>ROUND(C58*E58*F58*G58*H58,2)</f>
        <v>#REF!</v>
      </c>
      <c r="J58" s="1133" t="s">
        <v>181</v>
      </c>
      <c r="K58" s="1245"/>
      <c r="L58" s="1245"/>
      <c r="M58" s="1392"/>
    </row>
    <row r="59" spans="1:13" s="716" customFormat="1" ht="22.5" hidden="1" customHeight="1">
      <c r="A59" s="1241"/>
      <c r="B59" s="1242" t="e">
        <f>#REF!</f>
        <v>#REF!</v>
      </c>
      <c r="C59" s="1243">
        <v>1</v>
      </c>
      <c r="D59" s="1243" t="s">
        <v>672</v>
      </c>
      <c r="E59" s="1243">
        <v>1</v>
      </c>
      <c r="F59" s="1244" t="e">
        <f>#REF!</f>
        <v>#REF!</v>
      </c>
      <c r="G59" s="1244" t="e">
        <f>#REF!</f>
        <v>#REF!</v>
      </c>
      <c r="H59" s="1244">
        <v>0.15</v>
      </c>
      <c r="I59" s="1138" t="e">
        <f>ROUND(C59*E59*F59*G59*H59,2)</f>
        <v>#REF!</v>
      </c>
      <c r="J59" s="1133" t="s">
        <v>181</v>
      </c>
      <c r="K59" s="1245"/>
      <c r="L59" s="1245"/>
      <c r="M59" s="1392"/>
    </row>
    <row r="60" spans="1:13" s="716" customFormat="1" ht="15.5" hidden="1">
      <c r="A60" s="1241"/>
      <c r="B60" s="1242" t="e">
        <f>#REF!</f>
        <v>#REF!</v>
      </c>
      <c r="C60" s="1243">
        <v>1</v>
      </c>
      <c r="D60" s="1243" t="s">
        <v>672</v>
      </c>
      <c r="E60" s="1243">
        <v>1</v>
      </c>
      <c r="F60" s="1244" t="e">
        <f>#REF!</f>
        <v>#REF!</v>
      </c>
      <c r="G60" s="1244" t="e">
        <f>#REF!</f>
        <v>#REF!</v>
      </c>
      <c r="H60" s="1244">
        <v>0.15</v>
      </c>
      <c r="I60" s="1138" t="e">
        <f>ROUND(C60*E60*F60*G60*H60,2)</f>
        <v>#REF!</v>
      </c>
      <c r="J60" s="1133" t="s">
        <v>181</v>
      </c>
      <c r="K60" s="1245"/>
      <c r="L60" s="1245"/>
      <c r="M60" s="1392"/>
    </row>
    <row r="61" spans="1:13" s="716" customFormat="1" ht="23.25" hidden="1" customHeight="1">
      <c r="A61" s="1241"/>
      <c r="B61" s="1253" t="s">
        <v>1614</v>
      </c>
      <c r="C61" s="1253"/>
      <c r="D61" s="1253"/>
      <c r="E61" s="1253"/>
      <c r="F61" s="1253"/>
      <c r="G61" s="1253"/>
      <c r="H61" s="1244"/>
      <c r="I61" s="1246"/>
      <c r="J61" s="1134"/>
      <c r="K61" s="1247"/>
      <c r="L61" s="1247"/>
      <c r="M61" s="1392"/>
    </row>
    <row r="62" spans="1:13" s="716" customFormat="1" ht="23.25" hidden="1" customHeight="1">
      <c r="A62" s="1241"/>
      <c r="B62" s="1255" t="s">
        <v>1577</v>
      </c>
      <c r="C62" s="1243">
        <v>1</v>
      </c>
      <c r="D62" s="1243" t="s">
        <v>672</v>
      </c>
      <c r="E62" s="1243">
        <v>1</v>
      </c>
      <c r="F62" s="1244">
        <v>3.35</v>
      </c>
      <c r="G62" s="1244">
        <v>2.95</v>
      </c>
      <c r="H62" s="1244">
        <v>0.1</v>
      </c>
      <c r="I62" s="1138">
        <f t="shared" ref="I62:I67" si="7">ROUND(C62*E62*F62*G62*H62,2)</f>
        <v>0.99</v>
      </c>
      <c r="J62" s="1133" t="s">
        <v>181</v>
      </c>
      <c r="K62" s="1245"/>
      <c r="L62" s="1245"/>
      <c r="M62" s="1392"/>
    </row>
    <row r="63" spans="1:13" s="716" customFormat="1" ht="23.25" hidden="1" customHeight="1">
      <c r="A63" s="1241"/>
      <c r="B63" s="1255" t="s">
        <v>1615</v>
      </c>
      <c r="C63" s="1243">
        <v>1</v>
      </c>
      <c r="D63" s="1243" t="s">
        <v>672</v>
      </c>
      <c r="E63" s="1243">
        <v>1</v>
      </c>
      <c r="F63" s="1244">
        <v>3.35</v>
      </c>
      <c r="G63" s="1244">
        <v>2.74</v>
      </c>
      <c r="H63" s="1244">
        <v>0.1</v>
      </c>
      <c r="I63" s="1138">
        <f t="shared" si="7"/>
        <v>0.92</v>
      </c>
      <c r="J63" s="1133" t="s">
        <v>181</v>
      </c>
      <c r="K63" s="1245"/>
      <c r="L63" s="1245"/>
      <c r="M63" s="1392"/>
    </row>
    <row r="64" spans="1:13" s="716" customFormat="1" ht="23.25" hidden="1" customHeight="1">
      <c r="A64" s="1241"/>
      <c r="B64" s="1255" t="s">
        <v>1616</v>
      </c>
      <c r="C64" s="1243">
        <v>1</v>
      </c>
      <c r="D64" s="1243" t="s">
        <v>672</v>
      </c>
      <c r="E64" s="1243">
        <v>1</v>
      </c>
      <c r="F64" s="1244">
        <v>4.92</v>
      </c>
      <c r="G64" s="1244">
        <v>9</v>
      </c>
      <c r="H64" s="1244">
        <v>0.1</v>
      </c>
      <c r="I64" s="1138">
        <f t="shared" si="7"/>
        <v>4.43</v>
      </c>
      <c r="J64" s="1133" t="s">
        <v>181</v>
      </c>
      <c r="K64" s="1245"/>
      <c r="L64" s="1245"/>
      <c r="M64" s="1392"/>
    </row>
    <row r="65" spans="1:13" s="716" customFormat="1" ht="23.25" hidden="1" customHeight="1">
      <c r="A65" s="1241"/>
      <c r="B65" s="1255" t="s">
        <v>1617</v>
      </c>
      <c r="C65" s="1243">
        <v>1</v>
      </c>
      <c r="D65" s="1243" t="s">
        <v>672</v>
      </c>
      <c r="E65" s="1243">
        <v>1</v>
      </c>
      <c r="F65" s="1244">
        <v>3.35</v>
      </c>
      <c r="G65" s="1244">
        <v>2.7</v>
      </c>
      <c r="H65" s="1244">
        <v>0.1</v>
      </c>
      <c r="I65" s="1138">
        <f t="shared" si="7"/>
        <v>0.9</v>
      </c>
      <c r="J65" s="1133" t="s">
        <v>181</v>
      </c>
      <c r="K65" s="1245"/>
      <c r="L65" s="1245"/>
      <c r="M65" s="1392"/>
    </row>
    <row r="66" spans="1:13" s="716" customFormat="1" ht="23.25" hidden="1" customHeight="1">
      <c r="A66" s="1241"/>
      <c r="B66" s="1255" t="s">
        <v>1618</v>
      </c>
      <c r="C66" s="1243">
        <v>1</v>
      </c>
      <c r="D66" s="1243" t="s">
        <v>672</v>
      </c>
      <c r="E66" s="1243">
        <v>1</v>
      </c>
      <c r="F66" s="1244">
        <v>5.54</v>
      </c>
      <c r="G66" s="1244">
        <v>1.5</v>
      </c>
      <c r="H66" s="1244">
        <v>0.1</v>
      </c>
      <c r="I66" s="1138">
        <f>ROUND(C66*E66*F66*G66*H66,2)</f>
        <v>0.83</v>
      </c>
      <c r="J66" s="1133" t="s">
        <v>181</v>
      </c>
      <c r="K66" s="1245"/>
      <c r="L66" s="1245"/>
      <c r="M66" s="1392"/>
    </row>
    <row r="67" spans="1:13" s="716" customFormat="1" ht="23.25" hidden="1" customHeight="1">
      <c r="A67" s="1241"/>
      <c r="B67" s="1255" t="s">
        <v>1619</v>
      </c>
      <c r="C67" s="1243">
        <v>1</v>
      </c>
      <c r="D67" s="1243" t="s">
        <v>672</v>
      </c>
      <c r="E67" s="1243">
        <v>2</v>
      </c>
      <c r="F67" s="1244">
        <v>1.5</v>
      </c>
      <c r="G67" s="1244">
        <v>1.5</v>
      </c>
      <c r="H67" s="1244">
        <v>0.1</v>
      </c>
      <c r="I67" s="1138">
        <f t="shared" si="7"/>
        <v>0.45</v>
      </c>
      <c r="J67" s="1133" t="s">
        <v>181</v>
      </c>
      <c r="K67" s="1245"/>
      <c r="L67" s="1245"/>
      <c r="M67" s="1392"/>
    </row>
    <row r="68" spans="1:13" s="716" customFormat="1" ht="20.149999999999999" hidden="1" customHeight="1">
      <c r="A68" s="1241"/>
      <c r="B68" s="1474"/>
      <c r="C68" s="1241"/>
      <c r="D68" s="1241"/>
      <c r="E68" s="1241"/>
      <c r="F68" s="1251"/>
      <c r="G68" s="1251"/>
      <c r="H68" s="1251"/>
      <c r="I68" s="1140">
        <v>0</v>
      </c>
      <c r="J68" s="1135" t="s">
        <v>117</v>
      </c>
      <c r="K68" s="1252">
        <v>3807.2</v>
      </c>
      <c r="L68" s="1252" t="s">
        <v>143</v>
      </c>
      <c r="M68" s="1392">
        <f>ROUND(I68*K68,0)</f>
        <v>0</v>
      </c>
    </row>
    <row r="69" spans="1:13" s="716" customFormat="1" ht="15.5" hidden="1">
      <c r="A69" s="1241"/>
      <c r="B69" s="1474"/>
      <c r="C69" s="1241"/>
      <c r="D69" s="1241"/>
      <c r="E69" s="1241"/>
      <c r="F69" s="1251"/>
      <c r="G69" s="1251"/>
      <c r="H69" s="1251"/>
      <c r="I69" s="1246"/>
      <c r="J69" s="1134"/>
      <c r="K69" s="1252"/>
      <c r="L69" s="1252"/>
      <c r="M69" s="1392"/>
    </row>
    <row r="70" spans="1:13" s="716" customFormat="1" ht="54" customHeight="1">
      <c r="A70" s="1241">
        <v>4</v>
      </c>
      <c r="B70" s="1986" t="s">
        <v>1731</v>
      </c>
      <c r="C70" s="1986"/>
      <c r="D70" s="1986"/>
      <c r="E70" s="1986"/>
      <c r="F70" s="1986"/>
      <c r="G70" s="1986"/>
      <c r="H70" s="1986"/>
      <c r="I70" s="1986"/>
      <c r="J70" s="1136"/>
      <c r="K70" s="1245"/>
      <c r="L70" s="1245"/>
      <c r="M70" s="1392"/>
    </row>
    <row r="71" spans="1:13" s="716" customFormat="1" ht="27" hidden="1" customHeight="1">
      <c r="A71" s="1241"/>
      <c r="B71" s="1242" t="str">
        <f>B56</f>
        <v>For out side toilets alround</v>
      </c>
      <c r="C71" s="1241">
        <f>C56</f>
        <v>1</v>
      </c>
      <c r="D71" s="1241" t="str">
        <f>D56</f>
        <v>x</v>
      </c>
      <c r="E71" s="1241">
        <f>E56</f>
        <v>1</v>
      </c>
      <c r="F71" s="1251" t="e">
        <f>F56</f>
        <v>#REF!</v>
      </c>
      <c r="G71" s="1251">
        <v>1.8</v>
      </c>
      <c r="H71" s="1244">
        <v>0.15</v>
      </c>
      <c r="I71" s="1138" t="e">
        <f>ROUND(C71*E71*F71*G71*H71,2)</f>
        <v>#REF!</v>
      </c>
      <c r="J71" s="1133" t="s">
        <v>181</v>
      </c>
      <c r="K71" s="1245"/>
      <c r="L71" s="1245"/>
      <c r="M71" s="1392"/>
    </row>
    <row r="72" spans="1:13" s="716" customFormat="1" ht="31.5" customHeight="1">
      <c r="A72" s="1241"/>
      <c r="B72" s="1828" t="s">
        <v>1898</v>
      </c>
      <c r="C72" s="1243">
        <v>1</v>
      </c>
      <c r="D72" s="1243" t="s">
        <v>672</v>
      </c>
      <c r="E72" s="1243">
        <v>1</v>
      </c>
      <c r="F72" s="1244">
        <f>14.63+14.63+8.69+8.69</f>
        <v>46.64</v>
      </c>
      <c r="G72" s="1244">
        <v>0.45</v>
      </c>
      <c r="H72" s="1244">
        <v>0.6</v>
      </c>
      <c r="I72" s="1138">
        <f>ROUND(C72*E72*F72*G72*H72,2)</f>
        <v>12.59</v>
      </c>
      <c r="J72" s="1133"/>
      <c r="K72" s="1245"/>
      <c r="L72" s="1245"/>
      <c r="M72" s="1392"/>
    </row>
    <row r="73" spans="1:13" s="716" customFormat="1" ht="15.5">
      <c r="A73" s="1241"/>
      <c r="B73" s="1242" t="s">
        <v>1729</v>
      </c>
      <c r="C73" s="1241">
        <f>C58</f>
        <v>1</v>
      </c>
      <c r="D73" s="1241" t="str">
        <f>D58</f>
        <v>x</v>
      </c>
      <c r="E73" s="1241">
        <v>6</v>
      </c>
      <c r="F73" s="1251">
        <v>0.23</v>
      </c>
      <c r="G73" s="1251">
        <v>0.3</v>
      </c>
      <c r="H73" s="1244">
        <v>0.45</v>
      </c>
      <c r="I73" s="1138">
        <f>ROUND(C73*E73*F73*-G73*H73,2)</f>
        <v>-0.19</v>
      </c>
      <c r="J73" s="1133"/>
      <c r="K73" s="1245"/>
      <c r="L73" s="1245"/>
      <c r="M73" s="1392"/>
    </row>
    <row r="74" spans="1:13" s="1114" customFormat="1" ht="17.25" hidden="1" customHeight="1">
      <c r="A74" s="1234"/>
      <c r="B74" s="1235" t="s">
        <v>1916</v>
      </c>
      <c r="C74" s="1234">
        <v>1</v>
      </c>
      <c r="D74" s="1234" t="s">
        <v>672</v>
      </c>
      <c r="E74" s="1234">
        <v>1</v>
      </c>
      <c r="F74" s="1236">
        <f>F47</f>
        <v>0</v>
      </c>
      <c r="G74" s="1236">
        <v>0.6</v>
      </c>
      <c r="H74" s="1236">
        <v>0.45</v>
      </c>
      <c r="I74" s="1138">
        <f>ROUND(C74*E74*F74*G74*H74,2)</f>
        <v>0</v>
      </c>
      <c r="J74" s="1235"/>
      <c r="K74" s="1235"/>
      <c r="L74" s="1235"/>
      <c r="M74" s="1394"/>
    </row>
    <row r="75" spans="1:13" s="1114" customFormat="1" ht="17.25" hidden="1" customHeight="1">
      <c r="A75" s="1234"/>
      <c r="B75" s="1235" t="s">
        <v>1916</v>
      </c>
      <c r="C75" s="1234">
        <v>1</v>
      </c>
      <c r="D75" s="1234" t="s">
        <v>672</v>
      </c>
      <c r="E75" s="1234">
        <v>1</v>
      </c>
      <c r="F75" s="1236">
        <f>F74</f>
        <v>0</v>
      </c>
      <c r="G75" s="1236">
        <v>0.45</v>
      </c>
      <c r="H75" s="1236">
        <v>0.45</v>
      </c>
      <c r="I75" s="1138">
        <f>ROUND(C75*E75*F75*G75*H75,2)</f>
        <v>0</v>
      </c>
      <c r="J75" s="1235"/>
      <c r="K75" s="1235"/>
      <c r="L75" s="1235"/>
      <c r="M75" s="1394"/>
    </row>
    <row r="76" spans="1:13" s="716" customFormat="1" ht="15.5">
      <c r="A76" s="1241"/>
      <c r="B76" s="1242" t="s">
        <v>1729</v>
      </c>
      <c r="C76" s="1241">
        <v>1</v>
      </c>
      <c r="D76" s="1241" t="s">
        <v>672</v>
      </c>
      <c r="E76" s="1241">
        <v>6</v>
      </c>
      <c r="F76" s="1251">
        <v>0.23</v>
      </c>
      <c r="G76" s="1251">
        <v>0.38</v>
      </c>
      <c r="H76" s="1244">
        <v>0.45</v>
      </c>
      <c r="I76" s="1138">
        <f>ROUND(C76*E76*F76*-G76*H76,2)</f>
        <v>-0.24</v>
      </c>
      <c r="J76" s="1133"/>
      <c r="K76" s="1245"/>
      <c r="L76" s="1245"/>
      <c r="M76" s="1392"/>
    </row>
    <row r="77" spans="1:13" s="716" customFormat="1" ht="19.5" customHeight="1">
      <c r="A77" s="1241"/>
      <c r="B77" s="1242"/>
      <c r="C77" s="1243"/>
      <c r="D77" s="1243"/>
      <c r="E77" s="1243"/>
      <c r="F77" s="1250"/>
      <c r="G77" s="1250"/>
      <c r="H77" s="1244"/>
      <c r="I77" s="1256">
        <f>SUM(I72+I73+I76)</f>
        <v>12.16</v>
      </c>
      <c r="J77" s="1137" t="s">
        <v>181</v>
      </c>
      <c r="K77" s="1252">
        <f>'Data  (2)'!G229</f>
        <v>3521.0107199999998</v>
      </c>
      <c r="L77" s="1252" t="s">
        <v>143</v>
      </c>
      <c r="M77" s="1392">
        <f>ROUND(I77*K77,0)</f>
        <v>42815</v>
      </c>
    </row>
    <row r="78" spans="1:13" s="716" customFormat="1" ht="116.25" customHeight="1">
      <c r="A78" s="1241">
        <v>5</v>
      </c>
      <c r="B78" s="1986" t="s">
        <v>1770</v>
      </c>
      <c r="C78" s="1986"/>
      <c r="D78" s="1986"/>
      <c r="E78" s="1986"/>
      <c r="F78" s="1986"/>
      <c r="G78" s="1986"/>
      <c r="H78" s="1986"/>
      <c r="I78" s="1986"/>
      <c r="J78" s="1134"/>
      <c r="K78" s="1252"/>
      <c r="L78" s="1252"/>
      <c r="M78" s="1392"/>
    </row>
    <row r="79" spans="1:13" s="716" customFormat="1" ht="15.5">
      <c r="A79" s="1241" t="s">
        <v>158</v>
      </c>
      <c r="B79" s="1254" t="s">
        <v>1620</v>
      </c>
      <c r="C79" s="1241"/>
      <c r="D79" s="1241"/>
      <c r="E79" s="1241"/>
      <c r="F79" s="1251"/>
      <c r="G79" s="1251"/>
      <c r="H79" s="1251"/>
      <c r="I79" s="1246"/>
      <c r="J79" s="1134"/>
      <c r="K79" s="1252"/>
      <c r="L79" s="1252"/>
      <c r="M79" s="1392"/>
    </row>
    <row r="80" spans="1:13" s="716" customFormat="1" ht="18.75" customHeight="1">
      <c r="A80" s="1241"/>
      <c r="B80" s="1248" t="str">
        <f t="shared" ref="B80:E81" si="8">B36</f>
        <v>For Columns - F1</v>
      </c>
      <c r="C80" s="1243">
        <f t="shared" si="8"/>
        <v>1</v>
      </c>
      <c r="D80" s="1243" t="str">
        <f t="shared" si="8"/>
        <v>x</v>
      </c>
      <c r="E80" s="1243">
        <f t="shared" si="8"/>
        <v>6</v>
      </c>
      <c r="F80" s="1250">
        <v>1.22</v>
      </c>
      <c r="G80" s="1250">
        <v>1.22</v>
      </c>
      <c r="H80" s="1244">
        <v>0.3</v>
      </c>
      <c r="I80" s="1138">
        <f>ROUND(C80*E80*F80*G80*H80,2)</f>
        <v>2.68</v>
      </c>
      <c r="J80" s="1133" t="s">
        <v>181</v>
      </c>
      <c r="K80" s="1252"/>
      <c r="L80" s="1252"/>
      <c r="M80" s="1392"/>
    </row>
    <row r="81" spans="1:13" s="716" customFormat="1" ht="18.75" customHeight="1">
      <c r="A81" s="1241"/>
      <c r="B81" s="1248" t="str">
        <f t="shared" si="8"/>
        <v>For Columns - F2</v>
      </c>
      <c r="C81" s="1243">
        <f t="shared" si="8"/>
        <v>1</v>
      </c>
      <c r="D81" s="1243" t="str">
        <f t="shared" si="8"/>
        <v>x</v>
      </c>
      <c r="E81" s="1243">
        <f t="shared" si="8"/>
        <v>6</v>
      </c>
      <c r="F81" s="1250">
        <v>1.65</v>
      </c>
      <c r="G81" s="1250">
        <v>1.65</v>
      </c>
      <c r="H81" s="1244">
        <v>0.3</v>
      </c>
      <c r="I81" s="1138">
        <f>ROUND(C81*E81*F81*G81*H81,2)</f>
        <v>4.9000000000000004</v>
      </c>
      <c r="J81" s="1133"/>
      <c r="K81" s="1252"/>
      <c r="L81" s="1252"/>
      <c r="M81" s="1392"/>
    </row>
    <row r="82" spans="1:13" s="716" customFormat="1" ht="15.5">
      <c r="A82" s="1241"/>
      <c r="B82" s="1474"/>
      <c r="C82" s="1241"/>
      <c r="D82" s="1241"/>
      <c r="E82" s="1241"/>
      <c r="F82" s="1251"/>
      <c r="G82" s="1251"/>
      <c r="H82" s="1251"/>
      <c r="I82" s="1140">
        <f>SUM(I81:I81)</f>
        <v>4.9000000000000004</v>
      </c>
      <c r="J82" s="1478" t="s">
        <v>117</v>
      </c>
      <c r="K82" s="1252">
        <f>'Data  (2)'!G282</f>
        <v>7289.68</v>
      </c>
      <c r="L82" s="1252" t="s">
        <v>143</v>
      </c>
      <c r="M82" s="1392">
        <f>ROUND(I82*K82,0)</f>
        <v>35719</v>
      </c>
    </row>
    <row r="83" spans="1:13" s="716" customFormat="1" ht="15.5" hidden="1">
      <c r="A83" s="1241"/>
      <c r="B83" s="1474"/>
      <c r="C83" s="1241"/>
      <c r="D83" s="1241"/>
      <c r="E83" s="1241"/>
      <c r="F83" s="1251"/>
      <c r="G83" s="1251"/>
      <c r="H83" s="1251"/>
      <c r="I83" s="1140"/>
      <c r="J83" s="1478"/>
      <c r="K83" s="1252"/>
      <c r="L83" s="1252"/>
      <c r="M83" s="1392"/>
    </row>
    <row r="84" spans="1:13" s="716" customFormat="1" ht="15.5">
      <c r="A84" s="1241" t="s">
        <v>159</v>
      </c>
      <c r="B84" s="1254" t="s">
        <v>1123</v>
      </c>
      <c r="C84" s="1241"/>
      <c r="D84" s="1241"/>
      <c r="E84" s="1241"/>
      <c r="F84" s="1251"/>
      <c r="G84" s="1251"/>
      <c r="H84" s="1251"/>
      <c r="I84" s="1246"/>
      <c r="J84" s="1134"/>
      <c r="K84" s="1252"/>
      <c r="L84" s="1252"/>
      <c r="M84" s="1392"/>
    </row>
    <row r="85" spans="1:13" s="716" customFormat="1" ht="15.5">
      <c r="A85" s="1241"/>
      <c r="B85" s="1248" t="s">
        <v>1621</v>
      </c>
      <c r="C85" s="1243">
        <f>C80</f>
        <v>1</v>
      </c>
      <c r="D85" s="1243" t="str">
        <f>D80</f>
        <v>x</v>
      </c>
      <c r="E85" s="1243">
        <v>12</v>
      </c>
      <c r="F85" s="1250">
        <v>0.45</v>
      </c>
      <c r="G85" s="1250">
        <v>0.45</v>
      </c>
      <c r="H85" s="1250">
        <v>0.45</v>
      </c>
      <c r="I85" s="1138">
        <f>ROUND(C85*E85*F85*G85*H85,2)</f>
        <v>1.0900000000000001</v>
      </c>
      <c r="J85" s="1133"/>
      <c r="K85" s="1252"/>
      <c r="L85" s="1252"/>
      <c r="M85" s="1392"/>
    </row>
    <row r="86" spans="1:13" s="716" customFormat="1" ht="21" customHeight="1">
      <c r="A86" s="1241"/>
      <c r="B86" s="1474"/>
      <c r="C86" s="1241"/>
      <c r="D86" s="1241"/>
      <c r="E86" s="1241"/>
      <c r="F86" s="1251"/>
      <c r="G86" s="1251"/>
      <c r="H86" s="1251"/>
      <c r="I86" s="1140">
        <f>SUM(I85:I85)</f>
        <v>1.0900000000000001</v>
      </c>
      <c r="J86" s="1478" t="s">
        <v>117</v>
      </c>
      <c r="K86" s="1252">
        <f>'Data  (2)'!G286</f>
        <v>7702.68</v>
      </c>
      <c r="L86" s="1252" t="s">
        <v>143</v>
      </c>
      <c r="M86" s="1392">
        <f>ROUND(I86*K86,0)</f>
        <v>8396</v>
      </c>
    </row>
    <row r="87" spans="1:13" s="716" customFormat="1" ht="123" customHeight="1">
      <c r="A87" s="1241">
        <v>7</v>
      </c>
      <c r="B87" s="1986" t="s">
        <v>1791</v>
      </c>
      <c r="C87" s="1986"/>
      <c r="D87" s="1986"/>
      <c r="E87" s="1986"/>
      <c r="F87" s="1986"/>
      <c r="G87" s="1986"/>
      <c r="H87" s="1986"/>
      <c r="I87" s="1986"/>
      <c r="J87" s="1478"/>
      <c r="K87" s="1252"/>
      <c r="L87" s="1252"/>
      <c r="M87" s="1392"/>
    </row>
    <row r="88" spans="1:13" s="716" customFormat="1" ht="17.25" customHeight="1">
      <c r="A88" s="1241"/>
      <c r="B88" s="1990" t="s">
        <v>1879</v>
      </c>
      <c r="C88" s="1991"/>
      <c r="D88" s="1991"/>
      <c r="E88" s="1991"/>
      <c r="F88" s="1992"/>
      <c r="G88" s="1251"/>
      <c r="H88" s="1251"/>
      <c r="I88" s="1246"/>
      <c r="J88" s="1134"/>
      <c r="K88" s="1247"/>
      <c r="L88" s="1247"/>
      <c r="M88" s="1392"/>
    </row>
    <row r="89" spans="1:13" s="716" customFormat="1" ht="15.5">
      <c r="A89" s="1241"/>
      <c r="B89" s="1248" t="s">
        <v>1880</v>
      </c>
      <c r="C89" s="1243">
        <f>C80</f>
        <v>1</v>
      </c>
      <c r="D89" s="1243" t="str">
        <f>D80</f>
        <v>x</v>
      </c>
      <c r="E89" s="1243">
        <v>6</v>
      </c>
      <c r="F89" s="1250">
        <v>0.23</v>
      </c>
      <c r="G89" s="1250">
        <v>0.3</v>
      </c>
      <c r="H89" s="1244">
        <v>2.2000000000000002</v>
      </c>
      <c r="I89" s="1138">
        <f>ROUND(C89*E89*F89*G89*H89,2)</f>
        <v>0.91</v>
      </c>
      <c r="J89" s="1133"/>
      <c r="K89" s="1252"/>
      <c r="L89" s="1252"/>
      <c r="M89" s="1392"/>
    </row>
    <row r="90" spans="1:13" s="716" customFormat="1" ht="15.5">
      <c r="A90" s="1241"/>
      <c r="B90" s="1248" t="s">
        <v>1880</v>
      </c>
      <c r="C90" s="1243">
        <f>C81</f>
        <v>1</v>
      </c>
      <c r="D90" s="1243" t="str">
        <f>D81</f>
        <v>x</v>
      </c>
      <c r="E90" s="1243">
        <v>6</v>
      </c>
      <c r="F90" s="1250">
        <v>0.23</v>
      </c>
      <c r="G90" s="1250">
        <v>0.38</v>
      </c>
      <c r="H90" s="1244">
        <v>2.2000000000000002</v>
      </c>
      <c r="I90" s="1138">
        <f>ROUND(C90*E90*F90*G90*H90,2)</f>
        <v>1.1499999999999999</v>
      </c>
      <c r="J90" s="1133"/>
      <c r="K90" s="1252"/>
      <c r="L90" s="1252"/>
      <c r="M90" s="1392"/>
    </row>
    <row r="91" spans="1:13" s="716" customFormat="1" ht="15.5">
      <c r="A91" s="1241"/>
      <c r="B91" s="1248" t="s">
        <v>1881</v>
      </c>
      <c r="C91" s="1243">
        <f t="shared" ref="C91:G92" si="9">C89</f>
        <v>1</v>
      </c>
      <c r="D91" s="1243" t="str">
        <f t="shared" si="9"/>
        <v>x</v>
      </c>
      <c r="E91" s="1243">
        <f t="shared" si="9"/>
        <v>6</v>
      </c>
      <c r="F91" s="1250">
        <f t="shared" si="9"/>
        <v>0.23</v>
      </c>
      <c r="G91" s="1250">
        <f t="shared" si="9"/>
        <v>0.3</v>
      </c>
      <c r="H91" s="1250">
        <v>2.85</v>
      </c>
      <c r="I91" s="1138">
        <f>ROUND(C91*E91*F91*G91*H91,2)</f>
        <v>1.18</v>
      </c>
      <c r="J91" s="1133"/>
      <c r="K91" s="1252"/>
      <c r="L91" s="1252"/>
      <c r="M91" s="1392"/>
    </row>
    <row r="92" spans="1:13" s="716" customFormat="1" ht="15.5">
      <c r="A92" s="1241"/>
      <c r="B92" s="1248" t="s">
        <v>1881</v>
      </c>
      <c r="C92" s="1243">
        <f t="shared" si="9"/>
        <v>1</v>
      </c>
      <c r="D92" s="1243" t="str">
        <f t="shared" si="9"/>
        <v>x</v>
      </c>
      <c r="E92" s="1243">
        <f t="shared" si="9"/>
        <v>6</v>
      </c>
      <c r="F92" s="1250">
        <f t="shared" si="9"/>
        <v>0.23</v>
      </c>
      <c r="G92" s="1250">
        <f t="shared" si="9"/>
        <v>0.38</v>
      </c>
      <c r="H92" s="1250">
        <v>2.85</v>
      </c>
      <c r="I92" s="1138">
        <f>ROUND(C92*E92*F92*G92*H92,2)</f>
        <v>1.49</v>
      </c>
      <c r="J92" s="1133"/>
      <c r="K92" s="1252"/>
      <c r="L92" s="1252"/>
      <c r="M92" s="1392"/>
    </row>
    <row r="93" spans="1:13" s="716" customFormat="1" ht="18" customHeight="1">
      <c r="A93" s="1241"/>
      <c r="B93" s="1474"/>
      <c r="C93" s="1241"/>
      <c r="D93" s="1241"/>
      <c r="E93" s="1241"/>
      <c r="F93" s="1251"/>
      <c r="G93" s="1251"/>
      <c r="H93" s="1251"/>
      <c r="I93" s="1140">
        <f>SUM(I89:I91)</f>
        <v>3.24</v>
      </c>
      <c r="J93" s="1478" t="s">
        <v>117</v>
      </c>
      <c r="K93" s="1252">
        <f>'Data  (2)'!F336</f>
        <v>9426.68</v>
      </c>
      <c r="L93" s="1252" t="s">
        <v>143</v>
      </c>
      <c r="M93" s="1392">
        <f>ROUND(I93*K93,0)</f>
        <v>30542</v>
      </c>
    </row>
    <row r="94" spans="1:13" s="716" customFormat="1" ht="116.25" customHeight="1">
      <c r="A94" s="1241">
        <v>8</v>
      </c>
      <c r="B94" s="1986" t="s">
        <v>1792</v>
      </c>
      <c r="C94" s="1986"/>
      <c r="D94" s="1986"/>
      <c r="E94" s="1986"/>
      <c r="F94" s="1986"/>
      <c r="G94" s="1986"/>
      <c r="H94" s="1986"/>
      <c r="I94" s="1986"/>
      <c r="J94" s="1136"/>
      <c r="K94" s="1245"/>
      <c r="L94" s="1245"/>
      <c r="M94" s="1392"/>
    </row>
    <row r="95" spans="1:13" s="716" customFormat="1" ht="16.5" customHeight="1">
      <c r="A95" s="1241"/>
      <c r="B95" s="1254" t="s">
        <v>1622</v>
      </c>
      <c r="C95" s="1241"/>
      <c r="D95" s="1241"/>
      <c r="E95" s="1241"/>
      <c r="F95" s="1251"/>
      <c r="G95" s="1251"/>
      <c r="H95" s="1251"/>
      <c r="I95" s="1246"/>
      <c r="J95" s="1134"/>
      <c r="K95" s="1252"/>
      <c r="L95" s="1252"/>
      <c r="M95" s="1392"/>
    </row>
    <row r="96" spans="1:13" s="716" customFormat="1" ht="15.5">
      <c r="A96" s="1241"/>
      <c r="B96" s="1248" t="str">
        <f>B25</f>
        <v>Long walls</v>
      </c>
      <c r="C96" s="1133">
        <f>C25</f>
        <v>1</v>
      </c>
      <c r="D96" s="1133" t="str">
        <f>D25</f>
        <v>x</v>
      </c>
      <c r="E96" s="1133">
        <f>E25</f>
        <v>2</v>
      </c>
      <c r="F96" s="1250">
        <f>11.03</f>
        <v>11.03</v>
      </c>
      <c r="G96" s="1244">
        <v>0.23</v>
      </c>
      <c r="H96" s="1244">
        <v>0.38</v>
      </c>
      <c r="I96" s="1138">
        <f>ROUND(C96*E96*F96*G96*H96,2)</f>
        <v>1.93</v>
      </c>
      <c r="J96" s="1133"/>
      <c r="K96" s="1252"/>
      <c r="L96" s="1252"/>
      <c r="M96" s="1392"/>
    </row>
    <row r="97" spans="1:13" s="716" customFormat="1" ht="15.5">
      <c r="A97" s="1241"/>
      <c r="B97" s="1248" t="s">
        <v>1609</v>
      </c>
      <c r="C97" s="1133">
        <v>1</v>
      </c>
      <c r="D97" s="1133" t="s">
        <v>672</v>
      </c>
      <c r="E97" s="1133">
        <v>5</v>
      </c>
      <c r="F97" s="1250">
        <f>8.69</f>
        <v>8.69</v>
      </c>
      <c r="G97" s="1244">
        <v>0.23</v>
      </c>
      <c r="H97" s="1244">
        <v>0.38</v>
      </c>
      <c r="I97" s="1138">
        <f>ROUND(C97*E97*F97*G97*H97,2)</f>
        <v>3.8</v>
      </c>
      <c r="J97" s="1133"/>
      <c r="K97" s="1252"/>
      <c r="L97" s="1252"/>
      <c r="M97" s="1392"/>
    </row>
    <row r="98" spans="1:13" s="716" customFormat="1" ht="15.5">
      <c r="A98" s="1241"/>
      <c r="B98" s="1248" t="str">
        <f>B27</f>
        <v>Deduct Columns portion</v>
      </c>
      <c r="C98" s="1133">
        <f>C27</f>
        <v>1</v>
      </c>
      <c r="D98" s="1133" t="str">
        <f>D27</f>
        <v>x</v>
      </c>
      <c r="E98" s="1133">
        <v>6</v>
      </c>
      <c r="F98" s="1250">
        <v>0.23</v>
      </c>
      <c r="G98" s="1250">
        <v>0.3</v>
      </c>
      <c r="H98" s="1244">
        <v>0.38</v>
      </c>
      <c r="I98" s="1138">
        <f>-ROUND(C98*E98*F98*G98*H98,2)</f>
        <v>-0.16</v>
      </c>
      <c r="J98" s="1133"/>
      <c r="K98" s="1252"/>
      <c r="L98" s="1252"/>
      <c r="M98" s="1392"/>
    </row>
    <row r="99" spans="1:13" s="716" customFormat="1" ht="15.5">
      <c r="A99" s="1241"/>
      <c r="B99" s="1248" t="str">
        <f>B98</f>
        <v>Deduct Columns portion</v>
      </c>
      <c r="C99" s="1133">
        <v>1</v>
      </c>
      <c r="D99" s="1133" t="s">
        <v>672</v>
      </c>
      <c r="E99" s="1133">
        <v>6</v>
      </c>
      <c r="F99" s="1250">
        <v>0.23</v>
      </c>
      <c r="G99" s="1250">
        <v>0.38</v>
      </c>
      <c r="H99" s="1244">
        <v>0.38</v>
      </c>
      <c r="I99" s="1138">
        <f>-ROUND(C99*E99*F99*G99*H99,2)</f>
        <v>-0.2</v>
      </c>
      <c r="J99" s="1133"/>
      <c r="K99" s="1252"/>
      <c r="L99" s="1252"/>
      <c r="M99" s="1392"/>
    </row>
    <row r="100" spans="1:13" s="716" customFormat="1" ht="21" customHeight="1">
      <c r="A100" s="1241"/>
      <c r="B100" s="1474"/>
      <c r="C100" s="1241"/>
      <c r="D100" s="1241"/>
      <c r="E100" s="1241"/>
      <c r="F100" s="1251"/>
      <c r="G100" s="1251"/>
      <c r="H100" s="1251"/>
      <c r="I100" s="1140">
        <f>SUM(I96:I98)</f>
        <v>5.5699999999999994</v>
      </c>
      <c r="J100" s="1478" t="s">
        <v>117</v>
      </c>
      <c r="K100" s="1252">
        <f>'Data  (2)'!G290</f>
        <v>9281.68</v>
      </c>
      <c r="L100" s="1252" t="s">
        <v>143</v>
      </c>
      <c r="M100" s="1392">
        <f>ROUND(I100*K100,0)</f>
        <v>51699</v>
      </c>
    </row>
    <row r="101" spans="1:13" s="716" customFormat="1" ht="39" customHeight="1">
      <c r="A101" s="1241">
        <v>9</v>
      </c>
      <c r="B101" s="1986" t="s">
        <v>1793</v>
      </c>
      <c r="C101" s="1986"/>
      <c r="D101" s="1986"/>
      <c r="E101" s="1986"/>
      <c r="F101" s="1986"/>
      <c r="G101" s="1986"/>
      <c r="H101" s="1986"/>
      <c r="I101" s="1986"/>
      <c r="J101" s="1478"/>
      <c r="K101" s="1252"/>
      <c r="L101" s="1252"/>
      <c r="M101" s="1392"/>
    </row>
    <row r="102" spans="1:13" s="716" customFormat="1" ht="15.5">
      <c r="A102" s="1241"/>
      <c r="B102" s="1255" t="s">
        <v>1623</v>
      </c>
      <c r="C102" s="1243"/>
      <c r="D102" s="1243"/>
      <c r="E102" s="1243"/>
      <c r="F102" s="1244"/>
      <c r="G102" s="1244"/>
      <c r="H102" s="1244"/>
      <c r="I102" s="1138">
        <f>I30</f>
        <v>79.53</v>
      </c>
      <c r="J102" s="1138"/>
      <c r="K102" s="1252"/>
      <c r="L102" s="1252"/>
      <c r="M102" s="1392"/>
    </row>
    <row r="103" spans="1:13" s="716" customFormat="1" ht="15.5">
      <c r="A103" s="1241"/>
      <c r="B103" s="1258" t="s">
        <v>725</v>
      </c>
      <c r="C103" s="1243"/>
      <c r="D103" s="1243"/>
      <c r="E103" s="1243"/>
      <c r="F103" s="1244"/>
      <c r="G103" s="1244"/>
      <c r="H103" s="1244"/>
      <c r="I103" s="1138"/>
      <c r="J103" s="1133"/>
      <c r="K103" s="1252"/>
      <c r="L103" s="1252"/>
      <c r="M103" s="1392"/>
    </row>
    <row r="104" spans="1:13" s="716" customFormat="1" ht="15.5">
      <c r="A104" s="1241"/>
      <c r="B104" s="1255" t="s">
        <v>1624</v>
      </c>
      <c r="C104" s="1243"/>
      <c r="D104" s="1243"/>
      <c r="E104" s="1243"/>
      <c r="F104" s="1244"/>
      <c r="G104" s="1244"/>
      <c r="H104" s="1244"/>
      <c r="I104" s="1138">
        <f>-I48</f>
        <v>-21.68</v>
      </c>
      <c r="J104" s="1138"/>
      <c r="K104" s="1252"/>
      <c r="L104" s="1252"/>
      <c r="M104" s="1392"/>
    </row>
    <row r="105" spans="1:13" s="716" customFormat="1" ht="15.5">
      <c r="A105" s="1241"/>
      <c r="B105" s="1989" t="s">
        <v>1625</v>
      </c>
      <c r="C105" s="1989"/>
      <c r="D105" s="1989"/>
      <c r="E105" s="1989"/>
      <c r="F105" s="1989"/>
      <c r="G105" s="1989"/>
      <c r="H105" s="1989"/>
      <c r="I105" s="1138">
        <f>-I82</f>
        <v>-4.9000000000000004</v>
      </c>
      <c r="J105" s="1138"/>
      <c r="K105" s="1252"/>
      <c r="L105" s="1252"/>
      <c r="M105" s="1392"/>
    </row>
    <row r="106" spans="1:13" s="716" customFormat="1" ht="15.5">
      <c r="A106" s="1241"/>
      <c r="B106" s="1989" t="s">
        <v>1626</v>
      </c>
      <c r="C106" s="1989"/>
      <c r="D106" s="1989"/>
      <c r="E106" s="1989"/>
      <c r="F106" s="1989"/>
      <c r="G106" s="1989"/>
      <c r="H106" s="1989"/>
      <c r="I106" s="1138">
        <f>-I86</f>
        <v>-1.0900000000000001</v>
      </c>
      <c r="J106" s="1138"/>
      <c r="K106" s="1252"/>
      <c r="L106" s="1252"/>
      <c r="M106" s="1392"/>
    </row>
    <row r="107" spans="1:13" s="716" customFormat="1" ht="15.5">
      <c r="A107" s="1241"/>
      <c r="B107" s="1989" t="s">
        <v>1627</v>
      </c>
      <c r="C107" s="1989"/>
      <c r="D107" s="1989"/>
      <c r="E107" s="1989"/>
      <c r="F107" s="1989"/>
      <c r="G107" s="1989"/>
      <c r="H107" s="1989"/>
      <c r="I107" s="1138">
        <f>-SUM(I89:I89)</f>
        <v>-0.91</v>
      </c>
      <c r="J107" s="1138"/>
      <c r="K107" s="1259"/>
      <c r="L107" s="1252"/>
      <c r="M107" s="1392"/>
    </row>
    <row r="108" spans="1:13" s="716" customFormat="1" ht="15.75" customHeight="1">
      <c r="A108" s="1241"/>
      <c r="B108" s="1477"/>
      <c r="C108" s="1477"/>
      <c r="D108" s="1477"/>
      <c r="E108" s="1477"/>
      <c r="F108" s="1477"/>
      <c r="G108" s="1477"/>
      <c r="H108" s="1477"/>
      <c r="I108" s="1256">
        <f>SUM(I102:I107)</f>
        <v>50.95</v>
      </c>
      <c r="J108" s="1135" t="s">
        <v>117</v>
      </c>
      <c r="K108" s="1252">
        <v>25.59</v>
      </c>
      <c r="L108" s="1252" t="s">
        <v>143</v>
      </c>
      <c r="M108" s="1392">
        <f>ROUND(I108*K108,0)</f>
        <v>1304</v>
      </c>
    </row>
    <row r="109" spans="1:13" s="716" customFormat="1" ht="63" customHeight="1">
      <c r="A109" s="1241">
        <v>10</v>
      </c>
      <c r="B109" s="1986" t="s">
        <v>1878</v>
      </c>
      <c r="C109" s="1986"/>
      <c r="D109" s="1986"/>
      <c r="E109" s="1986"/>
      <c r="F109" s="1986"/>
      <c r="G109" s="1986"/>
      <c r="H109" s="1986"/>
      <c r="I109" s="1986"/>
      <c r="J109" s="1138"/>
      <c r="K109" s="1252"/>
      <c r="L109" s="1252"/>
      <c r="M109" s="1392"/>
    </row>
    <row r="110" spans="1:13" s="716" customFormat="1" ht="15.5">
      <c r="A110" s="1241"/>
      <c r="B110" s="1255" t="s">
        <v>2163</v>
      </c>
      <c r="C110" s="1243">
        <v>1</v>
      </c>
      <c r="D110" s="1243" t="s">
        <v>672</v>
      </c>
      <c r="E110" s="1243">
        <v>1</v>
      </c>
      <c r="F110" s="1250">
        <f>10.8-0.23+3.6</f>
        <v>14.17</v>
      </c>
      <c r="G110" s="1250">
        <f>8.46-0.23</f>
        <v>8.23</v>
      </c>
      <c r="H110" s="1244">
        <v>0.3</v>
      </c>
      <c r="I110" s="1138">
        <f>ROUND(C110*E110*F110*G110*H110,2)</f>
        <v>34.99</v>
      </c>
      <c r="J110" s="1133"/>
      <c r="K110" s="1252"/>
      <c r="L110" s="1252"/>
      <c r="M110" s="1392"/>
    </row>
    <row r="111" spans="1:13" s="716" customFormat="1" ht="15.75" customHeight="1">
      <c r="A111" s="1241"/>
      <c r="B111" s="1254"/>
      <c r="C111" s="1257"/>
      <c r="D111" s="1257"/>
      <c r="E111" s="1257"/>
      <c r="F111" s="1257"/>
      <c r="G111" s="1257"/>
      <c r="H111" s="1257"/>
      <c r="I111" s="1140">
        <f>SUM(I110:I110)</f>
        <v>34.99</v>
      </c>
      <c r="J111" s="1134" t="s">
        <v>117</v>
      </c>
      <c r="K111" s="1252">
        <f>'Data  (2)'!G106</f>
        <v>266.5</v>
      </c>
      <c r="L111" s="1252" t="s">
        <v>143</v>
      </c>
      <c r="M111" s="1392">
        <f>ROUND(I111*K111,0)</f>
        <v>9325</v>
      </c>
    </row>
    <row r="112" spans="1:13" s="716" customFormat="1" ht="66" customHeight="1">
      <c r="A112" s="1241">
        <v>11</v>
      </c>
      <c r="B112" s="1986" t="s">
        <v>1689</v>
      </c>
      <c r="C112" s="1986"/>
      <c r="D112" s="1986"/>
      <c r="E112" s="1986"/>
      <c r="F112" s="1986"/>
      <c r="G112" s="1986"/>
      <c r="H112" s="1986"/>
      <c r="I112" s="1986"/>
      <c r="J112" s="1138"/>
      <c r="K112" s="1252"/>
      <c r="L112" s="1252"/>
      <c r="M112" s="1392"/>
    </row>
    <row r="113" spans="1:13" s="716" customFormat="1" ht="15.5">
      <c r="A113" s="1241"/>
      <c r="B113" s="1255" t="s">
        <v>2198</v>
      </c>
      <c r="C113" s="1243">
        <v>1</v>
      </c>
      <c r="D113" s="1243" t="s">
        <v>672</v>
      </c>
      <c r="E113" s="1243">
        <v>1</v>
      </c>
      <c r="F113" s="1250">
        <f>F110</f>
        <v>14.17</v>
      </c>
      <c r="G113" s="1250">
        <v>8.23</v>
      </c>
      <c r="H113" s="1244">
        <v>0.3</v>
      </c>
      <c r="I113" s="1138">
        <f t="shared" ref="I113:I114" si="10">ROUND(C113*E113*F113*G113*H113,2)</f>
        <v>34.99</v>
      </c>
      <c r="J113" s="1133"/>
      <c r="K113" s="1252"/>
      <c r="L113" s="1252"/>
      <c r="M113" s="1392"/>
    </row>
    <row r="114" spans="1:13" s="716" customFormat="1" ht="15.5" hidden="1">
      <c r="A114" s="1241"/>
      <c r="B114" s="1255" t="str">
        <f>B67</f>
        <v>Toilets in side</v>
      </c>
      <c r="C114" s="1243">
        <f>C67</f>
        <v>1</v>
      </c>
      <c r="D114" s="1243" t="str">
        <f>D67</f>
        <v>x</v>
      </c>
      <c r="E114" s="1243">
        <v>0</v>
      </c>
      <c r="F114" s="1250">
        <f>F67</f>
        <v>1.5</v>
      </c>
      <c r="G114" s="1250">
        <f>G67</f>
        <v>1.5</v>
      </c>
      <c r="H114" s="1244">
        <v>0.3</v>
      </c>
      <c r="I114" s="1138">
        <f t="shared" si="10"/>
        <v>0</v>
      </c>
      <c r="J114" s="1133"/>
      <c r="K114" s="1252"/>
      <c r="L114" s="1252"/>
      <c r="M114" s="1392"/>
    </row>
    <row r="115" spans="1:13" s="716" customFormat="1" ht="15.75" customHeight="1">
      <c r="A115" s="1241"/>
      <c r="B115" s="1254"/>
      <c r="C115" s="1257"/>
      <c r="D115" s="1257"/>
      <c r="E115" s="1257"/>
      <c r="F115" s="1257"/>
      <c r="G115" s="1257"/>
      <c r="H115" s="1257"/>
      <c r="I115" s="1140">
        <f>SUM(I113:I114)</f>
        <v>34.99</v>
      </c>
      <c r="J115" s="1134" t="s">
        <v>117</v>
      </c>
      <c r="K115" s="1252">
        <f>'Data  (2)'!G82</f>
        <v>1143.0999999999999</v>
      </c>
      <c r="L115" s="1252" t="s">
        <v>143</v>
      </c>
      <c r="M115" s="1392">
        <f>ROUND(I115*K115,0)</f>
        <v>39997</v>
      </c>
    </row>
    <row r="116" spans="1:13" s="716" customFormat="1" ht="119.25" customHeight="1">
      <c r="A116" s="1241">
        <v>12</v>
      </c>
      <c r="B116" s="1986" t="s">
        <v>1792</v>
      </c>
      <c r="C116" s="1986"/>
      <c r="D116" s="1986"/>
      <c r="E116" s="1986"/>
      <c r="F116" s="1986"/>
      <c r="G116" s="1986"/>
      <c r="H116" s="1986"/>
      <c r="I116" s="1986"/>
      <c r="J116" s="1134"/>
      <c r="K116" s="1252"/>
      <c r="L116" s="1252"/>
      <c r="M116" s="1392"/>
    </row>
    <row r="117" spans="1:13" s="716" customFormat="1" ht="15.75" customHeight="1">
      <c r="A117" s="1241"/>
      <c r="B117" s="1254" t="s">
        <v>1981</v>
      </c>
      <c r="C117" s="1241"/>
      <c r="D117" s="1241"/>
      <c r="E117" s="1241"/>
      <c r="F117" s="1251"/>
      <c r="G117" s="1251"/>
      <c r="H117" s="1251"/>
      <c r="I117" s="1246"/>
      <c r="J117" s="1134"/>
      <c r="K117" s="1252"/>
      <c r="L117" s="1252"/>
      <c r="M117" s="1392"/>
    </row>
    <row r="118" spans="1:13" s="716" customFormat="1" ht="15.5">
      <c r="A118" s="1241"/>
      <c r="B118" s="1248" t="s">
        <v>1629</v>
      </c>
      <c r="C118" s="1243">
        <v>1</v>
      </c>
      <c r="D118" s="1243" t="s">
        <v>672</v>
      </c>
      <c r="E118" s="1243">
        <v>1</v>
      </c>
      <c r="F118" s="1244">
        <v>1.5</v>
      </c>
      <c r="G118" s="1244">
        <v>0.23</v>
      </c>
      <c r="H118" s="1244">
        <v>0.15</v>
      </c>
      <c r="I118" s="1138">
        <f>ROUND(C118*E118*F118*G118*H118,2)</f>
        <v>0.05</v>
      </c>
      <c r="J118" s="1133"/>
      <c r="K118" s="1245"/>
      <c r="L118" s="1245"/>
      <c r="M118" s="1392"/>
    </row>
    <row r="119" spans="1:13" s="716" customFormat="1" ht="15.5">
      <c r="A119" s="1241"/>
      <c r="B119" s="1248" t="s">
        <v>1629</v>
      </c>
      <c r="C119" s="1243">
        <v>1</v>
      </c>
      <c r="D119" s="1243" t="s">
        <v>672</v>
      </c>
      <c r="E119" s="1243">
        <v>2</v>
      </c>
      <c r="F119" s="1244">
        <v>1.35</v>
      </c>
      <c r="G119" s="1244">
        <v>0.23</v>
      </c>
      <c r="H119" s="1244">
        <v>0.15</v>
      </c>
      <c r="I119" s="1138">
        <f>ROUND(C119*E119*F119*G119*H119,2)</f>
        <v>0.09</v>
      </c>
      <c r="J119" s="1133"/>
      <c r="K119" s="1245"/>
      <c r="L119" s="1245"/>
      <c r="M119" s="1392"/>
    </row>
    <row r="120" spans="1:13" s="716" customFormat="1" ht="15.5">
      <c r="A120" s="1241"/>
      <c r="B120" s="1248" t="s">
        <v>1630</v>
      </c>
      <c r="C120" s="1243">
        <v>1</v>
      </c>
      <c r="D120" s="1243" t="s">
        <v>672</v>
      </c>
      <c r="E120" s="1243">
        <v>10</v>
      </c>
      <c r="F120" s="1244">
        <v>1.8</v>
      </c>
      <c r="G120" s="1244">
        <v>0.23</v>
      </c>
      <c r="H120" s="1244">
        <v>0.15</v>
      </c>
      <c r="I120" s="1138">
        <f>ROUND(C120*E120*F120*G120*H120,2)</f>
        <v>0.62</v>
      </c>
      <c r="J120" s="1133"/>
      <c r="K120" s="1245"/>
      <c r="L120" s="1245"/>
      <c r="M120" s="1392"/>
    </row>
    <row r="121" spans="1:13" s="716" customFormat="1" ht="18.75" customHeight="1">
      <c r="A121" s="1241"/>
      <c r="B121" s="1474"/>
      <c r="C121" s="1241"/>
      <c r="D121" s="1241"/>
      <c r="E121" s="1241"/>
      <c r="F121" s="1251"/>
      <c r="G121" s="1251"/>
      <c r="H121" s="1251"/>
      <c r="I121" s="1140">
        <f>SUM(I118:I120)</f>
        <v>0.76</v>
      </c>
      <c r="J121" s="1135" t="s">
        <v>117</v>
      </c>
      <c r="K121" s="1252">
        <f>'Data  (2)'!F340</f>
        <v>9389.5799999999981</v>
      </c>
      <c r="L121" s="1252" t="s">
        <v>143</v>
      </c>
      <c r="M121" s="1392">
        <f>ROUND(I121*K121,0)</f>
        <v>7136</v>
      </c>
    </row>
    <row r="122" spans="1:13" s="716" customFormat="1" ht="130.5" customHeight="1">
      <c r="A122" s="1241">
        <v>13</v>
      </c>
      <c r="B122" s="1986" t="s">
        <v>1882</v>
      </c>
      <c r="C122" s="1986"/>
      <c r="D122" s="1986"/>
      <c r="E122" s="1986"/>
      <c r="F122" s="1986"/>
      <c r="G122" s="1986"/>
      <c r="H122" s="1986"/>
      <c r="I122" s="1986"/>
      <c r="J122" s="1136"/>
      <c r="K122" s="1245"/>
      <c r="L122" s="1245"/>
      <c r="M122" s="1392"/>
    </row>
    <row r="123" spans="1:13" s="716" customFormat="1" ht="15.5">
      <c r="A123" s="1241"/>
      <c r="B123" s="1988" t="s">
        <v>397</v>
      </c>
      <c r="C123" s="1988"/>
      <c r="D123" s="1988"/>
      <c r="E123" s="1988"/>
      <c r="F123" s="1988"/>
      <c r="G123" s="1988"/>
      <c r="H123" s="1988"/>
      <c r="I123" s="1246"/>
      <c r="J123" s="1134"/>
      <c r="K123" s="1252"/>
      <c r="L123" s="1252"/>
      <c r="M123" s="1392"/>
    </row>
    <row r="124" spans="1:13" s="716" customFormat="1" ht="15.5">
      <c r="A124" s="1241"/>
      <c r="B124" s="1248" t="s">
        <v>794</v>
      </c>
      <c r="C124" s="1243">
        <v>1</v>
      </c>
      <c r="D124" s="1243" t="s">
        <v>672</v>
      </c>
      <c r="E124" s="1243">
        <f>E120</f>
        <v>10</v>
      </c>
      <c r="F124" s="1244">
        <f>1.8</f>
        <v>1.8</v>
      </c>
      <c r="G124" s="1244">
        <v>0.6</v>
      </c>
      <c r="H124" s="1260"/>
      <c r="I124" s="1138">
        <f>ROUND(C124*E124*F124*G124,2)</f>
        <v>10.8</v>
      </c>
      <c r="J124" s="1133"/>
      <c r="K124" s="1245"/>
      <c r="L124" s="1245"/>
      <c r="M124" s="1392"/>
    </row>
    <row r="125" spans="1:13" s="716" customFormat="1" ht="15.5" hidden="1">
      <c r="A125" s="1241"/>
      <c r="B125" s="1248" t="s">
        <v>1982</v>
      </c>
      <c r="C125" s="1243">
        <v>1</v>
      </c>
      <c r="D125" s="1243" t="s">
        <v>672</v>
      </c>
      <c r="E125" s="1243" t="e">
        <f>#REF!</f>
        <v>#REF!</v>
      </c>
      <c r="F125" s="1244">
        <v>1.5</v>
      </c>
      <c r="G125" s="1244">
        <v>0.6</v>
      </c>
      <c r="H125" s="1260"/>
      <c r="I125" s="1138" t="e">
        <f>ROUND(C125*E125*F125*G125,2)</f>
        <v>#REF!</v>
      </c>
      <c r="J125" s="1133"/>
      <c r="K125" s="1245"/>
      <c r="L125" s="1245"/>
      <c r="M125" s="1392"/>
    </row>
    <row r="126" spans="1:13" s="716" customFormat="1" ht="18" customHeight="1">
      <c r="A126" s="1241"/>
      <c r="B126" s="1474"/>
      <c r="C126" s="1241"/>
      <c r="D126" s="1241"/>
      <c r="E126" s="1241"/>
      <c r="F126" s="1251"/>
      <c r="G126" s="1251"/>
      <c r="H126" s="1251"/>
      <c r="I126" s="1140">
        <f>I124</f>
        <v>10.8</v>
      </c>
      <c r="J126" s="1133" t="s">
        <v>184</v>
      </c>
      <c r="K126" s="1252">
        <f>'Data  (2)'!G344</f>
        <v>893.16</v>
      </c>
      <c r="L126" s="1252" t="s">
        <v>536</v>
      </c>
      <c r="M126" s="1392">
        <f>ROUND(I126*K126,0)</f>
        <v>9646</v>
      </c>
    </row>
    <row r="127" spans="1:13" s="716" customFormat="1" ht="141" customHeight="1">
      <c r="A127" s="1241">
        <v>14</v>
      </c>
      <c r="B127" s="1986" t="s">
        <v>1883</v>
      </c>
      <c r="C127" s="1986"/>
      <c r="D127" s="1986"/>
      <c r="E127" s="1986"/>
      <c r="F127" s="1986"/>
      <c r="G127" s="1986"/>
      <c r="H127" s="1986"/>
      <c r="I127" s="1986"/>
      <c r="J127" s="1134"/>
      <c r="K127" s="1252"/>
      <c r="L127" s="1252"/>
      <c r="M127" s="1392"/>
    </row>
    <row r="128" spans="1:13" s="716" customFormat="1" ht="15" customHeight="1">
      <c r="A128" s="1241"/>
      <c r="B128" s="1988" t="s">
        <v>397</v>
      </c>
      <c r="C128" s="1988"/>
      <c r="D128" s="1988"/>
      <c r="E128" s="1988"/>
      <c r="F128" s="1988"/>
      <c r="G128" s="1988"/>
      <c r="H128" s="1251"/>
      <c r="I128" s="1246"/>
      <c r="J128" s="1134"/>
      <c r="K128" s="1252"/>
      <c r="L128" s="1252"/>
      <c r="M128" s="1392"/>
    </row>
    <row r="129" spans="1:13" s="716" customFormat="1" ht="15.5">
      <c r="A129" s="1241"/>
      <c r="B129" s="1477" t="s">
        <v>2204</v>
      </c>
      <c r="C129" s="1133">
        <f>C52</f>
        <v>1</v>
      </c>
      <c r="D129" s="1133" t="str">
        <f>D52</f>
        <v>x</v>
      </c>
      <c r="E129" s="1133">
        <v>2</v>
      </c>
      <c r="F129" s="1244">
        <f>8.46-0.23</f>
        <v>8.23</v>
      </c>
      <c r="G129" s="1244">
        <v>0.23</v>
      </c>
      <c r="H129" s="1244">
        <v>0.38</v>
      </c>
      <c r="I129" s="1138">
        <f t="shared" ref="I129:I131" si="11">ROUND(C129*E129*F129*G129*H129,2)</f>
        <v>1.44</v>
      </c>
      <c r="J129" s="1133"/>
      <c r="K129" s="1245"/>
      <c r="L129" s="1245"/>
      <c r="M129" s="1392"/>
    </row>
    <row r="130" spans="1:13" s="716" customFormat="1" ht="15.5">
      <c r="A130" s="1241"/>
      <c r="B130" s="1477" t="s">
        <v>2205</v>
      </c>
      <c r="C130" s="1133">
        <v>1</v>
      </c>
      <c r="D130" s="1133" t="s">
        <v>672</v>
      </c>
      <c r="E130" s="1133">
        <v>2</v>
      </c>
      <c r="F130" s="1244">
        <f>F129</f>
        <v>8.23</v>
      </c>
      <c r="G130" s="1244">
        <v>0.23</v>
      </c>
      <c r="H130" s="1244">
        <v>0.38</v>
      </c>
      <c r="I130" s="1138">
        <f t="shared" si="11"/>
        <v>1.44</v>
      </c>
      <c r="J130" s="1133"/>
      <c r="K130" s="1245"/>
      <c r="L130" s="1245"/>
      <c r="M130" s="1392"/>
    </row>
    <row r="131" spans="1:13" s="716" customFormat="1" ht="15.5">
      <c r="A131" s="1241"/>
      <c r="B131" s="1477" t="s">
        <v>2206</v>
      </c>
      <c r="C131" s="1133">
        <f>C54</f>
        <v>1</v>
      </c>
      <c r="D131" s="1133" t="str">
        <f>D54</f>
        <v>x</v>
      </c>
      <c r="E131" s="1133">
        <v>2</v>
      </c>
      <c r="F131" s="1244">
        <f>11.03+3.6</f>
        <v>14.629999999999999</v>
      </c>
      <c r="G131" s="1244">
        <v>0.23</v>
      </c>
      <c r="H131" s="1244">
        <v>0.38</v>
      </c>
      <c r="I131" s="1138">
        <f t="shared" si="11"/>
        <v>2.56</v>
      </c>
      <c r="J131" s="1133"/>
      <c r="K131" s="1245"/>
      <c r="L131" s="1245"/>
      <c r="M131" s="1392"/>
    </row>
    <row r="132" spans="1:13" s="716" customFormat="1" ht="18.75" customHeight="1">
      <c r="A132" s="1241"/>
      <c r="B132" s="1474"/>
      <c r="C132" s="1241"/>
      <c r="D132" s="1241"/>
      <c r="E132" s="1241"/>
      <c r="F132" s="1251"/>
      <c r="G132" s="1251"/>
      <c r="H132" s="1251"/>
      <c r="I132" s="1140">
        <f>SUM(I129:I131)</f>
        <v>5.4399999999999995</v>
      </c>
      <c r="J132" s="1135" t="s">
        <v>117</v>
      </c>
      <c r="K132" s="1252">
        <f>'Data  (2)'!G366</f>
        <v>9264.16</v>
      </c>
      <c r="L132" s="1252" t="s">
        <v>143</v>
      </c>
      <c r="M132" s="1392">
        <f>ROUND(I132*K132,0)</f>
        <v>50397</v>
      </c>
    </row>
    <row r="133" spans="1:13" s="716" customFormat="1" ht="121.5" customHeight="1">
      <c r="A133" s="1241">
        <v>15</v>
      </c>
      <c r="B133" s="1986" t="s">
        <v>1770</v>
      </c>
      <c r="C133" s="1986"/>
      <c r="D133" s="1986"/>
      <c r="E133" s="1986"/>
      <c r="F133" s="1986"/>
      <c r="G133" s="1986"/>
      <c r="H133" s="1986"/>
      <c r="I133" s="1986"/>
      <c r="J133" s="1134"/>
      <c r="K133" s="1245"/>
      <c r="L133" s="1245"/>
      <c r="M133" s="1392"/>
    </row>
    <row r="134" spans="1:13" s="716" customFormat="1" ht="15.5">
      <c r="A134" s="1241" t="s">
        <v>158</v>
      </c>
      <c r="B134" s="1988" t="s">
        <v>1884</v>
      </c>
      <c r="C134" s="1988"/>
      <c r="D134" s="1988"/>
      <c r="E134" s="1988"/>
      <c r="F134" s="1988"/>
      <c r="G134" s="1251"/>
      <c r="H134" s="1251"/>
      <c r="I134" s="1246"/>
      <c r="J134" s="1134"/>
      <c r="K134" s="1252"/>
      <c r="L134" s="1252"/>
      <c r="M134" s="1392"/>
    </row>
    <row r="135" spans="1:13" s="716" customFormat="1" ht="15.5">
      <c r="A135" s="1241"/>
      <c r="B135" s="1255" t="s">
        <v>1631</v>
      </c>
      <c r="C135" s="1243">
        <v>1</v>
      </c>
      <c r="D135" s="1243" t="s">
        <v>672</v>
      </c>
      <c r="E135" s="1243">
        <v>1</v>
      </c>
      <c r="F135" s="1250">
        <f>10.8+0.23+0.3+1.2+3.6</f>
        <v>16.130000000000003</v>
      </c>
      <c r="G135" s="1250">
        <f>8.46+0.23+0.6</f>
        <v>9.2900000000000009</v>
      </c>
      <c r="H135" s="1244"/>
      <c r="I135" s="1138">
        <f>ROUND(C135*E135*F135*G135,2)</f>
        <v>149.85</v>
      </c>
      <c r="J135" s="1133"/>
      <c r="K135" s="1245"/>
      <c r="L135" s="1245"/>
      <c r="M135" s="1392"/>
    </row>
    <row r="136" spans="1:13" s="716" customFormat="1" ht="15.5">
      <c r="A136" s="1241"/>
      <c r="B136" s="1474"/>
      <c r="C136" s="1241"/>
      <c r="D136" s="1241"/>
      <c r="E136" s="1241"/>
      <c r="F136" s="1251"/>
      <c r="G136" s="1251"/>
      <c r="H136" s="1251"/>
      <c r="I136" s="1140">
        <f>SUM(I135:I135)</f>
        <v>149.85</v>
      </c>
      <c r="J136" s="1133" t="s">
        <v>184</v>
      </c>
      <c r="K136" s="1252">
        <f>'Data  (2)'!G388</f>
        <v>1121.52</v>
      </c>
      <c r="L136" s="1252" t="s">
        <v>536</v>
      </c>
      <c r="M136" s="1392">
        <f>ROUND(I136*K136,0)</f>
        <v>168060</v>
      </c>
    </row>
    <row r="137" spans="1:13" s="716" customFormat="1" ht="15.5" hidden="1">
      <c r="A137" s="1241"/>
      <c r="B137" s="1474"/>
      <c r="C137" s="1241"/>
      <c r="D137" s="1241"/>
      <c r="E137" s="1241"/>
      <c r="F137" s="1251"/>
      <c r="G137" s="1251"/>
      <c r="H137" s="1251"/>
      <c r="I137" s="1140"/>
      <c r="J137" s="1135"/>
      <c r="K137" s="1252"/>
      <c r="L137" s="1252"/>
      <c r="M137" s="1392"/>
    </row>
    <row r="138" spans="1:13" s="716" customFormat="1" ht="90.75" customHeight="1">
      <c r="A138" s="1241">
        <v>16</v>
      </c>
      <c r="B138" s="1986" t="s">
        <v>1769</v>
      </c>
      <c r="C138" s="1986"/>
      <c r="D138" s="1986"/>
      <c r="E138" s="1986"/>
      <c r="F138" s="1986"/>
      <c r="G138" s="1986"/>
      <c r="H138" s="1986"/>
      <c r="I138" s="1986"/>
      <c r="J138" s="1135"/>
      <c r="K138" s="1252"/>
      <c r="L138" s="1252"/>
      <c r="M138" s="1392"/>
    </row>
    <row r="139" spans="1:13" s="716" customFormat="1" ht="15" customHeight="1">
      <c r="A139" s="1241"/>
      <c r="B139" s="1254" t="s">
        <v>397</v>
      </c>
      <c r="C139" s="1241"/>
      <c r="D139" s="1241"/>
      <c r="E139" s="1241"/>
      <c r="F139" s="1251"/>
      <c r="G139" s="1251"/>
      <c r="H139" s="1251"/>
      <c r="I139" s="1140"/>
      <c r="J139" s="1135"/>
      <c r="K139" s="1252"/>
      <c r="L139" s="1252"/>
      <c r="M139" s="1392"/>
    </row>
    <row r="140" spans="1:13" s="716" customFormat="1" ht="15.5">
      <c r="A140" s="1241"/>
      <c r="B140" s="1255" t="s">
        <v>2005</v>
      </c>
      <c r="C140" s="1520" t="s">
        <v>1983</v>
      </c>
      <c r="D140" s="1243" t="s">
        <v>672</v>
      </c>
      <c r="E140" s="1243">
        <v>3</v>
      </c>
      <c r="F140" s="1250">
        <v>1.35</v>
      </c>
      <c r="G140" s="1250">
        <v>0.3</v>
      </c>
      <c r="H140" s="1244">
        <v>0.15</v>
      </c>
      <c r="I140" s="1138">
        <f>ROUND(0.5*E140*F140*G140*H140,2)</f>
        <v>0.09</v>
      </c>
      <c r="J140" s="1133"/>
      <c r="K140" s="1518"/>
      <c r="L140" s="1518"/>
      <c r="M140" s="1392"/>
    </row>
    <row r="141" spans="1:13" s="716" customFormat="1" ht="15.5">
      <c r="A141" s="1241"/>
      <c r="B141" s="1474"/>
      <c r="C141" s="1241"/>
      <c r="D141" s="1241"/>
      <c r="E141" s="1241"/>
      <c r="F141" s="1251"/>
      <c r="G141" s="1251"/>
      <c r="H141" s="1261"/>
      <c r="I141" s="1140">
        <f>SUM(I140:I140)</f>
        <v>0.09</v>
      </c>
      <c r="J141" s="1135" t="s">
        <v>181</v>
      </c>
      <c r="K141" s="1252">
        <f>'Data  (2)'!G257</f>
        <v>5094.0599999999995</v>
      </c>
      <c r="L141" s="1252" t="s">
        <v>143</v>
      </c>
      <c r="M141" s="1392">
        <f>ROUND(I141*K141,0)</f>
        <v>458</v>
      </c>
    </row>
    <row r="142" spans="1:13" s="716" customFormat="1" ht="27" customHeight="1">
      <c r="A142" s="1241">
        <v>17</v>
      </c>
      <c r="B142" s="1986" t="s">
        <v>1886</v>
      </c>
      <c r="C142" s="1986"/>
      <c r="D142" s="1986"/>
      <c r="E142" s="1986"/>
      <c r="F142" s="1986"/>
      <c r="G142" s="1986"/>
      <c r="H142" s="1986"/>
      <c r="I142" s="1246"/>
      <c r="J142" s="1134"/>
      <c r="K142" s="1252"/>
      <c r="L142" s="1252"/>
      <c r="M142" s="1392"/>
    </row>
    <row r="143" spans="1:13" s="716" customFormat="1" ht="16" customHeight="1">
      <c r="A143" s="1241"/>
      <c r="B143" s="1254" t="s">
        <v>1885</v>
      </c>
      <c r="C143" s="1474"/>
      <c r="D143" s="1474"/>
      <c r="E143" s="1474"/>
      <c r="F143" s="1474"/>
      <c r="G143" s="1474"/>
      <c r="H143" s="1474"/>
      <c r="I143" s="1246"/>
      <c r="J143" s="1134"/>
      <c r="K143" s="1252"/>
      <c r="L143" s="1252"/>
      <c r="M143" s="1392"/>
    </row>
    <row r="144" spans="1:13" s="716" customFormat="1" ht="15.5">
      <c r="A144" s="1241"/>
      <c r="B144" s="1248" t="s">
        <v>1632</v>
      </c>
      <c r="C144" s="1243">
        <v>1</v>
      </c>
      <c r="D144" s="1243" t="s">
        <v>672</v>
      </c>
      <c r="E144" s="1243">
        <v>1</v>
      </c>
      <c r="F144" s="1244">
        <f>14.63+14.63+8.69+8.69</f>
        <v>46.64</v>
      </c>
      <c r="G144" s="1244">
        <v>0.23</v>
      </c>
      <c r="H144" s="1244">
        <v>2.9</v>
      </c>
      <c r="I144" s="1138">
        <f>ROUND(C144*E144*F144*G144*H144,2)</f>
        <v>31.11</v>
      </c>
      <c r="J144" s="1133"/>
      <c r="K144" s="1245"/>
      <c r="L144" s="1245"/>
      <c r="M144" s="1392"/>
    </row>
    <row r="145" spans="1:13" s="716" customFormat="1" ht="15.5">
      <c r="A145" s="1241"/>
      <c r="B145" s="1248" t="s">
        <v>1633</v>
      </c>
      <c r="C145" s="1243">
        <v>1</v>
      </c>
      <c r="D145" s="1243" t="s">
        <v>672</v>
      </c>
      <c r="E145" s="1243">
        <v>6</v>
      </c>
      <c r="F145" s="1244">
        <v>0.3</v>
      </c>
      <c r="G145" s="1244">
        <v>0.23</v>
      </c>
      <c r="H145" s="1244">
        <v>2.9</v>
      </c>
      <c r="I145" s="1138">
        <f t="shared" ref="I145:I148" si="12">-ROUND(C145*E145*F145*G145*H145,2)</f>
        <v>-1.2</v>
      </c>
      <c r="J145" s="1133"/>
      <c r="K145" s="1245"/>
      <c r="L145" s="1245"/>
      <c r="M145" s="1392"/>
    </row>
    <row r="146" spans="1:13" s="716" customFormat="1" ht="15.5">
      <c r="A146" s="1241"/>
      <c r="B146" s="1248" t="s">
        <v>1633</v>
      </c>
      <c r="C146" s="1243">
        <v>1</v>
      </c>
      <c r="D146" s="1243" t="s">
        <v>672</v>
      </c>
      <c r="E146" s="1243">
        <v>6</v>
      </c>
      <c r="F146" s="1244">
        <v>0.38</v>
      </c>
      <c r="G146" s="1244">
        <v>0.23</v>
      </c>
      <c r="H146" s="1244">
        <v>2.9</v>
      </c>
      <c r="I146" s="1138">
        <f t="shared" ref="I146" si="13">-ROUND(C146*E146*F146*G146*H146,2)</f>
        <v>-1.52</v>
      </c>
      <c r="J146" s="1133"/>
      <c r="K146" s="1245"/>
      <c r="L146" s="1245"/>
      <c r="M146" s="1392"/>
    </row>
    <row r="147" spans="1:13" s="716" customFormat="1" ht="15.5">
      <c r="A147" s="1241"/>
      <c r="B147" s="1248" t="s">
        <v>1634</v>
      </c>
      <c r="C147" s="1243">
        <v>1</v>
      </c>
      <c r="D147" s="1243" t="s">
        <v>672</v>
      </c>
      <c r="E147" s="1243">
        <v>8</v>
      </c>
      <c r="F147" s="1244">
        <v>1.5</v>
      </c>
      <c r="G147" s="1244">
        <v>0.23</v>
      </c>
      <c r="H147" s="1244">
        <v>1.35</v>
      </c>
      <c r="I147" s="1138">
        <f t="shared" si="12"/>
        <v>-3.73</v>
      </c>
      <c r="J147" s="1133"/>
      <c r="K147" s="1245"/>
      <c r="L147" s="1245"/>
      <c r="M147" s="1392"/>
    </row>
    <row r="148" spans="1:13" s="716" customFormat="1" ht="15.5">
      <c r="A148" s="1241"/>
      <c r="B148" s="1248" t="s">
        <v>1984</v>
      </c>
      <c r="C148" s="1243">
        <v>1</v>
      </c>
      <c r="D148" s="1243" t="s">
        <v>672</v>
      </c>
      <c r="E148" s="1243">
        <v>1</v>
      </c>
      <c r="F148" s="1244">
        <v>1.2</v>
      </c>
      <c r="G148" s="1244">
        <v>0.23</v>
      </c>
      <c r="H148" s="1244">
        <v>2.1</v>
      </c>
      <c r="I148" s="1138">
        <f t="shared" si="12"/>
        <v>-0.57999999999999996</v>
      </c>
      <c r="J148" s="1133"/>
      <c r="K148" s="1245"/>
      <c r="L148" s="1245"/>
      <c r="M148" s="1392"/>
    </row>
    <row r="149" spans="1:13" s="716" customFormat="1" ht="15.5">
      <c r="A149" s="1241"/>
      <c r="B149" s="1248" t="s">
        <v>1991</v>
      </c>
      <c r="C149" s="1243">
        <v>1</v>
      </c>
      <c r="D149" s="1243" t="s">
        <v>672</v>
      </c>
      <c r="E149" s="1243">
        <v>1</v>
      </c>
      <c r="F149" s="1244">
        <v>1.05</v>
      </c>
      <c r="G149" s="1244">
        <v>0.23</v>
      </c>
      <c r="H149" s="1244">
        <v>2.1</v>
      </c>
      <c r="I149" s="1138">
        <f t="shared" ref="I149" si="14">-ROUND(C149*E149*F149*G149*H149,2)</f>
        <v>-0.51</v>
      </c>
      <c r="J149" s="1133"/>
      <c r="K149" s="1245"/>
      <c r="L149" s="1245"/>
      <c r="M149" s="1392"/>
    </row>
    <row r="150" spans="1:13" s="716" customFormat="1" ht="15.5">
      <c r="A150" s="1241"/>
      <c r="B150" s="1254" t="s">
        <v>1635</v>
      </c>
      <c r="C150" s="1243"/>
      <c r="D150" s="1243"/>
      <c r="E150" s="1243"/>
      <c r="F150" s="1250"/>
      <c r="G150" s="1250"/>
      <c r="H150" s="1250"/>
      <c r="I150" s="1138"/>
      <c r="J150" s="1133"/>
      <c r="K150" s="1245"/>
      <c r="L150" s="1245"/>
      <c r="M150" s="1392"/>
    </row>
    <row r="151" spans="1:13" s="716" customFormat="1" ht="15.5">
      <c r="A151" s="1241"/>
      <c r="B151" s="1248" t="s">
        <v>1985</v>
      </c>
      <c r="C151" s="1243">
        <v>1</v>
      </c>
      <c r="D151" s="1243" t="s">
        <v>672</v>
      </c>
      <c r="E151" s="1243">
        <v>1</v>
      </c>
      <c r="F151" s="1244">
        <v>1.5</v>
      </c>
      <c r="G151" s="1244">
        <v>0.23</v>
      </c>
      <c r="H151" s="1244">
        <v>0.2</v>
      </c>
      <c r="I151" s="1138">
        <f>-ROUND(C151*E151*F151*G151*H151,2)</f>
        <v>-7.0000000000000007E-2</v>
      </c>
      <c r="J151" s="1133"/>
      <c r="K151" s="1245"/>
      <c r="L151" s="1245"/>
      <c r="M151" s="1392"/>
    </row>
    <row r="152" spans="1:13" s="716" customFormat="1" ht="15.5">
      <c r="A152" s="1241"/>
      <c r="B152" s="1248" t="s">
        <v>2199</v>
      </c>
      <c r="C152" s="1243">
        <v>1</v>
      </c>
      <c r="D152" s="1243" t="s">
        <v>672</v>
      </c>
      <c r="E152" s="1243">
        <v>1</v>
      </c>
      <c r="F152" s="1244">
        <v>1.35</v>
      </c>
      <c r="G152" s="1244">
        <v>0.23</v>
      </c>
      <c r="H152" s="1244">
        <v>0.2</v>
      </c>
      <c r="I152" s="1138">
        <f>-ROUND(C152*E152*F152*G152*H152,2)</f>
        <v>-0.06</v>
      </c>
      <c r="J152" s="1133"/>
      <c r="K152" s="1245"/>
      <c r="L152" s="1245"/>
      <c r="M152" s="1392"/>
    </row>
    <row r="153" spans="1:13" s="716" customFormat="1" ht="15.5">
      <c r="A153" s="1241"/>
      <c r="B153" s="1248" t="s">
        <v>1630</v>
      </c>
      <c r="C153" s="1243">
        <v>1</v>
      </c>
      <c r="D153" s="1243" t="s">
        <v>672</v>
      </c>
      <c r="E153" s="1243">
        <v>8</v>
      </c>
      <c r="F153" s="1244">
        <v>1.8</v>
      </c>
      <c r="G153" s="1244">
        <v>0.23</v>
      </c>
      <c r="H153" s="1244">
        <v>0.2</v>
      </c>
      <c r="I153" s="1138">
        <f>-ROUND(C153*E153*F153*G153*H153,2)</f>
        <v>-0.66</v>
      </c>
      <c r="J153" s="1133"/>
      <c r="K153" s="1245"/>
      <c r="L153" s="1245"/>
      <c r="M153" s="1392"/>
    </row>
    <row r="154" spans="1:13" s="716" customFormat="1" ht="15.75" customHeight="1">
      <c r="A154" s="1241"/>
      <c r="B154" s="1554"/>
      <c r="C154" s="1241"/>
      <c r="D154" s="1241"/>
      <c r="E154" s="1241"/>
      <c r="F154" s="1251"/>
      <c r="G154" s="1251"/>
      <c r="H154" s="1251"/>
      <c r="I154" s="1140">
        <f>SUM(I144:I153)</f>
        <v>22.78</v>
      </c>
      <c r="J154" s="1135" t="s">
        <v>117</v>
      </c>
      <c r="K154" s="1252">
        <f>'Data  (2)'!I575</f>
        <v>5703.97</v>
      </c>
      <c r="L154" s="1252" t="s">
        <v>143</v>
      </c>
      <c r="M154" s="1392">
        <f>ROUND(I154*K154,0)</f>
        <v>129936</v>
      </c>
    </row>
    <row r="155" spans="1:13" s="716" customFormat="1" ht="90" customHeight="1">
      <c r="A155" s="1241">
        <v>19</v>
      </c>
      <c r="B155" s="1987" t="s">
        <v>437</v>
      </c>
      <c r="C155" s="1987"/>
      <c r="D155" s="1987"/>
      <c r="E155" s="1987"/>
      <c r="F155" s="1987"/>
      <c r="G155" s="1987"/>
      <c r="H155" s="1987"/>
      <c r="I155" s="1987"/>
      <c r="J155" s="1136"/>
      <c r="K155" s="1245"/>
      <c r="L155" s="1245"/>
      <c r="M155" s="1392"/>
    </row>
    <row r="156" spans="1:13" s="716" customFormat="1" ht="15.5">
      <c r="A156" s="1241"/>
      <c r="B156" s="1519" t="s">
        <v>2200</v>
      </c>
      <c r="C156" s="1128">
        <v>1</v>
      </c>
      <c r="D156" s="1128" t="s">
        <v>672</v>
      </c>
      <c r="E156" s="1128">
        <v>1</v>
      </c>
      <c r="F156" s="1129">
        <f>10.8+0.23+0.3+1.2+3.6</f>
        <v>16.130000000000003</v>
      </c>
      <c r="G156" s="1129">
        <f>8.46+0.23+0.6</f>
        <v>9.2900000000000009</v>
      </c>
      <c r="H156" s="1244"/>
      <c r="I156" s="1138">
        <f>ROUND(C156*E156*F156*G156,2)</f>
        <v>149.85</v>
      </c>
      <c r="J156" s="1133"/>
      <c r="K156" s="1245"/>
      <c r="L156" s="1245"/>
      <c r="M156" s="1392"/>
    </row>
    <row r="157" spans="1:13" s="716" customFormat="1" ht="15.75" customHeight="1">
      <c r="A157" s="1241"/>
      <c r="B157" s="1474"/>
      <c r="C157" s="1241"/>
      <c r="D157" s="1241"/>
      <c r="E157" s="1241"/>
      <c r="F157" s="1251"/>
      <c r="G157" s="1251"/>
      <c r="H157" s="1251"/>
      <c r="I157" s="1140">
        <f>SUM(I156:I156)</f>
        <v>149.85</v>
      </c>
      <c r="J157" s="1135" t="s">
        <v>184</v>
      </c>
      <c r="K157" s="1252">
        <f>'Data  (2)'!G836</f>
        <v>376.1</v>
      </c>
      <c r="L157" s="1252" t="s">
        <v>536</v>
      </c>
      <c r="M157" s="1392">
        <f>ROUND(I157*K157,0)</f>
        <v>56359</v>
      </c>
    </row>
    <row r="158" spans="1:13" s="716" customFormat="1" ht="42.75" customHeight="1">
      <c r="A158" s="1241">
        <v>20</v>
      </c>
      <c r="B158" s="1986" t="s">
        <v>2078</v>
      </c>
      <c r="C158" s="1986"/>
      <c r="D158" s="1986"/>
      <c r="E158" s="1986"/>
      <c r="F158" s="1986"/>
      <c r="G158" s="1986"/>
      <c r="H158" s="1986"/>
      <c r="I158" s="1986"/>
      <c r="J158" s="1136"/>
      <c r="K158" s="1245"/>
      <c r="L158" s="1245"/>
      <c r="M158" s="1392"/>
    </row>
    <row r="159" spans="1:13" s="716" customFormat="1" ht="15.75" customHeight="1">
      <c r="A159" s="1241"/>
      <c r="B159" s="1254" t="s">
        <v>397</v>
      </c>
      <c r="C159" s="1474"/>
      <c r="D159" s="1474"/>
      <c r="E159" s="1474"/>
      <c r="F159" s="1474"/>
      <c r="G159" s="1474"/>
      <c r="H159" s="1474"/>
      <c r="I159" s="1474"/>
      <c r="J159" s="1136"/>
      <c r="K159" s="1245"/>
      <c r="L159" s="1245"/>
      <c r="M159" s="1392"/>
    </row>
    <row r="160" spans="1:13" s="716" customFormat="1" ht="15.5">
      <c r="A160" s="1241"/>
      <c r="B160" s="1255" t="s">
        <v>2201</v>
      </c>
      <c r="C160" s="1243">
        <v>1</v>
      </c>
      <c r="D160" s="1243" t="s">
        <v>672</v>
      </c>
      <c r="E160" s="1243">
        <v>1</v>
      </c>
      <c r="F160" s="1244">
        <f>10.8-0.23+3.6</f>
        <v>14.17</v>
      </c>
      <c r="G160" s="1244">
        <f>8.46-0.23</f>
        <v>8.23</v>
      </c>
      <c r="H160" s="1244"/>
      <c r="I160" s="1138">
        <f t="shared" ref="I160" si="15">ROUND(C160*E160*F160*G160,2)</f>
        <v>116.62</v>
      </c>
      <c r="J160" s="1133"/>
      <c r="K160" s="1245"/>
      <c r="L160" s="1245"/>
      <c r="M160" s="1392"/>
    </row>
    <row r="161" spans="1:13" s="716" customFormat="1" ht="15.75" customHeight="1">
      <c r="A161" s="1241"/>
      <c r="B161" s="1474"/>
      <c r="C161" s="1241"/>
      <c r="D161" s="1241"/>
      <c r="E161" s="1241"/>
      <c r="F161" s="1251"/>
      <c r="G161" s="1251"/>
      <c r="H161" s="1251"/>
      <c r="I161" s="1140">
        <f>SUM(I160:I160)</f>
        <v>116.62</v>
      </c>
      <c r="J161" s="1135" t="s">
        <v>184</v>
      </c>
      <c r="K161" s="1252">
        <f>'Data  (2)'!G667</f>
        <v>249.36</v>
      </c>
      <c r="L161" s="1252" t="s">
        <v>536</v>
      </c>
      <c r="M161" s="1392">
        <f>ROUND(I161*K161,0)</f>
        <v>29080</v>
      </c>
    </row>
    <row r="162" spans="1:13" s="716" customFormat="1" ht="29.25" customHeight="1">
      <c r="A162" s="1241">
        <v>21</v>
      </c>
      <c r="B162" s="1986" t="s">
        <v>219</v>
      </c>
      <c r="C162" s="1986"/>
      <c r="D162" s="1986"/>
      <c r="E162" s="1986"/>
      <c r="F162" s="1986"/>
      <c r="G162" s="1986"/>
      <c r="H162" s="1986"/>
      <c r="I162" s="1986"/>
      <c r="J162" s="1136"/>
      <c r="K162" s="1245"/>
      <c r="L162" s="1245"/>
      <c r="M162" s="1392"/>
    </row>
    <row r="163" spans="1:13" s="716" customFormat="1" ht="19.5" customHeight="1">
      <c r="A163" s="1241"/>
      <c r="B163" s="1254" t="s">
        <v>397</v>
      </c>
      <c r="C163" s="1474"/>
      <c r="D163" s="1474"/>
      <c r="E163" s="1474"/>
      <c r="F163" s="1474"/>
      <c r="G163" s="1474"/>
      <c r="H163" s="1474"/>
      <c r="I163" s="1474"/>
      <c r="J163" s="1136"/>
      <c r="K163" s="1245"/>
      <c r="L163" s="1245"/>
      <c r="M163" s="1392"/>
    </row>
    <row r="164" spans="1:13" s="716" customFormat="1" ht="15.5">
      <c r="A164" s="1241"/>
      <c r="B164" s="1262" t="s">
        <v>2202</v>
      </c>
      <c r="C164" s="1243">
        <v>1</v>
      </c>
      <c r="D164" s="1243" t="s">
        <v>672</v>
      </c>
      <c r="E164" s="1243">
        <v>1</v>
      </c>
      <c r="F164" s="1244">
        <f>14.17+14.17+8.23+8.23</f>
        <v>44.8</v>
      </c>
      <c r="G164" s="1244"/>
      <c r="H164" s="1244">
        <v>3.3</v>
      </c>
      <c r="I164" s="1138">
        <f>ROUND(C164*E164*F164*H164,2)</f>
        <v>147.84</v>
      </c>
      <c r="J164" s="1133"/>
      <c r="K164" s="1245"/>
      <c r="L164" s="1245"/>
      <c r="M164" s="1392"/>
    </row>
    <row r="165" spans="1:13" s="716" customFormat="1" ht="15.5">
      <c r="A165" s="1241"/>
      <c r="B165" s="1248" t="s">
        <v>1986</v>
      </c>
      <c r="C165" s="1647">
        <v>0.5</v>
      </c>
      <c r="D165" s="1243" t="s">
        <v>672</v>
      </c>
      <c r="E165" s="1243">
        <v>1</v>
      </c>
      <c r="F165" s="1244">
        <v>1.2</v>
      </c>
      <c r="G165" s="1244"/>
      <c r="H165" s="1244">
        <v>2.1</v>
      </c>
      <c r="I165" s="1138">
        <f t="shared" ref="I165:I167" si="16">-ROUND(C165*E165*F165*H165,2)</f>
        <v>-1.26</v>
      </c>
      <c r="J165" s="1139"/>
      <c r="K165" s="1252"/>
      <c r="L165" s="1252"/>
      <c r="M165" s="1392"/>
    </row>
    <row r="166" spans="1:13" s="716" customFormat="1" ht="15.5">
      <c r="A166" s="1241"/>
      <c r="B166" s="1248" t="s">
        <v>1986</v>
      </c>
      <c r="C166" s="1647">
        <v>0.5</v>
      </c>
      <c r="D166" s="1243" t="s">
        <v>672</v>
      </c>
      <c r="E166" s="1243">
        <v>1</v>
      </c>
      <c r="F166" s="1244">
        <v>1.05</v>
      </c>
      <c r="G166" s="1244"/>
      <c r="H166" s="1244">
        <v>2.1</v>
      </c>
      <c r="I166" s="1138">
        <f t="shared" si="16"/>
        <v>-1.1000000000000001</v>
      </c>
      <c r="J166" s="1139"/>
      <c r="K166" s="1252"/>
      <c r="L166" s="1252"/>
      <c r="M166" s="1392"/>
    </row>
    <row r="167" spans="1:13" s="716" customFormat="1" ht="15.5">
      <c r="A167" s="1241"/>
      <c r="B167" s="1248" t="s">
        <v>1634</v>
      </c>
      <c r="C167" s="1647">
        <v>0.5</v>
      </c>
      <c r="D167" s="1243" t="s">
        <v>672</v>
      </c>
      <c r="E167" s="1243">
        <v>8</v>
      </c>
      <c r="F167" s="1244">
        <v>1.5</v>
      </c>
      <c r="G167" s="1244"/>
      <c r="H167" s="1244">
        <v>1.35</v>
      </c>
      <c r="I167" s="1138">
        <f t="shared" si="16"/>
        <v>-8.1</v>
      </c>
      <c r="J167" s="1139"/>
      <c r="K167" s="1252"/>
      <c r="L167" s="1252"/>
      <c r="M167" s="1392"/>
    </row>
    <row r="168" spans="1:13" s="716" customFormat="1" ht="18" customHeight="1">
      <c r="A168" s="1241"/>
      <c r="B168" s="1474"/>
      <c r="C168" s="1241"/>
      <c r="D168" s="1241"/>
      <c r="E168" s="1241"/>
      <c r="F168" s="1251"/>
      <c r="G168" s="1251"/>
      <c r="H168" s="1251"/>
      <c r="I168" s="1140">
        <f>SUM(I164:I167)</f>
        <v>137.38000000000002</v>
      </c>
      <c r="J168" s="1135" t="s">
        <v>184</v>
      </c>
      <c r="K168" s="1252">
        <f>'Data  (2)'!G682</f>
        <v>234.9</v>
      </c>
      <c r="L168" s="1252" t="s">
        <v>536</v>
      </c>
      <c r="M168" s="1392">
        <f>ROUND(I168*K168,0)</f>
        <v>32271</v>
      </c>
    </row>
    <row r="169" spans="1:13" s="716" customFormat="1" ht="27" customHeight="1">
      <c r="A169" s="1241">
        <v>22</v>
      </c>
      <c r="B169" s="1986" t="s">
        <v>1782</v>
      </c>
      <c r="C169" s="1986"/>
      <c r="D169" s="1986"/>
      <c r="E169" s="1986"/>
      <c r="F169" s="1986"/>
      <c r="G169" s="1986"/>
      <c r="H169" s="1986"/>
      <c r="I169" s="1986"/>
      <c r="J169" s="1136"/>
      <c r="K169" s="1245"/>
      <c r="L169" s="1245"/>
      <c r="M169" s="1392"/>
    </row>
    <row r="170" spans="1:13" s="716" customFormat="1" ht="19" customHeight="1">
      <c r="A170" s="1241"/>
      <c r="B170" s="1254" t="s">
        <v>397</v>
      </c>
      <c r="C170" s="1474"/>
      <c r="D170" s="1474"/>
      <c r="E170" s="1474"/>
      <c r="F170" s="1474"/>
      <c r="G170" s="1474"/>
      <c r="H170" s="1474"/>
      <c r="I170" s="1474"/>
      <c r="J170" s="1136"/>
      <c r="K170" s="1245"/>
      <c r="L170" s="1245"/>
      <c r="M170" s="1392"/>
    </row>
    <row r="171" spans="1:13" s="716" customFormat="1" ht="15.5">
      <c r="A171" s="1241"/>
      <c r="B171" s="1262" t="s">
        <v>2203</v>
      </c>
      <c r="C171" s="1243">
        <v>1</v>
      </c>
      <c r="D171" s="1243" t="s">
        <v>672</v>
      </c>
      <c r="E171" s="1243">
        <v>1</v>
      </c>
      <c r="F171" s="1244">
        <f>14.63+14.63+8.69+8.69</f>
        <v>46.64</v>
      </c>
      <c r="G171" s="1244"/>
      <c r="H171" s="1244">
        <v>4</v>
      </c>
      <c r="I171" s="1138">
        <f>ROUND(C171*E171*F171*H171,2)</f>
        <v>186.56</v>
      </c>
      <c r="J171" s="1133"/>
      <c r="K171" s="1245"/>
      <c r="L171" s="1245"/>
      <c r="M171" s="1392"/>
    </row>
    <row r="172" spans="1:13" s="716" customFormat="1" ht="15.5" hidden="1">
      <c r="A172" s="1241"/>
      <c r="B172" s="1262" t="s">
        <v>1989</v>
      </c>
      <c r="C172" s="1243">
        <v>1</v>
      </c>
      <c r="D172" s="1243" t="s">
        <v>672</v>
      </c>
      <c r="E172" s="1243">
        <v>0</v>
      </c>
      <c r="F172" s="1244">
        <f>(1.5+0.115+0.115+0.115+1.5)*2</f>
        <v>6.6899999999999995</v>
      </c>
      <c r="G172" s="1244"/>
      <c r="H172" s="1244">
        <v>3</v>
      </c>
      <c r="I172" s="1138">
        <f>ROUND(C172*E172*F172*H172,2)</f>
        <v>0</v>
      </c>
      <c r="J172" s="1133"/>
      <c r="K172" s="1245"/>
      <c r="L172" s="1245"/>
      <c r="M172" s="1392"/>
    </row>
    <row r="173" spans="1:13" s="716" customFormat="1" ht="15.5">
      <c r="A173" s="1241"/>
      <c r="B173" s="1248" t="s">
        <v>1986</v>
      </c>
      <c r="C173" s="1647">
        <v>0.5</v>
      </c>
      <c r="D173" s="1243" t="s">
        <v>672</v>
      </c>
      <c r="E173" s="1243">
        <v>1</v>
      </c>
      <c r="F173" s="1244">
        <v>1.2</v>
      </c>
      <c r="G173" s="1244"/>
      <c r="H173" s="1244">
        <v>2.1</v>
      </c>
      <c r="I173" s="1138">
        <f t="shared" ref="I173:I175" si="17">-ROUND(C173*E173*F173*H173,2)</f>
        <v>-1.26</v>
      </c>
      <c r="J173" s="1139"/>
      <c r="K173" s="1252"/>
      <c r="L173" s="1252"/>
      <c r="M173" s="1392"/>
    </row>
    <row r="174" spans="1:13" s="716" customFormat="1" ht="15.5">
      <c r="A174" s="1241"/>
      <c r="B174" s="1248" t="s">
        <v>1986</v>
      </c>
      <c r="C174" s="1647">
        <v>0.5</v>
      </c>
      <c r="D174" s="1243" t="s">
        <v>672</v>
      </c>
      <c r="E174" s="1243">
        <v>1</v>
      </c>
      <c r="F174" s="1244">
        <v>1.05</v>
      </c>
      <c r="G174" s="1244"/>
      <c r="H174" s="1244">
        <v>2.1</v>
      </c>
      <c r="I174" s="1138">
        <f t="shared" si="17"/>
        <v>-1.1000000000000001</v>
      </c>
      <c r="J174" s="1139"/>
      <c r="K174" s="1252"/>
      <c r="L174" s="1252"/>
      <c r="M174" s="1392"/>
    </row>
    <row r="175" spans="1:13" s="716" customFormat="1" ht="15.5">
      <c r="A175" s="1241"/>
      <c r="B175" s="1248" t="s">
        <v>1634</v>
      </c>
      <c r="C175" s="1647">
        <v>0.5</v>
      </c>
      <c r="D175" s="1243" t="s">
        <v>672</v>
      </c>
      <c r="E175" s="1243">
        <v>8</v>
      </c>
      <c r="F175" s="1244">
        <v>1.5</v>
      </c>
      <c r="G175" s="1244"/>
      <c r="H175" s="1244">
        <v>1.35</v>
      </c>
      <c r="I175" s="1138">
        <f t="shared" si="17"/>
        <v>-8.1</v>
      </c>
      <c r="J175" s="1139"/>
      <c r="K175" s="1252"/>
      <c r="L175" s="1252"/>
      <c r="M175" s="1392"/>
    </row>
    <row r="176" spans="1:13" s="716" customFormat="1" ht="15.5" hidden="1">
      <c r="A176" s="1241"/>
      <c r="B176" s="1248" t="s">
        <v>1987</v>
      </c>
      <c r="C176" s="1243">
        <v>1</v>
      </c>
      <c r="D176" s="1243" t="s">
        <v>672</v>
      </c>
      <c r="E176" s="1243">
        <v>0</v>
      </c>
      <c r="F176" s="1244">
        <v>0.75</v>
      </c>
      <c r="G176" s="1244"/>
      <c r="H176" s="1244">
        <v>2.1</v>
      </c>
      <c r="I176" s="1138">
        <f>-ROUND(C176*E176*F176*H176,2)</f>
        <v>0</v>
      </c>
      <c r="J176" s="1139"/>
      <c r="K176" s="1245"/>
      <c r="L176" s="1245"/>
      <c r="M176" s="1392"/>
    </row>
    <row r="177" spans="1:13" s="716" customFormat="1" ht="15.5" hidden="1">
      <c r="A177" s="1241"/>
      <c r="B177" s="1248" t="s">
        <v>1990</v>
      </c>
      <c r="C177" s="1243">
        <v>1</v>
      </c>
      <c r="D177" s="1243" t="s">
        <v>672</v>
      </c>
      <c r="E177" s="1243">
        <v>1</v>
      </c>
      <c r="F177" s="1244" t="e">
        <f>#REF!</f>
        <v>#REF!</v>
      </c>
      <c r="G177" s="1244"/>
      <c r="H177" s="1244">
        <v>3.23</v>
      </c>
      <c r="I177" s="1138" t="e">
        <f>ROUND(C177*E177*F177*H177,2)</f>
        <v>#REF!</v>
      </c>
      <c r="J177" s="1133"/>
      <c r="K177" s="1245"/>
      <c r="L177" s="1245"/>
      <c r="M177" s="1392"/>
    </row>
    <row r="178" spans="1:13" s="716" customFormat="1" ht="15.5">
      <c r="A178" s="1241"/>
      <c r="B178" s="1474"/>
      <c r="C178" s="1241"/>
      <c r="D178" s="1241"/>
      <c r="E178" s="1241"/>
      <c r="F178" s="1251"/>
      <c r="G178" s="1251"/>
      <c r="H178" s="1251"/>
      <c r="I178" s="1140">
        <f>SUM(I171:I175)</f>
        <v>176.10000000000002</v>
      </c>
      <c r="J178" s="1135" t="s">
        <v>184</v>
      </c>
      <c r="K178" s="1252">
        <f>'Data  (2)'!G727</f>
        <v>304.01</v>
      </c>
      <c r="L178" s="1252" t="s">
        <v>536</v>
      </c>
      <c r="M178" s="1392">
        <f>ROUND(I178*K178,0)</f>
        <v>53536</v>
      </c>
    </row>
    <row r="179" spans="1:13" s="716" customFormat="1" ht="115.5" customHeight="1">
      <c r="A179" s="1241">
        <v>24</v>
      </c>
      <c r="B179" s="1986" t="s">
        <v>1650</v>
      </c>
      <c r="C179" s="1986"/>
      <c r="D179" s="1986"/>
      <c r="E179" s="1986"/>
      <c r="F179" s="1986"/>
      <c r="G179" s="1986"/>
      <c r="H179" s="1986"/>
      <c r="I179" s="1986"/>
      <c r="J179" s="1134"/>
      <c r="K179" s="1245"/>
      <c r="L179" s="1245"/>
      <c r="M179" s="1392"/>
    </row>
    <row r="180" spans="1:13" s="716" customFormat="1" ht="15.5">
      <c r="A180" s="1241"/>
      <c r="B180" s="1474"/>
      <c r="C180" s="1241"/>
      <c r="D180" s="1241"/>
      <c r="E180" s="1241"/>
      <c r="F180" s="1251"/>
      <c r="G180" s="1251"/>
      <c r="H180" s="1251"/>
      <c r="I180" s="1648">
        <v>7000</v>
      </c>
      <c r="J180" s="1135" t="s">
        <v>182</v>
      </c>
      <c r="K180" s="1252">
        <f>'Data  (2)'!G1123</f>
        <v>57.8</v>
      </c>
      <c r="L180" s="1252" t="s">
        <v>1636</v>
      </c>
      <c r="M180" s="1392">
        <f>ROUND(I180*K180,0)</f>
        <v>404600</v>
      </c>
    </row>
    <row r="181" spans="1:13" s="716" customFormat="1" ht="105.75" hidden="1" customHeight="1">
      <c r="A181" s="1241">
        <v>24</v>
      </c>
      <c r="B181" s="1986" t="s">
        <v>2115</v>
      </c>
      <c r="C181" s="1986"/>
      <c r="D181" s="1986"/>
      <c r="E181" s="1986"/>
      <c r="F181" s="1986"/>
      <c r="G181" s="1986"/>
      <c r="H181" s="1986"/>
      <c r="I181" s="1986"/>
      <c r="J181" s="1134"/>
      <c r="K181" s="1245"/>
      <c r="L181" s="1245"/>
      <c r="M181" s="1392"/>
    </row>
    <row r="182" spans="1:13" s="716" customFormat="1" ht="15.5" hidden="1">
      <c r="A182" s="1241"/>
      <c r="B182" s="1650" t="s">
        <v>2003</v>
      </c>
      <c r="C182" s="1241">
        <v>1</v>
      </c>
      <c r="D182" s="1241" t="s">
        <v>672</v>
      </c>
      <c r="E182" s="1241">
        <v>4</v>
      </c>
      <c r="F182" s="1251"/>
      <c r="G182" s="1242"/>
      <c r="H182" s="1251"/>
      <c r="I182" s="1246">
        <v>0</v>
      </c>
      <c r="J182" s="1135" t="s">
        <v>217</v>
      </c>
      <c r="K182" s="1252">
        <f>'Data  (2)'!H1154</f>
        <v>14651.92</v>
      </c>
      <c r="L182" s="1252" t="s">
        <v>692</v>
      </c>
      <c r="M182" s="1392">
        <f>ROUND(I182*K182,0)</f>
        <v>0</v>
      </c>
    </row>
    <row r="183" spans="1:13" s="716" customFormat="1" ht="104.25" hidden="1" customHeight="1">
      <c r="A183" s="1241">
        <v>25</v>
      </c>
      <c r="B183" s="1986" t="s">
        <v>2115</v>
      </c>
      <c r="C183" s="1986"/>
      <c r="D183" s="1986"/>
      <c r="E183" s="1986"/>
      <c r="F183" s="1986"/>
      <c r="G183" s="1986"/>
      <c r="H183" s="1986"/>
      <c r="I183" s="1986"/>
      <c r="J183" s="1134"/>
      <c r="K183" s="1245"/>
      <c r="L183" s="1245"/>
      <c r="M183" s="1392"/>
    </row>
    <row r="184" spans="1:13" s="716" customFormat="1" ht="15.5" hidden="1">
      <c r="A184" s="1241"/>
      <c r="B184" s="1650" t="s">
        <v>2004</v>
      </c>
      <c r="C184" s="1241">
        <v>1</v>
      </c>
      <c r="D184" s="1241" t="s">
        <v>672</v>
      </c>
      <c r="E184" s="1241">
        <v>4</v>
      </c>
      <c r="F184" s="1251"/>
      <c r="G184" s="1242"/>
      <c r="H184" s="1251"/>
      <c r="I184" s="1246">
        <v>0</v>
      </c>
      <c r="J184" s="1135" t="s">
        <v>217</v>
      </c>
      <c r="K184" s="1252">
        <f>'Data  (2)'!H1170</f>
        <v>13443.6</v>
      </c>
      <c r="L184" s="1252" t="s">
        <v>692</v>
      </c>
      <c r="M184" s="1392">
        <f>ROUND(I184*K184,0)</f>
        <v>0</v>
      </c>
    </row>
    <row r="185" spans="1:13" s="716" customFormat="1" ht="104.25" hidden="1" customHeight="1">
      <c r="A185" s="1241">
        <v>25</v>
      </c>
      <c r="B185" s="1986" t="s">
        <v>2115</v>
      </c>
      <c r="C185" s="1986"/>
      <c r="D185" s="1986"/>
      <c r="E185" s="1986"/>
      <c r="F185" s="1986"/>
      <c r="G185" s="1986"/>
      <c r="H185" s="1986"/>
      <c r="I185" s="1986"/>
      <c r="J185" s="1134"/>
      <c r="K185" s="1245"/>
      <c r="L185" s="1245"/>
      <c r="M185" s="1392"/>
    </row>
    <row r="186" spans="1:13" s="716" customFormat="1" ht="15.5" hidden="1">
      <c r="A186" s="1241"/>
      <c r="B186" s="1650" t="s">
        <v>2116</v>
      </c>
      <c r="C186" s="1241">
        <v>1</v>
      </c>
      <c r="D186" s="1241" t="s">
        <v>672</v>
      </c>
      <c r="E186" s="1241">
        <v>3</v>
      </c>
      <c r="F186" s="1251"/>
      <c r="G186" s="1242"/>
      <c r="H186" s="1251"/>
      <c r="I186" s="1246">
        <v>0</v>
      </c>
      <c r="J186" s="1135" t="s">
        <v>217</v>
      </c>
      <c r="K186" s="1252">
        <f>'Data  (2)'!H1202</f>
        <v>9102.26</v>
      </c>
      <c r="L186" s="1252" t="s">
        <v>692</v>
      </c>
      <c r="M186" s="1392">
        <f>ROUND(I186*K186,0)</f>
        <v>0</v>
      </c>
    </row>
    <row r="187" spans="1:13" s="716" customFormat="1" ht="37.5" customHeight="1">
      <c r="A187" s="1241">
        <v>34</v>
      </c>
      <c r="B187" s="1986" t="s">
        <v>531</v>
      </c>
      <c r="C187" s="1986"/>
      <c r="D187" s="1986"/>
      <c r="E187" s="1986"/>
      <c r="F187" s="1986"/>
      <c r="G187" s="1986"/>
      <c r="H187" s="1986"/>
      <c r="I187" s="1986"/>
      <c r="J187" s="1134"/>
      <c r="K187" s="1245"/>
      <c r="L187" s="1245"/>
      <c r="M187" s="1392"/>
    </row>
    <row r="188" spans="1:13" s="716" customFormat="1" ht="15.5">
      <c r="A188" s="1241"/>
      <c r="B188" s="1474" t="s">
        <v>794</v>
      </c>
      <c r="C188" s="1243">
        <v>1</v>
      </c>
      <c r="D188" s="1243" t="s">
        <v>672</v>
      </c>
      <c r="E188" s="1243">
        <v>10</v>
      </c>
      <c r="F188" s="1250">
        <v>1.5</v>
      </c>
      <c r="G188" s="1250"/>
      <c r="H188" s="1250">
        <v>1.35</v>
      </c>
      <c r="I188" s="1138">
        <f>ROUND(C188*E188*F188*H188,2)</f>
        <v>20.25</v>
      </c>
      <c r="J188" s="1137"/>
      <c r="K188" s="1245"/>
      <c r="L188" s="1245"/>
      <c r="M188" s="1392"/>
    </row>
    <row r="189" spans="1:13" s="716" customFormat="1" ht="15.5">
      <c r="A189" s="1241"/>
      <c r="B189" s="1474" t="s">
        <v>2207</v>
      </c>
      <c r="C189" s="1243">
        <v>1</v>
      </c>
      <c r="D189" s="1243" t="s">
        <v>672</v>
      </c>
      <c r="E189" s="1243">
        <v>1</v>
      </c>
      <c r="F189" s="1250">
        <v>2.1</v>
      </c>
      <c r="G189" s="1250"/>
      <c r="H189" s="1250">
        <v>1.2</v>
      </c>
      <c r="I189" s="1138">
        <f>ROUND(C189*E189*F189*H189,2)</f>
        <v>2.52</v>
      </c>
      <c r="J189" s="1133"/>
      <c r="K189" s="1245"/>
      <c r="L189" s="1245"/>
      <c r="M189" s="1392"/>
    </row>
    <row r="190" spans="1:13" s="716" customFormat="1" ht="15.5">
      <c r="A190" s="1241"/>
      <c r="B190" s="1941" t="s">
        <v>2208</v>
      </c>
      <c r="C190" s="1243">
        <v>1</v>
      </c>
      <c r="D190" s="1243" t="s">
        <v>672</v>
      </c>
      <c r="E190" s="1243">
        <v>1</v>
      </c>
      <c r="F190" s="1250">
        <v>2.1</v>
      </c>
      <c r="G190" s="1250"/>
      <c r="H190" s="1250">
        <v>1.05</v>
      </c>
      <c r="I190" s="1138">
        <f>ROUND(C190*E190*F190*H190,2)</f>
        <v>2.21</v>
      </c>
      <c r="J190" s="1133"/>
      <c r="K190" s="1245"/>
      <c r="L190" s="1245"/>
      <c r="M190" s="1392"/>
    </row>
    <row r="191" spans="1:13" s="716" customFormat="1" ht="17.25" customHeight="1">
      <c r="A191" s="1241"/>
      <c r="B191" s="1474"/>
      <c r="C191" s="1241"/>
      <c r="D191" s="1241"/>
      <c r="E191" s="1241"/>
      <c r="F191" s="1251"/>
      <c r="G191" s="1251"/>
      <c r="H191" s="1251"/>
      <c r="I191" s="1140">
        <f>SUM(I188:I190)</f>
        <v>24.98</v>
      </c>
      <c r="J191" s="1135" t="s">
        <v>184</v>
      </c>
    </row>
    <row r="192" spans="1:13" s="716" customFormat="1" ht="17.25" customHeight="1">
      <c r="A192" s="1241"/>
      <c r="B192" s="1251" t="s">
        <v>2167</v>
      </c>
      <c r="C192" s="1241"/>
      <c r="D192" s="1241"/>
      <c r="E192" s="1241"/>
      <c r="G192" s="1251"/>
      <c r="H192" s="1251"/>
      <c r="I192" s="1140">
        <f>I191*30</f>
        <v>749.4</v>
      </c>
      <c r="J192" s="1135" t="s">
        <v>207</v>
      </c>
      <c r="K192" s="1252">
        <f>'Data  (2)'!G1128</f>
        <v>80.72999999999999</v>
      </c>
      <c r="L192" s="1252" t="s">
        <v>1636</v>
      </c>
      <c r="M192" s="1392">
        <f>ROUND(I192*K192,0)</f>
        <v>60499</v>
      </c>
    </row>
    <row r="193" spans="1:13" s="716" customFormat="1" ht="104.25" customHeight="1">
      <c r="A193" s="1241">
        <v>35</v>
      </c>
      <c r="B193" s="1986" t="s">
        <v>1887</v>
      </c>
      <c r="C193" s="1986"/>
      <c r="D193" s="1986"/>
      <c r="E193" s="1986"/>
      <c r="F193" s="1986"/>
      <c r="G193" s="1986"/>
      <c r="H193" s="1986"/>
      <c r="I193" s="1986"/>
      <c r="J193" s="1134"/>
      <c r="K193" s="1252"/>
      <c r="L193" s="1252"/>
      <c r="M193" s="1392"/>
    </row>
    <row r="194" spans="1:13" s="716" customFormat="1" ht="15" customHeight="1">
      <c r="A194" s="1241"/>
      <c r="B194" s="1254" t="s">
        <v>397</v>
      </c>
      <c r="C194" s="1474"/>
      <c r="D194" s="1474"/>
      <c r="E194" s="1474"/>
      <c r="F194" s="1474"/>
      <c r="G194" s="1474"/>
      <c r="H194" s="1474"/>
      <c r="I194" s="1474"/>
      <c r="J194" s="1134"/>
      <c r="K194" s="1252"/>
      <c r="L194" s="1252"/>
      <c r="M194" s="1392"/>
    </row>
    <row r="195" spans="1:13" s="716" customFormat="1" ht="15.5">
      <c r="A195" s="1241"/>
      <c r="B195" s="1255" t="s">
        <v>1988</v>
      </c>
      <c r="C195" s="1243">
        <v>1</v>
      </c>
      <c r="D195" s="1243" t="s">
        <v>672</v>
      </c>
      <c r="E195" s="1243">
        <v>1</v>
      </c>
      <c r="F195" s="1250">
        <f>10.8-0.23+3.6</f>
        <v>14.17</v>
      </c>
      <c r="G195" s="1250">
        <f>8.46-0.23</f>
        <v>8.23</v>
      </c>
      <c r="H195" s="1244"/>
      <c r="I195" s="1264">
        <f>ROUND(C195*E195*F195*G195,2)</f>
        <v>116.62</v>
      </c>
      <c r="J195" s="1134"/>
      <c r="K195" s="1252"/>
      <c r="L195" s="1252"/>
      <c r="M195" s="1392"/>
    </row>
    <row r="196" spans="1:13" s="716" customFormat="1" ht="15.5">
      <c r="A196" s="1241"/>
      <c r="B196" s="1474"/>
      <c r="C196" s="1241"/>
      <c r="D196" s="1241"/>
      <c r="E196" s="1241"/>
      <c r="F196" s="1251"/>
      <c r="G196" s="1251"/>
      <c r="H196" s="1251"/>
      <c r="I196" s="1140">
        <f>SUM(I195:I195)</f>
        <v>116.62</v>
      </c>
      <c r="J196" s="1135" t="s">
        <v>184</v>
      </c>
      <c r="K196" s="1252">
        <f>'Data  (2)'!G975</f>
        <v>983.52</v>
      </c>
      <c r="L196" s="1252" t="s">
        <v>536</v>
      </c>
      <c r="M196" s="1392">
        <f>ROUND(I196*K196,0)</f>
        <v>114698</v>
      </c>
    </row>
    <row r="197" spans="1:13" s="716" customFormat="1" ht="104.25" customHeight="1">
      <c r="A197" s="1241">
        <v>36</v>
      </c>
      <c r="B197" s="1986" t="s">
        <v>1888</v>
      </c>
      <c r="C197" s="1986"/>
      <c r="D197" s="1986"/>
      <c r="E197" s="1986"/>
      <c r="F197" s="1986"/>
      <c r="G197" s="1986"/>
      <c r="H197" s="1986"/>
      <c r="I197" s="1986"/>
      <c r="J197" s="1134"/>
      <c r="K197" s="1252"/>
      <c r="L197" s="1252"/>
      <c r="M197" s="1392"/>
    </row>
    <row r="198" spans="1:13" s="716" customFormat="1" ht="15" customHeight="1">
      <c r="A198" s="1241"/>
      <c r="B198" s="1254" t="s">
        <v>397</v>
      </c>
      <c r="C198" s="1474"/>
      <c r="D198" s="1474"/>
      <c r="E198" s="1474"/>
      <c r="F198" s="1474"/>
      <c r="G198" s="1474"/>
      <c r="H198" s="1474"/>
      <c r="I198" s="1474"/>
      <c r="J198" s="1134"/>
      <c r="K198" s="1252"/>
      <c r="L198" s="1252"/>
      <c r="M198" s="1392"/>
    </row>
    <row r="199" spans="1:13" s="716" customFormat="1" ht="15.5">
      <c r="A199" s="1241"/>
      <c r="B199" s="1255" t="str">
        <f>B195</f>
        <v>Meeting hall</v>
      </c>
      <c r="C199" s="1266">
        <v>1</v>
      </c>
      <c r="D199" s="1266" t="s">
        <v>672</v>
      </c>
      <c r="E199" s="1266">
        <f>E195</f>
        <v>1</v>
      </c>
      <c r="F199" s="1265">
        <f>(F195+G195)*2</f>
        <v>44.8</v>
      </c>
      <c r="G199" s="1265"/>
      <c r="H199" s="1265">
        <v>0.1</v>
      </c>
      <c r="I199" s="1264">
        <f>ROUND(C199*E199*F199*H199,2)</f>
        <v>4.4800000000000004</v>
      </c>
      <c r="J199" s="1141"/>
      <c r="K199" s="1252"/>
      <c r="L199" s="1252"/>
      <c r="M199" s="1392"/>
    </row>
    <row r="200" spans="1:13" s="716" customFormat="1" ht="15.75" customHeight="1">
      <c r="A200" s="1241"/>
      <c r="B200" s="1474"/>
      <c r="C200" s="1241"/>
      <c r="D200" s="1241"/>
      <c r="E200" s="1241"/>
      <c r="F200" s="1251"/>
      <c r="G200" s="1251"/>
      <c r="H200" s="1251"/>
      <c r="I200" s="1140">
        <f>SUM(I199:I199)</f>
        <v>4.4800000000000004</v>
      </c>
      <c r="J200" s="1135" t="s">
        <v>184</v>
      </c>
      <c r="K200" s="1252">
        <f>'Data  (2)'!G992</f>
        <v>990.39</v>
      </c>
      <c r="L200" s="1252" t="s">
        <v>536</v>
      </c>
      <c r="M200" s="1392">
        <f>ROUND(I200*K200,0)</f>
        <v>4437</v>
      </c>
    </row>
    <row r="201" spans="1:13" s="716" customFormat="1" ht="217.5" hidden="1" customHeight="1">
      <c r="A201" s="1263">
        <v>28</v>
      </c>
      <c r="B201" s="1986" t="s">
        <v>1644</v>
      </c>
      <c r="C201" s="1986"/>
      <c r="D201" s="1986"/>
      <c r="E201" s="1986"/>
      <c r="F201" s="1986"/>
      <c r="G201" s="1986"/>
      <c r="H201" s="1986"/>
      <c r="I201" s="1267"/>
      <c r="J201" s="1135"/>
      <c r="K201" s="1252"/>
      <c r="L201" s="1252"/>
      <c r="M201" s="1392"/>
    </row>
    <row r="202" spans="1:13" s="716" customFormat="1" ht="15.5" hidden="1">
      <c r="A202" s="1241"/>
      <c r="B202" s="1255" t="s">
        <v>1645</v>
      </c>
      <c r="C202" s="1243">
        <v>1</v>
      </c>
      <c r="D202" s="1243" t="s">
        <v>672</v>
      </c>
      <c r="E202" s="1243">
        <v>1</v>
      </c>
      <c r="F202" s="1244">
        <v>5.65</v>
      </c>
      <c r="G202" s="1244">
        <v>6.68</v>
      </c>
      <c r="H202" s="1244"/>
      <c r="I202" s="1264">
        <f>ROUND(C202*E202*F202*G202,2)</f>
        <v>37.74</v>
      </c>
      <c r="J202" s="1133" t="s">
        <v>181</v>
      </c>
      <c r="K202" s="1252"/>
      <c r="L202" s="1252"/>
      <c r="M202" s="1392"/>
    </row>
    <row r="203" spans="1:13" s="716" customFormat="1" ht="15.5" hidden="1">
      <c r="A203" s="1241"/>
      <c r="B203" s="1255" t="s">
        <v>1646</v>
      </c>
      <c r="C203" s="1243">
        <v>1</v>
      </c>
      <c r="D203" s="1243" t="s">
        <v>672</v>
      </c>
      <c r="E203" s="1243">
        <v>1</v>
      </c>
      <c r="F203" s="1244">
        <v>5.65</v>
      </c>
      <c r="G203" s="1244">
        <v>6.68</v>
      </c>
      <c r="H203" s="1244"/>
      <c r="I203" s="1264">
        <f>ROUND(C203*E203*F203*G203,2)</f>
        <v>37.74</v>
      </c>
      <c r="J203" s="1133" t="s">
        <v>181</v>
      </c>
      <c r="K203" s="1252"/>
      <c r="L203" s="1252"/>
      <c r="M203" s="1392"/>
    </row>
    <row r="204" spans="1:13" s="716" customFormat="1" ht="15.5" hidden="1">
      <c r="A204" s="1241"/>
      <c r="B204" s="1474"/>
      <c r="C204" s="1241"/>
      <c r="D204" s="1241"/>
      <c r="E204" s="1241"/>
      <c r="F204" s="1251"/>
      <c r="G204" s="1251"/>
      <c r="H204" s="1251"/>
      <c r="I204" s="1140"/>
      <c r="J204" s="1135" t="s">
        <v>184</v>
      </c>
      <c r="K204" s="1252">
        <v>773.69029999999987</v>
      </c>
      <c r="L204" s="1252" t="s">
        <v>536</v>
      </c>
      <c r="M204" s="1392">
        <f>ROUND(I204*K204,0)</f>
        <v>0</v>
      </c>
    </row>
    <row r="205" spans="1:13" s="716" customFormat="1" ht="15.5" hidden="1">
      <c r="A205" s="1241"/>
      <c r="B205" s="1474"/>
      <c r="C205" s="1241"/>
      <c r="D205" s="1241"/>
      <c r="E205" s="1241"/>
      <c r="F205" s="1251"/>
      <c r="G205" s="1251"/>
      <c r="H205" s="1251"/>
      <c r="I205" s="1140"/>
      <c r="J205" s="1135"/>
      <c r="K205" s="1252"/>
      <c r="L205" s="1252"/>
      <c r="M205" s="1392"/>
    </row>
    <row r="206" spans="1:13" s="716" customFormat="1" ht="121.5" customHeight="1">
      <c r="A206" s="1241">
        <v>41</v>
      </c>
      <c r="B206" s="1986" t="str">
        <f>'Data  (2)'!C791:C791</f>
        <v>Painting to New walls with two coats of Plastic Emulsion paint of superior quality of approved brand and shade over base coat of cement primer grade -I making three coats in all to give an even shade after thoroughly brushing the surface to remove all loose powdered materials, including cost and conveyance of all materials, including cost and conveyance of all materials, cost of brushes, water to site, etc., sales &amp; other taxes, all operational, incidental and labour charges such as scaffolding charges, lift charges, curing etc., complete for finished item of work in all floors for Walls.(APSS No. 911) in All Floors for interior walls</v>
      </c>
      <c r="C206" s="1986"/>
      <c r="D206" s="1986"/>
      <c r="E206" s="1986"/>
      <c r="F206" s="1986"/>
      <c r="G206" s="1986"/>
      <c r="H206" s="1986"/>
      <c r="I206" s="1986"/>
      <c r="J206" s="1134"/>
      <c r="K206" s="1245"/>
      <c r="L206" s="1245"/>
      <c r="M206" s="1392"/>
    </row>
    <row r="207" spans="1:13" s="716" customFormat="1" ht="16" customHeight="1">
      <c r="A207" s="1241"/>
      <c r="B207" s="1254" t="s">
        <v>397</v>
      </c>
      <c r="C207" s="1241"/>
      <c r="D207" s="1241"/>
      <c r="E207" s="1241"/>
      <c r="F207" s="1241"/>
      <c r="G207" s="1241"/>
      <c r="H207" s="1241"/>
      <c r="I207" s="1241"/>
      <c r="J207" s="1134"/>
      <c r="K207" s="1245"/>
      <c r="L207" s="1245"/>
      <c r="M207" s="1392"/>
    </row>
    <row r="208" spans="1:13" s="716" customFormat="1" ht="16" customHeight="1">
      <c r="A208" s="1241"/>
      <c r="B208" s="1474" t="s">
        <v>1889</v>
      </c>
      <c r="C208" s="1241">
        <v>1</v>
      </c>
      <c r="D208" s="1241" t="s">
        <v>672</v>
      </c>
      <c r="E208" s="1241">
        <v>1</v>
      </c>
      <c r="F208" s="1241">
        <f>10.57+3.6</f>
        <v>14.17</v>
      </c>
      <c r="G208" s="1241">
        <v>8.23</v>
      </c>
      <c r="H208" s="1241"/>
      <c r="I208" s="1899">
        <f>G208*F208</f>
        <v>116.6191</v>
      </c>
      <c r="J208" s="1134"/>
      <c r="K208" s="1245"/>
      <c r="L208" s="1245"/>
      <c r="M208" s="1392"/>
    </row>
    <row r="209" spans="1:13" s="716" customFormat="1" ht="15.5">
      <c r="A209" s="1241"/>
      <c r="B209" s="1262" t="s">
        <v>1647</v>
      </c>
      <c r="C209" s="1243">
        <v>1</v>
      </c>
      <c r="D209" s="1243" t="s">
        <v>672</v>
      </c>
      <c r="E209" s="1243">
        <v>1</v>
      </c>
      <c r="F209" s="1244">
        <f>14.17+14.17+8.23+8.23</f>
        <v>44.8</v>
      </c>
      <c r="G209" s="1244"/>
      <c r="H209" s="1244">
        <v>3.3</v>
      </c>
      <c r="I209" s="1250">
        <f>H209*F209</f>
        <v>147.83999999999997</v>
      </c>
      <c r="J209" s="1133"/>
      <c r="K209" s="1252"/>
      <c r="L209" s="1252"/>
      <c r="M209" s="1392"/>
    </row>
    <row r="210" spans="1:13" s="716" customFormat="1" ht="15.5">
      <c r="A210" s="1241"/>
      <c r="B210" s="1248" t="s">
        <v>1986</v>
      </c>
      <c r="C210" s="1949">
        <v>1</v>
      </c>
      <c r="D210" s="1243" t="s">
        <v>672</v>
      </c>
      <c r="E210" s="1243">
        <v>1</v>
      </c>
      <c r="F210" s="1244">
        <v>1.2</v>
      </c>
      <c r="G210" s="1244"/>
      <c r="H210" s="1244">
        <v>2.1</v>
      </c>
      <c r="I210" s="1250">
        <f t="shared" ref="I210:I212" si="18">-ROUND(C210*E210*F210*H210,2)</f>
        <v>-2.52</v>
      </c>
      <c r="J210" s="1139"/>
      <c r="K210" s="1252"/>
      <c r="L210" s="1252"/>
      <c r="M210" s="1392"/>
    </row>
    <row r="211" spans="1:13" s="716" customFormat="1" ht="15.5">
      <c r="A211" s="1241"/>
      <c r="B211" s="1248" t="s">
        <v>1986</v>
      </c>
      <c r="C211" s="1949">
        <v>1</v>
      </c>
      <c r="D211" s="1243" t="s">
        <v>672</v>
      </c>
      <c r="E211" s="1243">
        <v>1</v>
      </c>
      <c r="F211" s="1244">
        <v>1.05</v>
      </c>
      <c r="G211" s="1244"/>
      <c r="H211" s="1244">
        <v>2.1</v>
      </c>
      <c r="I211" s="1250">
        <f t="shared" si="18"/>
        <v>-2.21</v>
      </c>
      <c r="J211" s="1139"/>
      <c r="K211" s="1252"/>
      <c r="L211" s="1252"/>
      <c r="M211" s="1392"/>
    </row>
    <row r="212" spans="1:13" s="716" customFormat="1" ht="15.5">
      <c r="A212" s="1241"/>
      <c r="B212" s="1248" t="s">
        <v>1634</v>
      </c>
      <c r="C212" s="1949">
        <v>1</v>
      </c>
      <c r="D212" s="1243" t="s">
        <v>672</v>
      </c>
      <c r="E212" s="1243">
        <v>8</v>
      </c>
      <c r="F212" s="1244">
        <v>1.5</v>
      </c>
      <c r="G212" s="1244"/>
      <c r="H212" s="1244">
        <v>1.35</v>
      </c>
      <c r="I212" s="1250">
        <f t="shared" si="18"/>
        <v>-16.2</v>
      </c>
      <c r="J212" s="1139"/>
      <c r="K212" s="1252"/>
      <c r="L212" s="1252"/>
      <c r="M212" s="1392"/>
    </row>
    <row r="213" spans="1:13" s="716" customFormat="1" ht="18.75" customHeight="1">
      <c r="A213" s="1241"/>
      <c r="B213" s="1474"/>
      <c r="C213" s="1241"/>
      <c r="D213" s="1241"/>
      <c r="E213" s="1241"/>
      <c r="F213" s="1251"/>
      <c r="G213" s="1251"/>
      <c r="H213" s="1251"/>
      <c r="I213" s="1140">
        <f>SUM(I208:I212)</f>
        <v>243.52910000000003</v>
      </c>
      <c r="J213" s="1135" t="s">
        <v>184</v>
      </c>
      <c r="K213" s="1252">
        <f>'Data  (2)'!G806</f>
        <v>128.35</v>
      </c>
      <c r="L213" s="1252" t="s">
        <v>536</v>
      </c>
      <c r="M213" s="1392">
        <f>ROUND(I213*K213,0)</f>
        <v>31257</v>
      </c>
    </row>
    <row r="214" spans="1:13" s="716" customFormat="1" ht="120" customHeight="1">
      <c r="A214" s="1241">
        <v>42</v>
      </c>
      <c r="B214" s="1986" t="str">
        <f>'Data  (2)'!C807:C807</f>
        <v>Painting to New walls with One coat of water proof Cement primer and two coats of Acrylic  Emulsion paint of superior quality of approved brand and shade over base coat of cement primer grade -II making three coats in all to give an even shade after thoroughly brushing the surface to remove all loose powdered materials, including cost and conveyance of all materials, including cost and conveyance of all materials, cost of brushes, water to site, etc., sales &amp; other taxes, all operational, incidental and labour charges such as scaffolding charges, lift charges, curing etc., complete for finished item of work in all floors for Walls.(APSS No. 911) in for exterior walls</v>
      </c>
      <c r="C214" s="1986"/>
      <c r="D214" s="1986"/>
      <c r="E214" s="1986"/>
      <c r="F214" s="1986"/>
      <c r="G214" s="1986"/>
      <c r="H214" s="1986"/>
      <c r="I214" s="1986"/>
      <c r="J214" s="1134"/>
      <c r="K214" s="1252"/>
      <c r="L214" s="1252"/>
      <c r="M214" s="1392"/>
    </row>
    <row r="215" spans="1:13" s="716" customFormat="1" ht="16" customHeight="1">
      <c r="A215" s="1241"/>
      <c r="B215" s="1254" t="s">
        <v>397</v>
      </c>
      <c r="C215" s="1241"/>
      <c r="D215" s="1241"/>
      <c r="E215" s="1241"/>
      <c r="F215" s="1241"/>
      <c r="G215" s="1241"/>
      <c r="H215" s="1241"/>
      <c r="I215" s="1241"/>
      <c r="J215" s="1134"/>
      <c r="K215" s="1245"/>
      <c r="L215" s="1245"/>
      <c r="M215" s="1392"/>
    </row>
    <row r="216" spans="1:13" s="716" customFormat="1" ht="16" customHeight="1">
      <c r="A216" s="1241"/>
      <c r="B216" s="1474" t="s">
        <v>934</v>
      </c>
      <c r="C216" s="1241">
        <v>1</v>
      </c>
      <c r="D216" s="1241" t="s">
        <v>672</v>
      </c>
      <c r="E216" s="1241">
        <v>1</v>
      </c>
      <c r="F216" s="1241">
        <f>14.63+14.63+8.69+8.69</f>
        <v>46.64</v>
      </c>
      <c r="G216" s="1241"/>
      <c r="H216" s="1241">
        <f>4</f>
        <v>4</v>
      </c>
      <c r="I216" s="1899">
        <f>F216*H216</f>
        <v>186.56</v>
      </c>
      <c r="J216" s="1134"/>
      <c r="K216" s="1245"/>
      <c r="L216" s="1245"/>
      <c r="M216" s="1392"/>
    </row>
    <row r="217" spans="1:13" s="716" customFormat="1" ht="15.5">
      <c r="A217" s="1241"/>
      <c r="B217" s="1248" t="s">
        <v>1986</v>
      </c>
      <c r="C217" s="1949">
        <v>1</v>
      </c>
      <c r="D217" s="1243" t="s">
        <v>672</v>
      </c>
      <c r="E217" s="1243">
        <v>1</v>
      </c>
      <c r="F217" s="1244">
        <v>1.2</v>
      </c>
      <c r="G217" s="1244"/>
      <c r="H217" s="1244">
        <v>2.1</v>
      </c>
      <c r="I217" s="1250">
        <f t="shared" ref="I217:I219" si="19">-ROUND(C217*E217*F217*H217,2)</f>
        <v>-2.52</v>
      </c>
      <c r="J217" s="1139"/>
      <c r="K217" s="1252"/>
      <c r="L217" s="1252"/>
      <c r="M217" s="1392"/>
    </row>
    <row r="218" spans="1:13" s="716" customFormat="1" ht="15.5">
      <c r="A218" s="1241"/>
      <c r="B218" s="1248" t="s">
        <v>1986</v>
      </c>
      <c r="C218" s="1949">
        <v>1</v>
      </c>
      <c r="D218" s="1243" t="s">
        <v>672</v>
      </c>
      <c r="E218" s="1243">
        <v>1</v>
      </c>
      <c r="F218" s="1244">
        <v>1.05</v>
      </c>
      <c r="G218" s="1244"/>
      <c r="H218" s="1244">
        <v>2.1</v>
      </c>
      <c r="I218" s="1250">
        <f t="shared" si="19"/>
        <v>-2.21</v>
      </c>
      <c r="J218" s="1139"/>
      <c r="K218" s="1252"/>
      <c r="L218" s="1252"/>
      <c r="M218" s="1392"/>
    </row>
    <row r="219" spans="1:13" s="716" customFormat="1" ht="15.5">
      <c r="A219" s="1241"/>
      <c r="B219" s="1248" t="s">
        <v>1634</v>
      </c>
      <c r="C219" s="1949">
        <v>1</v>
      </c>
      <c r="D219" s="1243" t="s">
        <v>672</v>
      </c>
      <c r="E219" s="1243">
        <v>8</v>
      </c>
      <c r="F219" s="1244">
        <v>1.5</v>
      </c>
      <c r="G219" s="1244"/>
      <c r="H219" s="1244">
        <v>1.35</v>
      </c>
      <c r="I219" s="1250">
        <f t="shared" si="19"/>
        <v>-16.2</v>
      </c>
      <c r="J219" s="1139"/>
      <c r="K219" s="1252"/>
      <c r="L219" s="1252"/>
      <c r="M219" s="1392"/>
    </row>
    <row r="220" spans="1:13" s="716" customFormat="1" ht="18.75" customHeight="1">
      <c r="A220" s="1241"/>
      <c r="B220" s="1474"/>
      <c r="C220" s="1241"/>
      <c r="D220" s="1241"/>
      <c r="E220" s="1241"/>
      <c r="F220" s="1251"/>
      <c r="G220" s="1251"/>
      <c r="H220" s="1251"/>
      <c r="I220" s="1140">
        <f>SUM(I216:I219)</f>
        <v>165.63</v>
      </c>
      <c r="J220" s="1135" t="s">
        <v>184</v>
      </c>
      <c r="K220" s="1252">
        <f>'Data  (2)'!G822</f>
        <v>175.41</v>
      </c>
      <c r="L220" s="1252" t="s">
        <v>536</v>
      </c>
      <c r="M220" s="1392">
        <f>ROUND(I220*K220,0)</f>
        <v>29053</v>
      </c>
    </row>
    <row r="221" spans="1:13" s="716" customFormat="1" ht="78" hidden="1" customHeight="1">
      <c r="A221" s="1241">
        <v>36</v>
      </c>
      <c r="B221" s="1986" t="s">
        <v>1794</v>
      </c>
      <c r="C221" s="1986"/>
      <c r="D221" s="1986"/>
      <c r="E221" s="1986"/>
      <c r="F221" s="1986"/>
      <c r="G221" s="1986"/>
      <c r="H221" s="1986"/>
      <c r="I221" s="1986"/>
      <c r="J221" s="1134"/>
      <c r="K221" s="1245"/>
      <c r="L221" s="1245"/>
      <c r="M221" s="1392"/>
    </row>
    <row r="222" spans="1:13" s="716" customFormat="1" ht="15.5" hidden="1">
      <c r="A222" s="1241"/>
      <c r="B222" s="1474" t="s">
        <v>1648</v>
      </c>
      <c r="C222" s="1241">
        <v>3</v>
      </c>
      <c r="D222" s="1241" t="s">
        <v>672</v>
      </c>
      <c r="E222" s="1241" t="s">
        <v>1795</v>
      </c>
      <c r="F222" s="1251">
        <v>1.2</v>
      </c>
      <c r="G222" s="1251"/>
      <c r="H222" s="1251">
        <v>2.1</v>
      </c>
      <c r="I222" s="1246">
        <f>ROUND(C222*2.25*F222*H222,2)</f>
        <v>17.010000000000002</v>
      </c>
      <c r="J222" s="1134"/>
      <c r="K222" s="1245"/>
      <c r="L222" s="1245"/>
      <c r="M222" s="1392"/>
    </row>
    <row r="223" spans="1:13" s="716" customFormat="1" ht="15.5" hidden="1">
      <c r="A223" s="1241"/>
      <c r="B223" s="1474" t="s">
        <v>1638</v>
      </c>
      <c r="C223" s="1241">
        <v>5</v>
      </c>
      <c r="D223" s="1241" t="s">
        <v>672</v>
      </c>
      <c r="E223" s="1241" t="s">
        <v>1795</v>
      </c>
      <c r="F223" s="1251">
        <v>1.05</v>
      </c>
      <c r="G223" s="1251"/>
      <c r="H223" s="1251">
        <v>2.1</v>
      </c>
      <c r="I223" s="1246">
        <f>ROUND(C223*2.25*F223*H223,2)</f>
        <v>24.81</v>
      </c>
      <c r="J223" s="1134"/>
      <c r="K223" s="1245"/>
      <c r="L223" s="1245"/>
      <c r="M223" s="1392"/>
    </row>
    <row r="224" spans="1:13" s="716" customFormat="1" ht="19.5" hidden="1" customHeight="1">
      <c r="A224" s="1241"/>
      <c r="B224" s="1474"/>
      <c r="C224" s="1241"/>
      <c r="D224" s="1241"/>
      <c r="E224" s="1241"/>
      <c r="F224" s="1251"/>
      <c r="G224" s="1251"/>
      <c r="H224" s="1251"/>
      <c r="I224" s="1140">
        <v>0</v>
      </c>
      <c r="J224" s="1135" t="s">
        <v>184</v>
      </c>
      <c r="K224" s="1252">
        <f>'Data  (2)'!G748</f>
        <v>133.1</v>
      </c>
      <c r="L224" s="1252" t="s">
        <v>536</v>
      </c>
      <c r="M224" s="1392">
        <f>ROUND(I224*K224,0)</f>
        <v>0</v>
      </c>
    </row>
    <row r="225" spans="1:16" s="716" customFormat="1" ht="153.75" hidden="1" customHeight="1">
      <c r="A225" s="1241">
        <v>38</v>
      </c>
      <c r="B225" s="1986" t="s">
        <v>1649</v>
      </c>
      <c r="C225" s="1986"/>
      <c r="D225" s="1986"/>
      <c r="E225" s="1986"/>
      <c r="F225" s="1986"/>
      <c r="G225" s="1986"/>
      <c r="H225" s="1986"/>
      <c r="I225" s="1986"/>
      <c r="J225" s="1135"/>
      <c r="K225" s="1251"/>
      <c r="L225" s="1251"/>
      <c r="M225" s="1393"/>
    </row>
    <row r="226" spans="1:16" s="716" customFormat="1" ht="21.75" hidden="1" customHeight="1">
      <c r="A226" s="1241"/>
      <c r="B226" s="1474"/>
      <c r="C226" s="1241"/>
      <c r="D226" s="1241"/>
      <c r="E226" s="1241"/>
      <c r="F226" s="1251"/>
      <c r="G226" s="1251"/>
      <c r="H226" s="1251"/>
      <c r="I226" s="1246">
        <v>150</v>
      </c>
      <c r="J226" s="1134" t="s">
        <v>184</v>
      </c>
      <c r="K226" s="1251">
        <v>262.70200000000006</v>
      </c>
      <c r="L226" s="1251" t="s">
        <v>536</v>
      </c>
      <c r="M226" s="1393">
        <v>0</v>
      </c>
    </row>
    <row r="227" spans="1:16" s="1213" customFormat="1" ht="20.25" customHeight="1">
      <c r="A227" s="1384"/>
      <c r="B227" s="1390" t="s">
        <v>1790</v>
      </c>
      <c r="C227" s="1384"/>
      <c r="D227" s="1384"/>
      <c r="E227" s="1384"/>
      <c r="F227" s="1385"/>
      <c r="G227" s="1385"/>
      <c r="H227" s="1385"/>
      <c r="I227" s="1386"/>
      <c r="J227" s="1387"/>
      <c r="K227" s="1388"/>
      <c r="L227" s="1389"/>
      <c r="M227" s="1521"/>
    </row>
    <row r="228" spans="1:16" s="1216" customFormat="1" ht="58.5" customHeight="1">
      <c r="A228" s="1214">
        <v>58</v>
      </c>
      <c r="B228" s="1980" t="s">
        <v>1660</v>
      </c>
      <c r="C228" s="1980"/>
      <c r="D228" s="1980"/>
      <c r="E228" s="1980"/>
      <c r="F228" s="1980"/>
      <c r="G228" s="1980"/>
      <c r="H228" s="1980"/>
      <c r="I228" s="1980"/>
      <c r="J228" s="1215"/>
      <c r="K228" s="1215"/>
      <c r="L228" s="1215"/>
      <c r="M228" s="1522"/>
    </row>
    <row r="229" spans="1:16" s="1216" customFormat="1" ht="15.5">
      <c r="A229" s="1217"/>
      <c r="B229" s="1217"/>
      <c r="C229" s="1217"/>
      <c r="D229" s="1217"/>
      <c r="E229" s="1217"/>
      <c r="F229" s="1217"/>
      <c r="G229" s="1217"/>
      <c r="H229" s="1217"/>
      <c r="I229" s="1218">
        <v>50</v>
      </c>
      <c r="J229" s="1219" t="s">
        <v>1639</v>
      </c>
      <c r="K229" s="1220">
        <f>'Ele Data (2)'!G55</f>
        <v>59.08</v>
      </c>
      <c r="L229" s="1221" t="s">
        <v>1640</v>
      </c>
      <c r="M229" s="1395">
        <f>ROUND(I229*K229,0)</f>
        <v>2954</v>
      </c>
    </row>
    <row r="230" spans="1:16" s="1216" customFormat="1" ht="71.25" customHeight="1">
      <c r="A230" s="1222">
        <v>59</v>
      </c>
      <c r="B230" s="1981" t="s">
        <v>1651</v>
      </c>
      <c r="C230" s="1981"/>
      <c r="D230" s="1981"/>
      <c r="E230" s="1981"/>
      <c r="F230" s="1981"/>
      <c r="G230" s="1981"/>
      <c r="H230" s="1981"/>
      <c r="I230" s="1981"/>
      <c r="J230" s="1217"/>
      <c r="K230" s="1391"/>
      <c r="L230" s="1217"/>
      <c r="M230" s="1523"/>
      <c r="P230" s="1950"/>
    </row>
    <row r="231" spans="1:16" s="1216" customFormat="1" ht="15.5">
      <c r="A231" s="1217"/>
      <c r="B231" s="1217"/>
      <c r="C231" s="1217"/>
      <c r="D231" s="1217"/>
      <c r="E231" s="1217"/>
      <c r="F231" s="1217"/>
      <c r="G231" s="1217"/>
      <c r="H231" s="1217"/>
      <c r="I231" s="1218">
        <v>25</v>
      </c>
      <c r="J231" s="1219" t="s">
        <v>1639</v>
      </c>
      <c r="K231" s="1220">
        <f>'Ele Data (2)'!G41</f>
        <v>72.09</v>
      </c>
      <c r="L231" s="1221" t="s">
        <v>1640</v>
      </c>
      <c r="M231" s="1395">
        <f>ROUND(I231*K231,0)</f>
        <v>1802</v>
      </c>
    </row>
    <row r="232" spans="1:16" s="1216" customFormat="1" ht="72" customHeight="1">
      <c r="A232" s="1222">
        <v>60</v>
      </c>
      <c r="B232" s="1981" t="s">
        <v>1652</v>
      </c>
      <c r="C232" s="1981"/>
      <c r="D232" s="1981"/>
      <c r="E232" s="1981"/>
      <c r="F232" s="1981"/>
      <c r="G232" s="1981"/>
      <c r="H232" s="1981"/>
      <c r="I232" s="1981"/>
      <c r="J232" s="1223"/>
      <c r="K232" s="1220"/>
      <c r="L232" s="1224"/>
      <c r="M232" s="1396"/>
    </row>
    <row r="233" spans="1:16" s="1216" customFormat="1" ht="15.5">
      <c r="A233" s="1222"/>
      <c r="B233" s="1473"/>
      <c r="C233" s="1473"/>
      <c r="D233" s="1473"/>
      <c r="E233" s="1223"/>
      <c r="F233" s="1220"/>
      <c r="G233" s="1220"/>
      <c r="H233" s="1220"/>
      <c r="I233" s="1218">
        <v>100</v>
      </c>
      <c r="J233" s="1219" t="s">
        <v>790</v>
      </c>
      <c r="K233" s="1220">
        <f>'Ele Data (2)'!G83</f>
        <v>18.73</v>
      </c>
      <c r="L233" s="1221" t="s">
        <v>1640</v>
      </c>
      <c r="M233" s="1395">
        <f>ROUND(I233*K233,0)</f>
        <v>1873</v>
      </c>
    </row>
    <row r="234" spans="1:16" s="1216" customFormat="1" ht="57.75" customHeight="1">
      <c r="A234" s="1222">
        <v>61</v>
      </c>
      <c r="B234" s="1981" t="s">
        <v>1653</v>
      </c>
      <c r="C234" s="1981"/>
      <c r="D234" s="1981"/>
      <c r="E234" s="1981"/>
      <c r="F234" s="1981"/>
      <c r="G234" s="1981"/>
      <c r="H234" s="1981"/>
      <c r="I234" s="1981"/>
      <c r="J234" s="1223"/>
      <c r="K234" s="1220"/>
      <c r="L234" s="1224"/>
      <c r="M234" s="1396"/>
    </row>
    <row r="235" spans="1:16" s="1216" customFormat="1" ht="18.75" customHeight="1">
      <c r="A235" s="1222"/>
      <c r="B235" s="1473"/>
      <c r="C235" s="1473"/>
      <c r="D235" s="1473"/>
      <c r="E235" s="1223"/>
      <c r="F235" s="1220"/>
      <c r="G235" s="1220"/>
      <c r="H235" s="1220"/>
      <c r="I235" s="1218">
        <v>30</v>
      </c>
      <c r="J235" s="1219" t="s">
        <v>790</v>
      </c>
      <c r="K235" s="1220">
        <f>'Ele Data (2)'!G205</f>
        <v>65.150000000000006</v>
      </c>
      <c r="L235" s="1221" t="s">
        <v>1640</v>
      </c>
      <c r="M235" s="1395">
        <f>ROUND(I235*K235,0)</f>
        <v>1955</v>
      </c>
    </row>
    <row r="236" spans="1:16" s="1216" customFormat="1" ht="57.75" customHeight="1">
      <c r="A236" s="1222">
        <v>62</v>
      </c>
      <c r="B236" s="1981" t="s">
        <v>1992</v>
      </c>
      <c r="C236" s="1981"/>
      <c r="D236" s="1981"/>
      <c r="E236" s="1981"/>
      <c r="F236" s="1981"/>
      <c r="G236" s="1981"/>
      <c r="H236" s="1981"/>
      <c r="I236" s="1981"/>
      <c r="J236" s="1223"/>
      <c r="K236" s="1220"/>
      <c r="L236" s="1224"/>
      <c r="M236" s="1396"/>
    </row>
    <row r="237" spans="1:16" s="1216" customFormat="1" ht="18.75" customHeight="1">
      <c r="A237" s="1222"/>
      <c r="B237" s="1473"/>
      <c r="C237" s="1473"/>
      <c r="D237" s="1473"/>
      <c r="E237" s="1223"/>
      <c r="F237" s="1220"/>
      <c r="G237" s="1220"/>
      <c r="H237" s="1220"/>
      <c r="I237" s="1218">
        <v>20</v>
      </c>
      <c r="J237" s="1219" t="s">
        <v>1639</v>
      </c>
      <c r="K237" s="1524">
        <f>'Ele Data (2)'!G218</f>
        <v>98.98</v>
      </c>
      <c r="L237" s="1221" t="s">
        <v>1640</v>
      </c>
      <c r="M237" s="1395">
        <f>ROUND(I237*K237,0)</f>
        <v>1980</v>
      </c>
    </row>
    <row r="238" spans="1:16" s="1216" customFormat="1" ht="78.75" hidden="1" customHeight="1">
      <c r="A238" s="1222">
        <v>53</v>
      </c>
      <c r="B238" s="1981" t="s">
        <v>1993</v>
      </c>
      <c r="C238" s="1981"/>
      <c r="D238" s="1981"/>
      <c r="E238" s="1981"/>
      <c r="F238" s="1981"/>
      <c r="G238" s="1981"/>
      <c r="H238" s="1981"/>
      <c r="I238" s="1981"/>
      <c r="J238" s="1223"/>
      <c r="K238" s="1220"/>
      <c r="L238" s="1224"/>
      <c r="M238" s="1396"/>
    </row>
    <row r="239" spans="1:16" s="1216" customFormat="1" ht="18.75" hidden="1" customHeight="1">
      <c r="A239" s="1222"/>
      <c r="B239" s="1473" t="s">
        <v>1994</v>
      </c>
      <c r="C239" s="1473"/>
      <c r="D239" s="1473"/>
      <c r="E239" s="1223"/>
      <c r="F239" s="1220"/>
      <c r="G239" s="1220"/>
      <c r="H239" s="1220"/>
      <c r="I239" s="1218">
        <v>30</v>
      </c>
      <c r="J239" s="1219" t="s">
        <v>1639</v>
      </c>
      <c r="K239" s="1524">
        <v>0</v>
      </c>
      <c r="L239" s="1221" t="s">
        <v>1640</v>
      </c>
      <c r="M239" s="1395">
        <f>ROUND(I239*K239,0)</f>
        <v>0</v>
      </c>
    </row>
    <row r="240" spans="1:16" s="1216" customFormat="1" ht="131.15" customHeight="1">
      <c r="A240" s="1222">
        <v>63</v>
      </c>
      <c r="B240" s="1984" t="s">
        <v>2060</v>
      </c>
      <c r="C240" s="1984"/>
      <c r="D240" s="1984"/>
      <c r="E240" s="1984"/>
      <c r="F240" s="1984"/>
      <c r="G240" s="1984"/>
      <c r="H240" s="1984"/>
      <c r="I240" s="1984"/>
      <c r="J240" s="1223"/>
      <c r="K240" s="1220"/>
      <c r="L240" s="1224"/>
      <c r="M240" s="1396"/>
    </row>
    <row r="241" spans="1:13" s="1216" customFormat="1" ht="18.75" customHeight="1">
      <c r="A241" s="1222"/>
      <c r="B241" s="1472"/>
      <c r="C241" s="1472"/>
      <c r="D241" s="1472"/>
      <c r="E241" s="1223"/>
      <c r="F241" s="1220"/>
      <c r="G241" s="1220"/>
      <c r="H241" s="1220"/>
      <c r="I241" s="1218">
        <v>20</v>
      </c>
      <c r="J241" s="1219" t="s">
        <v>1842</v>
      </c>
      <c r="K241" s="1220">
        <f>'Ele Data (2)'!G434</f>
        <v>473</v>
      </c>
      <c r="L241" s="1221" t="s">
        <v>692</v>
      </c>
      <c r="M241" s="1395">
        <f>ROUND(I241*K241,0)</f>
        <v>9460</v>
      </c>
    </row>
    <row r="242" spans="1:13" s="1216" customFormat="1" ht="70.5" customHeight="1">
      <c r="A242" s="1222">
        <v>64</v>
      </c>
      <c r="B242" s="1985" t="s">
        <v>2061</v>
      </c>
      <c r="C242" s="1985"/>
      <c r="D242" s="1985"/>
      <c r="E242" s="1985"/>
      <c r="F242" s="1985"/>
      <c r="G242" s="1985"/>
      <c r="H242" s="1985"/>
      <c r="I242" s="1985"/>
      <c r="J242" s="1223"/>
      <c r="K242" s="1220"/>
      <c r="L242" s="1224"/>
      <c r="M242" s="1396"/>
    </row>
    <row r="243" spans="1:13" s="1216" customFormat="1" ht="19.5" customHeight="1">
      <c r="A243" s="1222"/>
      <c r="B243" s="1472"/>
      <c r="C243" s="1225"/>
      <c r="D243" s="1225"/>
      <c r="E243" s="1225"/>
      <c r="F243" s="1220"/>
      <c r="G243" s="1220"/>
      <c r="H243" s="1220"/>
      <c r="I243" s="1226">
        <v>3</v>
      </c>
      <c r="J243" s="1227" t="s">
        <v>796</v>
      </c>
      <c r="K243" s="1220">
        <f>'Ele Data (2)'!G467</f>
        <v>206.66500000000002</v>
      </c>
      <c r="L243" s="1221" t="s">
        <v>692</v>
      </c>
      <c r="M243" s="1395">
        <f>ROUND(I243*K243,0)</f>
        <v>620</v>
      </c>
    </row>
    <row r="244" spans="1:13" s="1216" customFormat="1" ht="71.25" customHeight="1">
      <c r="A244" s="1222">
        <v>65</v>
      </c>
      <c r="B244" s="1981" t="s">
        <v>2062</v>
      </c>
      <c r="C244" s="1981"/>
      <c r="D244" s="1981"/>
      <c r="E244" s="1981"/>
      <c r="F244" s="1981"/>
      <c r="G244" s="1981"/>
      <c r="H244" s="1981"/>
      <c r="I244" s="1981"/>
      <c r="J244" s="1223"/>
      <c r="K244" s="1220"/>
      <c r="L244" s="1224"/>
      <c r="M244" s="1396"/>
    </row>
    <row r="245" spans="1:13" s="1216" customFormat="1" ht="18.75" customHeight="1">
      <c r="A245" s="1222"/>
      <c r="B245" s="1472"/>
      <c r="C245" s="1225"/>
      <c r="D245" s="1225"/>
      <c r="E245" s="1225"/>
      <c r="F245" s="1228"/>
      <c r="G245" s="1228"/>
      <c r="H245" s="1228"/>
      <c r="I245" s="1226">
        <v>5</v>
      </c>
      <c r="J245" s="1227" t="s">
        <v>796</v>
      </c>
      <c r="K245" s="1345">
        <f>'Ele Data (2)'!G492</f>
        <v>324.5</v>
      </c>
      <c r="L245" s="1221" t="s">
        <v>692</v>
      </c>
      <c r="M245" s="1395">
        <f>ROUND(I245*K245,0)</f>
        <v>1623</v>
      </c>
    </row>
    <row r="246" spans="1:13" s="1216" customFormat="1" ht="73.5" customHeight="1">
      <c r="A246" s="1222">
        <v>68</v>
      </c>
      <c r="B246" s="1983" t="s">
        <v>1663</v>
      </c>
      <c r="C246" s="1983"/>
      <c r="D246" s="1983"/>
      <c r="E246" s="1983"/>
      <c r="F246" s="1983"/>
      <c r="G246" s="1983"/>
      <c r="H246" s="1983"/>
      <c r="I246" s="1983"/>
      <c r="J246" s="1223"/>
      <c r="K246" s="1220"/>
      <c r="L246" s="1224"/>
      <c r="M246" s="1396"/>
    </row>
    <row r="247" spans="1:13" s="1216" customFormat="1" ht="18" customHeight="1">
      <c r="A247" s="1222"/>
      <c r="B247" s="1472"/>
      <c r="C247" s="1472"/>
      <c r="D247" s="1472"/>
      <c r="E247" s="1229"/>
      <c r="F247" s="1220"/>
      <c r="G247" s="1220"/>
      <c r="H247" s="1220"/>
      <c r="I247" s="1218">
        <v>6</v>
      </c>
      <c r="J247" s="1219" t="s">
        <v>796</v>
      </c>
      <c r="K247" s="1220">
        <f>'Ele Data (2)'!G369</f>
        <v>2826.88</v>
      </c>
      <c r="L247" s="1221" t="s">
        <v>692</v>
      </c>
      <c r="M247" s="1395">
        <f>ROUND(I247*K247,0)</f>
        <v>16961</v>
      </c>
    </row>
    <row r="248" spans="1:13" s="1216" customFormat="1" ht="61.5" customHeight="1">
      <c r="A248" s="1222">
        <v>69</v>
      </c>
      <c r="B248" s="1982" t="s">
        <v>1654</v>
      </c>
      <c r="C248" s="1982"/>
      <c r="D248" s="1982"/>
      <c r="E248" s="1982"/>
      <c r="F248" s="1982"/>
      <c r="G248" s="1982"/>
      <c r="H248" s="1982"/>
      <c r="I248" s="1982"/>
      <c r="J248" s="1223"/>
      <c r="K248" s="1220"/>
      <c r="L248" s="1224"/>
      <c r="M248" s="1396"/>
    </row>
    <row r="249" spans="1:13" s="1216" customFormat="1" ht="18.75" customHeight="1">
      <c r="A249" s="1222"/>
      <c r="B249" s="1472"/>
      <c r="C249" s="1225"/>
      <c r="D249" s="1225"/>
      <c r="E249" s="1225"/>
      <c r="F249" s="1220"/>
      <c r="G249" s="1220"/>
      <c r="H249" s="1220"/>
      <c r="I249" s="1226">
        <v>6</v>
      </c>
      <c r="J249" s="1227" t="s">
        <v>796</v>
      </c>
      <c r="K249" s="1345">
        <f>'Ele Data (2)'!G343</f>
        <v>881.2</v>
      </c>
      <c r="L249" s="1221" t="s">
        <v>692</v>
      </c>
      <c r="M249" s="1395">
        <f>ROUND(I249*K249,0)</f>
        <v>5287</v>
      </c>
    </row>
    <row r="250" spans="1:13" s="1216" customFormat="1" ht="45" customHeight="1">
      <c r="A250" s="1222">
        <v>70</v>
      </c>
      <c r="B250" s="1982" t="s">
        <v>1328</v>
      </c>
      <c r="C250" s="1982"/>
      <c r="D250" s="1982"/>
      <c r="E250" s="1982"/>
      <c r="F250" s="1982"/>
      <c r="G250" s="1982"/>
      <c r="H250" s="1982"/>
      <c r="I250" s="1982"/>
      <c r="J250" s="1223"/>
      <c r="K250" s="1220"/>
      <c r="L250" s="1224"/>
      <c r="M250" s="1396"/>
    </row>
    <row r="251" spans="1:13" s="1216" customFormat="1" ht="18.75" customHeight="1">
      <c r="A251" s="1222"/>
      <c r="B251" s="1472"/>
      <c r="C251" s="1225"/>
      <c r="D251" s="1225"/>
      <c r="E251" s="1225"/>
      <c r="F251" s="1220"/>
      <c r="G251" s="1220"/>
      <c r="H251" s="1220"/>
      <c r="I251" s="1226">
        <v>4</v>
      </c>
      <c r="J251" s="1227" t="s">
        <v>796</v>
      </c>
      <c r="K251" s="1220">
        <f>'Ele Data (2)'!G128</f>
        <v>83.75</v>
      </c>
      <c r="L251" s="1221" t="s">
        <v>692</v>
      </c>
      <c r="M251" s="1395">
        <f>ROUND(I251*K251,0)</f>
        <v>335</v>
      </c>
    </row>
    <row r="252" spans="1:13" s="1216" customFormat="1" ht="57.75" customHeight="1">
      <c r="A252" s="1222">
        <v>71</v>
      </c>
      <c r="B252" s="1983" t="s">
        <v>1655</v>
      </c>
      <c r="C252" s="1983"/>
      <c r="D252" s="1983"/>
      <c r="E252" s="1983"/>
      <c r="F252" s="1983"/>
      <c r="G252" s="1983"/>
      <c r="H252" s="1983"/>
      <c r="I252" s="1983"/>
      <c r="J252" s="1223"/>
      <c r="K252" s="1220"/>
      <c r="L252" s="1224"/>
      <c r="M252" s="1396"/>
    </row>
    <row r="253" spans="1:13" s="1216" customFormat="1" ht="18.75" customHeight="1">
      <c r="A253" s="1222"/>
      <c r="B253" s="1472"/>
      <c r="C253" s="1472"/>
      <c r="D253" s="1472"/>
      <c r="E253" s="1229"/>
      <c r="F253" s="1220"/>
      <c r="G253" s="1220"/>
      <c r="H253" s="1220"/>
      <c r="I253" s="1218">
        <v>1</v>
      </c>
      <c r="J253" s="1219" t="s">
        <v>796</v>
      </c>
      <c r="K253" s="1220">
        <f>'Ele Data (2)'!G315</f>
        <v>1791.2</v>
      </c>
      <c r="L253" s="1221" t="s">
        <v>692</v>
      </c>
      <c r="M253" s="1395">
        <f>ROUND(I253*K253,0)</f>
        <v>1791</v>
      </c>
    </row>
    <row r="254" spans="1:13" s="1216" customFormat="1" ht="82" customHeight="1">
      <c r="A254" s="1222">
        <v>72</v>
      </c>
      <c r="B254" s="1982" t="s">
        <v>1995</v>
      </c>
      <c r="C254" s="1982"/>
      <c r="D254" s="1982"/>
      <c r="E254" s="1982"/>
      <c r="F254" s="1982"/>
      <c r="G254" s="1982"/>
      <c r="H254" s="1982"/>
      <c r="I254" s="1982"/>
      <c r="J254" s="1223"/>
      <c r="K254" s="1220"/>
      <c r="L254" s="1224"/>
      <c r="M254" s="1396"/>
    </row>
    <row r="255" spans="1:13" s="1216" customFormat="1" ht="18.75" customHeight="1">
      <c r="A255" s="1222"/>
      <c r="B255" s="1472"/>
      <c r="C255" s="1225">
        <v>1</v>
      </c>
      <c r="D255" s="1225" t="s">
        <v>672</v>
      </c>
      <c r="E255" s="1225">
        <v>1</v>
      </c>
      <c r="F255" s="1223"/>
      <c r="G255" s="1223"/>
      <c r="H255" s="1223"/>
      <c r="I255" s="1230">
        <f>ROUND(C255*E255,2)</f>
        <v>1</v>
      </c>
      <c r="J255" s="1231" t="s">
        <v>796</v>
      </c>
      <c r="K255" s="1345">
        <v>4259</v>
      </c>
      <c r="L255" s="1221" t="s">
        <v>692</v>
      </c>
      <c r="M255" s="1395">
        <f>ROUND(I255*K255,0)</f>
        <v>4259</v>
      </c>
    </row>
    <row r="256" spans="1:13" s="1216" customFormat="1" ht="73.5" hidden="1" customHeight="1">
      <c r="A256" s="1222">
        <v>65</v>
      </c>
      <c r="B256" s="1982" t="s">
        <v>1996</v>
      </c>
      <c r="C256" s="1982"/>
      <c r="D256" s="1982"/>
      <c r="E256" s="1982"/>
      <c r="F256" s="1982"/>
      <c r="G256" s="1982"/>
      <c r="H256" s="1982"/>
      <c r="I256" s="1982"/>
      <c r="J256" s="1223"/>
      <c r="K256" s="1220"/>
      <c r="L256" s="1224"/>
      <c r="M256" s="1396"/>
    </row>
    <row r="257" spans="1:13" s="1216" customFormat="1" ht="15.5" hidden="1">
      <c r="A257" s="1222"/>
      <c r="B257" s="1472"/>
      <c r="C257" s="1225">
        <v>1</v>
      </c>
      <c r="D257" s="1225" t="s">
        <v>672</v>
      </c>
      <c r="E257" s="1225">
        <v>1</v>
      </c>
      <c r="F257" s="1223"/>
      <c r="G257" s="1223"/>
      <c r="H257" s="1223"/>
      <c r="I257" s="1230">
        <v>0</v>
      </c>
      <c r="J257" s="1231" t="s">
        <v>796</v>
      </c>
      <c r="K257" s="1220"/>
      <c r="L257" s="1224"/>
      <c r="M257" s="1396"/>
    </row>
    <row r="258" spans="1:13" s="1216" customFormat="1" ht="18.75" hidden="1" customHeight="1">
      <c r="A258" s="1222"/>
      <c r="B258" s="1472"/>
      <c r="C258" s="1472"/>
      <c r="D258" s="1472"/>
      <c r="E258" s="1229"/>
      <c r="F258" s="1220"/>
      <c r="G258" s="1220"/>
      <c r="H258" s="1220"/>
      <c r="I258" s="1218">
        <f>I257</f>
        <v>0</v>
      </c>
      <c r="J258" s="1219" t="s">
        <v>796</v>
      </c>
      <c r="K258" s="1524">
        <f>[125]Electrical!K45</f>
        <v>23052</v>
      </c>
      <c r="L258" s="1221" t="s">
        <v>692</v>
      </c>
      <c r="M258" s="1395">
        <f>ROUND(I258*K258,0)</f>
        <v>0</v>
      </c>
    </row>
    <row r="259" spans="1:13" s="1233" customFormat="1" ht="46.5" hidden="1" customHeight="1">
      <c r="A259" s="1232">
        <v>67</v>
      </c>
      <c r="B259" s="1982" t="s">
        <v>1997</v>
      </c>
      <c r="C259" s="1982"/>
      <c r="D259" s="1982"/>
      <c r="E259" s="1982"/>
      <c r="F259" s="1982"/>
      <c r="G259" s="1982"/>
      <c r="H259" s="1982"/>
      <c r="I259" s="1982"/>
      <c r="J259" s="1219"/>
      <c r="K259" s="1525"/>
      <c r="L259" s="1526"/>
      <c r="M259" s="1527"/>
    </row>
    <row r="260" spans="1:13" s="1233" customFormat="1" ht="18.75" hidden="1" customHeight="1">
      <c r="A260" s="1232"/>
      <c r="B260" s="1472"/>
      <c r="C260" s="1225">
        <v>1</v>
      </c>
      <c r="D260" s="1225" t="s">
        <v>672</v>
      </c>
      <c r="E260" s="1225">
        <v>1</v>
      </c>
      <c r="F260" s="1228">
        <v>40</v>
      </c>
      <c r="G260" s="1228"/>
      <c r="H260" s="1228"/>
      <c r="I260" s="1230">
        <v>0</v>
      </c>
      <c r="J260" s="1223" t="s">
        <v>1639</v>
      </c>
      <c r="K260" s="1524">
        <f>[125]Electrical!K50</f>
        <v>235</v>
      </c>
      <c r="L260" s="1221" t="s">
        <v>692</v>
      </c>
      <c r="M260" s="1395">
        <f>ROUND(I260*K260,0)</f>
        <v>0</v>
      </c>
    </row>
    <row r="261" spans="1:13" s="716" customFormat="1" ht="15.5">
      <c r="A261" s="1241"/>
      <c r="B261" s="1474"/>
      <c r="C261" s="1241"/>
      <c r="D261" s="1241"/>
      <c r="E261" s="1241"/>
      <c r="F261" s="1251"/>
      <c r="G261" s="1251"/>
      <c r="H261" s="1251"/>
      <c r="I261" s="1246"/>
      <c r="J261" s="1134"/>
      <c r="K261" s="1251"/>
      <c r="L261" s="1251"/>
      <c r="M261" s="1397">
        <f>SUM(M30:M260)</f>
        <v>1555963</v>
      </c>
    </row>
    <row r="262" spans="1:13" s="716" customFormat="1" ht="15.5">
      <c r="A262" s="1241"/>
      <c r="B262" s="1474"/>
      <c r="C262" s="1241"/>
      <c r="D262" s="1241"/>
      <c r="E262" s="1241"/>
      <c r="F262" s="1251"/>
      <c r="G262" s="1251"/>
      <c r="H262" s="1251"/>
      <c r="I262" s="1246"/>
      <c r="J262" s="1134"/>
      <c r="K262" s="1251"/>
      <c r="L262" s="1251"/>
      <c r="M262" s="1397"/>
    </row>
    <row r="263" spans="1:13" s="716" customFormat="1" ht="15.5">
      <c r="A263" s="1241"/>
      <c r="B263" s="1474"/>
      <c r="C263" s="1241"/>
      <c r="D263" s="1241"/>
      <c r="E263" s="1241"/>
      <c r="F263" s="1251"/>
      <c r="G263" s="1251"/>
      <c r="H263" s="1251"/>
      <c r="I263" s="1246"/>
      <c r="J263" s="1134"/>
      <c r="K263" s="1251"/>
      <c r="L263" s="1251"/>
      <c r="M263" s="1392"/>
    </row>
    <row r="264" spans="1:13" s="716" customFormat="1" ht="15.5">
      <c r="A264" s="1241">
        <v>77</v>
      </c>
      <c r="B264" s="1474" t="s">
        <v>1892</v>
      </c>
      <c r="C264" s="1241"/>
      <c r="D264" s="1241"/>
      <c r="E264" s="1241"/>
      <c r="F264" s="1251"/>
      <c r="G264" s="1251"/>
      <c r="H264" s="1251"/>
      <c r="I264" s="1246"/>
      <c r="J264" s="1134"/>
      <c r="K264" s="1251"/>
      <c r="L264" s="1251"/>
      <c r="M264" s="1392" t="e">
        <f>SUM(M266-#REF!-#REF!-M261)</f>
        <v>#REF!</v>
      </c>
    </row>
    <row r="265" spans="1:13" s="716" customFormat="1" ht="14">
      <c r="A265" s="1241"/>
      <c r="B265" s="1474"/>
      <c r="C265" s="1241"/>
      <c r="D265" s="1241"/>
      <c r="E265" s="1241"/>
      <c r="F265" s="1251"/>
      <c r="G265" s="1251"/>
      <c r="H265" s="1251"/>
      <c r="I265" s="1246"/>
      <c r="J265" s="1134"/>
      <c r="K265" s="1251"/>
      <c r="L265" s="1251"/>
      <c r="M265" s="1380"/>
    </row>
    <row r="266" spans="1:13" s="716" customFormat="1" ht="18">
      <c r="A266" s="1241"/>
      <c r="B266" s="1474"/>
      <c r="C266" s="1241"/>
      <c r="D266" s="1241"/>
      <c r="E266" s="1241"/>
      <c r="F266" s="1251"/>
      <c r="G266" s="1251"/>
      <c r="H266" s="1251"/>
      <c r="I266" s="1246"/>
      <c r="J266" s="1134"/>
      <c r="K266" s="1251"/>
      <c r="L266" s="1251"/>
      <c r="M266" s="1431">
        <v>4000000</v>
      </c>
    </row>
    <row r="267" spans="1:13" s="716" customFormat="1" ht="14">
      <c r="A267" s="1381"/>
      <c r="B267" s="1382"/>
      <c r="C267" s="1381"/>
      <c r="D267" s="1381"/>
      <c r="E267" s="1381"/>
      <c r="F267" s="1383"/>
      <c r="G267" s="1383"/>
      <c r="H267" s="1383"/>
      <c r="I267" s="1528"/>
      <c r="J267" s="1529"/>
      <c r="K267" s="1383"/>
      <c r="L267" s="1383"/>
      <c r="M267" s="1530"/>
    </row>
    <row r="268" spans="1:13" s="716" customFormat="1" ht="14">
      <c r="A268" s="1381"/>
      <c r="B268" s="1382"/>
      <c r="C268" s="1381"/>
      <c r="D268" s="1381"/>
      <c r="E268" s="1381"/>
      <c r="F268" s="1383"/>
      <c r="G268" s="1383"/>
      <c r="H268" s="1383"/>
      <c r="I268" s="1528"/>
      <c r="J268" s="1529"/>
      <c r="K268" s="1383"/>
      <c r="L268" s="1383"/>
      <c r="M268" s="1530"/>
    </row>
    <row r="270" spans="1:13">
      <c r="H270" s="1817" t="str">
        <f>'Specification (3)'!E35</f>
        <v>Dy.Exe.Engineer</v>
      </c>
      <c r="K270" s="1818" t="str">
        <f>'Specification (3)'!H35</f>
        <v>Asst. Exe Engineer</v>
      </c>
    </row>
    <row r="271" spans="1:13">
      <c r="H271" s="1817" t="str">
        <f>'Specification (3)'!E36</f>
        <v>PRI, Baireddipalle</v>
      </c>
      <c r="K271" s="1818" t="str">
        <f>'Specification (3)'!H36</f>
        <v>MPP, Baireddipalle</v>
      </c>
    </row>
  </sheetData>
  <mergeCells count="74">
    <mergeCell ref="A4:A5"/>
    <mergeCell ref="B4:B5"/>
    <mergeCell ref="C4:H4"/>
    <mergeCell ref="I4:J5"/>
    <mergeCell ref="K4:K5"/>
    <mergeCell ref="A1:M1"/>
    <mergeCell ref="A2:M2"/>
    <mergeCell ref="A3:F3"/>
    <mergeCell ref="G3:J3"/>
    <mergeCell ref="K3:M3"/>
    <mergeCell ref="B78:I78"/>
    <mergeCell ref="L4:L5"/>
    <mergeCell ref="M4:M5"/>
    <mergeCell ref="C5:E5"/>
    <mergeCell ref="C6:E6"/>
    <mergeCell ref="I6:J6"/>
    <mergeCell ref="B21:I21"/>
    <mergeCell ref="B18:I18"/>
    <mergeCell ref="B7:I7"/>
    <mergeCell ref="B24:H24"/>
    <mergeCell ref="B31:I31"/>
    <mergeCell ref="B35:I35"/>
    <mergeCell ref="B50:H50"/>
    <mergeCell ref="B70:I70"/>
    <mergeCell ref="B122:I122"/>
    <mergeCell ref="B87:I87"/>
    <mergeCell ref="B88:F88"/>
    <mergeCell ref="B94:I94"/>
    <mergeCell ref="B101:I101"/>
    <mergeCell ref="B105:H105"/>
    <mergeCell ref="B106:H106"/>
    <mergeCell ref="B107:H107"/>
    <mergeCell ref="B109:I109"/>
    <mergeCell ref="B112:I112"/>
    <mergeCell ref="B116:I116"/>
    <mergeCell ref="B134:F134"/>
    <mergeCell ref="B138:I138"/>
    <mergeCell ref="B123:H123"/>
    <mergeCell ref="B127:I127"/>
    <mergeCell ref="B128:G128"/>
    <mergeCell ref="B133:I133"/>
    <mergeCell ref="B179:I179"/>
    <mergeCell ref="B187:I187"/>
    <mergeCell ref="B142:H142"/>
    <mergeCell ref="B155:I155"/>
    <mergeCell ref="B158:I158"/>
    <mergeCell ref="B162:I162"/>
    <mergeCell ref="B169:I169"/>
    <mergeCell ref="B181:I181"/>
    <mergeCell ref="B183:I183"/>
    <mergeCell ref="B185:I185"/>
    <mergeCell ref="B193:I193"/>
    <mergeCell ref="B197:I197"/>
    <mergeCell ref="B225:I225"/>
    <mergeCell ref="B201:H201"/>
    <mergeCell ref="B206:I206"/>
    <mergeCell ref="B214:I214"/>
    <mergeCell ref="B221:I221"/>
    <mergeCell ref="B238:I238"/>
    <mergeCell ref="B240:I240"/>
    <mergeCell ref="B242:I242"/>
    <mergeCell ref="B244:I244"/>
    <mergeCell ref="B246:I246"/>
    <mergeCell ref="B256:I256"/>
    <mergeCell ref="B259:I259"/>
    <mergeCell ref="B248:I248"/>
    <mergeCell ref="B250:I250"/>
    <mergeCell ref="B252:I252"/>
    <mergeCell ref="B254:I254"/>
    <mergeCell ref="B228:I228"/>
    <mergeCell ref="B230:I230"/>
    <mergeCell ref="B232:I232"/>
    <mergeCell ref="B234:I234"/>
    <mergeCell ref="B236:I236"/>
  </mergeCells>
  <printOptions horizontalCentered="1"/>
  <pageMargins left="0.25" right="0.222440945" top="0.36" bottom="0.36" header="0.31496062992126" footer="0.31496062992126"/>
  <pageSetup paperSize="9" scale="99" orientation="portrait" r:id="rId1"/>
</worksheet>
</file>

<file path=xl/worksheets/sheet7.xml><?xml version="1.0" encoding="utf-8"?>
<worksheet xmlns="http://schemas.openxmlformats.org/spreadsheetml/2006/main" xmlns:r="http://schemas.openxmlformats.org/officeDocument/2006/relationships">
  <dimension ref="A1:Q154"/>
  <sheetViews>
    <sheetView topLeftCell="A138" workbookViewId="0">
      <selection activeCell="A146" sqref="A146:XFD148"/>
    </sheetView>
  </sheetViews>
  <sheetFormatPr defaultColWidth="9.1796875" defaultRowHeight="12.5"/>
  <cols>
    <col min="1" max="1" width="4.1796875" style="717" customWidth="1"/>
    <col min="2" max="2" width="22.1796875" style="713" customWidth="1"/>
    <col min="3" max="3" width="3.26953125" style="718" customWidth="1"/>
    <col min="4" max="4" width="2.26953125" style="718" customWidth="1"/>
    <col min="5" max="5" width="4" style="718" customWidth="1"/>
    <col min="6" max="6" width="8.453125" style="717" bestFit="1" customWidth="1"/>
    <col min="7" max="7" width="7.26953125" style="717" customWidth="1"/>
    <col min="8" max="8" width="8" style="717" customWidth="1"/>
    <col min="9" max="9" width="8.1796875" style="719" customWidth="1"/>
    <col min="10" max="10" width="5.453125" style="720" bestFit="1" customWidth="1"/>
    <col min="11" max="11" width="9.7265625" style="717" bestFit="1" customWidth="1"/>
    <col min="12" max="12" width="6.453125" style="717" customWidth="1"/>
    <col min="13" max="13" width="11" style="721" customWidth="1"/>
    <col min="14" max="15" width="9.1796875" style="713"/>
    <col min="16" max="16" width="9.54296875" style="713" bestFit="1" customWidth="1"/>
    <col min="17" max="16384" width="9.1796875" style="713"/>
  </cols>
  <sheetData>
    <row r="1" spans="1:13" ht="18">
      <c r="A1" s="1999" t="s">
        <v>1600</v>
      </c>
      <c r="B1" s="1999"/>
      <c r="C1" s="1999"/>
      <c r="D1" s="1999"/>
      <c r="E1" s="1999"/>
      <c r="F1" s="1999"/>
      <c r="G1" s="1999"/>
      <c r="H1" s="1999"/>
      <c r="I1" s="1999"/>
      <c r="J1" s="1999"/>
      <c r="K1" s="1999"/>
      <c r="L1" s="1999"/>
      <c r="M1" s="1999"/>
    </row>
    <row r="2" spans="1:13" ht="15.5">
      <c r="A2" s="2000" t="str">
        <f>'Lead statement (2)'!A2:J2</f>
        <v>Name of work :: Construction of Function Hall at Kadapanatham Of Baireddipalle Mandal</v>
      </c>
      <c r="B2" s="2001"/>
      <c r="C2" s="2001"/>
      <c r="D2" s="2001"/>
      <c r="E2" s="2001"/>
      <c r="F2" s="2001"/>
      <c r="G2" s="2001"/>
      <c r="H2" s="2001"/>
      <c r="I2" s="2001"/>
      <c r="J2" s="2001"/>
      <c r="K2" s="2001"/>
      <c r="L2" s="2001"/>
      <c r="M2" s="2001"/>
    </row>
    <row r="3" spans="1:13" s="717" customFormat="1" ht="15.5">
      <c r="A3" s="2002" t="s">
        <v>1980</v>
      </c>
      <c r="B3" s="2002"/>
      <c r="C3" s="2002"/>
      <c r="D3" s="2002"/>
      <c r="E3" s="2002"/>
      <c r="F3" s="2002"/>
      <c r="G3" s="2003"/>
      <c r="H3" s="2003"/>
      <c r="I3" s="2003"/>
      <c r="J3" s="2003"/>
      <c r="K3" s="2004" t="s">
        <v>2063</v>
      </c>
      <c r="L3" s="2005"/>
      <c r="M3" s="2006"/>
    </row>
    <row r="4" spans="1:13" s="714" customFormat="1" ht="14">
      <c r="A4" s="1993" t="s">
        <v>1601</v>
      </c>
      <c r="B4" s="1993" t="s">
        <v>1602</v>
      </c>
      <c r="C4" s="1993" t="s">
        <v>668</v>
      </c>
      <c r="D4" s="1993"/>
      <c r="E4" s="1993"/>
      <c r="F4" s="1993"/>
      <c r="G4" s="1993"/>
      <c r="H4" s="1993"/>
      <c r="I4" s="1993" t="s">
        <v>235</v>
      </c>
      <c r="J4" s="1993"/>
      <c r="K4" s="1993" t="s">
        <v>149</v>
      </c>
      <c r="L4" s="1993" t="s">
        <v>150</v>
      </c>
      <c r="M4" s="1994" t="s">
        <v>302</v>
      </c>
    </row>
    <row r="5" spans="1:13" s="714" customFormat="1" ht="14">
      <c r="A5" s="1993"/>
      <c r="B5" s="1993"/>
      <c r="C5" s="1993" t="s">
        <v>1603</v>
      </c>
      <c r="D5" s="1993"/>
      <c r="E5" s="1993"/>
      <c r="F5" s="1942" t="s">
        <v>429</v>
      </c>
      <c r="G5" s="1942" t="s">
        <v>145</v>
      </c>
      <c r="H5" s="1942" t="s">
        <v>498</v>
      </c>
      <c r="I5" s="1993"/>
      <c r="J5" s="1993"/>
      <c r="K5" s="1993"/>
      <c r="L5" s="1993"/>
      <c r="M5" s="1994"/>
    </row>
    <row r="6" spans="1:13" s="716" customFormat="1" ht="14">
      <c r="A6" s="1945">
        <v>1</v>
      </c>
      <c r="B6" s="1945">
        <v>2</v>
      </c>
      <c r="C6" s="1995">
        <v>3</v>
      </c>
      <c r="D6" s="1995"/>
      <c r="E6" s="1995"/>
      <c r="F6" s="1945">
        <v>4</v>
      </c>
      <c r="G6" s="1945">
        <v>5</v>
      </c>
      <c r="H6" s="1945">
        <v>6</v>
      </c>
      <c r="I6" s="1995">
        <v>7</v>
      </c>
      <c r="J6" s="1995"/>
      <c r="K6" s="1945">
        <v>8</v>
      </c>
      <c r="L6" s="1945">
        <v>9</v>
      </c>
      <c r="M6" s="715">
        <v>10</v>
      </c>
    </row>
    <row r="7" spans="1:13" s="716" customFormat="1" ht="68" customHeight="1">
      <c r="A7" s="1237">
        <v>1</v>
      </c>
      <c r="B7" s="1996" t="s">
        <v>323</v>
      </c>
      <c r="C7" s="1997"/>
      <c r="D7" s="1997"/>
      <c r="E7" s="1997"/>
      <c r="F7" s="1997"/>
      <c r="G7" s="1997"/>
      <c r="H7" s="1997"/>
      <c r="I7" s="1998"/>
      <c r="J7" s="1238"/>
      <c r="K7" s="1239"/>
      <c r="L7" s="1239"/>
      <c r="M7" s="1240"/>
    </row>
    <row r="8" spans="1:13" s="716" customFormat="1" ht="14">
      <c r="A8" s="1241"/>
      <c r="B8" s="1988" t="s">
        <v>2196</v>
      </c>
      <c r="C8" s="1988"/>
      <c r="D8" s="1988"/>
      <c r="E8" s="1988"/>
      <c r="F8" s="1988"/>
      <c r="G8" s="1988"/>
      <c r="H8" s="1988"/>
      <c r="I8" s="1246"/>
      <c r="J8" s="1134"/>
      <c r="K8" s="1247"/>
      <c r="L8" s="1247"/>
      <c r="M8" s="1379"/>
    </row>
    <row r="9" spans="1:13" s="716" customFormat="1" ht="14">
      <c r="A9" s="1241"/>
      <c r="B9" s="1946" t="s">
        <v>1608</v>
      </c>
      <c r="C9" s="1243">
        <v>1</v>
      </c>
      <c r="D9" s="1243" t="s">
        <v>672</v>
      </c>
      <c r="E9" s="1243">
        <v>2</v>
      </c>
      <c r="F9" s="1244">
        <v>3.1</v>
      </c>
      <c r="G9" s="1244">
        <v>0.6</v>
      </c>
      <c r="H9" s="1244">
        <v>1.2</v>
      </c>
      <c r="I9" s="1138">
        <f>ROUND(C9*E9*F9*G9*H9,2)</f>
        <v>4.46</v>
      </c>
      <c r="J9" s="1133"/>
      <c r="K9" s="1245"/>
      <c r="L9" s="1245"/>
      <c r="M9" s="1379"/>
    </row>
    <row r="10" spans="1:13" s="716" customFormat="1" ht="14">
      <c r="A10" s="1241"/>
      <c r="B10" s="1946" t="s">
        <v>1609</v>
      </c>
      <c r="C10" s="1243">
        <v>1</v>
      </c>
      <c r="D10" s="1243" t="s">
        <v>672</v>
      </c>
      <c r="E10" s="1243">
        <v>3</v>
      </c>
      <c r="F10" s="1244">
        <v>1.5</v>
      </c>
      <c r="G10" s="1244">
        <v>0.6</v>
      </c>
      <c r="H10" s="1244">
        <v>1.2</v>
      </c>
      <c r="I10" s="1138">
        <f>ROUND(C10*E10*F10*G10*H10,2)</f>
        <v>3.24</v>
      </c>
      <c r="J10" s="1133"/>
      <c r="K10" s="1245"/>
      <c r="L10" s="1245"/>
      <c r="M10" s="1379"/>
    </row>
    <row r="11" spans="1:13" s="716" customFormat="1" ht="15.5">
      <c r="A11" s="1241"/>
      <c r="B11" s="1944"/>
      <c r="C11" s="1241"/>
      <c r="D11" s="1241"/>
      <c r="E11" s="1241"/>
      <c r="F11" s="1251"/>
      <c r="G11" s="1251"/>
      <c r="H11" s="1251"/>
      <c r="I11" s="1140">
        <f>SUM(I8:I10)</f>
        <v>7.7</v>
      </c>
      <c r="J11" s="1135" t="s">
        <v>117</v>
      </c>
      <c r="K11" s="1252">
        <f>'Data  (2)'!G52</f>
        <v>211</v>
      </c>
      <c r="L11" s="1252" t="s">
        <v>143</v>
      </c>
      <c r="M11" s="1392">
        <f>ROUND(I11*K11,0)</f>
        <v>1625</v>
      </c>
    </row>
    <row r="12" spans="1:13" s="716" customFormat="1" ht="32.5" customHeight="1">
      <c r="A12" s="1241">
        <v>2</v>
      </c>
      <c r="B12" s="1986" t="str">
        <f>'Data  (2)'!C83:C83</f>
        <v>Filling in foundation with Sand  trenches as per drawing and technical specification Clause 305.3.9 MORD &amp; 304 MORTH</v>
      </c>
      <c r="C12" s="1986"/>
      <c r="D12" s="1986"/>
      <c r="E12" s="1986"/>
      <c r="F12" s="1986"/>
      <c r="G12" s="1986"/>
      <c r="H12" s="1986"/>
      <c r="I12" s="1986"/>
      <c r="J12" s="1136"/>
      <c r="K12" s="1245"/>
      <c r="L12" s="1245"/>
      <c r="M12" s="1392"/>
    </row>
    <row r="13" spans="1:13" s="716" customFormat="1" ht="14">
      <c r="A13" s="1241"/>
      <c r="B13" s="1988" t="s">
        <v>2196</v>
      </c>
      <c r="C13" s="1988"/>
      <c r="D13" s="1988"/>
      <c r="E13" s="1988"/>
      <c r="F13" s="1988"/>
      <c r="G13" s="1988"/>
      <c r="H13" s="1988"/>
      <c r="I13" s="1246"/>
      <c r="J13" s="1134"/>
      <c r="K13" s="1247"/>
      <c r="L13" s="1247"/>
      <c r="M13" s="1379"/>
    </row>
    <row r="14" spans="1:13" s="716" customFormat="1" ht="14">
      <c r="A14" s="1241"/>
      <c r="B14" s="1946" t="s">
        <v>1608</v>
      </c>
      <c r="C14" s="1243">
        <v>1</v>
      </c>
      <c r="D14" s="1243" t="s">
        <v>672</v>
      </c>
      <c r="E14" s="1243">
        <v>2</v>
      </c>
      <c r="F14" s="1244">
        <v>3.1</v>
      </c>
      <c r="G14" s="1244">
        <v>0.6</v>
      </c>
      <c r="H14" s="1244">
        <v>0.15</v>
      </c>
      <c r="I14" s="1138">
        <f>ROUND(C14*E14*F14*G14*H14,2)</f>
        <v>0.56000000000000005</v>
      </c>
      <c r="J14" s="1133"/>
      <c r="K14" s="1245"/>
      <c r="L14" s="1245"/>
      <c r="M14" s="1379"/>
    </row>
    <row r="15" spans="1:13" s="716" customFormat="1" ht="14">
      <c r="A15" s="1241"/>
      <c r="B15" s="1946" t="s">
        <v>1609</v>
      </c>
      <c r="C15" s="1243">
        <v>1</v>
      </c>
      <c r="D15" s="1243" t="s">
        <v>672</v>
      </c>
      <c r="E15" s="1243">
        <v>3</v>
      </c>
      <c r="F15" s="1244">
        <v>1.5</v>
      </c>
      <c r="G15" s="1244">
        <v>0.6</v>
      </c>
      <c r="H15" s="1244">
        <v>0.15</v>
      </c>
      <c r="I15" s="1138">
        <f>ROUND(C15*E15*F15*G15*H15,2)</f>
        <v>0.41</v>
      </c>
      <c r="J15" s="1133"/>
      <c r="K15" s="1245"/>
      <c r="L15" s="1245"/>
      <c r="M15" s="1379"/>
    </row>
    <row r="16" spans="1:13" s="716" customFormat="1" ht="15.5">
      <c r="A16" s="1241"/>
      <c r="B16" s="1242"/>
      <c r="C16" s="1243"/>
      <c r="D16" s="1243"/>
      <c r="E16" s="1243"/>
      <c r="F16" s="1250"/>
      <c r="G16" s="1250"/>
      <c r="H16" s="1244"/>
      <c r="I16" s="1256">
        <f>SUM(I14:I15)</f>
        <v>0.97</v>
      </c>
      <c r="J16" s="1137" t="s">
        <v>181</v>
      </c>
      <c r="K16" s="1252">
        <f>'Data  (2)'!G94</f>
        <v>820.3</v>
      </c>
      <c r="L16" s="1252" t="s">
        <v>143</v>
      </c>
      <c r="M16" s="1392">
        <f>ROUND(I16*K16,0)</f>
        <v>796</v>
      </c>
    </row>
    <row r="17" spans="1:13" s="716" customFormat="1" ht="60.5" customHeight="1">
      <c r="A17" s="1241">
        <v>3</v>
      </c>
      <c r="B17" s="1986" t="s">
        <v>1611</v>
      </c>
      <c r="C17" s="1986"/>
      <c r="D17" s="1986"/>
      <c r="E17" s="1986"/>
      <c r="F17" s="1986"/>
      <c r="G17" s="1986"/>
      <c r="H17" s="1986"/>
      <c r="I17" s="1986"/>
      <c r="J17" s="1136"/>
      <c r="K17" s="1245"/>
      <c r="L17" s="1245"/>
      <c r="M17" s="1392"/>
    </row>
    <row r="18" spans="1:13" s="716" customFormat="1" ht="15.5">
      <c r="A18" s="1241"/>
      <c r="B18" s="1253" t="s">
        <v>2196</v>
      </c>
      <c r="C18" s="1253"/>
      <c r="D18" s="1253"/>
      <c r="E18" s="1253"/>
      <c r="F18" s="1253"/>
      <c r="G18" s="1253"/>
      <c r="H18" s="1253"/>
      <c r="I18" s="1246"/>
      <c r="J18" s="1134"/>
      <c r="K18" s="1247"/>
      <c r="L18" s="1247"/>
      <c r="M18" s="1392"/>
    </row>
    <row r="19" spans="1:13" s="716" customFormat="1" ht="15.5">
      <c r="A19" s="1241"/>
      <c r="B19" s="1944" t="s">
        <v>1608</v>
      </c>
      <c r="C19" s="1243">
        <v>1</v>
      </c>
      <c r="D19" s="1243" t="s">
        <v>672</v>
      </c>
      <c r="E19" s="1243">
        <v>2</v>
      </c>
      <c r="F19" s="1250">
        <v>3.1</v>
      </c>
      <c r="G19" s="1244">
        <v>0.45</v>
      </c>
      <c r="H19" s="1244">
        <v>0.15</v>
      </c>
      <c r="I19" s="1138">
        <f>ROUND(C19*E19*F19*G19*H19,2)</f>
        <v>0.42</v>
      </c>
      <c r="J19" s="1133"/>
      <c r="K19" s="1245"/>
      <c r="L19" s="1245"/>
      <c r="M19" s="1392"/>
    </row>
    <row r="20" spans="1:13" s="716" customFormat="1" ht="15.5">
      <c r="A20" s="1241"/>
      <c r="B20" s="1944" t="s">
        <v>1609</v>
      </c>
      <c r="C20" s="1243">
        <v>1</v>
      </c>
      <c r="D20" s="1243" t="s">
        <v>672</v>
      </c>
      <c r="E20" s="1243">
        <v>3</v>
      </c>
      <c r="F20" s="1250">
        <v>1.5</v>
      </c>
      <c r="G20" s="1244">
        <v>0.45</v>
      </c>
      <c r="H20" s="1244">
        <v>0.15</v>
      </c>
      <c r="I20" s="1138">
        <f>ROUND(C20*E20*F20*G20*H20,2)</f>
        <v>0.3</v>
      </c>
      <c r="J20" s="1133"/>
      <c r="K20" s="1245"/>
      <c r="L20" s="1245"/>
      <c r="M20" s="1392"/>
    </row>
    <row r="21" spans="1:13" s="716" customFormat="1" ht="15.5">
      <c r="A21" s="1241"/>
      <c r="B21" s="1253" t="s">
        <v>1614</v>
      </c>
      <c r="C21" s="1253"/>
      <c r="D21" s="1253"/>
      <c r="E21" s="1253"/>
      <c r="F21" s="1253"/>
      <c r="G21" s="1253"/>
      <c r="H21" s="1244"/>
      <c r="I21" s="1246"/>
      <c r="J21" s="1134"/>
      <c r="K21" s="1247"/>
      <c r="L21" s="1247"/>
      <c r="M21" s="1392"/>
    </row>
    <row r="22" spans="1:13" s="716" customFormat="1" ht="15.5">
      <c r="A22" s="1241"/>
      <c r="B22" s="1255" t="s">
        <v>1619</v>
      </c>
      <c r="C22" s="1243">
        <v>1</v>
      </c>
      <c r="D22" s="1243" t="s">
        <v>672</v>
      </c>
      <c r="E22" s="1243">
        <v>2</v>
      </c>
      <c r="F22" s="1244">
        <v>1.5</v>
      </c>
      <c r="G22" s="1244">
        <v>1.2</v>
      </c>
      <c r="H22" s="1244">
        <v>0.1</v>
      </c>
      <c r="I22" s="1138">
        <f t="shared" ref="I22" si="0">ROUND(C22*E22*F22*G22*H22,2)</f>
        <v>0.36</v>
      </c>
      <c r="J22" s="1133"/>
      <c r="K22" s="1245"/>
      <c r="L22" s="1245"/>
      <c r="M22" s="1392"/>
    </row>
    <row r="23" spans="1:13" s="716" customFormat="1" ht="15.5">
      <c r="A23" s="1241"/>
      <c r="B23" s="1242"/>
      <c r="C23" s="1243"/>
      <c r="D23" s="1243"/>
      <c r="E23" s="1243"/>
      <c r="F23" s="1250"/>
      <c r="G23" s="1250"/>
      <c r="H23" s="1244"/>
      <c r="I23" s="1256">
        <f>SUM(I18:I22)</f>
        <v>1.08</v>
      </c>
      <c r="J23" s="1137" t="s">
        <v>181</v>
      </c>
      <c r="K23" s="1252">
        <f>'Data  (2)'!G241</f>
        <v>3876.89</v>
      </c>
      <c r="L23" s="1252" t="s">
        <v>143</v>
      </c>
      <c r="M23" s="1392">
        <f>ROUND(I23*K23,0)</f>
        <v>4187</v>
      </c>
    </row>
    <row r="24" spans="1:13" s="716" customFormat="1" ht="60.5" customHeight="1">
      <c r="A24" s="1241">
        <v>4</v>
      </c>
      <c r="B24" s="1986" t="s">
        <v>1731</v>
      </c>
      <c r="C24" s="1986"/>
      <c r="D24" s="1986"/>
      <c r="E24" s="1986"/>
      <c r="F24" s="1986"/>
      <c r="G24" s="1986"/>
      <c r="H24" s="1986"/>
      <c r="I24" s="1986"/>
      <c r="J24" s="1136"/>
      <c r="K24" s="1245"/>
      <c r="L24" s="1245"/>
      <c r="M24" s="1392"/>
    </row>
    <row r="25" spans="1:13" s="716" customFormat="1" ht="15.5">
      <c r="A25" s="1241"/>
      <c r="B25" s="1253" t="s">
        <v>2196</v>
      </c>
      <c r="C25" s="1253"/>
      <c r="D25" s="1253"/>
      <c r="E25" s="1253"/>
      <c r="F25" s="1253"/>
      <c r="G25" s="1253"/>
      <c r="H25" s="1253"/>
      <c r="I25" s="1246"/>
      <c r="J25" s="1134"/>
      <c r="K25" s="1247"/>
      <c r="L25" s="1247"/>
      <c r="M25" s="1392"/>
    </row>
    <row r="26" spans="1:13" s="716" customFormat="1" ht="15.5">
      <c r="A26" s="1241"/>
      <c r="B26" s="1944" t="s">
        <v>1608</v>
      </c>
      <c r="C26" s="1243">
        <v>1</v>
      </c>
      <c r="D26" s="1243" t="s">
        <v>672</v>
      </c>
      <c r="E26" s="1243">
        <v>2</v>
      </c>
      <c r="F26" s="1250">
        <v>3.1</v>
      </c>
      <c r="G26" s="1244">
        <v>0.45</v>
      </c>
      <c r="H26" s="1244">
        <v>1.2</v>
      </c>
      <c r="I26" s="1138">
        <f>ROUND(C26*E26*F26*G26*H26,2)</f>
        <v>3.35</v>
      </c>
      <c r="J26" s="1133"/>
      <c r="K26" s="1245"/>
      <c r="L26" s="1245"/>
      <c r="M26" s="1392"/>
    </row>
    <row r="27" spans="1:13" s="716" customFormat="1" ht="15.5">
      <c r="A27" s="1241"/>
      <c r="B27" s="1944" t="s">
        <v>1609</v>
      </c>
      <c r="C27" s="1243">
        <v>1</v>
      </c>
      <c r="D27" s="1243" t="s">
        <v>672</v>
      </c>
      <c r="E27" s="1243">
        <v>2</v>
      </c>
      <c r="F27" s="1250">
        <v>1.5</v>
      </c>
      <c r="G27" s="1244">
        <v>0.45</v>
      </c>
      <c r="H27" s="1244">
        <v>1.2</v>
      </c>
      <c r="I27" s="1138">
        <f>ROUND(C27*E27*F27*G27*H27,2)</f>
        <v>1.62</v>
      </c>
      <c r="J27" s="1133"/>
      <c r="K27" s="1245"/>
      <c r="L27" s="1245"/>
      <c r="M27" s="1392"/>
    </row>
    <row r="28" spans="1:13" s="716" customFormat="1" ht="15.5">
      <c r="A28" s="1241"/>
      <c r="B28" s="1242"/>
      <c r="C28" s="1243"/>
      <c r="D28" s="1243"/>
      <c r="E28" s="1243"/>
      <c r="F28" s="1250"/>
      <c r="G28" s="1250"/>
      <c r="H28" s="1244"/>
      <c r="I28" s="1256">
        <f>SUM(I26:I27)</f>
        <v>4.9700000000000006</v>
      </c>
      <c r="J28" s="1137" t="s">
        <v>181</v>
      </c>
      <c r="K28" s="1252">
        <f>'Data  (2)'!G229</f>
        <v>3521.0107199999998</v>
      </c>
      <c r="L28" s="1252" t="s">
        <v>143</v>
      </c>
      <c r="M28" s="1392">
        <f>ROUND(I28*K28,0)</f>
        <v>17499</v>
      </c>
    </row>
    <row r="29" spans="1:13" s="716" customFormat="1" ht="121" customHeight="1">
      <c r="A29" s="1241">
        <v>5</v>
      </c>
      <c r="B29" s="1986" t="s">
        <v>1792</v>
      </c>
      <c r="C29" s="1986"/>
      <c r="D29" s="1986"/>
      <c r="E29" s="1986"/>
      <c r="F29" s="1986"/>
      <c r="G29" s="1986"/>
      <c r="H29" s="1986"/>
      <c r="I29" s="1986"/>
      <c r="J29" s="1136"/>
      <c r="K29" s="1245"/>
      <c r="L29" s="1245"/>
      <c r="M29" s="1392"/>
    </row>
    <row r="30" spans="1:13" s="716" customFormat="1" ht="15.5">
      <c r="A30" s="1241"/>
      <c r="B30" s="1254" t="s">
        <v>1622</v>
      </c>
      <c r="C30" s="1241"/>
      <c r="D30" s="1241"/>
      <c r="E30" s="1241"/>
      <c r="F30" s="1251"/>
      <c r="G30" s="1251"/>
      <c r="H30" s="1251"/>
      <c r="I30" s="1246"/>
      <c r="J30" s="1134"/>
      <c r="K30" s="1252"/>
      <c r="L30" s="1252"/>
      <c r="M30" s="1392"/>
    </row>
    <row r="31" spans="1:13" s="716" customFormat="1" ht="15.5">
      <c r="A31" s="1241"/>
      <c r="B31" s="1248" t="str">
        <f>B9</f>
        <v>Long walls</v>
      </c>
      <c r="C31" s="1133">
        <f>C9</f>
        <v>1</v>
      </c>
      <c r="D31" s="1133" t="str">
        <f>D9</f>
        <v>x</v>
      </c>
      <c r="E31" s="1133">
        <f>E9</f>
        <v>2</v>
      </c>
      <c r="F31" s="1250">
        <v>3.1</v>
      </c>
      <c r="G31" s="1244">
        <v>0.23</v>
      </c>
      <c r="H31" s="1244">
        <v>0.3</v>
      </c>
      <c r="I31" s="1138">
        <f>ROUND(C31*E31*F31*G31*H31,2)</f>
        <v>0.43</v>
      </c>
      <c r="J31" s="1133"/>
      <c r="K31" s="1252"/>
      <c r="L31" s="1252"/>
      <c r="M31" s="1392"/>
    </row>
    <row r="32" spans="1:13" s="716" customFormat="1" ht="15.5">
      <c r="A32" s="1241"/>
      <c r="B32" s="1248" t="s">
        <v>1609</v>
      </c>
      <c r="C32" s="1133">
        <v>1</v>
      </c>
      <c r="D32" s="1133" t="s">
        <v>672</v>
      </c>
      <c r="E32" s="1133">
        <v>3</v>
      </c>
      <c r="F32" s="1250">
        <v>1.5</v>
      </c>
      <c r="G32" s="1244">
        <v>0.23</v>
      </c>
      <c r="H32" s="1244">
        <v>0.3</v>
      </c>
      <c r="I32" s="1138">
        <f>ROUND(C32*E32*F32*G32*H32,2)</f>
        <v>0.31</v>
      </c>
      <c r="J32" s="1133"/>
      <c r="K32" s="1252"/>
      <c r="L32" s="1252"/>
      <c r="M32" s="1392"/>
    </row>
    <row r="33" spans="1:13" s="716" customFormat="1" ht="15.5">
      <c r="A33" s="1241"/>
      <c r="B33" s="1944"/>
      <c r="C33" s="1241"/>
      <c r="D33" s="1241"/>
      <c r="E33" s="1241"/>
      <c r="F33" s="1251"/>
      <c r="G33" s="1251"/>
      <c r="H33" s="1251"/>
      <c r="I33" s="1140">
        <f>SUM(I31:I32)</f>
        <v>0.74</v>
      </c>
      <c r="J33" s="1943" t="s">
        <v>117</v>
      </c>
      <c r="K33" s="1252">
        <f>'Data  (2)'!G290</f>
        <v>9281.68</v>
      </c>
      <c r="L33" s="1252" t="s">
        <v>143</v>
      </c>
      <c r="M33" s="1392">
        <f>ROUND(I33*K33,0)</f>
        <v>6868</v>
      </c>
    </row>
    <row r="34" spans="1:13" s="716" customFormat="1" ht="65" customHeight="1">
      <c r="A34" s="1241">
        <v>6</v>
      </c>
      <c r="B34" s="1986" t="s">
        <v>1878</v>
      </c>
      <c r="C34" s="1986"/>
      <c r="D34" s="1986"/>
      <c r="E34" s="1986"/>
      <c r="F34" s="1986"/>
      <c r="G34" s="1986"/>
      <c r="H34" s="1986"/>
      <c r="I34" s="1986"/>
      <c r="J34" s="1138"/>
      <c r="K34" s="1252"/>
      <c r="L34" s="1252"/>
      <c r="M34" s="1392"/>
    </row>
    <row r="35" spans="1:13" s="716" customFormat="1" ht="15.5">
      <c r="A35" s="1241"/>
      <c r="B35" s="1255" t="s">
        <v>2163</v>
      </c>
      <c r="C35" s="1243">
        <v>1</v>
      </c>
      <c r="D35" s="1243" t="s">
        <v>672</v>
      </c>
      <c r="E35" s="1243">
        <v>2</v>
      </c>
      <c r="F35" s="1250">
        <v>1.5</v>
      </c>
      <c r="G35" s="1250">
        <v>1.2</v>
      </c>
      <c r="H35" s="1244">
        <v>0.3</v>
      </c>
      <c r="I35" s="1138">
        <f>ROUND(C35*E35*F35*G35*H35,2)</f>
        <v>1.08</v>
      </c>
      <c r="J35" s="1133"/>
      <c r="K35" s="1252"/>
      <c r="L35" s="1252"/>
      <c r="M35" s="1392"/>
    </row>
    <row r="36" spans="1:13" s="716" customFormat="1" ht="15.5">
      <c r="A36" s="1241"/>
      <c r="B36" s="1254"/>
      <c r="C36" s="1257"/>
      <c r="D36" s="1257"/>
      <c r="E36" s="1257"/>
      <c r="F36" s="1257"/>
      <c r="G36" s="1257"/>
      <c r="H36" s="1257"/>
      <c r="I36" s="1140">
        <f>SUM(I35:I35)</f>
        <v>1.08</v>
      </c>
      <c r="J36" s="1134" t="s">
        <v>117</v>
      </c>
      <c r="K36" s="1252">
        <f>'Data  (2)'!G106</f>
        <v>266.5</v>
      </c>
      <c r="L36" s="1252" t="s">
        <v>143</v>
      </c>
      <c r="M36" s="1392">
        <f>ROUND(I36*K36,0)</f>
        <v>288</v>
      </c>
    </row>
    <row r="37" spans="1:13" s="716" customFormat="1" ht="57" customHeight="1">
      <c r="A37" s="1241">
        <v>7</v>
      </c>
      <c r="B37" s="1986" t="s">
        <v>1689</v>
      </c>
      <c r="C37" s="1986"/>
      <c r="D37" s="1986"/>
      <c r="E37" s="1986"/>
      <c r="F37" s="1986"/>
      <c r="G37" s="1986"/>
      <c r="H37" s="1986"/>
      <c r="I37" s="1986"/>
      <c r="J37" s="1138"/>
      <c r="K37" s="1252"/>
      <c r="L37" s="1252"/>
      <c r="M37" s="1392"/>
    </row>
    <row r="38" spans="1:13" s="716" customFormat="1" ht="15.5">
      <c r="A38" s="1241"/>
      <c r="B38" s="1255" t="s">
        <v>2163</v>
      </c>
      <c r="C38" s="1243">
        <v>1</v>
      </c>
      <c r="D38" s="1243" t="s">
        <v>672</v>
      </c>
      <c r="E38" s="1243">
        <v>2</v>
      </c>
      <c r="F38" s="1250">
        <v>1.5</v>
      </c>
      <c r="G38" s="1250">
        <v>1.2</v>
      </c>
      <c r="H38" s="1244">
        <v>0.3</v>
      </c>
      <c r="I38" s="1138">
        <f>ROUND(C38*E38*F38*G38*H38,2)</f>
        <v>1.08</v>
      </c>
      <c r="J38" s="1133"/>
      <c r="K38" s="1252"/>
      <c r="L38" s="1252"/>
      <c r="M38" s="1392"/>
    </row>
    <row r="39" spans="1:13" s="716" customFormat="1" ht="15.5">
      <c r="A39" s="1241"/>
      <c r="B39" s="1254"/>
      <c r="C39" s="1257"/>
      <c r="D39" s="1257"/>
      <c r="E39" s="1257"/>
      <c r="F39" s="1257"/>
      <c r="G39" s="1257"/>
      <c r="H39" s="1257"/>
      <c r="I39" s="1140">
        <f>SUM(I38)</f>
        <v>1.08</v>
      </c>
      <c r="J39" s="1134" t="s">
        <v>117</v>
      </c>
      <c r="K39" s="1252">
        <f>'Data  (2)'!G82</f>
        <v>1143.0999999999999</v>
      </c>
      <c r="L39" s="1252" t="s">
        <v>143</v>
      </c>
      <c r="M39" s="1392">
        <f>ROUND(I39*K39,0)</f>
        <v>1235</v>
      </c>
    </row>
    <row r="40" spans="1:13" s="716" customFormat="1" ht="89.5" customHeight="1">
      <c r="A40" s="1241">
        <v>8</v>
      </c>
      <c r="B40" s="1986" t="s">
        <v>1792</v>
      </c>
      <c r="C40" s="1986"/>
      <c r="D40" s="1986"/>
      <c r="E40" s="1986"/>
      <c r="F40" s="1986"/>
      <c r="G40" s="1986"/>
      <c r="H40" s="1986"/>
      <c r="I40" s="1986"/>
      <c r="J40" s="1134"/>
      <c r="K40" s="1252"/>
      <c r="L40" s="1252"/>
      <c r="M40" s="1392"/>
    </row>
    <row r="41" spans="1:13" s="716" customFormat="1" ht="15.5">
      <c r="A41" s="1241"/>
      <c r="B41" s="1254" t="s">
        <v>1981</v>
      </c>
      <c r="C41" s="1241"/>
      <c r="D41" s="1241"/>
      <c r="E41" s="1241"/>
      <c r="F41" s="1251"/>
      <c r="G41" s="1251"/>
      <c r="H41" s="1251"/>
      <c r="I41" s="1246"/>
      <c r="J41" s="1134"/>
      <c r="K41" s="1252"/>
      <c r="L41" s="1252"/>
      <c r="M41" s="1392"/>
    </row>
    <row r="42" spans="1:13" s="716" customFormat="1" ht="15.5">
      <c r="A42" s="1241"/>
      <c r="B42" s="1248" t="s">
        <v>1629</v>
      </c>
      <c r="C42" s="1243">
        <v>1</v>
      </c>
      <c r="D42" s="1243" t="s">
        <v>672</v>
      </c>
      <c r="E42" s="1243">
        <v>2</v>
      </c>
      <c r="F42" s="1244">
        <v>1.35</v>
      </c>
      <c r="G42" s="1244">
        <v>0.23</v>
      </c>
      <c r="H42" s="1244">
        <v>0.15</v>
      </c>
      <c r="I42" s="1138">
        <f>ROUND(C42*E42*F42*G42*H42,2)</f>
        <v>0.09</v>
      </c>
      <c r="J42" s="1133"/>
      <c r="K42" s="1245"/>
      <c r="L42" s="1245"/>
      <c r="M42" s="1392"/>
    </row>
    <row r="43" spans="1:13" s="716" customFormat="1" ht="15.5">
      <c r="A43" s="1241"/>
      <c r="B43" s="1944"/>
      <c r="C43" s="1241"/>
      <c r="D43" s="1241"/>
      <c r="E43" s="1241"/>
      <c r="F43" s="1251"/>
      <c r="G43" s="1251"/>
      <c r="H43" s="1251"/>
      <c r="I43" s="1140">
        <f>SUM(I42:I42)</f>
        <v>0.09</v>
      </c>
      <c r="J43" s="1135" t="s">
        <v>117</v>
      </c>
      <c r="K43" s="1252">
        <f>'Data  (2)'!F340</f>
        <v>9389.5799999999981</v>
      </c>
      <c r="L43" s="1252" t="s">
        <v>143</v>
      </c>
      <c r="M43" s="1392">
        <f>ROUND(I43*K43,0)</f>
        <v>845</v>
      </c>
    </row>
    <row r="44" spans="1:13" s="716" customFormat="1" ht="129.5" customHeight="1">
      <c r="A44" s="1241">
        <v>9</v>
      </c>
      <c r="B44" s="1986" t="s">
        <v>1883</v>
      </c>
      <c r="C44" s="1986"/>
      <c r="D44" s="1986"/>
      <c r="E44" s="1986"/>
      <c r="F44" s="1986"/>
      <c r="G44" s="1986"/>
      <c r="H44" s="1986"/>
      <c r="I44" s="1986"/>
      <c r="J44" s="1134"/>
      <c r="K44" s="1252"/>
      <c r="L44" s="1252"/>
      <c r="M44" s="1392"/>
    </row>
    <row r="45" spans="1:13" s="716" customFormat="1" ht="15.5">
      <c r="A45" s="1241"/>
      <c r="B45" s="1988" t="s">
        <v>397</v>
      </c>
      <c r="C45" s="1988"/>
      <c r="D45" s="1988"/>
      <c r="E45" s="1988"/>
      <c r="F45" s="1988"/>
      <c r="G45" s="1988"/>
      <c r="H45" s="1251"/>
      <c r="I45" s="1246"/>
      <c r="J45" s="1134"/>
      <c r="K45" s="1252"/>
      <c r="L45" s="1252"/>
      <c r="M45" s="1392"/>
    </row>
    <row r="46" spans="1:13" s="716" customFormat="1" ht="15.5">
      <c r="A46" s="1241"/>
      <c r="B46" s="1946" t="s">
        <v>1608</v>
      </c>
      <c r="C46" s="1133">
        <v>1</v>
      </c>
      <c r="D46" s="1133" t="s">
        <v>672</v>
      </c>
      <c r="E46" s="1133">
        <v>2</v>
      </c>
      <c r="F46" s="1244">
        <v>3.09</v>
      </c>
      <c r="G46" s="1244">
        <v>0.23</v>
      </c>
      <c r="H46" s="1244">
        <v>0.3</v>
      </c>
      <c r="I46" s="1138">
        <f t="shared" ref="I46:I47" si="1">ROUND(C46*E46*F46*G46*H46,2)</f>
        <v>0.43</v>
      </c>
      <c r="J46" s="1133"/>
      <c r="K46" s="1245"/>
      <c r="L46" s="1245"/>
      <c r="M46" s="1392"/>
    </row>
    <row r="47" spans="1:13" s="716" customFormat="1" ht="15.5">
      <c r="A47" s="1241"/>
      <c r="B47" s="1946" t="s">
        <v>1609</v>
      </c>
      <c r="C47" s="1133">
        <v>1</v>
      </c>
      <c r="D47" s="1133" t="s">
        <v>672</v>
      </c>
      <c r="E47" s="1133">
        <v>3</v>
      </c>
      <c r="F47" s="1244">
        <f>1.96-0.46</f>
        <v>1.5</v>
      </c>
      <c r="G47" s="1244">
        <v>0.23</v>
      </c>
      <c r="H47" s="1244">
        <v>0.3</v>
      </c>
      <c r="I47" s="1138">
        <f t="shared" si="1"/>
        <v>0.31</v>
      </c>
      <c r="J47" s="1133"/>
      <c r="K47" s="1245"/>
      <c r="L47" s="1245"/>
      <c r="M47" s="1392"/>
    </row>
    <row r="48" spans="1:13" s="716" customFormat="1" ht="15.5">
      <c r="A48" s="1241"/>
      <c r="B48" s="1944"/>
      <c r="C48" s="1241"/>
      <c r="D48" s="1241"/>
      <c r="E48" s="1241"/>
      <c r="F48" s="1251"/>
      <c r="G48" s="1251"/>
      <c r="H48" s="1251"/>
      <c r="I48" s="1140">
        <f>SUM(I46:I47)</f>
        <v>0.74</v>
      </c>
      <c r="J48" s="1135" t="s">
        <v>117</v>
      </c>
      <c r="K48" s="1252">
        <f>'Data  (2)'!G366</f>
        <v>9264.16</v>
      </c>
      <c r="L48" s="1252" t="s">
        <v>143</v>
      </c>
      <c r="M48" s="1392">
        <f>ROUND(I48*K48,0)</f>
        <v>6855</v>
      </c>
    </row>
    <row r="49" spans="1:13" s="716" customFormat="1" ht="120" customHeight="1">
      <c r="A49" s="1241">
        <v>10</v>
      </c>
      <c r="B49" s="1986" t="s">
        <v>1770</v>
      </c>
      <c r="C49" s="1986"/>
      <c r="D49" s="1986"/>
      <c r="E49" s="1986"/>
      <c r="F49" s="1986"/>
      <c r="G49" s="1986"/>
      <c r="H49" s="1986"/>
      <c r="I49" s="1986"/>
      <c r="J49" s="1134"/>
      <c r="K49" s="1245"/>
      <c r="L49" s="1245"/>
      <c r="M49" s="1392"/>
    </row>
    <row r="50" spans="1:13" s="716" customFormat="1" ht="15.5">
      <c r="A50" s="1241" t="s">
        <v>158</v>
      </c>
      <c r="B50" s="1988" t="s">
        <v>1884</v>
      </c>
      <c r="C50" s="1988"/>
      <c r="D50" s="1988"/>
      <c r="E50" s="1988"/>
      <c r="F50" s="1988"/>
      <c r="G50" s="1251"/>
      <c r="H50" s="1251"/>
      <c r="I50" s="1246"/>
      <c r="J50" s="1134"/>
      <c r="K50" s="1252"/>
      <c r="L50" s="1252"/>
      <c r="M50" s="1392"/>
    </row>
    <row r="51" spans="1:13" s="716" customFormat="1" ht="15.5">
      <c r="A51" s="1241"/>
      <c r="B51" s="1255" t="s">
        <v>1631</v>
      </c>
      <c r="C51" s="1243">
        <v>1</v>
      </c>
      <c r="D51" s="1243" t="s">
        <v>672</v>
      </c>
      <c r="E51" s="1243">
        <v>1</v>
      </c>
      <c r="F51" s="1250">
        <v>3.7</v>
      </c>
      <c r="G51" s="1250">
        <v>2.6</v>
      </c>
      <c r="H51" s="1244"/>
      <c r="I51" s="1138">
        <f>ROUND(C51*E51*F51*G51,2)</f>
        <v>9.6199999999999992</v>
      </c>
      <c r="J51" s="1133"/>
      <c r="K51" s="1245"/>
      <c r="L51" s="1245"/>
      <c r="M51" s="1392"/>
    </row>
    <row r="52" spans="1:13" s="716" customFormat="1" ht="15.5">
      <c r="A52" s="1241"/>
      <c r="B52" s="1944"/>
      <c r="C52" s="1241"/>
      <c r="D52" s="1241"/>
      <c r="E52" s="1241"/>
      <c r="F52" s="1251"/>
      <c r="G52" s="1251"/>
      <c r="H52" s="1251"/>
      <c r="I52" s="1140">
        <f>SUM(I51:I51)</f>
        <v>9.6199999999999992</v>
      </c>
      <c r="J52" s="1133" t="s">
        <v>184</v>
      </c>
      <c r="K52" s="1252">
        <f>'Data  (2)'!G388</f>
        <v>1121.52</v>
      </c>
      <c r="L52" s="1252" t="s">
        <v>536</v>
      </c>
      <c r="M52" s="1392">
        <f>ROUND(I52*K52,0)</f>
        <v>10789</v>
      </c>
    </row>
    <row r="53" spans="1:13" s="716" customFormat="1" ht="15.5">
      <c r="A53" s="1241"/>
      <c r="B53" s="1944"/>
      <c r="C53" s="1241"/>
      <c r="D53" s="1241"/>
      <c r="E53" s="1241"/>
      <c r="F53" s="1251"/>
      <c r="G53" s="1251"/>
      <c r="H53" s="1251"/>
      <c r="I53" s="1140"/>
      <c r="J53" s="1135"/>
      <c r="K53" s="1252"/>
      <c r="L53" s="1252"/>
      <c r="M53" s="1392"/>
    </row>
    <row r="54" spans="1:13" s="716" customFormat="1" ht="87" customHeight="1">
      <c r="A54" s="1241">
        <v>11</v>
      </c>
      <c r="B54" s="1986" t="s">
        <v>1769</v>
      </c>
      <c r="C54" s="1986"/>
      <c r="D54" s="1986"/>
      <c r="E54" s="1986"/>
      <c r="F54" s="1986"/>
      <c r="G54" s="1986"/>
      <c r="H54" s="1986"/>
      <c r="I54" s="1986"/>
      <c r="J54" s="1135"/>
      <c r="K54" s="1252"/>
      <c r="L54" s="1252"/>
      <c r="M54" s="1392"/>
    </row>
    <row r="55" spans="1:13" s="716" customFormat="1" ht="15.5">
      <c r="A55" s="1241"/>
      <c r="B55" s="1254" t="s">
        <v>397</v>
      </c>
      <c r="C55" s="1241"/>
      <c r="D55" s="1241"/>
      <c r="E55" s="1241"/>
      <c r="F55" s="1251"/>
      <c r="G55" s="1251"/>
      <c r="H55" s="1251"/>
      <c r="I55" s="1140"/>
      <c r="J55" s="1135"/>
      <c r="K55" s="1252"/>
      <c r="L55" s="1252"/>
      <c r="M55" s="1392"/>
    </row>
    <row r="56" spans="1:13" s="716" customFormat="1" ht="15.5">
      <c r="A56" s="1241"/>
      <c r="B56" s="1255" t="s">
        <v>2005</v>
      </c>
      <c r="C56" s="1520" t="s">
        <v>1983</v>
      </c>
      <c r="D56" s="1243" t="s">
        <v>672</v>
      </c>
      <c r="E56" s="1243">
        <v>3</v>
      </c>
      <c r="F56" s="1250">
        <v>1.35</v>
      </c>
      <c r="G56" s="1250">
        <v>0.3</v>
      </c>
      <c r="H56" s="1244">
        <v>0.15</v>
      </c>
      <c r="I56" s="1138">
        <f>ROUND(0.5*E56*F56*G56*H56,2)</f>
        <v>0.09</v>
      </c>
      <c r="J56" s="1133"/>
      <c r="K56" s="1518"/>
      <c r="L56" s="1518"/>
      <c r="M56" s="1392"/>
    </row>
    <row r="57" spans="1:13" s="716" customFormat="1" ht="15.5">
      <c r="A57" s="1241"/>
      <c r="B57" s="1944"/>
      <c r="C57" s="1241"/>
      <c r="D57" s="1241"/>
      <c r="E57" s="1241"/>
      <c r="F57" s="1251"/>
      <c r="G57" s="1251"/>
      <c r="H57" s="1261"/>
      <c r="I57" s="1140">
        <f>SUM(I56:I56)</f>
        <v>0.09</v>
      </c>
      <c r="J57" s="1135" t="s">
        <v>181</v>
      </c>
      <c r="K57" s="1252">
        <f>'Data  (2)'!G257</f>
        <v>5094.0599999999995</v>
      </c>
      <c r="L57" s="1252" t="s">
        <v>143</v>
      </c>
      <c r="M57" s="1392">
        <f>ROUND(I57*K57,0)</f>
        <v>458</v>
      </c>
    </row>
    <row r="58" spans="1:13" s="716" customFormat="1" ht="37" customHeight="1">
      <c r="A58" s="1241">
        <v>12</v>
      </c>
      <c r="B58" s="1986" t="s">
        <v>1886</v>
      </c>
      <c r="C58" s="1986"/>
      <c r="D58" s="1986"/>
      <c r="E58" s="1986"/>
      <c r="F58" s="1986"/>
      <c r="G58" s="1986"/>
      <c r="H58" s="1986"/>
      <c r="I58" s="1246"/>
      <c r="J58" s="1134"/>
      <c r="K58" s="1252"/>
      <c r="L58" s="1252"/>
      <c r="M58" s="1392"/>
    </row>
    <row r="59" spans="1:13" s="716" customFormat="1" ht="15.5">
      <c r="A59" s="1241"/>
      <c r="B59" s="1254" t="s">
        <v>2236</v>
      </c>
      <c r="C59" s="1944"/>
      <c r="D59" s="1944"/>
      <c r="E59" s="1944"/>
      <c r="F59" s="1944"/>
      <c r="G59" s="1944"/>
      <c r="H59" s="1944"/>
      <c r="I59" s="1246"/>
      <c r="J59" s="1134"/>
      <c r="K59" s="1252"/>
      <c r="L59" s="1252"/>
      <c r="M59" s="1392"/>
    </row>
    <row r="60" spans="1:13" s="716" customFormat="1" ht="15.5">
      <c r="A60" s="1241"/>
      <c r="B60" s="1248" t="s">
        <v>2237</v>
      </c>
      <c r="C60" s="1243">
        <v>1</v>
      </c>
      <c r="D60" s="1243" t="s">
        <v>672</v>
      </c>
      <c r="E60" s="1243">
        <v>1</v>
      </c>
      <c r="F60" s="1244">
        <f>3.09+3.09+1.5+1.5</f>
        <v>9.18</v>
      </c>
      <c r="G60" s="1244">
        <v>0.23</v>
      </c>
      <c r="H60" s="1244">
        <v>2.9</v>
      </c>
      <c r="I60" s="1138">
        <f>ROUND(C60*E60*F60*G60*H60,2)</f>
        <v>6.12</v>
      </c>
      <c r="J60" s="1133"/>
      <c r="K60" s="1245"/>
      <c r="L60" s="1245"/>
      <c r="M60" s="1392"/>
    </row>
    <row r="61" spans="1:13" s="716" customFormat="1" ht="15.5">
      <c r="A61" s="1241"/>
      <c r="B61" s="1248" t="s">
        <v>2238</v>
      </c>
      <c r="C61" s="1243">
        <v>1</v>
      </c>
      <c r="D61" s="1243" t="s">
        <v>672</v>
      </c>
      <c r="E61" s="1243">
        <v>1</v>
      </c>
      <c r="F61" s="1244">
        <v>1.5</v>
      </c>
      <c r="G61" s="1244">
        <v>0.23</v>
      </c>
      <c r="H61" s="1244">
        <v>2.9</v>
      </c>
      <c r="I61" s="1138">
        <f t="shared" ref="I61:I62" si="2">ROUND(C61*E61*F61*G61*H61,2)</f>
        <v>1</v>
      </c>
      <c r="J61" s="1133"/>
      <c r="K61" s="1245"/>
      <c r="L61" s="1245"/>
      <c r="M61" s="1392"/>
    </row>
    <row r="62" spans="1:13" s="716" customFormat="1" ht="15.5">
      <c r="A62" s="1241"/>
      <c r="B62" s="1248" t="s">
        <v>1986</v>
      </c>
      <c r="C62" s="1243">
        <v>1</v>
      </c>
      <c r="D62" s="1243" t="s">
        <v>672</v>
      </c>
      <c r="E62" s="1243">
        <v>2</v>
      </c>
      <c r="F62" s="1244">
        <v>1.2</v>
      </c>
      <c r="G62" s="1244">
        <v>0.23</v>
      </c>
      <c r="H62" s="1244">
        <v>2.1</v>
      </c>
      <c r="I62" s="1138">
        <f t="shared" si="2"/>
        <v>1.1599999999999999</v>
      </c>
      <c r="J62" s="1133"/>
      <c r="K62" s="1245"/>
      <c r="L62" s="1245"/>
      <c r="M62" s="1392"/>
    </row>
    <row r="63" spans="1:13" s="716" customFormat="1" ht="15.5">
      <c r="A63" s="1241"/>
      <c r="B63" s="1254" t="s">
        <v>1635</v>
      </c>
      <c r="C63" s="1243"/>
      <c r="D63" s="1243"/>
      <c r="E63" s="1243"/>
      <c r="F63" s="1250"/>
      <c r="G63" s="1250"/>
      <c r="H63" s="1250"/>
      <c r="I63" s="1138"/>
      <c r="J63" s="1133"/>
      <c r="K63" s="1245"/>
      <c r="L63" s="1245"/>
      <c r="M63" s="1392"/>
    </row>
    <row r="64" spans="1:13" s="716" customFormat="1" ht="15.5">
      <c r="A64" s="1241"/>
      <c r="B64" s="1248" t="s">
        <v>2199</v>
      </c>
      <c r="C64" s="1243">
        <v>1</v>
      </c>
      <c r="D64" s="1243" t="s">
        <v>672</v>
      </c>
      <c r="E64" s="1243">
        <v>1</v>
      </c>
      <c r="F64" s="1244">
        <v>1.35</v>
      </c>
      <c r="G64" s="1244">
        <v>0.23</v>
      </c>
      <c r="H64" s="1244">
        <v>0.2</v>
      </c>
      <c r="I64" s="1138">
        <f>-ROUND(C64*E64*F64*G64*H64,2)</f>
        <v>-0.06</v>
      </c>
      <c r="J64" s="1133"/>
      <c r="K64" s="1245"/>
      <c r="L64" s="1245"/>
      <c r="M64" s="1392"/>
    </row>
    <row r="65" spans="1:13" s="716" customFormat="1" ht="15.5">
      <c r="A65" s="1241"/>
      <c r="B65" s="1944"/>
      <c r="C65" s="1241"/>
      <c r="D65" s="1241"/>
      <c r="E65" s="1241"/>
      <c r="F65" s="1251"/>
      <c r="G65" s="1251"/>
      <c r="H65" s="1251"/>
      <c r="I65" s="1140">
        <f>SUM(I60:I64)</f>
        <v>8.2199999999999989</v>
      </c>
      <c r="J65" s="1135" t="s">
        <v>117</v>
      </c>
      <c r="K65" s="1252">
        <f>'Data  (2)'!I575</f>
        <v>5703.97</v>
      </c>
      <c r="L65" s="1252" t="s">
        <v>143</v>
      </c>
      <c r="M65" s="1392">
        <f>ROUND(I65*K65,0)</f>
        <v>46887</v>
      </c>
    </row>
    <row r="66" spans="1:13" s="716" customFormat="1" ht="91.5" customHeight="1">
      <c r="A66" s="1241">
        <v>13</v>
      </c>
      <c r="B66" s="1987" t="s">
        <v>437</v>
      </c>
      <c r="C66" s="1987"/>
      <c r="D66" s="1987"/>
      <c r="E66" s="1987"/>
      <c r="F66" s="1987"/>
      <c r="G66" s="1987"/>
      <c r="H66" s="1987"/>
      <c r="I66" s="1987"/>
      <c r="J66" s="1136"/>
      <c r="K66" s="1245"/>
      <c r="L66" s="1245"/>
      <c r="M66" s="1392"/>
    </row>
    <row r="67" spans="1:13" s="716" customFormat="1" ht="15.5">
      <c r="A67" s="1241"/>
      <c r="B67" s="1519" t="s">
        <v>2200</v>
      </c>
      <c r="C67" s="1128">
        <v>1</v>
      </c>
      <c r="D67" s="1128" t="s">
        <v>672</v>
      </c>
      <c r="E67" s="1128">
        <v>1</v>
      </c>
      <c r="F67" s="1129">
        <f>3.7</f>
        <v>3.7</v>
      </c>
      <c r="G67" s="1129">
        <v>2.6</v>
      </c>
      <c r="H67" s="1244"/>
      <c r="I67" s="1138">
        <f>ROUND(C67*E67*F67*G67,2)</f>
        <v>9.6199999999999992</v>
      </c>
      <c r="J67" s="1133"/>
      <c r="K67" s="1245"/>
      <c r="L67" s="1245"/>
      <c r="M67" s="1392"/>
    </row>
    <row r="68" spans="1:13" s="716" customFormat="1" ht="15.5">
      <c r="A68" s="1241"/>
      <c r="B68" s="1944"/>
      <c r="C68" s="1241"/>
      <c r="D68" s="1241"/>
      <c r="E68" s="1241"/>
      <c r="F68" s="1251"/>
      <c r="G68" s="1251"/>
      <c r="H68" s="1251"/>
      <c r="I68" s="1140">
        <f>SUM(I67:I67)</f>
        <v>9.6199999999999992</v>
      </c>
      <c r="J68" s="1135" t="s">
        <v>184</v>
      </c>
      <c r="K68" s="1252">
        <f>'Data  (2)'!G836</f>
        <v>376.1</v>
      </c>
      <c r="L68" s="1252" t="s">
        <v>536</v>
      </c>
      <c r="M68" s="1392">
        <f>ROUND(I68*K68,0)</f>
        <v>3618</v>
      </c>
    </row>
    <row r="69" spans="1:13" s="716" customFormat="1" ht="50" customHeight="1">
      <c r="A69" s="1241">
        <v>14</v>
      </c>
      <c r="B69" s="1986" t="s">
        <v>2078</v>
      </c>
      <c r="C69" s="1986"/>
      <c r="D69" s="1986"/>
      <c r="E69" s="1986"/>
      <c r="F69" s="1986"/>
      <c r="G69" s="1986"/>
      <c r="H69" s="1986"/>
      <c r="I69" s="1986"/>
      <c r="J69" s="1136"/>
      <c r="K69" s="1245"/>
      <c r="L69" s="1245"/>
      <c r="M69" s="1392"/>
    </row>
    <row r="70" spans="1:13" s="716" customFormat="1" ht="15.5">
      <c r="A70" s="1241"/>
      <c r="B70" s="1254" t="s">
        <v>2239</v>
      </c>
      <c r="C70" s="1944"/>
      <c r="D70" s="1944"/>
      <c r="E70" s="1944"/>
      <c r="F70" s="1944"/>
      <c r="G70" s="1944"/>
      <c r="H70" s="1944"/>
      <c r="I70" s="1944"/>
      <c r="J70" s="1136"/>
      <c r="K70" s="1245"/>
      <c r="L70" s="1245"/>
      <c r="M70" s="1392"/>
    </row>
    <row r="71" spans="1:13" s="716" customFormat="1" ht="15.5">
      <c r="A71" s="1241"/>
      <c r="B71" s="1255" t="s">
        <v>2240</v>
      </c>
      <c r="C71" s="1243">
        <v>1</v>
      </c>
      <c r="D71" s="1243" t="s">
        <v>672</v>
      </c>
      <c r="E71" s="1243">
        <v>2</v>
      </c>
      <c r="F71" s="1244">
        <v>1.5</v>
      </c>
      <c r="G71" s="1244">
        <v>1.2</v>
      </c>
      <c r="H71" s="1244"/>
      <c r="I71" s="1138">
        <f t="shared" ref="I71" si="3">ROUND(C71*E71*F71*G71,2)</f>
        <v>3.6</v>
      </c>
      <c r="J71" s="1133"/>
      <c r="K71" s="1245"/>
      <c r="L71" s="1245"/>
      <c r="M71" s="1392"/>
    </row>
    <row r="72" spans="1:13" s="716" customFormat="1" ht="15.5">
      <c r="A72" s="1241"/>
      <c r="B72" s="1944"/>
      <c r="C72" s="1241"/>
      <c r="D72" s="1241"/>
      <c r="E72" s="1241"/>
      <c r="F72" s="1251"/>
      <c r="G72" s="1251"/>
      <c r="H72" s="1251"/>
      <c r="I72" s="1140">
        <f>SUM(I71:I71)</f>
        <v>3.6</v>
      </c>
      <c r="J72" s="1135" t="s">
        <v>184</v>
      </c>
      <c r="K72" s="1252">
        <f>'Data  (2)'!G667</f>
        <v>249.36</v>
      </c>
      <c r="L72" s="1252" t="s">
        <v>536</v>
      </c>
      <c r="M72" s="1392">
        <f>ROUND(I72*K72,0)</f>
        <v>898</v>
      </c>
    </row>
    <row r="73" spans="1:13" s="716" customFormat="1" ht="34" customHeight="1">
      <c r="A73" s="1241">
        <v>15</v>
      </c>
      <c r="B73" s="1986" t="s">
        <v>219</v>
      </c>
      <c r="C73" s="1986"/>
      <c r="D73" s="1986"/>
      <c r="E73" s="1986"/>
      <c r="F73" s="1986"/>
      <c r="G73" s="1986"/>
      <c r="H73" s="1986"/>
      <c r="I73" s="1986"/>
      <c r="J73" s="1136"/>
      <c r="K73" s="1245"/>
      <c r="L73" s="1245"/>
      <c r="M73" s="1392"/>
    </row>
    <row r="74" spans="1:13" s="716" customFormat="1" ht="15.5">
      <c r="A74" s="1241"/>
      <c r="B74" s="1254" t="s">
        <v>2239</v>
      </c>
      <c r="C74" s="1944"/>
      <c r="D74" s="1944"/>
      <c r="E74" s="1944"/>
      <c r="F74" s="1944"/>
      <c r="G74" s="1944"/>
      <c r="H74" s="1944"/>
      <c r="I74" s="1944"/>
      <c r="J74" s="1136"/>
      <c r="K74" s="1245"/>
      <c r="L74" s="1245"/>
      <c r="M74" s="1392"/>
    </row>
    <row r="75" spans="1:13" s="716" customFormat="1" ht="15.5">
      <c r="A75" s="1241"/>
      <c r="B75" s="1262" t="s">
        <v>2240</v>
      </c>
      <c r="C75" s="1243">
        <v>1</v>
      </c>
      <c r="D75" s="1243" t="s">
        <v>672</v>
      </c>
      <c r="E75" s="1243">
        <v>2</v>
      </c>
      <c r="F75" s="1244">
        <f>1.5+1.5+1.2+1.2</f>
        <v>5.4</v>
      </c>
      <c r="G75" s="1244"/>
      <c r="H75" s="1244">
        <v>2.9</v>
      </c>
      <c r="I75" s="1138">
        <f>ROUND(C75*E75*F75*H75,2)</f>
        <v>31.32</v>
      </c>
      <c r="J75" s="1133"/>
      <c r="K75" s="1245"/>
      <c r="L75" s="1245"/>
      <c r="M75" s="1392"/>
    </row>
    <row r="76" spans="1:13" s="716" customFormat="1" ht="15.5">
      <c r="A76" s="1241"/>
      <c r="B76" s="1248" t="s">
        <v>1986</v>
      </c>
      <c r="C76" s="1647">
        <v>0.5</v>
      </c>
      <c r="D76" s="1243" t="s">
        <v>672</v>
      </c>
      <c r="E76" s="1243">
        <v>2</v>
      </c>
      <c r="F76" s="1244">
        <v>1.2</v>
      </c>
      <c r="G76" s="1244"/>
      <c r="H76" s="1244">
        <v>2.1</v>
      </c>
      <c r="I76" s="1138">
        <f t="shared" ref="I76" si="4">-ROUND(C76*E76*F76*H76,2)</f>
        <v>-2.52</v>
      </c>
      <c r="J76" s="1139"/>
      <c r="K76" s="1252"/>
      <c r="L76" s="1252"/>
      <c r="M76" s="1392"/>
    </row>
    <row r="77" spans="1:13" s="716" customFormat="1" ht="15.5">
      <c r="A77" s="1241"/>
      <c r="B77" s="1944"/>
      <c r="C77" s="1241"/>
      <c r="D77" s="1241"/>
      <c r="E77" s="1241"/>
      <c r="F77" s="1251"/>
      <c r="G77" s="1251"/>
      <c r="H77" s="1251"/>
      <c r="I77" s="1140">
        <f>SUM(I75:I76)</f>
        <v>28.8</v>
      </c>
      <c r="J77" s="1135" t="s">
        <v>184</v>
      </c>
      <c r="K77" s="1252">
        <f>'Data  (2)'!G682</f>
        <v>234.9</v>
      </c>
      <c r="L77" s="1252" t="s">
        <v>536</v>
      </c>
      <c r="M77" s="1392">
        <f>ROUND(I77*K77,0)</f>
        <v>6765</v>
      </c>
    </row>
    <row r="78" spans="1:13" s="716" customFormat="1" ht="38" customHeight="1">
      <c r="A78" s="1241">
        <v>16</v>
      </c>
      <c r="B78" s="1986" t="s">
        <v>1782</v>
      </c>
      <c r="C78" s="1986"/>
      <c r="D78" s="1986"/>
      <c r="E78" s="1986"/>
      <c r="F78" s="1986"/>
      <c r="G78" s="1986"/>
      <c r="H78" s="1986"/>
      <c r="I78" s="1986"/>
      <c r="J78" s="1136"/>
      <c r="K78" s="1245"/>
      <c r="L78" s="1245"/>
      <c r="M78" s="1392"/>
    </row>
    <row r="79" spans="1:13" s="716" customFormat="1" ht="15.5">
      <c r="A79" s="1241"/>
      <c r="B79" s="1254" t="s">
        <v>2239</v>
      </c>
      <c r="C79" s="1944"/>
      <c r="D79" s="1944"/>
      <c r="E79" s="1944"/>
      <c r="F79" s="1944"/>
      <c r="G79" s="1944"/>
      <c r="H79" s="1944"/>
      <c r="I79" s="1944"/>
      <c r="J79" s="1136"/>
      <c r="K79" s="1245"/>
      <c r="L79" s="1245"/>
      <c r="M79" s="1392"/>
    </row>
    <row r="80" spans="1:13" s="716" customFormat="1" ht="15.5">
      <c r="A80" s="1241"/>
      <c r="B80" s="1262" t="s">
        <v>2203</v>
      </c>
      <c r="C80" s="1243">
        <v>1</v>
      </c>
      <c r="D80" s="1243" t="s">
        <v>672</v>
      </c>
      <c r="E80" s="1243">
        <v>1</v>
      </c>
      <c r="F80" s="1244">
        <f>3.09+3.09+1.96+1.96</f>
        <v>10.100000000000001</v>
      </c>
      <c r="G80" s="1244"/>
      <c r="H80" s="1244">
        <v>4</v>
      </c>
      <c r="I80" s="1138">
        <f>ROUND(C80*E80*F80*H80,2)</f>
        <v>40.4</v>
      </c>
      <c r="J80" s="1133"/>
      <c r="K80" s="1245"/>
      <c r="L80" s="1245"/>
      <c r="M80" s="1392"/>
    </row>
    <row r="81" spans="1:13" s="716" customFormat="1" ht="15.5">
      <c r="A81" s="1241"/>
      <c r="B81" s="1248" t="s">
        <v>1986</v>
      </c>
      <c r="C81" s="1647">
        <v>0.5</v>
      </c>
      <c r="D81" s="1243" t="s">
        <v>672</v>
      </c>
      <c r="E81" s="1243">
        <v>2</v>
      </c>
      <c r="F81" s="1244">
        <v>1.2</v>
      </c>
      <c r="G81" s="1244"/>
      <c r="H81" s="1244">
        <v>2.1</v>
      </c>
      <c r="I81" s="1138">
        <f t="shared" ref="I81" si="5">-ROUND(C81*E81*F81*H81,2)</f>
        <v>-2.52</v>
      </c>
      <c r="J81" s="1139"/>
      <c r="K81" s="1252"/>
      <c r="L81" s="1252"/>
      <c r="M81" s="1392"/>
    </row>
    <row r="82" spans="1:13" s="716" customFormat="1" ht="15.5">
      <c r="A82" s="1241"/>
      <c r="B82" s="1944"/>
      <c r="C82" s="1241"/>
      <c r="D82" s="1241"/>
      <c r="E82" s="1241"/>
      <c r="F82" s="1251"/>
      <c r="G82" s="1251"/>
      <c r="H82" s="1251"/>
      <c r="I82" s="1140">
        <f>SUM(I80:I81)</f>
        <v>37.879999999999995</v>
      </c>
      <c r="J82" s="1135" t="s">
        <v>184</v>
      </c>
      <c r="K82" s="1252">
        <f>'Data  (2)'!G727</f>
        <v>304.01</v>
      </c>
      <c r="L82" s="1252" t="s">
        <v>536</v>
      </c>
      <c r="M82" s="1392">
        <f>ROUND(I82*K82,0)</f>
        <v>11516</v>
      </c>
    </row>
    <row r="83" spans="1:13" s="716" customFormat="1" ht="124" customHeight="1">
      <c r="A83" s="1241">
        <v>17</v>
      </c>
      <c r="B83" s="1986" t="s">
        <v>1650</v>
      </c>
      <c r="C83" s="1986"/>
      <c r="D83" s="1986"/>
      <c r="E83" s="1986"/>
      <c r="F83" s="1986"/>
      <c r="G83" s="1986"/>
      <c r="H83" s="1986"/>
      <c r="I83" s="1986"/>
      <c r="J83" s="1134"/>
      <c r="K83" s="1245"/>
      <c r="L83" s="1245"/>
      <c r="M83" s="1392"/>
    </row>
    <row r="84" spans="1:13" s="716" customFormat="1" ht="15.5">
      <c r="A84" s="1241"/>
      <c r="B84" s="1944"/>
      <c r="C84" s="1241"/>
      <c r="D84" s="1241"/>
      <c r="E84" s="1241"/>
      <c r="F84" s="1251"/>
      <c r="G84" s="1251"/>
      <c r="H84" s="1251"/>
      <c r="I84" s="1648">
        <v>1000</v>
      </c>
      <c r="J84" s="1135" t="s">
        <v>182</v>
      </c>
      <c r="K84" s="1252">
        <f>'Data  (2)'!G1123</f>
        <v>57.8</v>
      </c>
      <c r="L84" s="1252" t="s">
        <v>1636</v>
      </c>
      <c r="M84" s="1392">
        <f>ROUND(I84*K84,0)</f>
        <v>57800</v>
      </c>
    </row>
    <row r="85" spans="1:13" s="716" customFormat="1" ht="57" customHeight="1">
      <c r="A85" s="1241">
        <v>18</v>
      </c>
      <c r="B85" s="1986" t="s">
        <v>531</v>
      </c>
      <c r="C85" s="1986"/>
      <c r="D85" s="1986"/>
      <c r="E85" s="1986"/>
      <c r="F85" s="1986"/>
      <c r="G85" s="1986"/>
      <c r="H85" s="1986"/>
      <c r="I85" s="1986"/>
      <c r="J85" s="1134"/>
      <c r="K85" s="1245"/>
      <c r="L85" s="1245"/>
      <c r="M85" s="1392"/>
    </row>
    <row r="86" spans="1:13" s="716" customFormat="1" ht="15.5">
      <c r="A86" s="1241"/>
      <c r="B86" s="1944" t="s">
        <v>2208</v>
      </c>
      <c r="C86" s="1243">
        <v>1</v>
      </c>
      <c r="D86" s="1243" t="s">
        <v>672</v>
      </c>
      <c r="E86" s="1243">
        <v>2</v>
      </c>
      <c r="F86" s="1250">
        <v>2.1</v>
      </c>
      <c r="G86" s="1250"/>
      <c r="H86" s="1250">
        <v>1.05</v>
      </c>
      <c r="I86" s="1138">
        <f>ROUND(C86*E86*F86*H86,2)</f>
        <v>4.41</v>
      </c>
      <c r="J86" s="1133"/>
      <c r="K86" s="1245"/>
      <c r="L86" s="1245"/>
      <c r="M86" s="1392"/>
    </row>
    <row r="87" spans="1:13" s="716" customFormat="1" ht="14">
      <c r="A87" s="1241"/>
      <c r="B87" s="1944"/>
      <c r="C87" s="1241"/>
      <c r="D87" s="1241"/>
      <c r="E87" s="1241"/>
      <c r="F87" s="1251"/>
      <c r="G87" s="1251"/>
      <c r="H87" s="1251"/>
      <c r="I87" s="1140">
        <f>SUM(I86:I86)</f>
        <v>4.41</v>
      </c>
      <c r="J87" s="1135" t="s">
        <v>184</v>
      </c>
    </row>
    <row r="88" spans="1:13" s="716" customFormat="1" ht="15.5">
      <c r="A88" s="1241"/>
      <c r="B88" s="1251" t="s">
        <v>2167</v>
      </c>
      <c r="C88" s="1241"/>
      <c r="D88" s="1241"/>
      <c r="E88" s="1241"/>
      <c r="G88" s="1251"/>
      <c r="H88" s="1251"/>
      <c r="I88" s="1140">
        <f>I87*30</f>
        <v>132.30000000000001</v>
      </c>
      <c r="J88" s="1135" t="s">
        <v>207</v>
      </c>
      <c r="K88" s="1252">
        <f>'Data  (2)'!G1128</f>
        <v>80.72999999999999</v>
      </c>
      <c r="L88" s="1252" t="s">
        <v>1636</v>
      </c>
      <c r="M88" s="1392">
        <f>ROUND(I88*K88,0)</f>
        <v>10681</v>
      </c>
    </row>
    <row r="89" spans="1:13" s="716" customFormat="1" ht="106" customHeight="1">
      <c r="A89" s="1241">
        <v>19</v>
      </c>
      <c r="B89" s="1986" t="s">
        <v>1887</v>
      </c>
      <c r="C89" s="1986"/>
      <c r="D89" s="1986"/>
      <c r="E89" s="1986"/>
      <c r="F89" s="1986"/>
      <c r="G89" s="1986"/>
      <c r="H89" s="1986"/>
      <c r="I89" s="1986"/>
      <c r="J89" s="1134"/>
      <c r="K89" s="1252"/>
      <c r="L89" s="1252"/>
      <c r="M89" s="1392"/>
    </row>
    <row r="90" spans="1:13" s="716" customFormat="1" ht="15.5">
      <c r="A90" s="1241"/>
      <c r="B90" s="1254" t="s">
        <v>2239</v>
      </c>
      <c r="C90" s="1944"/>
      <c r="D90" s="1944"/>
      <c r="E90" s="1944"/>
      <c r="F90" s="1944"/>
      <c r="G90" s="1944"/>
      <c r="H90" s="1944"/>
      <c r="I90" s="1944"/>
      <c r="J90" s="1134"/>
      <c r="K90" s="1252"/>
      <c r="L90" s="1252"/>
      <c r="M90" s="1392"/>
    </row>
    <row r="91" spans="1:13" s="716" customFormat="1" ht="15.5">
      <c r="A91" s="1241"/>
      <c r="B91" s="1255" t="s">
        <v>2240</v>
      </c>
      <c r="C91" s="1243">
        <v>1</v>
      </c>
      <c r="D91" s="1243" t="s">
        <v>672</v>
      </c>
      <c r="E91" s="1243">
        <v>2</v>
      </c>
      <c r="F91" s="1250">
        <v>1.5</v>
      </c>
      <c r="G91" s="1250">
        <v>1.2</v>
      </c>
      <c r="H91" s="1244"/>
      <c r="I91" s="1264">
        <f>ROUND(C91*E91*F91*G91,2)</f>
        <v>3.6</v>
      </c>
      <c r="J91" s="1134"/>
      <c r="K91" s="1252"/>
      <c r="L91" s="1252"/>
      <c r="M91" s="1392"/>
    </row>
    <row r="92" spans="1:13" s="716" customFormat="1" ht="15.5">
      <c r="A92" s="1241"/>
      <c r="B92" s="1944"/>
      <c r="C92" s="1241"/>
      <c r="D92" s="1241"/>
      <c r="E92" s="1241"/>
      <c r="F92" s="1251"/>
      <c r="G92" s="1251"/>
      <c r="H92" s="1251"/>
      <c r="I92" s="1140">
        <f>SUM(I91:I91)</f>
        <v>3.6</v>
      </c>
      <c r="J92" s="1135" t="s">
        <v>184</v>
      </c>
      <c r="K92" s="1252">
        <f>'Data  (2)'!G975</f>
        <v>983.52</v>
      </c>
      <c r="L92" s="1252" t="s">
        <v>536</v>
      </c>
      <c r="M92" s="1392">
        <f>ROUND(I92*K92,0)</f>
        <v>3541</v>
      </c>
    </row>
    <row r="93" spans="1:13" s="716" customFormat="1" ht="104.25" customHeight="1">
      <c r="A93" s="1241">
        <v>20</v>
      </c>
      <c r="B93" s="1986" t="s">
        <v>1643</v>
      </c>
      <c r="C93" s="1986"/>
      <c r="D93" s="1986"/>
      <c r="E93" s="1986"/>
      <c r="F93" s="1986"/>
      <c r="G93" s="1986"/>
      <c r="H93" s="1986"/>
      <c r="I93" s="1986"/>
      <c r="J93" s="1134"/>
      <c r="K93" s="1252"/>
      <c r="L93" s="1252"/>
      <c r="M93" s="2286"/>
    </row>
    <row r="94" spans="1:13" s="716" customFormat="1" ht="14">
      <c r="A94" s="1241"/>
      <c r="B94" s="1255" t="s">
        <v>2240</v>
      </c>
      <c r="C94" s="1266">
        <v>1</v>
      </c>
      <c r="D94" s="1266" t="s">
        <v>672</v>
      </c>
      <c r="E94" s="1266">
        <f>E86</f>
        <v>2</v>
      </c>
      <c r="F94" s="1265">
        <f>1.5+1.5+1.2+1.2</f>
        <v>5.4</v>
      </c>
      <c r="G94" s="1265"/>
      <c r="H94" s="1265">
        <v>1.5</v>
      </c>
      <c r="I94" s="1264">
        <f>ROUND(C94*E94*F94*H94,2)</f>
        <v>16.2</v>
      </c>
      <c r="J94" s="1141"/>
      <c r="K94" s="1252"/>
      <c r="L94" s="1252"/>
      <c r="M94" s="2286"/>
    </row>
    <row r="95" spans="1:13" s="716" customFormat="1" ht="14">
      <c r="A95" s="1241"/>
      <c r="B95" s="1255" t="s">
        <v>1991</v>
      </c>
      <c r="C95" s="1266">
        <v>1</v>
      </c>
      <c r="D95" s="1266" t="s">
        <v>672</v>
      </c>
      <c r="E95" s="1266">
        <v>1</v>
      </c>
      <c r="F95" s="1265">
        <v>1.05</v>
      </c>
      <c r="G95" s="1265"/>
      <c r="H95" s="1265">
        <v>1.5</v>
      </c>
      <c r="I95" s="1264">
        <f>-ROUND(C95*E95*F95*H95,2)</f>
        <v>-1.58</v>
      </c>
      <c r="J95" s="1141"/>
      <c r="K95" s="1252"/>
      <c r="L95" s="1252"/>
      <c r="M95" s="2286"/>
    </row>
    <row r="96" spans="1:13" s="716" customFormat="1" ht="14">
      <c r="A96" s="1241"/>
      <c r="B96" s="1944"/>
      <c r="C96" s="1241"/>
      <c r="D96" s="1241"/>
      <c r="E96" s="1241"/>
      <c r="F96" s="1251"/>
      <c r="G96" s="1251"/>
      <c r="H96" s="1251"/>
      <c r="I96" s="1140">
        <f>SUM(I94:I95)</f>
        <v>14.62</v>
      </c>
      <c r="J96" s="1135" t="s">
        <v>184</v>
      </c>
      <c r="K96" s="1252">
        <f>'Data  (2)'!G1040</f>
        <v>714.03</v>
      </c>
      <c r="L96" s="1252" t="s">
        <v>536</v>
      </c>
      <c r="M96" s="2286">
        <f>ROUND(I96*K96,0)</f>
        <v>10439</v>
      </c>
    </row>
    <row r="97" spans="1:16" s="716" customFormat="1" ht="117" customHeight="1">
      <c r="A97" s="1241">
        <v>21</v>
      </c>
      <c r="B97" s="1986" t="str">
        <f>'Data  (2)'!C791:C791</f>
        <v>Painting to New walls with two coats of Plastic Emulsion paint of superior quality of approved brand and shade over base coat of cement primer grade -I making three coats in all to give an even shade after thoroughly brushing the surface to remove all loose powdered materials, including cost and conveyance of all materials, including cost and conveyance of all materials, cost of brushes, water to site, etc., sales &amp; other taxes, all operational, incidental and labour charges such as scaffolding charges, lift charges, curing etc., complete for finished item of work in all floors for Walls.(APSS No. 911) in All Floors for interior walls</v>
      </c>
      <c r="C97" s="1986"/>
      <c r="D97" s="1986"/>
      <c r="E97" s="1986"/>
      <c r="F97" s="1986"/>
      <c r="G97" s="1986"/>
      <c r="H97" s="1986"/>
      <c r="I97" s="1986"/>
      <c r="J97" s="1134"/>
      <c r="K97" s="1245"/>
      <c r="L97" s="1245"/>
      <c r="M97" s="1392"/>
    </row>
    <row r="98" spans="1:16" s="716" customFormat="1" ht="15.5">
      <c r="A98" s="1241"/>
      <c r="B98" s="1254" t="s">
        <v>397</v>
      </c>
      <c r="C98" s="1241"/>
      <c r="D98" s="1241"/>
      <c r="E98" s="1241"/>
      <c r="F98" s="1241"/>
      <c r="G98" s="1241"/>
      <c r="H98" s="1241"/>
      <c r="I98" s="1241"/>
      <c r="J98" s="1134"/>
      <c r="K98" s="1245"/>
      <c r="L98" s="1245"/>
      <c r="M98" s="1392"/>
    </row>
    <row r="99" spans="1:16" s="716" customFormat="1" ht="15.5">
      <c r="A99" s="1241"/>
      <c r="B99" s="1944" t="s">
        <v>1889</v>
      </c>
      <c r="C99" s="1241">
        <v>1</v>
      </c>
      <c r="D99" s="1241" t="s">
        <v>672</v>
      </c>
      <c r="E99" s="1241">
        <v>1</v>
      </c>
      <c r="F99" s="1241">
        <f>3.09-0.46</f>
        <v>2.63</v>
      </c>
      <c r="G99" s="1241">
        <f>1.5</f>
        <v>1.5</v>
      </c>
      <c r="H99" s="1241"/>
      <c r="I99" s="1899">
        <f>G99*F99</f>
        <v>3.9449999999999998</v>
      </c>
      <c r="J99" s="1134"/>
      <c r="K99" s="1245"/>
      <c r="L99" s="1245"/>
      <c r="M99" s="1392"/>
    </row>
    <row r="100" spans="1:16" s="716" customFormat="1" ht="15.5">
      <c r="A100" s="1241"/>
      <c r="B100" s="1262" t="s">
        <v>1647</v>
      </c>
      <c r="C100" s="1243">
        <v>1</v>
      </c>
      <c r="D100" s="1243" t="s">
        <v>672</v>
      </c>
      <c r="E100" s="1243">
        <v>2</v>
      </c>
      <c r="F100" s="1244">
        <f>1.5+1.5+1.2+1.2</f>
        <v>5.4</v>
      </c>
      <c r="G100" s="1244"/>
      <c r="H100" s="1244">
        <v>1.5</v>
      </c>
      <c r="I100" s="1250">
        <f>H100*F100</f>
        <v>8.1000000000000014</v>
      </c>
      <c r="J100" s="1133"/>
      <c r="K100" s="1252"/>
      <c r="L100" s="1252"/>
      <c r="M100" s="1392"/>
    </row>
    <row r="101" spans="1:16" s="716" customFormat="1" ht="15.5">
      <c r="A101" s="1241"/>
      <c r="B101" s="1248" t="s">
        <v>1986</v>
      </c>
      <c r="C101" s="1949">
        <v>1</v>
      </c>
      <c r="D101" s="1243" t="s">
        <v>672</v>
      </c>
      <c r="E101" s="1243">
        <v>2</v>
      </c>
      <c r="F101" s="1244">
        <v>1.05</v>
      </c>
      <c r="G101" s="1244"/>
      <c r="H101" s="1244">
        <v>2.1</v>
      </c>
      <c r="I101" s="1250">
        <f t="shared" ref="I101" si="6">-ROUND(C101*E101*F101*H101,2)</f>
        <v>-4.41</v>
      </c>
      <c r="J101" s="1139"/>
      <c r="K101" s="1252"/>
      <c r="L101" s="1252"/>
      <c r="M101" s="1392"/>
    </row>
    <row r="102" spans="1:16" s="716" customFormat="1" ht="15.5">
      <c r="A102" s="1241"/>
      <c r="B102" s="1944"/>
      <c r="C102" s="1241"/>
      <c r="D102" s="1241"/>
      <c r="E102" s="1241"/>
      <c r="F102" s="1251"/>
      <c r="G102" s="1251"/>
      <c r="H102" s="1251"/>
      <c r="I102" s="1140">
        <f>SUM(I99:I101)</f>
        <v>7.6350000000000016</v>
      </c>
      <c r="J102" s="1135" t="s">
        <v>184</v>
      </c>
      <c r="K102" s="1252">
        <f>'Data  (2)'!G806</f>
        <v>128.35</v>
      </c>
      <c r="L102" s="1252" t="s">
        <v>536</v>
      </c>
      <c r="M102" s="1392">
        <f>ROUND(I102*K102,0)</f>
        <v>980</v>
      </c>
    </row>
    <row r="103" spans="1:16" s="716" customFormat="1" ht="124.5" customHeight="1">
      <c r="A103" s="1241">
        <v>22</v>
      </c>
      <c r="B103" s="1986" t="str">
        <f>'Data  (2)'!C807:C807</f>
        <v>Painting to New walls with One coat of water proof Cement primer and two coats of Acrylic  Emulsion paint of superior quality of approved brand and shade over base coat of cement primer grade -II making three coats in all to give an even shade after thoroughly brushing the surface to remove all loose powdered materials, including cost and conveyance of all materials, including cost and conveyance of all materials, cost of brushes, water to site, etc., sales &amp; other taxes, all operational, incidental and labour charges such as scaffolding charges, lift charges, curing etc., complete for finished item of work in all floors for Walls.(APSS No. 911) in for exterior walls</v>
      </c>
      <c r="C103" s="1986"/>
      <c r="D103" s="1986"/>
      <c r="E103" s="1986"/>
      <c r="F103" s="1986"/>
      <c r="G103" s="1986"/>
      <c r="H103" s="1986"/>
      <c r="I103" s="1986"/>
      <c r="J103" s="1134"/>
      <c r="K103" s="1252"/>
      <c r="L103" s="1252"/>
      <c r="M103" s="1392"/>
    </row>
    <row r="104" spans="1:16" s="716" customFormat="1" ht="15.5">
      <c r="A104" s="1241"/>
      <c r="B104" s="1254" t="s">
        <v>397</v>
      </c>
      <c r="C104" s="1241"/>
      <c r="D104" s="1241"/>
      <c r="E104" s="1241"/>
      <c r="F104" s="1241"/>
      <c r="G104" s="1241"/>
      <c r="H104" s="1241"/>
      <c r="I104" s="1241"/>
      <c r="J104" s="1134"/>
      <c r="K104" s="1245"/>
      <c r="L104" s="1245"/>
      <c r="M104" s="1392"/>
    </row>
    <row r="105" spans="1:16" s="716" customFormat="1" ht="15.5">
      <c r="A105" s="1241"/>
      <c r="B105" s="1944" t="s">
        <v>934</v>
      </c>
      <c r="C105" s="1241">
        <v>1</v>
      </c>
      <c r="D105" s="1241" t="s">
        <v>672</v>
      </c>
      <c r="E105" s="1241">
        <v>1</v>
      </c>
      <c r="F105" s="1241">
        <f>3.09+1.96+3.09+1.96</f>
        <v>10.100000000000001</v>
      </c>
      <c r="G105" s="1241"/>
      <c r="H105" s="1241">
        <f>4</f>
        <v>4</v>
      </c>
      <c r="I105" s="1899">
        <f>F105*H105</f>
        <v>40.400000000000006</v>
      </c>
      <c r="J105" s="1134"/>
      <c r="K105" s="1245"/>
      <c r="L105" s="1245"/>
      <c r="M105" s="1392"/>
    </row>
    <row r="106" spans="1:16" s="716" customFormat="1" ht="15.5">
      <c r="A106" s="1241"/>
      <c r="B106" s="1248" t="s">
        <v>1986</v>
      </c>
      <c r="C106" s="1949">
        <v>1</v>
      </c>
      <c r="D106" s="1243" t="s">
        <v>672</v>
      </c>
      <c r="E106" s="1243">
        <v>2</v>
      </c>
      <c r="F106" s="1244">
        <v>1.05</v>
      </c>
      <c r="G106" s="1244"/>
      <c r="H106" s="1244">
        <v>2.1</v>
      </c>
      <c r="I106" s="1250">
        <f t="shared" ref="I106" si="7">-ROUND(C106*E106*F106*H106,2)</f>
        <v>-4.41</v>
      </c>
      <c r="J106" s="1139"/>
      <c r="K106" s="1252"/>
      <c r="L106" s="1252"/>
      <c r="M106" s="1392"/>
    </row>
    <row r="107" spans="1:16" s="716" customFormat="1" ht="15.5">
      <c r="A107" s="1241"/>
      <c r="B107" s="1944"/>
      <c r="C107" s="1241"/>
      <c r="D107" s="1241"/>
      <c r="E107" s="1241"/>
      <c r="F107" s="1251"/>
      <c r="G107" s="1251"/>
      <c r="H107" s="1251"/>
      <c r="I107" s="1140">
        <f>SUM(I105:I106)</f>
        <v>35.990000000000009</v>
      </c>
      <c r="J107" s="1135" t="s">
        <v>184</v>
      </c>
      <c r="K107" s="1252">
        <f>'Data  (2)'!G822</f>
        <v>175.41</v>
      </c>
      <c r="L107" s="1252" t="s">
        <v>536</v>
      </c>
      <c r="M107" s="1392">
        <f>ROUND(I107*K107,0)</f>
        <v>6313</v>
      </c>
    </row>
    <row r="108" spans="1:16" s="1216" customFormat="1" ht="57" customHeight="1">
      <c r="A108" s="1214">
        <v>23</v>
      </c>
      <c r="B108" s="1980" t="s">
        <v>1660</v>
      </c>
      <c r="C108" s="1980"/>
      <c r="D108" s="1980"/>
      <c r="E108" s="1980"/>
      <c r="F108" s="1980"/>
      <c r="G108" s="1980"/>
      <c r="H108" s="1980"/>
      <c r="I108" s="1980"/>
      <c r="J108" s="1215"/>
      <c r="K108" s="1215"/>
      <c r="L108" s="1215"/>
      <c r="M108" s="1522"/>
    </row>
    <row r="109" spans="1:16" s="1216" customFormat="1" ht="15.5">
      <c r="A109" s="1217"/>
      <c r="B109" s="1217"/>
      <c r="C109" s="1217"/>
      <c r="D109" s="1217"/>
      <c r="E109" s="1217"/>
      <c r="F109" s="1217"/>
      <c r="G109" s="1217"/>
      <c r="H109" s="1217"/>
      <c r="I109" s="1218">
        <v>50</v>
      </c>
      <c r="J109" s="1219" t="s">
        <v>1639</v>
      </c>
      <c r="K109" s="1220">
        <f>'Ele Data (2)'!G55</f>
        <v>59.08</v>
      </c>
      <c r="L109" s="1221" t="s">
        <v>1640</v>
      </c>
      <c r="M109" s="1395">
        <f>ROUND(I109*K109,0)</f>
        <v>2954</v>
      </c>
    </row>
    <row r="110" spans="1:16" s="1216" customFormat="1" ht="73" customHeight="1">
      <c r="A110" s="1222">
        <v>24</v>
      </c>
      <c r="B110" s="1981" t="s">
        <v>1651</v>
      </c>
      <c r="C110" s="1981"/>
      <c r="D110" s="1981"/>
      <c r="E110" s="1981"/>
      <c r="F110" s="1981"/>
      <c r="G110" s="1981"/>
      <c r="H110" s="1981"/>
      <c r="I110" s="1981"/>
      <c r="J110" s="1217"/>
      <c r="K110" s="1391"/>
      <c r="L110" s="1217"/>
      <c r="M110" s="1523"/>
      <c r="P110" s="1950"/>
    </row>
    <row r="111" spans="1:16" s="1216" customFormat="1" ht="15.5">
      <c r="A111" s="1217"/>
      <c r="B111" s="1217"/>
      <c r="C111" s="1217"/>
      <c r="D111" s="1217"/>
      <c r="E111" s="1217"/>
      <c r="F111" s="1217"/>
      <c r="G111" s="1217"/>
      <c r="H111" s="1217"/>
      <c r="I111" s="1218">
        <v>15</v>
      </c>
      <c r="J111" s="1219" t="s">
        <v>1639</v>
      </c>
      <c r="K111" s="1220">
        <f>'Ele Data (2)'!G41</f>
        <v>72.09</v>
      </c>
      <c r="L111" s="1221" t="s">
        <v>1640</v>
      </c>
      <c r="M111" s="1395">
        <f>ROUND(I111*K111,0)</f>
        <v>1081</v>
      </c>
    </row>
    <row r="112" spans="1:16" s="1216" customFormat="1" ht="73.5" customHeight="1">
      <c r="A112" s="1222">
        <v>25</v>
      </c>
      <c r="B112" s="1981" t="s">
        <v>1652</v>
      </c>
      <c r="C112" s="1981"/>
      <c r="D112" s="1981"/>
      <c r="E112" s="1981"/>
      <c r="F112" s="1981"/>
      <c r="G112" s="1981"/>
      <c r="H112" s="1981"/>
      <c r="I112" s="1981"/>
      <c r="J112" s="1223"/>
      <c r="K112" s="1220"/>
      <c r="L112" s="1224"/>
      <c r="M112" s="1396"/>
    </row>
    <row r="113" spans="1:13" s="1216" customFormat="1" ht="15.5">
      <c r="A113" s="1222"/>
      <c r="B113" s="1948"/>
      <c r="C113" s="1948"/>
      <c r="D113" s="1948"/>
      <c r="E113" s="1223"/>
      <c r="F113" s="1220"/>
      <c r="G113" s="1220"/>
      <c r="H113" s="1220"/>
      <c r="I113" s="1218">
        <v>50</v>
      </c>
      <c r="J113" s="1219" t="s">
        <v>790</v>
      </c>
      <c r="K113" s="1220">
        <f>'Ele Data (2)'!G83</f>
        <v>18.73</v>
      </c>
      <c r="L113" s="1221" t="s">
        <v>1640</v>
      </c>
      <c r="M113" s="1395">
        <f>ROUND(I113*K113,0)</f>
        <v>937</v>
      </c>
    </row>
    <row r="114" spans="1:13" s="1216" customFormat="1" ht="66" customHeight="1">
      <c r="A114" s="1222">
        <v>26</v>
      </c>
      <c r="B114" s="1981" t="s">
        <v>1653</v>
      </c>
      <c r="C114" s="1981"/>
      <c r="D114" s="1981"/>
      <c r="E114" s="1981"/>
      <c r="F114" s="1981"/>
      <c r="G114" s="1981"/>
      <c r="H114" s="1981"/>
      <c r="I114" s="1981"/>
      <c r="J114" s="1223"/>
      <c r="K114" s="1220"/>
      <c r="L114" s="1224"/>
      <c r="M114" s="1396"/>
    </row>
    <row r="115" spans="1:13" s="1216" customFormat="1" ht="15.5">
      <c r="A115" s="1222"/>
      <c r="B115" s="1948"/>
      <c r="C115" s="1948"/>
      <c r="D115" s="1948"/>
      <c r="E115" s="1223"/>
      <c r="F115" s="1220"/>
      <c r="G115" s="1220"/>
      <c r="H115" s="1220"/>
      <c r="I115" s="1218">
        <v>15</v>
      </c>
      <c r="J115" s="1219" t="s">
        <v>790</v>
      </c>
      <c r="K115" s="1220">
        <f>'Ele Data (2)'!G205</f>
        <v>65.150000000000006</v>
      </c>
      <c r="L115" s="1221" t="s">
        <v>1640</v>
      </c>
      <c r="M115" s="1395">
        <f>ROUND(I115*K115,0)</f>
        <v>977</v>
      </c>
    </row>
    <row r="116" spans="1:13" s="1216" customFormat="1" ht="94" customHeight="1">
      <c r="A116" s="1222">
        <v>27</v>
      </c>
      <c r="B116" s="1985" t="s">
        <v>2061</v>
      </c>
      <c r="C116" s="1985"/>
      <c r="D116" s="1985"/>
      <c r="E116" s="1985"/>
      <c r="F116" s="1985"/>
      <c r="G116" s="1985"/>
      <c r="H116" s="1985"/>
      <c r="I116" s="1985"/>
      <c r="J116" s="1223"/>
      <c r="K116" s="1220"/>
      <c r="L116" s="1224"/>
      <c r="M116" s="1396"/>
    </row>
    <row r="117" spans="1:13" s="1216" customFormat="1" ht="15.5">
      <c r="A117" s="1222"/>
      <c r="B117" s="1947"/>
      <c r="C117" s="1225"/>
      <c r="D117" s="1225"/>
      <c r="E117" s="1225"/>
      <c r="F117" s="1220"/>
      <c r="G117" s="1220"/>
      <c r="H117" s="1220"/>
      <c r="I117" s="1226">
        <v>1</v>
      </c>
      <c r="J117" s="1227" t="s">
        <v>796</v>
      </c>
      <c r="K117" s="1220">
        <f>'Ele Data (2)'!G467</f>
        <v>206.66500000000002</v>
      </c>
      <c r="L117" s="1221" t="s">
        <v>692</v>
      </c>
      <c r="M117" s="1395">
        <f>ROUND(I117*K117,0)</f>
        <v>207</v>
      </c>
    </row>
    <row r="118" spans="1:13" s="1216" customFormat="1" ht="71" customHeight="1">
      <c r="A118" s="1222">
        <v>28</v>
      </c>
      <c r="B118" s="1982" t="s">
        <v>1654</v>
      </c>
      <c r="C118" s="1982"/>
      <c r="D118" s="1982"/>
      <c r="E118" s="1982"/>
      <c r="F118" s="1982"/>
      <c r="G118" s="1982"/>
      <c r="H118" s="1982"/>
      <c r="I118" s="1982"/>
      <c r="J118" s="1223"/>
      <c r="K118" s="1220"/>
      <c r="L118" s="1224"/>
      <c r="M118" s="1396"/>
    </row>
    <row r="119" spans="1:13" s="1216" customFormat="1" ht="15.5">
      <c r="A119" s="1222"/>
      <c r="B119" s="1947"/>
      <c r="C119" s="1225"/>
      <c r="D119" s="1225"/>
      <c r="E119" s="1225"/>
      <c r="F119" s="1220"/>
      <c r="G119" s="1220"/>
      <c r="H119" s="1220"/>
      <c r="I119" s="1226">
        <v>2</v>
      </c>
      <c r="J119" s="1227" t="s">
        <v>796</v>
      </c>
      <c r="K119" s="1345">
        <f>'Ele Data (2)'!G343</f>
        <v>881.2</v>
      </c>
      <c r="L119" s="1221" t="s">
        <v>692</v>
      </c>
      <c r="M119" s="1395">
        <f>ROUND(I119*K119,0)</f>
        <v>1762</v>
      </c>
    </row>
    <row r="120" spans="1:13" s="1216" customFormat="1" ht="52" customHeight="1">
      <c r="A120" s="1222">
        <v>29</v>
      </c>
      <c r="B120" s="1982" t="s">
        <v>1328</v>
      </c>
      <c r="C120" s="1982"/>
      <c r="D120" s="1982"/>
      <c r="E120" s="1982"/>
      <c r="F120" s="1982"/>
      <c r="G120" s="1982"/>
      <c r="H120" s="1982"/>
      <c r="I120" s="1982"/>
      <c r="J120" s="1223"/>
      <c r="K120" s="1220"/>
      <c r="L120" s="1224"/>
      <c r="M120" s="1396"/>
    </row>
    <row r="121" spans="1:13" s="1216" customFormat="1" ht="15.5">
      <c r="A121" s="1222"/>
      <c r="B121" s="1947"/>
      <c r="C121" s="1225"/>
      <c r="D121" s="1225"/>
      <c r="E121" s="1225"/>
      <c r="F121" s="1220"/>
      <c r="G121" s="1220"/>
      <c r="H121" s="1220"/>
      <c r="I121" s="1226">
        <v>2</v>
      </c>
      <c r="J121" s="1227" t="s">
        <v>796</v>
      </c>
      <c r="K121" s="1220">
        <f>'Ele Data (2)'!G128</f>
        <v>83.75</v>
      </c>
      <c r="L121" s="1221" t="s">
        <v>692</v>
      </c>
      <c r="M121" s="1395">
        <f>ROUND(I121*K121,0)</f>
        <v>168</v>
      </c>
    </row>
    <row r="122" spans="1:13" s="2291" customFormat="1" ht="133.5" customHeight="1">
      <c r="A122" s="2287">
        <v>30</v>
      </c>
      <c r="B122" s="2288" t="s">
        <v>2241</v>
      </c>
      <c r="C122" s="2288"/>
      <c r="D122" s="2288"/>
      <c r="E122" s="2288"/>
      <c r="F122" s="2288"/>
      <c r="G122" s="2288"/>
      <c r="H122" s="2288"/>
      <c r="I122" s="2288"/>
      <c r="J122" s="2288"/>
      <c r="K122" s="2288"/>
      <c r="L122" s="2289"/>
      <c r="M122" s="2290"/>
    </row>
    <row r="123" spans="1:13" s="1213" customFormat="1" ht="28.5" customHeight="1">
      <c r="A123" s="2292"/>
      <c r="B123" s="2293" t="s">
        <v>2242</v>
      </c>
      <c r="C123" s="2293"/>
      <c r="D123" s="2293"/>
      <c r="E123" s="2293"/>
      <c r="F123" s="2293"/>
      <c r="G123" s="2294"/>
      <c r="H123" s="2294"/>
      <c r="I123" s="2295">
        <v>20</v>
      </c>
      <c r="J123" s="2296" t="s">
        <v>792</v>
      </c>
      <c r="K123" s="2297">
        <f>'Data-San&amp;wat (2)'!G64</f>
        <v>206.67</v>
      </c>
      <c r="L123" s="2289" t="s">
        <v>1640</v>
      </c>
      <c r="M123" s="2298">
        <f>ROUND(I123*K123,0)</f>
        <v>4133</v>
      </c>
    </row>
    <row r="124" spans="1:13" s="1213" customFormat="1">
      <c r="A124" s="2292"/>
      <c r="B124" s="2299"/>
      <c r="C124" s="2287"/>
      <c r="D124" s="2287"/>
      <c r="E124" s="2287"/>
      <c r="F124" s="2294"/>
      <c r="G124" s="2294"/>
      <c r="H124" s="2294"/>
      <c r="I124" s="2300"/>
      <c r="J124" s="2299"/>
      <c r="K124" s="2297"/>
      <c r="L124" s="2289"/>
      <c r="M124" s="2298"/>
    </row>
    <row r="125" spans="1:13" s="1213" customFormat="1" ht="30.75" customHeight="1">
      <c r="A125" s="2292"/>
      <c r="B125" s="2293" t="s">
        <v>2243</v>
      </c>
      <c r="C125" s="2293"/>
      <c r="D125" s="2293"/>
      <c r="E125" s="2293"/>
      <c r="F125" s="2293"/>
      <c r="G125" s="2294"/>
      <c r="H125" s="2294"/>
      <c r="I125" s="2295">
        <v>10</v>
      </c>
      <c r="J125" s="2296" t="s">
        <v>792</v>
      </c>
      <c r="K125" s="2297">
        <f>'Data-San&amp;wat (2)'!G84</f>
        <v>184.33</v>
      </c>
      <c r="L125" s="2289" t="s">
        <v>1640</v>
      </c>
      <c r="M125" s="2298">
        <f>ROUND(I125*K125,0)</f>
        <v>1843</v>
      </c>
    </row>
    <row r="126" spans="1:13" s="1022" customFormat="1" ht="65" customHeight="1">
      <c r="A126" s="1212">
        <v>31</v>
      </c>
      <c r="B126" s="2303" t="s">
        <v>1586</v>
      </c>
      <c r="C126" s="2304"/>
      <c r="D126" s="2304"/>
      <c r="E126" s="2304"/>
      <c r="F126" s="2304"/>
      <c r="G126" s="2304"/>
      <c r="H126" s="2304"/>
      <c r="I126" s="2304"/>
      <c r="J126" s="2304"/>
      <c r="K126" s="2304"/>
    </row>
    <row r="127" spans="1:13" s="1022" customFormat="1" ht="23.5" customHeight="1">
      <c r="A127" s="1212"/>
      <c r="B127" s="2303" t="s">
        <v>2249</v>
      </c>
      <c r="C127" s="2304"/>
      <c r="D127" s="2304"/>
      <c r="E127" s="2304"/>
      <c r="F127" s="2304"/>
      <c r="G127" s="2302"/>
      <c r="H127" s="2302"/>
      <c r="I127" s="2302">
        <v>40</v>
      </c>
      <c r="J127" s="2302" t="s">
        <v>792</v>
      </c>
      <c r="K127" s="2302">
        <f>'Data-San&amp;wat (2)'!G97</f>
        <v>85</v>
      </c>
      <c r="L127" s="1022" t="s">
        <v>2250</v>
      </c>
      <c r="M127" s="1022">
        <f>K127*I127</f>
        <v>3400</v>
      </c>
    </row>
    <row r="128" spans="1:13" s="1213" customFormat="1" ht="90" customHeight="1">
      <c r="A128" s="2287">
        <v>32</v>
      </c>
      <c r="B128" s="2288" t="s">
        <v>2244</v>
      </c>
      <c r="C128" s="2288"/>
      <c r="D128" s="2288"/>
      <c r="E128" s="2288"/>
      <c r="F128" s="2288"/>
      <c r="G128" s="2288"/>
      <c r="H128" s="2288"/>
      <c r="I128" s="2288"/>
      <c r="J128" s="2288"/>
      <c r="K128" s="2288"/>
      <c r="L128" s="2289"/>
      <c r="M128" s="2298"/>
    </row>
    <row r="129" spans="1:17" s="1213" customFormat="1">
      <c r="A129" s="2287"/>
      <c r="B129" s="2299"/>
      <c r="C129" s="2287">
        <v>1</v>
      </c>
      <c r="D129" s="2287" t="s">
        <v>672</v>
      </c>
      <c r="E129" s="2287">
        <v>2</v>
      </c>
      <c r="F129" s="2294"/>
      <c r="G129" s="2294"/>
      <c r="H129" s="2294"/>
      <c r="I129" s="2300">
        <v>2</v>
      </c>
      <c r="J129" s="2299"/>
      <c r="K129" s="2297"/>
      <c r="L129" s="2289"/>
      <c r="M129" s="2298"/>
    </row>
    <row r="130" spans="1:17" s="1213" customFormat="1" ht="18" customHeight="1">
      <c r="A130" s="2287"/>
      <c r="B130" s="2299"/>
      <c r="C130" s="2294"/>
      <c r="D130" s="2294"/>
      <c r="E130" s="2294"/>
      <c r="F130" s="2294"/>
      <c r="G130" s="2294"/>
      <c r="H130" s="2294"/>
      <c r="I130" s="2295">
        <f>SUM(I129:I129)</f>
        <v>2</v>
      </c>
      <c r="J130" s="2296" t="s">
        <v>796</v>
      </c>
      <c r="K130" s="2297">
        <f>'Data-San&amp;wat (2)'!G26</f>
        <v>4632</v>
      </c>
      <c r="L130" s="2289" t="s">
        <v>692</v>
      </c>
      <c r="M130" s="2298">
        <f>ROUND(I130*K130,0)</f>
        <v>9264</v>
      </c>
    </row>
    <row r="131" spans="1:17" s="1213" customFormat="1" ht="76.5" customHeight="1">
      <c r="A131" s="2287">
        <v>33</v>
      </c>
      <c r="B131" s="2288" t="s">
        <v>2245</v>
      </c>
      <c r="C131" s="2288"/>
      <c r="D131" s="2288"/>
      <c r="E131" s="2288"/>
      <c r="F131" s="2288"/>
      <c r="G131" s="2288"/>
      <c r="H131" s="2288"/>
      <c r="I131" s="2288"/>
      <c r="J131" s="2288"/>
      <c r="K131" s="2288"/>
      <c r="L131" s="2289"/>
      <c r="M131" s="2298"/>
      <c r="O131" s="2301"/>
      <c r="Q131" s="2301"/>
    </row>
    <row r="132" spans="1:17" s="1213" customFormat="1" ht="18" customHeight="1">
      <c r="A132" s="2287"/>
      <c r="B132" s="2299"/>
      <c r="C132" s="2287">
        <v>1</v>
      </c>
      <c r="D132" s="2287" t="s">
        <v>672</v>
      </c>
      <c r="E132" s="2287">
        <v>2</v>
      </c>
      <c r="F132" s="2294"/>
      <c r="G132" s="2294"/>
      <c r="H132" s="2294"/>
      <c r="I132" s="2300">
        <v>2</v>
      </c>
      <c r="J132" s="2299" t="s">
        <v>796</v>
      </c>
      <c r="K132" s="2297"/>
      <c r="L132" s="2289"/>
      <c r="M132" s="2298"/>
    </row>
    <row r="133" spans="1:17" s="1213" customFormat="1" ht="18" customHeight="1">
      <c r="A133" s="2287"/>
      <c r="B133" s="2299"/>
      <c r="C133" s="2294"/>
      <c r="D133" s="2294"/>
      <c r="E133" s="2294"/>
      <c r="F133" s="2294"/>
      <c r="G133" s="2294"/>
      <c r="H133" s="2294"/>
      <c r="I133" s="2295">
        <f>SUM(I132:I132)</f>
        <v>2</v>
      </c>
      <c r="J133" s="2296" t="s">
        <v>217</v>
      </c>
      <c r="K133" s="2297">
        <f>'Data-San&amp;wat (2)'!G38</f>
        <v>2473</v>
      </c>
      <c r="L133" s="2289" t="s">
        <v>692</v>
      </c>
      <c r="M133" s="2298">
        <f>ROUND(I133*K133,0)</f>
        <v>4946</v>
      </c>
    </row>
    <row r="134" spans="1:17" s="1213" customFormat="1" ht="49.5" customHeight="1">
      <c r="A134" s="2287">
        <v>34</v>
      </c>
      <c r="B134" s="2288" t="s">
        <v>2246</v>
      </c>
      <c r="C134" s="2288"/>
      <c r="D134" s="2288"/>
      <c r="E134" s="2288"/>
      <c r="F134" s="2288"/>
      <c r="G134" s="2288"/>
      <c r="H134" s="2288"/>
      <c r="I134" s="2288"/>
      <c r="J134" s="2288"/>
      <c r="K134" s="2288"/>
      <c r="L134" s="2289"/>
      <c r="M134" s="2298"/>
    </row>
    <row r="135" spans="1:17" s="1213" customFormat="1">
      <c r="A135" s="2287"/>
      <c r="B135" s="2299"/>
      <c r="C135" s="2287">
        <v>1</v>
      </c>
      <c r="D135" s="2287" t="s">
        <v>672</v>
      </c>
      <c r="E135" s="2287">
        <v>2</v>
      </c>
      <c r="F135" s="2294"/>
      <c r="G135" s="2294"/>
      <c r="H135" s="2294"/>
      <c r="I135" s="2300">
        <f>ROUND(C135*E135,2)</f>
        <v>2</v>
      </c>
      <c r="J135" s="2299" t="s">
        <v>796</v>
      </c>
      <c r="K135" s="2297"/>
      <c r="L135" s="2289"/>
      <c r="M135" s="2298"/>
    </row>
    <row r="136" spans="1:17" s="1213" customFormat="1" ht="18" customHeight="1">
      <c r="A136" s="2287"/>
      <c r="B136" s="2299"/>
      <c r="C136" s="2294"/>
      <c r="D136" s="2294"/>
      <c r="E136" s="2294"/>
      <c r="F136" s="2294"/>
      <c r="G136" s="2294"/>
      <c r="H136" s="2294"/>
      <c r="I136" s="2295">
        <f>SUM(I135:I135)</f>
        <v>2</v>
      </c>
      <c r="J136" s="2296" t="s">
        <v>217</v>
      </c>
      <c r="K136" s="2297">
        <f>'Data-San&amp;wat (2)'!G118</f>
        <v>156</v>
      </c>
      <c r="L136" s="2289" t="s">
        <v>692</v>
      </c>
      <c r="M136" s="2298">
        <f>ROUND(I136*K136,0)</f>
        <v>312</v>
      </c>
    </row>
    <row r="137" spans="1:17" s="1213" customFormat="1" ht="54" customHeight="1">
      <c r="A137" s="2287">
        <v>35</v>
      </c>
      <c r="B137" s="2288" t="s">
        <v>2247</v>
      </c>
      <c r="C137" s="2288"/>
      <c r="D137" s="2288"/>
      <c r="E137" s="2288"/>
      <c r="F137" s="2288"/>
      <c r="G137" s="2288"/>
      <c r="H137" s="2288"/>
      <c r="I137" s="2288"/>
      <c r="J137" s="2288"/>
      <c r="K137" s="2288"/>
      <c r="L137" s="2289"/>
      <c r="M137" s="2298"/>
    </row>
    <row r="138" spans="1:17" s="1213" customFormat="1" ht="18" customHeight="1">
      <c r="A138" s="2287"/>
      <c r="B138" s="2299"/>
      <c r="C138" s="2287">
        <v>1</v>
      </c>
      <c r="D138" s="2287" t="s">
        <v>672</v>
      </c>
      <c r="E138" s="2287">
        <v>2</v>
      </c>
      <c r="F138" s="2294"/>
      <c r="G138" s="2294"/>
      <c r="H138" s="2294"/>
      <c r="I138" s="2300">
        <f>ROUND(C138*E138,2)</f>
        <v>2</v>
      </c>
      <c r="J138" s="2299" t="s">
        <v>796</v>
      </c>
      <c r="K138" s="2297"/>
      <c r="L138" s="2289"/>
      <c r="M138" s="2298"/>
    </row>
    <row r="139" spans="1:17" s="1213" customFormat="1" ht="18" customHeight="1">
      <c r="A139" s="2287"/>
      <c r="B139" s="2299"/>
      <c r="C139" s="2287"/>
      <c r="D139" s="2287"/>
      <c r="E139" s="2287"/>
      <c r="F139" s="2294"/>
      <c r="G139" s="2294"/>
      <c r="H139" s="2294"/>
      <c r="I139" s="2295">
        <f>SUM(I138:I138)</f>
        <v>2</v>
      </c>
      <c r="J139" s="2296" t="s">
        <v>796</v>
      </c>
      <c r="K139" s="2297">
        <f>'Data-San&amp;wat (2)'!G174</f>
        <v>122</v>
      </c>
      <c r="L139" s="2289" t="s">
        <v>692</v>
      </c>
      <c r="M139" s="2298">
        <f>ROUND(I139*K139,0)</f>
        <v>244</v>
      </c>
    </row>
    <row r="140" spans="1:17" s="1213" customFormat="1" ht="38.25" customHeight="1">
      <c r="A140" s="2287">
        <v>36</v>
      </c>
      <c r="B140" s="2288" t="s">
        <v>2248</v>
      </c>
      <c r="C140" s="2288"/>
      <c r="D140" s="2288"/>
      <c r="E140" s="2288"/>
      <c r="F140" s="2288"/>
      <c r="G140" s="2288"/>
      <c r="H140" s="2288"/>
      <c r="I140" s="2288"/>
      <c r="J140" s="2288"/>
      <c r="K140" s="2288"/>
      <c r="L140" s="2289"/>
      <c r="M140" s="2298"/>
    </row>
    <row r="141" spans="1:17" s="1213" customFormat="1">
      <c r="A141" s="2287"/>
      <c r="B141" s="2299"/>
      <c r="C141" s="2287">
        <v>1</v>
      </c>
      <c r="D141" s="2287" t="s">
        <v>672</v>
      </c>
      <c r="E141" s="2287">
        <v>4</v>
      </c>
      <c r="F141" s="2294"/>
      <c r="G141" s="2294"/>
      <c r="H141" s="2294"/>
      <c r="I141" s="2300">
        <f>ROUND(C141*E141,2)</f>
        <v>4</v>
      </c>
      <c r="J141" s="2299" t="s">
        <v>796</v>
      </c>
      <c r="K141" s="2297"/>
      <c r="L141" s="2289"/>
      <c r="M141" s="2298"/>
    </row>
    <row r="142" spans="1:17" s="1213" customFormat="1" ht="18" customHeight="1">
      <c r="A142" s="2287"/>
      <c r="B142" s="2296"/>
      <c r="C142" s="2294"/>
      <c r="D142" s="2294"/>
      <c r="E142" s="2294"/>
      <c r="F142" s="2294"/>
      <c r="G142" s="2294"/>
      <c r="H142" s="2294"/>
      <c r="I142" s="2295">
        <f>SUM(I141:I141)</f>
        <v>4</v>
      </c>
      <c r="J142" s="2296" t="s">
        <v>796</v>
      </c>
      <c r="K142" s="2297">
        <f>'Data-San&amp;wat (2)'!G43</f>
        <v>252</v>
      </c>
      <c r="L142" s="2289" t="s">
        <v>692</v>
      </c>
      <c r="M142" s="2298">
        <f>ROUND(I142*K142,0)</f>
        <v>1008</v>
      </c>
    </row>
    <row r="143" spans="1:17" s="1213" customFormat="1">
      <c r="A143" s="2292"/>
      <c r="B143" s="2299"/>
      <c r="C143" s="2287"/>
      <c r="D143" s="2287"/>
      <c r="E143" s="2287"/>
      <c r="F143" s="2294"/>
      <c r="G143" s="2294"/>
      <c r="H143" s="2294"/>
      <c r="I143" s="2300"/>
      <c r="J143" s="2299"/>
      <c r="K143" s="2297"/>
      <c r="L143" s="2289"/>
      <c r="M143" s="2298"/>
    </row>
    <row r="144" spans="1:17" s="716" customFormat="1" ht="15.5">
      <c r="A144" s="1241"/>
      <c r="B144" s="1944"/>
      <c r="C144" s="1241"/>
      <c r="D144" s="1241"/>
      <c r="E144" s="1241"/>
      <c r="F144" s="1251"/>
      <c r="G144" s="1251"/>
      <c r="H144" s="1251"/>
      <c r="I144" s="1246"/>
      <c r="J144" s="1134"/>
      <c r="K144" s="1251"/>
      <c r="L144" s="1251"/>
      <c r="M144" s="1397">
        <f>SUM(M7:M143)</f>
        <v>244119</v>
      </c>
    </row>
    <row r="145" spans="1:13" s="716" customFormat="1" ht="15.5">
      <c r="A145" s="1241"/>
      <c r="B145" s="1944"/>
      <c r="C145" s="1241"/>
      <c r="D145" s="1241"/>
      <c r="E145" s="1241"/>
      <c r="F145" s="1251"/>
      <c r="G145" s="1251"/>
      <c r="H145" s="1251"/>
      <c r="I145" s="1246"/>
      <c r="J145" s="1134"/>
      <c r="K145" s="1251"/>
      <c r="L145" s="1251"/>
      <c r="M145" s="1397"/>
    </row>
    <row r="146" spans="1:13" s="716" customFormat="1" ht="15.5">
      <c r="A146" s="1241"/>
      <c r="B146" s="1944"/>
      <c r="C146" s="1241"/>
      <c r="D146" s="1241"/>
      <c r="E146" s="1241"/>
      <c r="F146" s="1251"/>
      <c r="G146" s="1251"/>
      <c r="H146" s="1251"/>
      <c r="I146" s="1246"/>
      <c r="J146" s="1134"/>
      <c r="K146" s="1251"/>
      <c r="L146" s="1251"/>
      <c r="M146" s="1392"/>
    </row>
    <row r="147" spans="1:13" s="716" customFormat="1" ht="15.5">
      <c r="A147" s="1241">
        <v>77</v>
      </c>
      <c r="B147" s="1944" t="s">
        <v>1892</v>
      </c>
      <c r="C147" s="1241"/>
      <c r="D147" s="1241"/>
      <c r="E147" s="1241"/>
      <c r="F147" s="1251"/>
      <c r="G147" s="1251"/>
      <c r="H147" s="1251"/>
      <c r="I147" s="1246"/>
      <c r="J147" s="1134"/>
      <c r="K147" s="1251"/>
      <c r="L147" s="1251"/>
      <c r="M147" s="1392" t="e">
        <f>SUM(M149-#REF!-#REF!-M144)</f>
        <v>#REF!</v>
      </c>
    </row>
    <row r="148" spans="1:13" s="716" customFormat="1" ht="14">
      <c r="A148" s="1241"/>
      <c r="B148" s="1944"/>
      <c r="C148" s="1241"/>
      <c r="D148" s="1241"/>
      <c r="E148" s="1241"/>
      <c r="F148" s="1251"/>
      <c r="G148" s="1251"/>
      <c r="H148" s="1251"/>
      <c r="I148" s="1246"/>
      <c r="J148" s="1134"/>
      <c r="K148" s="1251"/>
      <c r="L148" s="1251"/>
      <c r="M148" s="1380"/>
    </row>
    <row r="149" spans="1:13" s="716" customFormat="1" ht="18">
      <c r="A149" s="1241"/>
      <c r="B149" s="1944"/>
      <c r="C149" s="1241"/>
      <c r="D149" s="1241"/>
      <c r="E149" s="1241"/>
      <c r="F149" s="1251"/>
      <c r="G149" s="1251"/>
      <c r="H149" s="1251"/>
      <c r="I149" s="1246"/>
      <c r="J149" s="1134"/>
      <c r="K149" s="1251"/>
      <c r="L149" s="1251"/>
      <c r="M149" s="1431">
        <v>4000000</v>
      </c>
    </row>
    <row r="150" spans="1:13" s="716" customFormat="1" ht="14">
      <c r="A150" s="1381"/>
      <c r="B150" s="1382"/>
      <c r="C150" s="1381"/>
      <c r="D150" s="1381"/>
      <c r="E150" s="1381"/>
      <c r="F150" s="1383"/>
      <c r="G150" s="1383"/>
      <c r="H150" s="1383"/>
      <c r="I150" s="1528"/>
      <c r="J150" s="1529"/>
      <c r="K150" s="1383"/>
      <c r="L150" s="1383"/>
      <c r="M150" s="1530"/>
    </row>
    <row r="151" spans="1:13" s="716" customFormat="1" ht="14">
      <c r="A151" s="1381"/>
      <c r="B151" s="1382"/>
      <c r="C151" s="1381"/>
      <c r="D151" s="1381"/>
      <c r="E151" s="1381"/>
      <c r="F151" s="1383"/>
      <c r="G151" s="1383"/>
      <c r="H151" s="1383"/>
      <c r="I151" s="1528"/>
      <c r="J151" s="1529"/>
      <c r="K151" s="1383"/>
      <c r="L151" s="1383"/>
      <c r="M151" s="1530"/>
    </row>
    <row r="153" spans="1:13">
      <c r="H153" s="1817" t="str">
        <f>'Specification (3)'!E35</f>
        <v>Dy.Exe.Engineer</v>
      </c>
      <c r="K153" s="1818" t="str">
        <f>'Specification (3)'!H35</f>
        <v>Asst. Exe Engineer</v>
      </c>
    </row>
    <row r="154" spans="1:13">
      <c r="H154" s="1817" t="str">
        <f>'Specification (3)'!E36</f>
        <v>PRI, Baireddipalle</v>
      </c>
      <c r="K154" s="1818" t="str">
        <f>'Specification (3)'!H36</f>
        <v>MPP, Baireddipalle</v>
      </c>
    </row>
  </sheetData>
  <mergeCells count="58">
    <mergeCell ref="B127:F127"/>
    <mergeCell ref="B128:K128"/>
    <mergeCell ref="B131:K131"/>
    <mergeCell ref="B134:K134"/>
    <mergeCell ref="B137:K137"/>
    <mergeCell ref="B140:K140"/>
    <mergeCell ref="B126:K126"/>
    <mergeCell ref="B13:H13"/>
    <mergeCell ref="B122:K122"/>
    <mergeCell ref="B123:F123"/>
    <mergeCell ref="B125:F125"/>
    <mergeCell ref="B116:I116"/>
    <mergeCell ref="B118:I118"/>
    <mergeCell ref="B120:I120"/>
    <mergeCell ref="B108:I108"/>
    <mergeCell ref="B110:I110"/>
    <mergeCell ref="B112:I112"/>
    <mergeCell ref="B114:I114"/>
    <mergeCell ref="B93:I93"/>
    <mergeCell ref="B97:I97"/>
    <mergeCell ref="B103:I103"/>
    <mergeCell ref="B83:I83"/>
    <mergeCell ref="B85:I85"/>
    <mergeCell ref="B89:I89"/>
    <mergeCell ref="B54:I54"/>
    <mergeCell ref="B58:H58"/>
    <mergeCell ref="B66:I66"/>
    <mergeCell ref="B69:I69"/>
    <mergeCell ref="B73:I73"/>
    <mergeCell ref="B78:I78"/>
    <mergeCell ref="B44:I44"/>
    <mergeCell ref="B45:G45"/>
    <mergeCell ref="B49:I49"/>
    <mergeCell ref="B50:F50"/>
    <mergeCell ref="B34:I34"/>
    <mergeCell ref="B37:I37"/>
    <mergeCell ref="B40:I40"/>
    <mergeCell ref="B24:I24"/>
    <mergeCell ref="B29:I29"/>
    <mergeCell ref="B7:I7"/>
    <mergeCell ref="B8:H8"/>
    <mergeCell ref="B12:I12"/>
    <mergeCell ref="B17:I17"/>
    <mergeCell ref="L4:L5"/>
    <mergeCell ref="M4:M5"/>
    <mergeCell ref="C5:E5"/>
    <mergeCell ref="C6:E6"/>
    <mergeCell ref="I6:J6"/>
    <mergeCell ref="A1:M1"/>
    <mergeCell ref="A2:M2"/>
    <mergeCell ref="A3:F3"/>
    <mergeCell ref="G3:J3"/>
    <mergeCell ref="K3:M3"/>
    <mergeCell ref="A4:A5"/>
    <mergeCell ref="B4:B5"/>
    <mergeCell ref="C4:H4"/>
    <mergeCell ref="I4:J5"/>
    <mergeCell ref="K4:K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M38"/>
  <sheetViews>
    <sheetView topLeftCell="A29" workbookViewId="0">
      <selection activeCell="A3" sqref="A3:A4"/>
    </sheetView>
  </sheetViews>
  <sheetFormatPr defaultColWidth="9.1796875" defaultRowHeight="14"/>
  <cols>
    <col min="1" max="1" width="4.453125" style="2283" customWidth="1"/>
    <col min="2" max="2" width="23.453125" style="1114" customWidth="1"/>
    <col min="3" max="3" width="3.453125" style="2283" customWidth="1"/>
    <col min="4" max="4" width="2.54296875" style="2283" customWidth="1"/>
    <col min="5" max="5" width="4.1796875" style="2283" customWidth="1"/>
    <col min="6" max="6" width="6.81640625" style="2283" customWidth="1"/>
    <col min="7" max="7" width="5.453125" style="2283" customWidth="1"/>
    <col min="8" max="8" width="6.453125" style="2283" customWidth="1"/>
    <col min="9" max="9" width="8.1796875" style="1114" customWidth="1"/>
    <col min="10" max="10" width="2.1796875" style="1114" bestFit="1" customWidth="1"/>
    <col min="11" max="11" width="5.54296875" style="1114" bestFit="1" customWidth="1"/>
    <col min="12" max="12" width="10.1796875" style="1114" bestFit="1" customWidth="1"/>
    <col min="13" max="13" width="9.54296875" style="2285" customWidth="1"/>
    <col min="14" max="14" width="13.453125" style="1114" customWidth="1"/>
    <col min="15" max="15" width="9.54296875" style="1114" bestFit="1" customWidth="1"/>
    <col min="16" max="16" width="9.1796875" style="1114"/>
    <col min="17" max="17" width="9.1796875" style="1114" bestFit="1" customWidth="1"/>
    <col min="18" max="20" width="9.1796875" style="1114"/>
    <col min="21" max="21" width="9.1796875" style="1114" bestFit="1" customWidth="1"/>
    <col min="22" max="16384" width="9.1796875" style="1114"/>
  </cols>
  <sheetData>
    <row r="1" spans="1:13">
      <c r="A1" s="2265" t="s">
        <v>2213</v>
      </c>
      <c r="B1" s="2265"/>
      <c r="C1" s="2265"/>
      <c r="D1" s="2265"/>
      <c r="E1" s="2265"/>
      <c r="F1" s="2265"/>
      <c r="G1" s="2265"/>
      <c r="H1" s="2265"/>
      <c r="I1" s="2265"/>
      <c r="J1" s="2265"/>
      <c r="K1" s="2265"/>
      <c r="L1" s="2265"/>
      <c r="M1" s="2265"/>
    </row>
    <row r="2" spans="1:13" ht="15.5">
      <c r="A2" s="2266" t="str">
        <f>Detailed!A2</f>
        <v>Name of work :: Construction of Function Hall at Kadapanatham Of Baireddipalle Mandal</v>
      </c>
      <c r="B2" s="2267"/>
      <c r="C2" s="2267"/>
      <c r="D2" s="2267"/>
      <c r="E2" s="2267"/>
      <c r="F2" s="2267"/>
      <c r="G2" s="2267"/>
      <c r="H2" s="2267"/>
      <c r="I2" s="2267"/>
      <c r="J2" s="2267"/>
      <c r="K2" s="2267"/>
      <c r="L2" s="2267"/>
      <c r="M2" s="2268"/>
    </row>
    <row r="3" spans="1:13">
      <c r="A3" s="2265" t="s">
        <v>2214</v>
      </c>
      <c r="B3" s="2265" t="s">
        <v>1021</v>
      </c>
      <c r="C3" s="2265" t="s">
        <v>2215</v>
      </c>
      <c r="D3" s="2265"/>
      <c r="E3" s="2265"/>
      <c r="F3" s="2265" t="s">
        <v>668</v>
      </c>
      <c r="G3" s="2265"/>
      <c r="H3" s="2265"/>
      <c r="I3" s="2265" t="s">
        <v>797</v>
      </c>
      <c r="J3" s="2265" t="s">
        <v>2216</v>
      </c>
      <c r="K3" s="2265"/>
      <c r="L3" s="2265" t="s">
        <v>2217</v>
      </c>
      <c r="M3" s="2269" t="s">
        <v>302</v>
      </c>
    </row>
    <row r="4" spans="1:13">
      <c r="A4" s="2265"/>
      <c r="B4" s="2265"/>
      <c r="C4" s="2265"/>
      <c r="D4" s="2265"/>
      <c r="E4" s="2265"/>
      <c r="F4" s="2270" t="s">
        <v>429</v>
      </c>
      <c r="G4" s="2270" t="s">
        <v>145</v>
      </c>
      <c r="H4" s="2270" t="s">
        <v>498</v>
      </c>
      <c r="I4" s="2265"/>
      <c r="J4" s="2265"/>
      <c r="K4" s="2265"/>
      <c r="L4" s="2265"/>
      <c r="M4" s="2269"/>
    </row>
    <row r="5" spans="1:13" ht="18">
      <c r="A5" s="2271"/>
      <c r="B5" s="2272" t="s">
        <v>2235</v>
      </c>
      <c r="C5" s="2272"/>
      <c r="D5" s="2272"/>
      <c r="E5" s="2272"/>
      <c r="F5" s="2272"/>
      <c r="G5" s="2272"/>
      <c r="H5" s="2272"/>
      <c r="I5" s="2272"/>
      <c r="J5" s="2273"/>
      <c r="K5" s="2274"/>
      <c r="L5" s="2275"/>
      <c r="M5" s="2276"/>
    </row>
    <row r="6" spans="1:13" ht="100" customHeight="1">
      <c r="A6" s="1234">
        <v>1</v>
      </c>
      <c r="B6" s="2277" t="s">
        <v>2218</v>
      </c>
      <c r="C6" s="2277"/>
      <c r="D6" s="2277"/>
      <c r="E6" s="2277"/>
      <c r="F6" s="2277"/>
      <c r="G6" s="2277"/>
      <c r="H6" s="2277"/>
      <c r="I6" s="2277"/>
      <c r="J6" s="1235"/>
      <c r="K6" s="1235"/>
      <c r="L6" s="1235"/>
      <c r="M6" s="2278"/>
    </row>
    <row r="7" spans="1:13">
      <c r="A7" s="1234"/>
      <c r="B7" s="1235" t="s">
        <v>2219</v>
      </c>
      <c r="C7" s="1234">
        <v>1</v>
      </c>
      <c r="D7" s="1234" t="s">
        <v>672</v>
      </c>
      <c r="E7" s="1234">
        <v>1</v>
      </c>
      <c r="F7" s="1236">
        <f>2.52+0.3</f>
        <v>2.82</v>
      </c>
      <c r="G7" s="1236">
        <v>2.52</v>
      </c>
      <c r="H7" s="1236">
        <v>1.8</v>
      </c>
      <c r="I7" s="1235">
        <f>ROUND(C7*E7*F7*G7*3.485,2)</f>
        <v>24.77</v>
      </c>
      <c r="J7" s="1235"/>
      <c r="K7" s="1235"/>
      <c r="L7" s="1235"/>
      <c r="M7" s="2278"/>
    </row>
    <row r="8" spans="1:13">
      <c r="A8" s="1234"/>
      <c r="B8" s="1235"/>
      <c r="C8" s="1234"/>
      <c r="D8" s="1234"/>
      <c r="E8" s="1234"/>
      <c r="F8" s="1234"/>
      <c r="G8" s="1234"/>
      <c r="H8" s="1234"/>
      <c r="I8" s="2279">
        <f>SUM(I7:I7)</f>
        <v>24.77</v>
      </c>
      <c r="J8" s="1235">
        <v>1</v>
      </c>
      <c r="K8" s="1235" t="s">
        <v>181</v>
      </c>
      <c r="L8" s="2278">
        <f>'[130]Data '!G16</f>
        <v>211</v>
      </c>
      <c r="M8" s="2278">
        <f>ROUND(I8*L8/J8,0)</f>
        <v>5226</v>
      </c>
    </row>
    <row r="9" spans="1:13" ht="59.5" customHeight="1">
      <c r="A9" s="1234">
        <f>A6+1</f>
        <v>2</v>
      </c>
      <c r="B9" s="2277" t="s">
        <v>1611</v>
      </c>
      <c r="C9" s="2277"/>
      <c r="D9" s="2277"/>
      <c r="E9" s="2277"/>
      <c r="F9" s="2277"/>
      <c r="G9" s="2277"/>
      <c r="H9" s="2277"/>
      <c r="I9" s="2277"/>
      <c r="J9" s="1235"/>
      <c r="K9" s="1235"/>
      <c r="L9" s="1235"/>
      <c r="M9" s="2278"/>
    </row>
    <row r="10" spans="1:13">
      <c r="A10" s="1234"/>
      <c r="B10" s="1235" t="s">
        <v>2219</v>
      </c>
      <c r="C10" s="1234">
        <v>1</v>
      </c>
      <c r="D10" s="1234" t="s">
        <v>672</v>
      </c>
      <c r="E10" s="1234">
        <v>1</v>
      </c>
      <c r="F10" s="1236">
        <f>F7</f>
        <v>2.82</v>
      </c>
      <c r="G10" s="1236">
        <f>G7</f>
        <v>2.52</v>
      </c>
      <c r="H10" s="1234">
        <v>0.15</v>
      </c>
      <c r="I10" s="1235">
        <f>ROUND(C10*E10*F10*G10*H10,2)</f>
        <v>1.07</v>
      </c>
      <c r="J10" s="1235"/>
      <c r="K10" s="1235"/>
      <c r="L10" s="1235"/>
      <c r="M10" s="2278"/>
    </row>
    <row r="11" spans="1:13">
      <c r="A11" s="1234"/>
      <c r="B11" s="1235"/>
      <c r="C11" s="1234"/>
      <c r="D11" s="1234"/>
      <c r="E11" s="1234"/>
      <c r="F11" s="1234"/>
      <c r="G11" s="1234"/>
      <c r="H11" s="1234"/>
      <c r="I11" s="2279">
        <f>SUM(I10:I10)</f>
        <v>1.07</v>
      </c>
      <c r="J11" s="1235">
        <v>1</v>
      </c>
      <c r="K11" s="1235" t="s">
        <v>181</v>
      </c>
      <c r="L11" s="2278">
        <f>'[130]Data '!G152</f>
        <v>3770.81</v>
      </c>
      <c r="M11" s="2278">
        <f>ROUND(I11*L11/J11,0)</f>
        <v>4035</v>
      </c>
    </row>
    <row r="12" spans="1:13" ht="99.5" customHeight="1">
      <c r="A12" s="1234">
        <v>3</v>
      </c>
      <c r="B12" s="2277" t="s">
        <v>2220</v>
      </c>
      <c r="C12" s="2277"/>
      <c r="D12" s="2277"/>
      <c r="E12" s="2277"/>
      <c r="F12" s="2277"/>
      <c r="G12" s="2277"/>
      <c r="H12" s="2277"/>
      <c r="I12" s="2277"/>
      <c r="J12" s="1235"/>
      <c r="K12" s="1235"/>
      <c r="L12" s="1235"/>
      <c r="M12" s="2278"/>
    </row>
    <row r="13" spans="1:13">
      <c r="A13" s="1234"/>
      <c r="B13" s="1235" t="s">
        <v>2219</v>
      </c>
      <c r="C13" s="1234">
        <f>C10</f>
        <v>1</v>
      </c>
      <c r="D13" s="1234" t="str">
        <f>D10</f>
        <v>x</v>
      </c>
      <c r="E13" s="1234">
        <f>E10</f>
        <v>1</v>
      </c>
      <c r="F13" s="1234">
        <f>F10</f>
        <v>2.82</v>
      </c>
      <c r="G13" s="1234">
        <f>G10</f>
        <v>2.52</v>
      </c>
      <c r="H13" s="1236">
        <v>0.1</v>
      </c>
      <c r="I13" s="1235">
        <f>ROUND(C13*E13*F13*G13*H13,2)</f>
        <v>0.71</v>
      </c>
      <c r="J13" s="1235"/>
      <c r="K13" s="1235"/>
      <c r="L13" s="1235"/>
      <c r="M13" s="2278"/>
    </row>
    <row r="14" spans="1:13">
      <c r="A14" s="1234"/>
      <c r="B14" s="1235"/>
      <c r="C14" s="1234"/>
      <c r="D14" s="1234"/>
      <c r="E14" s="1234"/>
      <c r="F14" s="1234"/>
      <c r="G14" s="1234"/>
      <c r="H14" s="1234"/>
      <c r="I14" s="2279">
        <f>SUM(I13:I13)</f>
        <v>0.71</v>
      </c>
      <c r="J14" s="1235">
        <v>1</v>
      </c>
      <c r="K14" s="1235" t="s">
        <v>181</v>
      </c>
      <c r="L14" s="2278">
        <f>'[130]Data '!G168</f>
        <v>5006.21</v>
      </c>
      <c r="M14" s="2278">
        <f>ROUND(I14*L14/J14,0)</f>
        <v>3554</v>
      </c>
    </row>
    <row r="15" spans="1:13" ht="92" customHeight="1">
      <c r="A15" s="1234">
        <v>4</v>
      </c>
      <c r="B15" s="2277" t="s">
        <v>2221</v>
      </c>
      <c r="C15" s="2277"/>
      <c r="D15" s="2277"/>
      <c r="E15" s="2277"/>
      <c r="F15" s="2277"/>
      <c r="G15" s="2277"/>
      <c r="H15" s="2277"/>
      <c r="I15" s="2277"/>
      <c r="J15" s="1235"/>
      <c r="K15" s="1235"/>
      <c r="L15" s="1235"/>
      <c r="M15" s="2278"/>
    </row>
    <row r="16" spans="1:13">
      <c r="A16" s="1234"/>
      <c r="B16" s="1235" t="s">
        <v>719</v>
      </c>
      <c r="C16" s="1234">
        <v>1</v>
      </c>
      <c r="D16" s="1234" t="s">
        <v>672</v>
      </c>
      <c r="E16" s="1234">
        <v>1</v>
      </c>
      <c r="F16" s="1236">
        <f>(2.1+0.23+1.82+0.23)*2</f>
        <v>8.7600000000000016</v>
      </c>
      <c r="G16" s="1234">
        <v>0.23</v>
      </c>
      <c r="H16" s="1236">
        <v>2.0499999999999998</v>
      </c>
      <c r="I16" s="2278">
        <f>ROUND(C16*E16*F16*G16*H16,2)</f>
        <v>4.13</v>
      </c>
      <c r="J16" s="1235"/>
      <c r="K16" s="1235"/>
      <c r="L16" s="1235"/>
      <c r="M16" s="2278"/>
    </row>
    <row r="17" spans="1:13">
      <c r="A17" s="1234"/>
      <c r="B17" s="1235" t="s">
        <v>2222</v>
      </c>
      <c r="C17" s="1234">
        <v>1</v>
      </c>
      <c r="D17" s="1234" t="s">
        <v>672</v>
      </c>
      <c r="E17" s="1234">
        <v>2</v>
      </c>
      <c r="F17" s="1236">
        <v>1.82</v>
      </c>
      <c r="G17" s="1234">
        <v>0.23</v>
      </c>
      <c r="H17" s="1236">
        <v>1.8</v>
      </c>
      <c r="I17" s="2278">
        <f>ROUND(C17*E17*F17*G17*H17,2)</f>
        <v>1.51</v>
      </c>
      <c r="J17" s="1235"/>
      <c r="K17" s="1235"/>
      <c r="L17" s="1235"/>
      <c r="M17" s="2278"/>
    </row>
    <row r="18" spans="1:13">
      <c r="A18" s="1234"/>
      <c r="B18" s="1235"/>
      <c r="C18" s="1234"/>
      <c r="D18" s="1234"/>
      <c r="E18" s="1234"/>
      <c r="F18" s="1234"/>
      <c r="G18" s="1234"/>
      <c r="H18" s="1234"/>
      <c r="I18" s="2279">
        <f>SUM(I16:I17)</f>
        <v>5.64</v>
      </c>
      <c r="J18" s="1235">
        <v>1</v>
      </c>
      <c r="K18" s="1235" t="s">
        <v>181</v>
      </c>
      <c r="L18" s="2278">
        <f>'[130]Data '!G482</f>
        <v>5266.17</v>
      </c>
      <c r="M18" s="2278">
        <f>ROUND(I18*L18/J18,0.1)</f>
        <v>29701</v>
      </c>
    </row>
    <row r="19" spans="1:13" ht="149" customHeight="1">
      <c r="A19" s="1234">
        <v>5</v>
      </c>
      <c r="B19" s="2277" t="s">
        <v>2223</v>
      </c>
      <c r="C19" s="2277"/>
      <c r="D19" s="2277"/>
      <c r="E19" s="2277"/>
      <c r="F19" s="2277"/>
      <c r="G19" s="2277"/>
      <c r="H19" s="2277"/>
      <c r="I19" s="2277"/>
      <c r="J19" s="1235"/>
      <c r="K19" s="1235"/>
      <c r="L19" s="1235"/>
      <c r="M19" s="2278"/>
    </row>
    <row r="20" spans="1:13">
      <c r="A20" s="1234"/>
      <c r="B20" s="1235" t="s">
        <v>2224</v>
      </c>
      <c r="C20" s="1234">
        <v>1</v>
      </c>
      <c r="D20" s="1234" t="s">
        <v>672</v>
      </c>
      <c r="E20" s="1234">
        <v>1</v>
      </c>
      <c r="F20" s="1236">
        <v>2.1</v>
      </c>
      <c r="G20" s="1236">
        <v>1.82</v>
      </c>
      <c r="H20" s="1234" t="s">
        <v>2225</v>
      </c>
      <c r="I20" s="1235">
        <f>ROUND(C20*E20*F20*G20,2)</f>
        <v>3.82</v>
      </c>
      <c r="J20" s="1235"/>
      <c r="K20" s="1235"/>
      <c r="L20" s="1235"/>
      <c r="M20" s="2278"/>
    </row>
    <row r="21" spans="1:13">
      <c r="A21" s="1234"/>
      <c r="B21" s="1235" t="s">
        <v>2226</v>
      </c>
      <c r="C21" s="1234">
        <v>1</v>
      </c>
      <c r="D21" s="1234" t="s">
        <v>672</v>
      </c>
      <c r="E21" s="1234">
        <v>1</v>
      </c>
      <c r="F21" s="1236">
        <f>(F20+G20)*2</f>
        <v>7.84</v>
      </c>
      <c r="G21" s="1234" t="s">
        <v>2225</v>
      </c>
      <c r="H21" s="1236">
        <v>2.0499999999999998</v>
      </c>
      <c r="I21" s="2278">
        <f>ROUND(C21*E21*F21*H21,2)</f>
        <v>16.07</v>
      </c>
      <c r="J21" s="1235"/>
      <c r="K21" s="1235"/>
      <c r="L21" s="1235"/>
      <c r="M21" s="2278"/>
    </row>
    <row r="22" spans="1:13">
      <c r="A22" s="1234"/>
      <c r="B22" s="1235" t="s">
        <v>2227</v>
      </c>
      <c r="C22" s="1234">
        <v>2</v>
      </c>
      <c r="D22" s="1234" t="s">
        <v>672</v>
      </c>
      <c r="E22" s="1234">
        <v>2</v>
      </c>
      <c r="F22" s="1236">
        <f>F17</f>
        <v>1.82</v>
      </c>
      <c r="G22" s="1234" t="s">
        <v>2225</v>
      </c>
      <c r="H22" s="1236">
        <v>1.8</v>
      </c>
      <c r="I22" s="2278">
        <f>ROUND(C22*E22*F22*H22,2)</f>
        <v>13.1</v>
      </c>
      <c r="J22" s="1235"/>
      <c r="K22" s="1235"/>
      <c r="L22" s="1235"/>
      <c r="M22" s="2278"/>
    </row>
    <row r="23" spans="1:13">
      <c r="A23" s="1234"/>
      <c r="B23" s="1235"/>
      <c r="C23" s="1234"/>
      <c r="D23" s="1234"/>
      <c r="E23" s="1234"/>
      <c r="F23" s="1234"/>
      <c r="G23" s="1234"/>
      <c r="H23" s="1234"/>
      <c r="I23" s="2279">
        <f>SUM(I20:I22)</f>
        <v>32.99</v>
      </c>
      <c r="J23" s="1235">
        <v>1</v>
      </c>
      <c r="K23" s="1235" t="s">
        <v>184</v>
      </c>
      <c r="L23" s="2278">
        <v>0</v>
      </c>
      <c r="M23" s="2278">
        <f>ROUND(I23*L23/J23,0)</f>
        <v>0</v>
      </c>
    </row>
    <row r="24" spans="1:13" ht="131.5" customHeight="1">
      <c r="A24" s="1234">
        <v>6</v>
      </c>
      <c r="B24" s="2277" t="s">
        <v>2228</v>
      </c>
      <c r="C24" s="2277"/>
      <c r="D24" s="2277"/>
      <c r="E24" s="2277"/>
      <c r="F24" s="2277"/>
      <c r="G24" s="2277"/>
      <c r="H24" s="2277"/>
      <c r="I24" s="2277"/>
      <c r="J24" s="1235"/>
      <c r="K24" s="1235"/>
      <c r="L24" s="1235"/>
      <c r="M24" s="2278"/>
    </row>
    <row r="25" spans="1:13">
      <c r="A25" s="1234"/>
      <c r="B25" s="2280" t="s">
        <v>2229</v>
      </c>
      <c r="C25" s="2280"/>
      <c r="D25" s="2280"/>
      <c r="E25" s="2280"/>
      <c r="F25" s="2280"/>
      <c r="G25" s="2280"/>
      <c r="H25" s="2280"/>
      <c r="I25" s="2280"/>
      <c r="J25" s="1235"/>
      <c r="K25" s="1235"/>
      <c r="L25" s="1235"/>
      <c r="M25" s="2278"/>
    </row>
    <row r="26" spans="1:13">
      <c r="A26" s="1234"/>
      <c r="B26" s="1235" t="s">
        <v>2230</v>
      </c>
      <c r="C26" s="1234">
        <v>1</v>
      </c>
      <c r="D26" s="1234" t="s">
        <v>672</v>
      </c>
      <c r="E26" s="1234">
        <v>1</v>
      </c>
      <c r="F26" s="1236">
        <f>F22+0.46</f>
        <v>2.2800000000000002</v>
      </c>
      <c r="G26" s="1236">
        <f>F26</f>
        <v>2.2800000000000002</v>
      </c>
      <c r="H26" s="1236"/>
      <c r="I26" s="2278">
        <f>ROUND(F26*G26,2)</f>
        <v>5.2</v>
      </c>
      <c r="J26" s="1235"/>
      <c r="K26" s="1235"/>
      <c r="L26" s="1235"/>
      <c r="M26" s="2278"/>
    </row>
    <row r="27" spans="1:13">
      <c r="A27" s="1234"/>
      <c r="B27" s="1235"/>
      <c r="C27" s="1234"/>
      <c r="D27" s="1234"/>
      <c r="E27" s="1234"/>
      <c r="F27" s="1234"/>
      <c r="G27" s="1234"/>
      <c r="H27" s="1234"/>
      <c r="I27" s="2279">
        <f>SUM(I26:I26)</f>
        <v>5.2</v>
      </c>
      <c r="J27" s="1235">
        <v>1</v>
      </c>
      <c r="K27" s="1235" t="s">
        <v>184</v>
      </c>
      <c r="L27" s="2278">
        <f>'[130]Data '!G314</f>
        <v>981.13</v>
      </c>
      <c r="M27" s="2278">
        <f>ROUND(I27*L27/J27,0)</f>
        <v>5102</v>
      </c>
    </row>
    <row r="28" spans="1:13" ht="114" customHeight="1">
      <c r="A28" s="1234">
        <v>7</v>
      </c>
      <c r="B28" s="2277" t="s">
        <v>2231</v>
      </c>
      <c r="C28" s="2277"/>
      <c r="D28" s="2277"/>
      <c r="E28" s="2277"/>
      <c r="F28" s="2277"/>
      <c r="G28" s="2277"/>
      <c r="H28" s="2277"/>
      <c r="I28" s="2277"/>
      <c r="J28" s="1235"/>
      <c r="K28" s="1235"/>
      <c r="L28" s="1235"/>
      <c r="M28" s="2278"/>
    </row>
    <row r="29" spans="1:13">
      <c r="A29" s="1234"/>
      <c r="B29" s="1235"/>
      <c r="C29" s="1234">
        <v>1</v>
      </c>
      <c r="D29" s="1234" t="s">
        <v>672</v>
      </c>
      <c r="E29" s="1234">
        <v>2</v>
      </c>
      <c r="F29" s="1236">
        <v>3</v>
      </c>
      <c r="G29" s="1234" t="s">
        <v>2225</v>
      </c>
      <c r="H29" s="1234" t="s">
        <v>2225</v>
      </c>
      <c r="I29" s="2278">
        <f>ROUND(C29*E29*F29,2)</f>
        <v>6</v>
      </c>
      <c r="J29" s="1235"/>
      <c r="K29" s="1235"/>
      <c r="L29" s="1235"/>
      <c r="M29" s="2278"/>
    </row>
    <row r="30" spans="1:13">
      <c r="A30" s="1234"/>
      <c r="B30" s="1235"/>
      <c r="C30" s="1234"/>
      <c r="D30" s="1234"/>
      <c r="E30" s="1234"/>
      <c r="F30" s="1234"/>
      <c r="G30" s="1234"/>
      <c r="H30" s="1234"/>
      <c r="I30" s="2279">
        <f>SUM(I29:I29)</f>
        <v>6</v>
      </c>
      <c r="J30" s="1235">
        <v>1</v>
      </c>
      <c r="K30" s="1235" t="s">
        <v>790</v>
      </c>
      <c r="L30" s="2278">
        <f>'[130]Data-San&amp;wat'!G255</f>
        <v>463</v>
      </c>
      <c r="M30" s="2278">
        <f>ROUND(I30*L30/J30,0)</f>
        <v>2778</v>
      </c>
    </row>
    <row r="31" spans="1:13" ht="119.5" customHeight="1">
      <c r="A31" s="1234">
        <v>8</v>
      </c>
      <c r="B31" s="2277" t="s">
        <v>1650</v>
      </c>
      <c r="C31" s="2277"/>
      <c r="D31" s="2277"/>
      <c r="E31" s="2277"/>
      <c r="F31" s="2277"/>
      <c r="G31" s="2277"/>
      <c r="H31" s="2277"/>
      <c r="I31" s="2277"/>
      <c r="J31" s="1235"/>
      <c r="K31" s="1235"/>
      <c r="L31" s="1235"/>
      <c r="M31" s="2278"/>
    </row>
    <row r="32" spans="1:13">
      <c r="A32" s="1234"/>
      <c r="B32" s="1235" t="s">
        <v>2232</v>
      </c>
      <c r="C32" s="1234"/>
      <c r="D32" s="1234"/>
      <c r="E32" s="1234"/>
      <c r="F32" s="1234"/>
      <c r="G32" s="1234"/>
      <c r="H32" s="1234"/>
      <c r="I32" s="2278">
        <v>150</v>
      </c>
      <c r="J32" s="1235"/>
      <c r="K32" s="1235"/>
      <c r="L32" s="1235"/>
      <c r="M32" s="2278"/>
    </row>
    <row r="33" spans="1:13">
      <c r="A33" s="1234"/>
      <c r="B33" s="1235"/>
      <c r="C33" s="1234"/>
      <c r="D33" s="1234"/>
      <c r="E33" s="1234"/>
      <c r="F33" s="1234"/>
      <c r="G33" s="1234"/>
      <c r="H33" s="1234"/>
      <c r="I33" s="2279">
        <f>SUM(I32:I32)</f>
        <v>150</v>
      </c>
      <c r="J33" s="1235">
        <v>1</v>
      </c>
      <c r="K33" s="1235" t="s">
        <v>182</v>
      </c>
      <c r="L33" s="2278">
        <f>'[130]Data '!G1028</f>
        <v>54.7</v>
      </c>
      <c r="M33" s="2278">
        <f>ROUND(I33*L33/J33,0)</f>
        <v>8205</v>
      </c>
    </row>
    <row r="34" spans="1:13" ht="28">
      <c r="A34" s="1234"/>
      <c r="B34" s="1235"/>
      <c r="C34" s="1234"/>
      <c r="D34" s="1234"/>
      <c r="E34" s="1234"/>
      <c r="F34" s="1234"/>
      <c r="G34" s="1234"/>
      <c r="H34" s="1234"/>
      <c r="I34" s="2281" t="s">
        <v>2233</v>
      </c>
      <c r="J34" s="1235"/>
      <c r="K34" s="1235" t="s">
        <v>2182</v>
      </c>
      <c r="L34" s="1235"/>
      <c r="M34" s="2282">
        <f>SUM(M8:M33)</f>
        <v>58601</v>
      </c>
    </row>
    <row r="37" spans="1:13">
      <c r="G37" s="2284" t="str">
        <f>'[130]GEn Abst '!B34</f>
        <v>Dy.Exe.Engineer</v>
      </c>
      <c r="K37" t="str">
        <f>'[130]GEn Abst '!E34</f>
        <v>Asst Exe Engineer</v>
      </c>
    </row>
    <row r="38" spans="1:13">
      <c r="G38" s="2284" t="str">
        <f>'[130]GEn Abst '!B35</f>
        <v>PRI, Palamaner</v>
      </c>
      <c r="K38" t="str">
        <f>'[130]GEn Abst '!E35</f>
        <v>MP, Baireddipalli</v>
      </c>
    </row>
  </sheetData>
  <mergeCells count="19">
    <mergeCell ref="B24:I24"/>
    <mergeCell ref="B28:I28"/>
    <mergeCell ref="B31:I31"/>
    <mergeCell ref="B5:I5"/>
    <mergeCell ref="B6:I6"/>
    <mergeCell ref="B9:I9"/>
    <mergeCell ref="B12:I12"/>
    <mergeCell ref="B15:I15"/>
    <mergeCell ref="B19:I19"/>
    <mergeCell ref="A1:M1"/>
    <mergeCell ref="A2:M2"/>
    <mergeCell ref="A3:A4"/>
    <mergeCell ref="B3:B4"/>
    <mergeCell ref="C3:E4"/>
    <mergeCell ref="F3:H3"/>
    <mergeCell ref="I3:I4"/>
    <mergeCell ref="J3:K4"/>
    <mergeCell ref="L3:L4"/>
    <mergeCell ref="M3:M4"/>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M38"/>
  <sheetViews>
    <sheetView topLeftCell="A30" workbookViewId="0">
      <selection activeCell="F13" sqref="F13"/>
    </sheetView>
  </sheetViews>
  <sheetFormatPr defaultColWidth="9.1796875" defaultRowHeight="14"/>
  <cols>
    <col min="1" max="1" width="4.453125" style="2283" customWidth="1"/>
    <col min="2" max="2" width="23.453125" style="1114" customWidth="1"/>
    <col min="3" max="3" width="3.453125" style="2283" customWidth="1"/>
    <col min="4" max="4" width="2.54296875" style="2283" customWidth="1"/>
    <col min="5" max="5" width="4.1796875" style="2283" customWidth="1"/>
    <col min="6" max="6" width="6.81640625" style="2283" customWidth="1"/>
    <col min="7" max="7" width="5.453125" style="2283" customWidth="1"/>
    <col min="8" max="8" width="6.453125" style="2283" customWidth="1"/>
    <col min="9" max="9" width="8.1796875" style="1114" customWidth="1"/>
    <col min="10" max="10" width="2.1796875" style="1114" bestFit="1" customWidth="1"/>
    <col min="11" max="11" width="5.54296875" style="1114" bestFit="1" customWidth="1"/>
    <col min="12" max="12" width="10.1796875" style="1114" bestFit="1" customWidth="1"/>
    <col min="13" max="13" width="9.54296875" style="2285" customWidth="1"/>
    <col min="14" max="14" width="13.453125" style="1114" customWidth="1"/>
    <col min="15" max="15" width="9.54296875" style="1114" bestFit="1" customWidth="1"/>
    <col min="16" max="16" width="9.1796875" style="1114"/>
    <col min="17" max="17" width="9.1796875" style="1114" bestFit="1" customWidth="1"/>
    <col min="18" max="20" width="9.1796875" style="1114"/>
    <col min="21" max="21" width="9.1796875" style="1114" bestFit="1" customWidth="1"/>
    <col min="22" max="16384" width="9.1796875" style="1114"/>
  </cols>
  <sheetData>
    <row r="1" spans="1:13">
      <c r="A1" s="2265" t="s">
        <v>2213</v>
      </c>
      <c r="B1" s="2265"/>
      <c r="C1" s="2265"/>
      <c r="D1" s="2265"/>
      <c r="E1" s="2265"/>
      <c r="F1" s="2265"/>
      <c r="G1" s="2265"/>
      <c r="H1" s="2265"/>
      <c r="I1" s="2265"/>
      <c r="J1" s="2265"/>
      <c r="K1" s="2265"/>
      <c r="L1" s="2265"/>
      <c r="M1" s="2265"/>
    </row>
    <row r="2" spans="1:13" ht="15.5">
      <c r="A2" s="2266" t="str">
        <f>Detailed!A2</f>
        <v>Name of work :: Construction of Function Hall at Kadapanatham Of Baireddipalle Mandal</v>
      </c>
      <c r="B2" s="2267"/>
      <c r="C2" s="2267"/>
      <c r="D2" s="2267"/>
      <c r="E2" s="2267"/>
      <c r="F2" s="2267"/>
      <c r="G2" s="2267"/>
      <c r="H2" s="2267"/>
      <c r="I2" s="2267"/>
      <c r="J2" s="2267"/>
      <c r="K2" s="2267"/>
      <c r="L2" s="2267"/>
      <c r="M2" s="2268"/>
    </row>
    <row r="3" spans="1:13">
      <c r="A3" s="2265" t="s">
        <v>2214</v>
      </c>
      <c r="B3" s="2265" t="s">
        <v>1021</v>
      </c>
      <c r="C3" s="2265" t="s">
        <v>2215</v>
      </c>
      <c r="D3" s="2265"/>
      <c r="E3" s="2265"/>
      <c r="F3" s="2265" t="s">
        <v>668</v>
      </c>
      <c r="G3" s="2265"/>
      <c r="H3" s="2265"/>
      <c r="I3" s="2265" t="s">
        <v>797</v>
      </c>
      <c r="J3" s="2265" t="s">
        <v>2216</v>
      </c>
      <c r="K3" s="2265"/>
      <c r="L3" s="2265" t="s">
        <v>2217</v>
      </c>
      <c r="M3" s="2269" t="s">
        <v>302</v>
      </c>
    </row>
    <row r="4" spans="1:13">
      <c r="A4" s="2265"/>
      <c r="B4" s="2265"/>
      <c r="C4" s="2265"/>
      <c r="D4" s="2265"/>
      <c r="E4" s="2265"/>
      <c r="F4" s="2270" t="s">
        <v>429</v>
      </c>
      <c r="G4" s="2270" t="s">
        <v>145</v>
      </c>
      <c r="H4" s="2270" t="s">
        <v>498</v>
      </c>
      <c r="I4" s="2265"/>
      <c r="J4" s="2265"/>
      <c r="K4" s="2265"/>
      <c r="L4" s="2265"/>
      <c r="M4" s="2269"/>
    </row>
    <row r="5" spans="1:13" ht="18">
      <c r="A5" s="2271"/>
      <c r="B5" s="2272" t="s">
        <v>2234</v>
      </c>
      <c r="C5" s="2272"/>
      <c r="D5" s="2272"/>
      <c r="E5" s="2272"/>
      <c r="F5" s="2272"/>
      <c r="G5" s="2272"/>
      <c r="H5" s="2272"/>
      <c r="I5" s="2272"/>
      <c r="J5" s="2273"/>
      <c r="K5" s="2274"/>
      <c r="L5" s="2275"/>
      <c r="M5" s="2276"/>
    </row>
    <row r="6" spans="1:13" ht="100" customHeight="1">
      <c r="A6" s="1234">
        <v>1</v>
      </c>
      <c r="B6" s="2277" t="s">
        <v>2218</v>
      </c>
      <c r="C6" s="2277"/>
      <c r="D6" s="2277"/>
      <c r="E6" s="2277"/>
      <c r="F6" s="2277"/>
      <c r="G6" s="2277"/>
      <c r="H6" s="2277"/>
      <c r="I6" s="2277"/>
      <c r="J6" s="1235"/>
      <c r="K6" s="1235"/>
      <c r="L6" s="1235"/>
      <c r="M6" s="2278"/>
    </row>
    <row r="7" spans="1:13">
      <c r="A7" s="1234"/>
      <c r="B7" s="1235" t="s">
        <v>2219</v>
      </c>
      <c r="C7" s="1234">
        <v>1</v>
      </c>
      <c r="D7" s="1234" t="s">
        <v>672</v>
      </c>
      <c r="E7" s="1234">
        <v>1</v>
      </c>
      <c r="F7" s="1236">
        <v>2.52</v>
      </c>
      <c r="G7" s="1236">
        <v>2.52</v>
      </c>
      <c r="H7" s="1236">
        <v>1.8</v>
      </c>
      <c r="I7" s="1235">
        <f>ROUND(C7*E7*F7*G7*3.485,2)</f>
        <v>22.13</v>
      </c>
      <c r="J7" s="1235"/>
      <c r="K7" s="1235"/>
      <c r="L7" s="1235"/>
      <c r="M7" s="2278"/>
    </row>
    <row r="8" spans="1:13">
      <c r="A8" s="1234"/>
      <c r="B8" s="1235"/>
      <c r="C8" s="1234"/>
      <c r="D8" s="1234"/>
      <c r="E8" s="1234"/>
      <c r="F8" s="1234"/>
      <c r="G8" s="1234"/>
      <c r="H8" s="1234"/>
      <c r="I8" s="2279">
        <f>SUM(I7:I7)</f>
        <v>22.13</v>
      </c>
      <c r="J8" s="1235">
        <v>1</v>
      </c>
      <c r="K8" s="1235" t="s">
        <v>181</v>
      </c>
      <c r="L8" s="2278">
        <f>'[130]Data '!G16</f>
        <v>211</v>
      </c>
      <c r="M8" s="2278">
        <f>ROUND(I8*L8/J8,0)</f>
        <v>4669</v>
      </c>
    </row>
    <row r="9" spans="1:13" ht="59.5" customHeight="1">
      <c r="A9" s="1234">
        <f>A6+1</f>
        <v>2</v>
      </c>
      <c r="B9" s="2277" t="s">
        <v>1611</v>
      </c>
      <c r="C9" s="2277"/>
      <c r="D9" s="2277"/>
      <c r="E9" s="2277"/>
      <c r="F9" s="2277"/>
      <c r="G9" s="2277"/>
      <c r="H9" s="2277"/>
      <c r="I9" s="2277"/>
      <c r="J9" s="1235"/>
      <c r="K9" s="1235"/>
      <c r="L9" s="1235"/>
      <c r="M9" s="2278"/>
    </row>
    <row r="10" spans="1:13">
      <c r="A10" s="1234"/>
      <c r="B10" s="1235" t="s">
        <v>2219</v>
      </c>
      <c r="C10" s="1234">
        <v>1</v>
      </c>
      <c r="D10" s="1234" t="s">
        <v>672</v>
      </c>
      <c r="E10" s="1234">
        <v>1</v>
      </c>
      <c r="F10" s="1236">
        <f>F7</f>
        <v>2.52</v>
      </c>
      <c r="G10" s="1236">
        <f>G7</f>
        <v>2.52</v>
      </c>
      <c r="H10" s="1234">
        <v>0.15</v>
      </c>
      <c r="I10" s="1235">
        <f>ROUND(C10*E10*F10*G10*H10,2)</f>
        <v>0.95</v>
      </c>
      <c r="J10" s="1235"/>
      <c r="K10" s="1235"/>
      <c r="L10" s="1235"/>
      <c r="M10" s="2278"/>
    </row>
    <row r="11" spans="1:13">
      <c r="A11" s="1234"/>
      <c r="B11" s="1235"/>
      <c r="C11" s="1234"/>
      <c r="D11" s="1234"/>
      <c r="E11" s="1234"/>
      <c r="F11" s="1234"/>
      <c r="G11" s="1234"/>
      <c r="H11" s="1234"/>
      <c r="I11" s="2279">
        <f>SUM(I10:I10)</f>
        <v>0.95</v>
      </c>
      <c r="J11" s="1235">
        <v>1</v>
      </c>
      <c r="K11" s="1235" t="s">
        <v>181</v>
      </c>
      <c r="L11" s="2278">
        <f>'[130]Data '!G152</f>
        <v>3770.81</v>
      </c>
      <c r="M11" s="2278">
        <f>ROUND(I11*L11/J11,0)</f>
        <v>3582</v>
      </c>
    </row>
    <row r="12" spans="1:13" ht="99.5" customHeight="1">
      <c r="A12" s="1234">
        <v>3</v>
      </c>
      <c r="B12" s="2277" t="s">
        <v>2220</v>
      </c>
      <c r="C12" s="2277"/>
      <c r="D12" s="2277"/>
      <c r="E12" s="2277"/>
      <c r="F12" s="2277"/>
      <c r="G12" s="2277"/>
      <c r="H12" s="2277"/>
      <c r="I12" s="2277"/>
      <c r="J12" s="1235"/>
      <c r="K12" s="1235"/>
      <c r="L12" s="1235"/>
      <c r="M12" s="2278"/>
    </row>
    <row r="13" spans="1:13">
      <c r="A13" s="1234"/>
      <c r="B13" s="1235" t="s">
        <v>2219</v>
      </c>
      <c r="C13" s="1234">
        <f>C10</f>
        <v>1</v>
      </c>
      <c r="D13" s="1234" t="str">
        <f>D10</f>
        <v>x</v>
      </c>
      <c r="E13" s="1234">
        <f>E10</f>
        <v>1</v>
      </c>
      <c r="F13" s="1234">
        <f>F10</f>
        <v>2.52</v>
      </c>
      <c r="G13" s="1234">
        <f>G10</f>
        <v>2.52</v>
      </c>
      <c r="H13" s="1236">
        <v>0.1</v>
      </c>
      <c r="I13" s="1235">
        <f>ROUND(C13*E13*F13*G13*H13,2)</f>
        <v>0.64</v>
      </c>
      <c r="J13" s="1235"/>
      <c r="K13" s="1235"/>
      <c r="L13" s="1235"/>
      <c r="M13" s="2278"/>
    </row>
    <row r="14" spans="1:13">
      <c r="A14" s="1234"/>
      <c r="B14" s="1235"/>
      <c r="C14" s="1234"/>
      <c r="D14" s="1234"/>
      <c r="E14" s="1234"/>
      <c r="F14" s="1234"/>
      <c r="G14" s="1234"/>
      <c r="H14" s="1234"/>
      <c r="I14" s="2279">
        <f>SUM(I13:I13)</f>
        <v>0.64</v>
      </c>
      <c r="J14" s="1235">
        <v>1</v>
      </c>
      <c r="K14" s="1235" t="s">
        <v>181</v>
      </c>
      <c r="L14" s="2278">
        <f>'[130]Data '!G168</f>
        <v>5006.21</v>
      </c>
      <c r="M14" s="2278">
        <f>ROUND(I14*L14/J14,0)</f>
        <v>3204</v>
      </c>
    </row>
    <row r="15" spans="1:13" ht="92" customHeight="1">
      <c r="A15" s="1234">
        <v>4</v>
      </c>
      <c r="B15" s="2277" t="s">
        <v>2221</v>
      </c>
      <c r="C15" s="2277"/>
      <c r="D15" s="2277"/>
      <c r="E15" s="2277"/>
      <c r="F15" s="2277"/>
      <c r="G15" s="2277"/>
      <c r="H15" s="2277"/>
      <c r="I15" s="2277"/>
      <c r="J15" s="1235"/>
      <c r="K15" s="1235"/>
      <c r="L15" s="1235"/>
      <c r="M15" s="2278"/>
    </row>
    <row r="16" spans="1:13">
      <c r="A16" s="1234"/>
      <c r="B16" s="1235" t="s">
        <v>719</v>
      </c>
      <c r="C16" s="1234">
        <v>1</v>
      </c>
      <c r="D16" s="1234" t="s">
        <v>672</v>
      </c>
      <c r="E16" s="1234">
        <v>1</v>
      </c>
      <c r="F16" s="1236">
        <f>(1.82+0.23+1.82+0.23)*2</f>
        <v>8.2000000000000011</v>
      </c>
      <c r="G16" s="1234">
        <v>0.23</v>
      </c>
      <c r="H16" s="1236">
        <v>2.0499999999999998</v>
      </c>
      <c r="I16" s="2278">
        <f>ROUND(C16*E16*F16*G16*H16,2)</f>
        <v>3.87</v>
      </c>
      <c r="J16" s="1235"/>
      <c r="K16" s="1235"/>
      <c r="L16" s="1235"/>
      <c r="M16" s="2278"/>
    </row>
    <row r="17" spans="1:13">
      <c r="A17" s="1234"/>
      <c r="B17" s="1235" t="s">
        <v>2222</v>
      </c>
      <c r="C17" s="1234">
        <v>1</v>
      </c>
      <c r="D17" s="1234" t="s">
        <v>672</v>
      </c>
      <c r="E17" s="1234">
        <v>2</v>
      </c>
      <c r="F17" s="1236">
        <v>1.82</v>
      </c>
      <c r="G17" s="1234">
        <v>0.23</v>
      </c>
      <c r="H17" s="1236">
        <v>1.8</v>
      </c>
      <c r="I17" s="2278">
        <f>ROUND(C17*E17*F17*G17*H17,2)</f>
        <v>1.51</v>
      </c>
      <c r="J17" s="1235"/>
      <c r="K17" s="1235"/>
      <c r="L17" s="1235"/>
      <c r="M17" s="2278"/>
    </row>
    <row r="18" spans="1:13">
      <c r="A18" s="1234"/>
      <c r="B18" s="1235"/>
      <c r="C18" s="1234"/>
      <c r="D18" s="1234"/>
      <c r="E18" s="1234"/>
      <c r="F18" s="1234"/>
      <c r="G18" s="1234"/>
      <c r="H18" s="1234"/>
      <c r="I18" s="2279">
        <f>SUM(I16:I17)</f>
        <v>5.38</v>
      </c>
      <c r="J18" s="1235">
        <v>1</v>
      </c>
      <c r="K18" s="1235" t="s">
        <v>181</v>
      </c>
      <c r="L18" s="2278">
        <f>'[130]Data '!G482</f>
        <v>5266.17</v>
      </c>
      <c r="M18" s="2278">
        <f>ROUND(I18*L18/J18,0.1)</f>
        <v>28332</v>
      </c>
    </row>
    <row r="19" spans="1:13" ht="149" customHeight="1">
      <c r="A19" s="1234">
        <v>5</v>
      </c>
      <c r="B19" s="2277" t="s">
        <v>2223</v>
      </c>
      <c r="C19" s="2277"/>
      <c r="D19" s="2277"/>
      <c r="E19" s="2277"/>
      <c r="F19" s="2277"/>
      <c r="G19" s="2277"/>
      <c r="H19" s="2277"/>
      <c r="I19" s="2277"/>
      <c r="J19" s="1235"/>
      <c r="K19" s="1235"/>
      <c r="L19" s="1235"/>
      <c r="M19" s="2278"/>
    </row>
    <row r="20" spans="1:13">
      <c r="A20" s="1234"/>
      <c r="B20" s="1235" t="s">
        <v>2224</v>
      </c>
      <c r="C20" s="1234">
        <v>1</v>
      </c>
      <c r="D20" s="1234" t="s">
        <v>672</v>
      </c>
      <c r="E20" s="1234">
        <v>1</v>
      </c>
      <c r="F20" s="1236">
        <v>1.82</v>
      </c>
      <c r="G20" s="1236">
        <v>1.82</v>
      </c>
      <c r="H20" s="1234" t="s">
        <v>2225</v>
      </c>
      <c r="I20" s="1235">
        <f>ROUND(C20*E20*F20*G20,2)</f>
        <v>3.31</v>
      </c>
      <c r="J20" s="1235"/>
      <c r="K20" s="1235"/>
      <c r="L20" s="1235"/>
      <c r="M20" s="2278"/>
    </row>
    <row r="21" spans="1:13">
      <c r="A21" s="1234"/>
      <c r="B21" s="1235" t="s">
        <v>2226</v>
      </c>
      <c r="C21" s="1234">
        <v>1</v>
      </c>
      <c r="D21" s="1234" t="s">
        <v>672</v>
      </c>
      <c r="E21" s="1234">
        <v>1</v>
      </c>
      <c r="F21" s="1236">
        <f>(F20+G20)*2</f>
        <v>7.28</v>
      </c>
      <c r="G21" s="1234" t="s">
        <v>2225</v>
      </c>
      <c r="H21" s="1236">
        <v>2.0499999999999998</v>
      </c>
      <c r="I21" s="2278">
        <f>ROUND(C21*E21*F21*H21,2)</f>
        <v>14.92</v>
      </c>
      <c r="J21" s="1235"/>
      <c r="K21" s="1235"/>
      <c r="L21" s="1235"/>
      <c r="M21" s="2278"/>
    </row>
    <row r="22" spans="1:13">
      <c r="A22" s="1234"/>
      <c r="B22" s="1235" t="s">
        <v>2227</v>
      </c>
      <c r="C22" s="1234">
        <v>2</v>
      </c>
      <c r="D22" s="1234" t="s">
        <v>672</v>
      </c>
      <c r="E22" s="1234">
        <v>2</v>
      </c>
      <c r="F22" s="1236">
        <f>F17</f>
        <v>1.82</v>
      </c>
      <c r="G22" s="1234" t="s">
        <v>2225</v>
      </c>
      <c r="H22" s="1236">
        <v>1.8</v>
      </c>
      <c r="I22" s="2278">
        <f>ROUND(C22*E22*F22*H22,2)</f>
        <v>13.1</v>
      </c>
      <c r="J22" s="1235"/>
      <c r="K22" s="1235"/>
      <c r="L22" s="1235"/>
      <c r="M22" s="2278"/>
    </row>
    <row r="23" spans="1:13">
      <c r="A23" s="1234"/>
      <c r="B23" s="1235"/>
      <c r="C23" s="1234"/>
      <c r="D23" s="1234"/>
      <c r="E23" s="1234"/>
      <c r="F23" s="1234"/>
      <c r="G23" s="1234"/>
      <c r="H23" s="1234"/>
      <c r="I23" s="2279">
        <f>SUM(I20:I22)</f>
        <v>31.33</v>
      </c>
      <c r="J23" s="1235">
        <v>1</v>
      </c>
      <c r="K23" s="1235" t="s">
        <v>184</v>
      </c>
      <c r="L23" s="2278">
        <v>0</v>
      </c>
      <c r="M23" s="2278">
        <f>ROUND(I23*L23/J23,0)</f>
        <v>0</v>
      </c>
    </row>
    <row r="24" spans="1:13" ht="131.5" customHeight="1">
      <c r="A24" s="1234">
        <v>6</v>
      </c>
      <c r="B24" s="2277" t="s">
        <v>2228</v>
      </c>
      <c r="C24" s="2277"/>
      <c r="D24" s="2277"/>
      <c r="E24" s="2277"/>
      <c r="F24" s="2277"/>
      <c r="G24" s="2277"/>
      <c r="H24" s="2277"/>
      <c r="I24" s="2277"/>
      <c r="J24" s="1235"/>
      <c r="K24" s="1235"/>
      <c r="L24" s="1235"/>
      <c r="M24" s="2278"/>
    </row>
    <row r="25" spans="1:13">
      <c r="A25" s="1234"/>
      <c r="B25" s="2280" t="s">
        <v>2229</v>
      </c>
      <c r="C25" s="2280"/>
      <c r="D25" s="2280"/>
      <c r="E25" s="2280"/>
      <c r="F25" s="2280"/>
      <c r="G25" s="2280"/>
      <c r="H25" s="2280"/>
      <c r="I25" s="2280"/>
      <c r="J25" s="1235"/>
      <c r="K25" s="1235"/>
      <c r="L25" s="1235"/>
      <c r="M25" s="2278"/>
    </row>
    <row r="26" spans="1:13">
      <c r="A26" s="1234"/>
      <c r="B26" s="1235" t="s">
        <v>2230</v>
      </c>
      <c r="C26" s="1234">
        <v>1</v>
      </c>
      <c r="D26" s="1234" t="s">
        <v>672</v>
      </c>
      <c r="E26" s="1234">
        <v>1</v>
      </c>
      <c r="F26" s="1236">
        <f>F22+0.46</f>
        <v>2.2800000000000002</v>
      </c>
      <c r="G26" s="1236">
        <f>F26</f>
        <v>2.2800000000000002</v>
      </c>
      <c r="H26" s="1236"/>
      <c r="I26" s="2278">
        <f>ROUND(F26*G26,2)</f>
        <v>5.2</v>
      </c>
      <c r="J26" s="1235"/>
      <c r="K26" s="1235"/>
      <c r="L26" s="1235"/>
      <c r="M26" s="2278"/>
    </row>
    <row r="27" spans="1:13">
      <c r="A27" s="1234"/>
      <c r="B27" s="1235"/>
      <c r="C27" s="1234"/>
      <c r="D27" s="1234"/>
      <c r="E27" s="1234"/>
      <c r="F27" s="1234"/>
      <c r="G27" s="1234"/>
      <c r="H27" s="1234"/>
      <c r="I27" s="2279">
        <f>SUM(I26:I26)</f>
        <v>5.2</v>
      </c>
      <c r="J27" s="1235">
        <v>1</v>
      </c>
      <c r="K27" s="1235" t="s">
        <v>184</v>
      </c>
      <c r="L27" s="2278">
        <f>'[130]Data '!G314</f>
        <v>981.13</v>
      </c>
      <c r="M27" s="2278">
        <f>ROUND(I27*L27/J27,0)</f>
        <v>5102</v>
      </c>
    </row>
    <row r="28" spans="1:13" ht="114" customHeight="1">
      <c r="A28" s="1234">
        <v>7</v>
      </c>
      <c r="B28" s="2277" t="s">
        <v>2231</v>
      </c>
      <c r="C28" s="2277"/>
      <c r="D28" s="2277"/>
      <c r="E28" s="2277"/>
      <c r="F28" s="2277"/>
      <c r="G28" s="2277"/>
      <c r="H28" s="2277"/>
      <c r="I28" s="2277"/>
      <c r="J28" s="1235"/>
      <c r="K28" s="1235"/>
      <c r="L28" s="1235"/>
      <c r="M28" s="2278"/>
    </row>
    <row r="29" spans="1:13">
      <c r="A29" s="1234"/>
      <c r="B29" s="1235"/>
      <c r="C29" s="1234">
        <v>1</v>
      </c>
      <c r="D29" s="1234" t="s">
        <v>672</v>
      </c>
      <c r="E29" s="1234">
        <v>2</v>
      </c>
      <c r="F29" s="1236">
        <v>3</v>
      </c>
      <c r="G29" s="1234" t="s">
        <v>2225</v>
      </c>
      <c r="H29" s="1234" t="s">
        <v>2225</v>
      </c>
      <c r="I29" s="2278">
        <f>ROUND(C29*E29*F29,2)</f>
        <v>6</v>
      </c>
      <c r="J29" s="1235"/>
      <c r="K29" s="1235"/>
      <c r="L29" s="1235"/>
      <c r="M29" s="2278"/>
    </row>
    <row r="30" spans="1:13">
      <c r="A30" s="1234"/>
      <c r="B30" s="1235"/>
      <c r="C30" s="1234"/>
      <c r="D30" s="1234"/>
      <c r="E30" s="1234"/>
      <c r="F30" s="1234"/>
      <c r="G30" s="1234"/>
      <c r="H30" s="1234"/>
      <c r="I30" s="2279">
        <f>SUM(I29:I29)</f>
        <v>6</v>
      </c>
      <c r="J30" s="1235">
        <v>1</v>
      </c>
      <c r="K30" s="1235" t="s">
        <v>790</v>
      </c>
      <c r="L30" s="2278">
        <f>'[130]Data-San&amp;wat'!G255</f>
        <v>463</v>
      </c>
      <c r="M30" s="2278">
        <f>ROUND(I30*L30/J30,0)</f>
        <v>2778</v>
      </c>
    </row>
    <row r="31" spans="1:13" ht="119.5" customHeight="1">
      <c r="A31" s="1234">
        <v>8</v>
      </c>
      <c r="B31" s="2277" t="s">
        <v>1650</v>
      </c>
      <c r="C31" s="2277"/>
      <c r="D31" s="2277"/>
      <c r="E31" s="2277"/>
      <c r="F31" s="2277"/>
      <c r="G31" s="2277"/>
      <c r="H31" s="2277"/>
      <c r="I31" s="2277"/>
      <c r="J31" s="1235"/>
      <c r="K31" s="1235"/>
      <c r="L31" s="1235"/>
      <c r="M31" s="2278"/>
    </row>
    <row r="32" spans="1:13">
      <c r="A32" s="1234"/>
      <c r="B32" s="1235" t="s">
        <v>2232</v>
      </c>
      <c r="C32" s="1234"/>
      <c r="D32" s="1234"/>
      <c r="E32" s="1234"/>
      <c r="F32" s="1234"/>
      <c r="G32" s="1234"/>
      <c r="H32" s="1234"/>
      <c r="I32" s="2278">
        <v>100</v>
      </c>
      <c r="J32" s="1235"/>
      <c r="K32" s="1235"/>
      <c r="L32" s="1235"/>
      <c r="M32" s="2278"/>
    </row>
    <row r="33" spans="1:13">
      <c r="A33" s="1234"/>
      <c r="B33" s="1235"/>
      <c r="C33" s="1234"/>
      <c r="D33" s="1234"/>
      <c r="E33" s="1234"/>
      <c r="F33" s="1234"/>
      <c r="G33" s="1234"/>
      <c r="H33" s="1234"/>
      <c r="I33" s="2279">
        <f>SUM(I32:I32)</f>
        <v>100</v>
      </c>
      <c r="J33" s="1235">
        <v>1</v>
      </c>
      <c r="K33" s="1235" t="s">
        <v>182</v>
      </c>
      <c r="L33" s="2278">
        <f>'[130]Data '!G1028</f>
        <v>54.7</v>
      </c>
      <c r="M33" s="2278">
        <f>ROUND(I33*L33/J33,0)</f>
        <v>5470</v>
      </c>
    </row>
    <row r="34" spans="1:13" ht="28">
      <c r="A34" s="1234"/>
      <c r="B34" s="1235"/>
      <c r="C34" s="1234"/>
      <c r="D34" s="1234"/>
      <c r="E34" s="1234"/>
      <c r="F34" s="1234"/>
      <c r="G34" s="1234"/>
      <c r="H34" s="1234"/>
      <c r="I34" s="2281" t="s">
        <v>2233</v>
      </c>
      <c r="J34" s="1235"/>
      <c r="K34" s="1235" t="s">
        <v>2182</v>
      </c>
      <c r="L34" s="1235"/>
      <c r="M34" s="2282">
        <f>SUM(M8:M33)</f>
        <v>53137</v>
      </c>
    </row>
    <row r="37" spans="1:13">
      <c r="G37" s="2284" t="str">
        <f>'[130]GEn Abst '!B34</f>
        <v>Dy.Exe.Engineer</v>
      </c>
      <c r="K37" t="str">
        <f>'[130]GEn Abst '!E34</f>
        <v>Asst Exe Engineer</v>
      </c>
    </row>
    <row r="38" spans="1:13">
      <c r="G38" s="2284" t="str">
        <f>'[130]GEn Abst '!B35</f>
        <v>PRI, Palamaner</v>
      </c>
      <c r="K38" t="str">
        <f>'[130]GEn Abst '!E35</f>
        <v>MP, Baireddipalli</v>
      </c>
    </row>
  </sheetData>
  <mergeCells count="19">
    <mergeCell ref="B24:I24"/>
    <mergeCell ref="B28:I28"/>
    <mergeCell ref="B31:I31"/>
    <mergeCell ref="B5:I5"/>
    <mergeCell ref="B6:I6"/>
    <mergeCell ref="B9:I9"/>
    <mergeCell ref="B12:I12"/>
    <mergeCell ref="B15:I15"/>
    <mergeCell ref="B19:I19"/>
    <mergeCell ref="A1:M1"/>
    <mergeCell ref="A2:M2"/>
    <mergeCell ref="A3:A4"/>
    <mergeCell ref="B3:B4"/>
    <mergeCell ref="C3:E4"/>
    <mergeCell ref="F3:H3"/>
    <mergeCell ref="I3:I4"/>
    <mergeCell ref="J3:K4"/>
    <mergeCell ref="L3:L4"/>
    <mergeCell ref="M3:M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28</vt:i4>
      </vt:variant>
      <vt:variant>
        <vt:lpstr>Named Ranges</vt:lpstr>
      </vt:variant>
      <vt:variant>
        <vt:i4>9</vt:i4>
      </vt:variant>
    </vt:vector>
  </HeadingPairs>
  <TitlesOfParts>
    <vt:vector size="37" baseType="lpstr">
      <vt:lpstr>Cover</vt:lpstr>
      <vt:lpstr>Abstract (2)</vt:lpstr>
      <vt:lpstr>CS- Abstract</vt:lpstr>
      <vt:lpstr>Cover  (3)</vt:lpstr>
      <vt:lpstr>Specification (3)</vt:lpstr>
      <vt:lpstr>Detailed</vt:lpstr>
      <vt:lpstr>Toilets</vt:lpstr>
      <vt:lpstr>Sump</vt:lpstr>
      <vt:lpstr>Septic Tank</vt:lpstr>
      <vt:lpstr>Lead statement (2)</vt:lpstr>
      <vt:lpstr>Data  (2)</vt:lpstr>
      <vt:lpstr>Ele Data (2)</vt:lpstr>
      <vt:lpstr>Data-San&amp;wat (2)</vt:lpstr>
      <vt:lpstr>Sp.Report</vt:lpstr>
      <vt:lpstr>SPECIFIC</vt:lpstr>
      <vt:lpstr>Abstract</vt:lpstr>
      <vt:lpstr>GEn Abst</vt:lpstr>
      <vt:lpstr>AW 7.00 pile (2)</vt:lpstr>
      <vt:lpstr>Seigniorage (2)</vt:lpstr>
      <vt:lpstr>Seigniorage</vt:lpstr>
      <vt:lpstr>Data without water  (2)</vt:lpstr>
      <vt:lpstr>Water Supply</vt:lpstr>
      <vt:lpstr>Elec.rates</vt:lpstr>
      <vt:lpstr>Bldg.rates</vt:lpstr>
      <vt:lpstr>Centring charges</vt:lpstr>
      <vt:lpstr>Sheet1</vt:lpstr>
      <vt:lpstr>conveyance 2</vt:lpstr>
      <vt:lpstr>Sheet2</vt:lpstr>
      <vt:lpstr>Abstract!Print_Area</vt:lpstr>
      <vt:lpstr>'Abstract (2)'!Print_Area</vt:lpstr>
      <vt:lpstr>'AW 7.00 pile (2)'!Print_Area</vt:lpstr>
      <vt:lpstr>'conveyance 2'!Print_Area</vt:lpstr>
      <vt:lpstr>'Data without water  (2)'!Print_Area</vt:lpstr>
      <vt:lpstr>'Specification (3)'!Print_Area</vt:lpstr>
      <vt:lpstr>'Water Supply'!Print_Area</vt:lpstr>
      <vt:lpstr>'Data without water  (2)'!Print_Titles</vt:lpstr>
      <vt:lpstr>'Water Supply'!Print_Titles</vt:lpstr>
    </vt:vector>
  </TitlesOfParts>
  <Company>Circle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cp:lastPrinted>2020-09-22T08:04:20Z</cp:lastPrinted>
  <dcterms:created xsi:type="dcterms:W3CDTF">2010-07-01T10:11:09Z</dcterms:created>
  <dcterms:modified xsi:type="dcterms:W3CDTF">2020-09-27T16:37:34Z</dcterms:modified>
</cp:coreProperties>
</file>