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6cff3ac0620eec/Desktop/VS code email all files/My portfolio/Abhishek/assets/img/portfolio/"/>
    </mc:Choice>
  </mc:AlternateContent>
  <xr:revisionPtr revIDLastSave="0" documentId="8_{DD9EED9C-D1E0-48FB-9824-DA527AB48120}" xr6:coauthVersionLast="47" xr6:coauthVersionMax="47" xr10:uidLastSave="{00000000-0000-0000-0000-000000000000}"/>
  <bookViews>
    <workbookView xWindow="-108" yWindow="-108" windowWidth="23256" windowHeight="13896" tabRatio="720" activeTab="1" xr2:uid="{CF9A120C-6DD9-4EAF-BFB2-DA6CF5A9EC70}"/>
  </bookViews>
  <sheets>
    <sheet name="3-FInancial Statements" sheetId="6" r:id="rId1"/>
    <sheet name="Key Matrics &amp; Ratio Analysis" sheetId="13" r:id="rId2"/>
    <sheet name="P&amp;L" sheetId="2" r:id="rId3"/>
    <sheet name="BS" sheetId="3" r:id="rId4"/>
    <sheet name="CF" sheetId="4" r:id="rId5"/>
    <sheet name="OS" sheetId="8" r:id="rId6"/>
    <sheet name="Rough" sheetId="10" r:id="rId7"/>
    <sheet name="NOTES" sheetId="12" r:id="rId8"/>
  </sheets>
  <externalReferences>
    <externalReference r:id="rId9"/>
    <externalReference r:id="rId10"/>
  </externalReferences>
  <definedNames>
    <definedName name="\a">[1]vistara16!#REF!</definedName>
    <definedName name="\c">#N/A</definedName>
    <definedName name="\d">[1]vistara16!#REF!</definedName>
    <definedName name="\e">[1]vistara16!#REF!</definedName>
    <definedName name="\f">[1]vistara16!#REF!</definedName>
    <definedName name="\g">[1]vistara16!#REF!</definedName>
    <definedName name="\h">[1]vistara16!#REF!</definedName>
    <definedName name="\i">[1]vistara16!#REF!</definedName>
    <definedName name="\j">[1]vistara16!#REF!</definedName>
    <definedName name="\k">[1]vistara16!#REF!</definedName>
    <definedName name="\l">#N/A</definedName>
    <definedName name="\m">[1]vistara16!#REF!</definedName>
    <definedName name="__FDS_HYPERLINK_TOGGLE_STATE__" hidden="1">"ON"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CIQWBGuid" hidden="1">"15218705-85f0-4ef3-ae7c-c616738781e1"</definedName>
    <definedName name="Company_Name">'3-FInancial Statements'!$D$7</definedName>
    <definedName name="Debt_Funding_Pct">'3-FInancial Statements'!$D$12</definedName>
    <definedName name="Fuel_Units">'3-FInancial Statements'!$D$10</definedName>
    <definedName name="Hist_Year">'3-FInancial Statements'!$D$15</definedName>
    <definedName name="IQ_CH" hidden="1">110000</definedName>
    <definedName name="IQ_CONV_RATE" hidden="1">"c2192"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41764.041099537</definedName>
    <definedName name="IQ_NTM" hidden="1">6000</definedName>
    <definedName name="IQ_QTD" hidden="1">750000</definedName>
    <definedName name="IQ_SHAREOUTSTANDING" hidden="1">"c1347"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QRSheet6D3" hidden="1">[2]Description!#REF!</definedName>
    <definedName name="MRH">'3-FInancial Statements'!#REF!</definedName>
    <definedName name="Num_Per">'3-FInancial Statements'!$D$8</definedName>
    <definedName name="_xlnm.Print_Area" localSheetId="0">'3-FInancial Statements'!$A$1:$P$283</definedName>
    <definedName name="rkd" hidden="1">#REF!</definedName>
    <definedName name="rkdd" hidden="1">#REF!</definedName>
    <definedName name="Scenario">'3-FInancial Statements'!$D$11</definedName>
    <definedName name="Share_Price">'3-FInancial Statements'!$D$13</definedName>
    <definedName name="toatalpvt">[1]vistara16!#REF!</definedName>
    <definedName name="totalnat">[1]vistara16!#REF!</definedName>
    <definedName name="totalpvt">[1]vistara16!#REF!</definedName>
    <definedName name="Units">'3-FInancial Statements'!$D$9</definedName>
    <definedName name="새이름" hidden="1">#REF!</definedName>
    <definedName name="영업2본부" hidden="1">#REF!</definedName>
    <definedName name="이호석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2" i="6" l="1"/>
  <c r="M247" i="6" l="1"/>
  <c r="M244" i="6"/>
  <c r="M23" i="6" l="1"/>
  <c r="B2" i="13" l="1"/>
  <c r="D6" i="13" l="1"/>
  <c r="D121" i="6"/>
  <c r="B3" i="13" l="1"/>
  <c r="B2" i="6"/>
  <c r="L6" i="13" l="1"/>
  <c r="K6" i="13" s="1"/>
  <c r="J6" i="13" s="1"/>
  <c r="I6" i="13" s="1"/>
  <c r="H6" i="13" s="1"/>
  <c r="G6" i="13" s="1"/>
  <c r="F6" i="13" s="1"/>
  <c r="E6" i="13" s="1"/>
  <c r="M6" i="13" l="1"/>
  <c r="N6" i="13" s="1"/>
  <c r="O6" i="13" s="1"/>
  <c r="P6" i="13" s="1"/>
  <c r="P104" i="6" l="1"/>
  <c r="P205" i="6" s="1"/>
  <c r="O104" i="6"/>
  <c r="O205" i="6" s="1"/>
  <c r="N104" i="6"/>
  <c r="N205" i="6" s="1"/>
  <c r="M104" i="6"/>
  <c r="M205" i="6" s="1"/>
  <c r="P99" i="6"/>
  <c r="P159" i="6" s="1"/>
  <c r="O99" i="6"/>
  <c r="O159" i="6" s="1"/>
  <c r="N99" i="6"/>
  <c r="N159" i="6" s="1"/>
  <c r="M99" i="6"/>
  <c r="M159" i="6" s="1"/>
  <c r="C107" i="6"/>
  <c r="C106" i="6"/>
  <c r="C105" i="6"/>
  <c r="C102" i="6"/>
  <c r="C101" i="6"/>
  <c r="C100" i="6"/>
  <c r="O81" i="6"/>
  <c r="P81" i="6"/>
  <c r="P229" i="6"/>
  <c r="O229" i="6"/>
  <c r="N229" i="6"/>
  <c r="M229" i="6"/>
  <c r="P244" i="6"/>
  <c r="L256" i="6"/>
  <c r="K256" i="6"/>
  <c r="J256" i="6"/>
  <c r="I256" i="6"/>
  <c r="H256" i="6"/>
  <c r="G256" i="6"/>
  <c r="G244" i="6" s="1"/>
  <c r="F256" i="6"/>
  <c r="E256" i="6"/>
  <c r="M94" i="6" l="1"/>
  <c r="N94" i="6"/>
  <c r="O94" i="6"/>
  <c r="P94" i="6"/>
  <c r="C95" i="6"/>
  <c r="C96" i="6"/>
  <c r="C97" i="6"/>
  <c r="L213" i="6"/>
  <c r="K213" i="6"/>
  <c r="J213" i="6"/>
  <c r="I213" i="6"/>
  <c r="H213" i="6"/>
  <c r="G213" i="6"/>
  <c r="F213" i="6"/>
  <c r="E213" i="6"/>
  <c r="E205" i="6"/>
  <c r="E104" i="6" s="1"/>
  <c r="L229" i="6"/>
  <c r="K229" i="6"/>
  <c r="J229" i="6"/>
  <c r="I229" i="6"/>
  <c r="H229" i="6"/>
  <c r="G229" i="6"/>
  <c r="F229" i="6"/>
  <c r="E229" i="6"/>
  <c r="L227" i="6"/>
  <c r="K227" i="6"/>
  <c r="J227" i="6"/>
  <c r="I227" i="6"/>
  <c r="H227" i="6"/>
  <c r="G227" i="6"/>
  <c r="F227" i="6"/>
  <c r="E227" i="6"/>
  <c r="L228" i="6"/>
  <c r="K228" i="6"/>
  <c r="J228" i="6"/>
  <c r="I228" i="6"/>
  <c r="H228" i="6"/>
  <c r="G228" i="6"/>
  <c r="F228" i="6"/>
  <c r="E228" i="6"/>
  <c r="L226" i="6"/>
  <c r="K226" i="6"/>
  <c r="J226" i="6"/>
  <c r="I226" i="6"/>
  <c r="H226" i="6"/>
  <c r="G226" i="6"/>
  <c r="F226" i="6"/>
  <c r="E226" i="6"/>
  <c r="E225" i="6"/>
  <c r="L190" i="6"/>
  <c r="K190" i="6"/>
  <c r="J190" i="6"/>
  <c r="I190" i="6"/>
  <c r="H190" i="6"/>
  <c r="G190" i="6"/>
  <c r="F190" i="6"/>
  <c r="E190" i="6"/>
  <c r="L185" i="6"/>
  <c r="K185" i="6"/>
  <c r="J185" i="6"/>
  <c r="I185" i="6"/>
  <c r="H185" i="6"/>
  <c r="G185" i="6"/>
  <c r="F185" i="6"/>
  <c r="L181" i="6"/>
  <c r="K181" i="6"/>
  <c r="J181" i="6"/>
  <c r="I181" i="6"/>
  <c r="H181" i="6"/>
  <c r="G181" i="6"/>
  <c r="F181" i="6"/>
  <c r="E185" i="6"/>
  <c r="E181" i="6"/>
  <c r="L212" i="6"/>
  <c r="K212" i="6"/>
  <c r="J212" i="6"/>
  <c r="I212" i="6"/>
  <c r="H212" i="6"/>
  <c r="G212" i="6"/>
  <c r="F212" i="6"/>
  <c r="E212" i="6"/>
  <c r="L211" i="6"/>
  <c r="K211" i="6"/>
  <c r="J211" i="6"/>
  <c r="I211" i="6"/>
  <c r="H211" i="6"/>
  <c r="G211" i="6"/>
  <c r="F211" i="6"/>
  <c r="E211" i="6"/>
  <c r="L144" i="6"/>
  <c r="K144" i="6"/>
  <c r="J144" i="6"/>
  <c r="I144" i="6"/>
  <c r="H144" i="6"/>
  <c r="G144" i="6"/>
  <c r="F144" i="6"/>
  <c r="E144" i="6"/>
  <c r="L130" i="6"/>
  <c r="L220" i="6"/>
  <c r="K220" i="6"/>
  <c r="J220" i="6"/>
  <c r="I220" i="6"/>
  <c r="H220" i="6"/>
  <c r="G220" i="6"/>
  <c r="F220" i="6"/>
  <c r="E220" i="6"/>
  <c r="L218" i="6"/>
  <c r="K218" i="6"/>
  <c r="J218" i="6"/>
  <c r="I218" i="6"/>
  <c r="H218" i="6"/>
  <c r="G218" i="6"/>
  <c r="F218" i="6"/>
  <c r="E218" i="6"/>
  <c r="L166" i="6"/>
  <c r="M166" i="6" s="1"/>
  <c r="K166" i="6"/>
  <c r="J166" i="6"/>
  <c r="I166" i="6"/>
  <c r="H166" i="6"/>
  <c r="G166" i="6"/>
  <c r="F166" i="6"/>
  <c r="E166" i="6"/>
  <c r="L209" i="6"/>
  <c r="K209" i="6"/>
  <c r="J209" i="6"/>
  <c r="I209" i="6"/>
  <c r="H209" i="6"/>
  <c r="G209" i="6"/>
  <c r="F209" i="6"/>
  <c r="E209" i="6"/>
  <c r="E208" i="6"/>
  <c r="F208" i="6"/>
  <c r="G208" i="6"/>
  <c r="H208" i="6"/>
  <c r="I208" i="6"/>
  <c r="J208" i="6"/>
  <c r="K208" i="6"/>
  <c r="L208" i="6"/>
  <c r="L210" i="6"/>
  <c r="K210" i="6"/>
  <c r="J210" i="6"/>
  <c r="I210" i="6"/>
  <c r="H210" i="6"/>
  <c r="G210" i="6"/>
  <c r="F210" i="6"/>
  <c r="E210" i="6"/>
  <c r="L160" i="6"/>
  <c r="K160" i="6"/>
  <c r="J160" i="6"/>
  <c r="I160" i="6"/>
  <c r="H160" i="6"/>
  <c r="G160" i="6"/>
  <c r="F160" i="6"/>
  <c r="E160" i="6"/>
  <c r="L142" i="6"/>
  <c r="K142" i="6"/>
  <c r="J142" i="6"/>
  <c r="I142" i="6"/>
  <c r="H142" i="6"/>
  <c r="G142" i="6"/>
  <c r="F142" i="6"/>
  <c r="E142" i="6"/>
  <c r="L141" i="6"/>
  <c r="K141" i="6"/>
  <c r="J141" i="6"/>
  <c r="I141" i="6"/>
  <c r="H141" i="6"/>
  <c r="G141" i="6"/>
  <c r="F141" i="6"/>
  <c r="E141" i="6"/>
  <c r="L138" i="6"/>
  <c r="L204" i="6" s="1"/>
  <c r="K138" i="6"/>
  <c r="K204" i="6" s="1"/>
  <c r="J138" i="6"/>
  <c r="J204" i="6" s="1"/>
  <c r="I138" i="6"/>
  <c r="I204" i="6" s="1"/>
  <c r="H138" i="6"/>
  <c r="H204" i="6" s="1"/>
  <c r="G138" i="6"/>
  <c r="G204" i="6" s="1"/>
  <c r="F138" i="6"/>
  <c r="F204" i="6" s="1"/>
  <c r="E138" i="6"/>
  <c r="E204" i="6" s="1"/>
  <c r="L134" i="6"/>
  <c r="K134" i="6"/>
  <c r="J134" i="6"/>
  <c r="I134" i="6"/>
  <c r="H134" i="6"/>
  <c r="G134" i="6"/>
  <c r="F134" i="6"/>
  <c r="L133" i="6"/>
  <c r="K133" i="6"/>
  <c r="J133" i="6"/>
  <c r="I133" i="6"/>
  <c r="H133" i="6"/>
  <c r="G133" i="6"/>
  <c r="F133" i="6"/>
  <c r="L132" i="6"/>
  <c r="K132" i="6"/>
  <c r="J132" i="6"/>
  <c r="I132" i="6"/>
  <c r="H132" i="6"/>
  <c r="G132" i="6"/>
  <c r="F132" i="6"/>
  <c r="L131" i="6"/>
  <c r="K131" i="6"/>
  <c r="J131" i="6"/>
  <c r="I131" i="6"/>
  <c r="H131" i="6"/>
  <c r="G131" i="6"/>
  <c r="F131" i="6"/>
  <c r="K130" i="6"/>
  <c r="J130" i="6"/>
  <c r="I130" i="6"/>
  <c r="H130" i="6"/>
  <c r="G130" i="6"/>
  <c r="F130" i="6"/>
  <c r="L129" i="6"/>
  <c r="K129" i="6"/>
  <c r="J129" i="6"/>
  <c r="I129" i="6"/>
  <c r="H129" i="6"/>
  <c r="G129" i="6"/>
  <c r="F129" i="6"/>
  <c r="E134" i="6"/>
  <c r="E133" i="6"/>
  <c r="E132" i="6"/>
  <c r="E131" i="6"/>
  <c r="E130" i="6"/>
  <c r="E129" i="6"/>
  <c r="N166" i="6" l="1"/>
  <c r="N248" i="6"/>
  <c r="O248" i="6" s="1"/>
  <c r="F104" i="12"/>
  <c r="F103" i="12"/>
  <c r="F102" i="12"/>
  <c r="F101" i="12"/>
  <c r="F100" i="12"/>
  <c r="F99" i="12"/>
  <c r="F98" i="12"/>
  <c r="F282" i="6"/>
  <c r="M272" i="6"/>
  <c r="P250" i="6"/>
  <c r="O250" i="6"/>
  <c r="N250" i="6"/>
  <c r="M250" i="6"/>
  <c r="C253" i="6"/>
  <c r="C252" i="6"/>
  <c r="C251" i="6"/>
  <c r="L259" i="6"/>
  <c r="L263" i="6" s="1"/>
  <c r="K259" i="6"/>
  <c r="J259" i="6"/>
  <c r="I259" i="6"/>
  <c r="H259" i="6"/>
  <c r="H263" i="6" s="1"/>
  <c r="G259" i="6"/>
  <c r="F259" i="6"/>
  <c r="E259" i="6"/>
  <c r="G245" i="6"/>
  <c r="E245" i="6"/>
  <c r="I36" i="2"/>
  <c r="L255" i="6" s="1"/>
  <c r="L257" i="6" s="1"/>
  <c r="H36" i="2"/>
  <c r="K255" i="6" s="1"/>
  <c r="K257" i="6" s="1"/>
  <c r="G36" i="2"/>
  <c r="J255" i="6" s="1"/>
  <c r="J257" i="6" s="1"/>
  <c r="F36" i="2"/>
  <c r="I255" i="6" s="1"/>
  <c r="I257" i="6" s="1"/>
  <c r="E36" i="2"/>
  <c r="H255" i="6" s="1"/>
  <c r="H257" i="6" s="1"/>
  <c r="D36" i="2"/>
  <c r="G255" i="6" s="1"/>
  <c r="G257" i="6" s="1"/>
  <c r="C36" i="2"/>
  <c r="F255" i="6" s="1"/>
  <c r="F257" i="6" s="1"/>
  <c r="B36" i="2"/>
  <c r="E255" i="6" s="1"/>
  <c r="E257" i="6" s="1"/>
  <c r="O166" i="6" l="1"/>
  <c r="P248" i="6"/>
  <c r="P247" i="6" s="1"/>
  <c r="O247" i="6"/>
  <c r="N247" i="6"/>
  <c r="P166" i="6" l="1"/>
  <c r="L158" i="6" l="1"/>
  <c r="K158" i="6"/>
  <c r="J158" i="6"/>
  <c r="I158" i="6"/>
  <c r="H158" i="6"/>
  <c r="G158" i="6"/>
  <c r="F158" i="6"/>
  <c r="E158" i="6"/>
  <c r="P113" i="6"/>
  <c r="O113" i="6"/>
  <c r="N113" i="6"/>
  <c r="M113" i="6"/>
  <c r="C116" i="6"/>
  <c r="C114" i="6"/>
  <c r="C115" i="6"/>
  <c r="N81" i="6"/>
  <c r="M81" i="6"/>
  <c r="M45" i="6"/>
  <c r="C84" i="6"/>
  <c r="C83" i="6"/>
  <c r="C82" i="6"/>
  <c r="B126" i="10"/>
  <c r="B127" i="10" s="1"/>
  <c r="B113" i="10"/>
  <c r="B114" i="10" s="1"/>
  <c r="E167" i="6"/>
  <c r="B128" i="10" l="1"/>
  <c r="B129" i="10" s="1"/>
  <c r="B115" i="10"/>
  <c r="B116" i="10" s="1"/>
  <c r="A97" i="10" l="1"/>
  <c r="A98" i="10" s="1"/>
  <c r="A99" i="10" s="1"/>
  <c r="A100" i="10" s="1"/>
  <c r="A101" i="10" s="1"/>
  <c r="A102" i="10" s="1"/>
  <c r="A103" i="10" s="1"/>
  <c r="J6" i="2"/>
  <c r="K6" i="2" l="1"/>
  <c r="A85" i="10"/>
  <c r="A86" i="10" s="1"/>
  <c r="A87" i="10" s="1"/>
  <c r="A88" i="10" s="1"/>
  <c r="A89" i="10" s="1"/>
  <c r="A90" i="10" s="1"/>
  <c r="A91" i="10" s="1"/>
  <c r="A71" i="10"/>
  <c r="A72" i="10" s="1"/>
  <c r="A73" i="10" s="1"/>
  <c r="A74" i="10" s="1"/>
  <c r="A75" i="10" s="1"/>
  <c r="A76" i="10" s="1"/>
  <c r="A77" i="10" s="1"/>
  <c r="P53" i="6"/>
  <c r="O53" i="6"/>
  <c r="N53" i="6"/>
  <c r="M53" i="6"/>
  <c r="A58" i="10"/>
  <c r="A59" i="10" s="1"/>
  <c r="A60" i="10" s="1"/>
  <c r="A61" i="10" s="1"/>
  <c r="A62" i="10" s="1"/>
  <c r="A63" i="10" s="1"/>
  <c r="A64" i="10" s="1"/>
  <c r="K53" i="6"/>
  <c r="L53" i="6"/>
  <c r="J53" i="6"/>
  <c r="I53" i="6"/>
  <c r="H53" i="6"/>
  <c r="G53" i="6"/>
  <c r="F53" i="6"/>
  <c r="E53" i="6"/>
  <c r="L53" i="10"/>
  <c r="K53" i="10"/>
  <c r="J53" i="10"/>
  <c r="L52" i="10"/>
  <c r="K52" i="10"/>
  <c r="J52" i="10"/>
  <c r="L51" i="10"/>
  <c r="K51" i="10"/>
  <c r="J51" i="10"/>
  <c r="L50" i="10"/>
  <c r="K50" i="10"/>
  <c r="J50" i="10"/>
  <c r="L49" i="10"/>
  <c r="K49" i="10"/>
  <c r="J49" i="10"/>
  <c r="A46" i="10"/>
  <c r="A47" i="10" s="1"/>
  <c r="A48" i="10" s="1"/>
  <c r="A49" i="10" s="1"/>
  <c r="A50" i="10" s="1"/>
  <c r="A51" i="10" s="1"/>
  <c r="A52" i="10" s="1"/>
  <c r="L38" i="10"/>
  <c r="K38" i="10"/>
  <c r="J38" i="10"/>
  <c r="L37" i="10"/>
  <c r="K37" i="10"/>
  <c r="J37" i="10"/>
  <c r="L36" i="10"/>
  <c r="K36" i="10"/>
  <c r="J36" i="10"/>
  <c r="L35" i="10"/>
  <c r="K35" i="10"/>
  <c r="J35" i="10"/>
  <c r="L39" i="10"/>
  <c r="K39" i="10"/>
  <c r="J39" i="10"/>
  <c r="A32" i="10"/>
  <c r="A33" i="10" s="1"/>
  <c r="A34" i="10" s="1"/>
  <c r="A35" i="10" s="1"/>
  <c r="A36" i="10" s="1"/>
  <c r="A37" i="10" s="1"/>
  <c r="A38" i="10" s="1"/>
  <c r="P45" i="6"/>
  <c r="O45" i="6"/>
  <c r="N45" i="6"/>
  <c r="P38" i="6"/>
  <c r="O38" i="6"/>
  <c r="N38" i="6"/>
  <c r="M38" i="6"/>
  <c r="P28" i="6"/>
  <c r="P15" i="13" s="1"/>
  <c r="O28" i="6"/>
  <c r="O15" i="13" s="1"/>
  <c r="N28" i="6"/>
  <c r="N15" i="13" s="1"/>
  <c r="M28" i="6"/>
  <c r="M15" i="13" s="1"/>
  <c r="L20" i="10"/>
  <c r="K20" i="10"/>
  <c r="J20" i="10"/>
  <c r="L19" i="10"/>
  <c r="K19" i="10"/>
  <c r="J19" i="10"/>
  <c r="L18" i="10"/>
  <c r="K18" i="10"/>
  <c r="J18" i="10"/>
  <c r="L17" i="10"/>
  <c r="K17" i="10"/>
  <c r="J17" i="10"/>
  <c r="A18" i="10"/>
  <c r="A19" i="10" s="1"/>
  <c r="A20" i="10" s="1"/>
  <c r="A21" i="10" s="1"/>
  <c r="A22" i="10" s="1"/>
  <c r="A23" i="10" s="1"/>
  <c r="A24" i="10" s="1"/>
  <c r="P23" i="6"/>
  <c r="O23" i="6"/>
  <c r="N23" i="6"/>
  <c r="I7" i="10"/>
  <c r="K11" i="10"/>
  <c r="J11" i="10"/>
  <c r="K10" i="10"/>
  <c r="J10" i="10"/>
  <c r="K9" i="10"/>
  <c r="J9" i="10"/>
  <c r="K8" i="10"/>
  <c r="J8" i="10"/>
  <c r="K7" i="10"/>
  <c r="J7" i="10"/>
  <c r="I11" i="10"/>
  <c r="I10" i="10"/>
  <c r="I9" i="10"/>
  <c r="I8" i="10"/>
  <c r="A3" i="10"/>
  <c r="A4" i="10" s="1"/>
  <c r="A5" i="10" s="1"/>
  <c r="A6" i="10" s="1"/>
  <c r="A7" i="10" s="1"/>
  <c r="A8" i="10" s="1"/>
  <c r="A9" i="10" s="1"/>
  <c r="E36" i="6"/>
  <c r="L36" i="6"/>
  <c r="K36" i="6"/>
  <c r="J36" i="6"/>
  <c r="I36" i="6"/>
  <c r="H36" i="6"/>
  <c r="G36" i="6"/>
  <c r="F36" i="6"/>
  <c r="L33" i="6"/>
  <c r="L11" i="13" s="1"/>
  <c r="K33" i="6"/>
  <c r="K11" i="13" s="1"/>
  <c r="J33" i="6"/>
  <c r="J11" i="13" s="1"/>
  <c r="I33" i="6"/>
  <c r="I11" i="13" s="1"/>
  <c r="H33" i="6"/>
  <c r="H11" i="13" s="1"/>
  <c r="G33" i="6"/>
  <c r="G11" i="13" s="1"/>
  <c r="F33" i="6"/>
  <c r="F11" i="13" s="1"/>
  <c r="E33" i="6"/>
  <c r="E11" i="13" s="1"/>
  <c r="L28" i="6"/>
  <c r="L15" i="13" s="1"/>
  <c r="K28" i="6"/>
  <c r="K15" i="13" s="1"/>
  <c r="J28" i="6"/>
  <c r="J15" i="13" s="1"/>
  <c r="I28" i="6"/>
  <c r="I15" i="13" s="1"/>
  <c r="H28" i="6"/>
  <c r="H15" i="13" s="1"/>
  <c r="G28" i="6"/>
  <c r="G15" i="13" s="1"/>
  <c r="F28" i="6"/>
  <c r="F15" i="13" s="1"/>
  <c r="E28" i="6"/>
  <c r="E15" i="13" s="1"/>
  <c r="L22" i="6"/>
  <c r="K22" i="6"/>
  <c r="J22" i="6"/>
  <c r="I22" i="6"/>
  <c r="H22" i="6"/>
  <c r="G22" i="6"/>
  <c r="F22" i="6"/>
  <c r="E22" i="6"/>
  <c r="D3" i="8"/>
  <c r="E3" i="8" s="1"/>
  <c r="F3" i="8" s="1"/>
  <c r="G3" i="8" s="1"/>
  <c r="H3" i="8" s="1"/>
  <c r="I3" i="8" s="1"/>
  <c r="J3" i="8" s="1"/>
  <c r="J90" i="6" l="1"/>
  <c r="J12" i="13"/>
  <c r="K90" i="6"/>
  <c r="K12" i="13"/>
  <c r="I90" i="6"/>
  <c r="I12" i="13"/>
  <c r="L90" i="6"/>
  <c r="L12" i="13"/>
  <c r="E90" i="6"/>
  <c r="E12" i="13"/>
  <c r="F90" i="6"/>
  <c r="F12" i="13"/>
  <c r="G90" i="6"/>
  <c r="G12" i="13"/>
  <c r="H90" i="6"/>
  <c r="H12" i="13"/>
  <c r="I89" i="6"/>
  <c r="I88" i="6"/>
  <c r="L71" i="6"/>
  <c r="L88" i="6"/>
  <c r="L89" i="6"/>
  <c r="E71" i="6"/>
  <c r="E88" i="6"/>
  <c r="E89" i="6"/>
  <c r="G89" i="6"/>
  <c r="G88" i="6"/>
  <c r="J88" i="6"/>
  <c r="J89" i="6"/>
  <c r="K89" i="6"/>
  <c r="K88" i="6"/>
  <c r="F88" i="6"/>
  <c r="F89" i="6"/>
  <c r="H89" i="6"/>
  <c r="H88" i="6"/>
  <c r="I260" i="6"/>
  <c r="I71" i="6"/>
  <c r="J260" i="6"/>
  <c r="J71" i="6"/>
  <c r="F260" i="6"/>
  <c r="F71" i="6"/>
  <c r="K260" i="6"/>
  <c r="K71" i="6"/>
  <c r="G260" i="6"/>
  <c r="G71" i="6"/>
  <c r="H260" i="6"/>
  <c r="H71" i="6"/>
  <c r="L260" i="6"/>
  <c r="L63" i="6"/>
  <c r="E260" i="6"/>
  <c r="E64" i="6"/>
  <c r="L6" i="2"/>
  <c r="K34" i="6"/>
  <c r="G34" i="6"/>
  <c r="I34" i="6"/>
  <c r="J23" i="6"/>
  <c r="F23" i="6"/>
  <c r="I37" i="6"/>
  <c r="H23" i="6"/>
  <c r="F37" i="6"/>
  <c r="G37" i="6"/>
  <c r="J37" i="6"/>
  <c r="K37" i="6"/>
  <c r="I23" i="6"/>
  <c r="J34" i="6"/>
  <c r="H37" i="6"/>
  <c r="F34" i="6"/>
  <c r="L37" i="6"/>
  <c r="E37" i="6"/>
  <c r="L34" i="6"/>
  <c r="M22" i="6"/>
  <c r="M142" i="6" s="1"/>
  <c r="G23" i="6"/>
  <c r="K23" i="6"/>
  <c r="H34" i="6"/>
  <c r="L23" i="6"/>
  <c r="L232" i="6"/>
  <c r="K232" i="6"/>
  <c r="J232" i="6"/>
  <c r="I232" i="6"/>
  <c r="H232" i="6"/>
  <c r="G232" i="6"/>
  <c r="F232" i="6"/>
  <c r="E232" i="6"/>
  <c r="L225" i="6"/>
  <c r="K225" i="6"/>
  <c r="J225" i="6"/>
  <c r="I225" i="6"/>
  <c r="H225" i="6"/>
  <c r="G225" i="6"/>
  <c r="F225" i="6"/>
  <c r="L224" i="6"/>
  <c r="K224" i="6"/>
  <c r="J224" i="6"/>
  <c r="I224" i="6"/>
  <c r="H224" i="6"/>
  <c r="G224" i="6"/>
  <c r="F224" i="6"/>
  <c r="E224" i="6"/>
  <c r="E217" i="6"/>
  <c r="E109" i="6" s="1"/>
  <c r="L217" i="6"/>
  <c r="L109" i="6" s="1"/>
  <c r="K217" i="6"/>
  <c r="K109" i="6" s="1"/>
  <c r="J217" i="6"/>
  <c r="J109" i="6" s="1"/>
  <c r="I217" i="6"/>
  <c r="I109" i="6" s="1"/>
  <c r="H217" i="6"/>
  <c r="H109" i="6" s="1"/>
  <c r="G217" i="6"/>
  <c r="G109" i="6" s="1"/>
  <c r="F217" i="6"/>
  <c r="F109" i="6" s="1"/>
  <c r="L205" i="6"/>
  <c r="L104" i="6" s="1"/>
  <c r="K205" i="6"/>
  <c r="K104" i="6" s="1"/>
  <c r="J205" i="6"/>
  <c r="J104" i="6" s="1"/>
  <c r="I205" i="6"/>
  <c r="I104" i="6" s="1"/>
  <c r="H205" i="6"/>
  <c r="H104" i="6" s="1"/>
  <c r="G205" i="6"/>
  <c r="G104" i="6" s="1"/>
  <c r="F205" i="6"/>
  <c r="F104" i="6" s="1"/>
  <c r="L206" i="6"/>
  <c r="L92" i="6" s="1"/>
  <c r="K206" i="6"/>
  <c r="K92" i="6" s="1"/>
  <c r="J206" i="6"/>
  <c r="J92" i="6" s="1"/>
  <c r="I206" i="6"/>
  <c r="I92" i="6" s="1"/>
  <c r="H206" i="6"/>
  <c r="H92" i="6" s="1"/>
  <c r="G206" i="6"/>
  <c r="G92" i="6" s="1"/>
  <c r="F206" i="6"/>
  <c r="F92" i="6" s="1"/>
  <c r="E206" i="6"/>
  <c r="L184" i="6"/>
  <c r="K184" i="6"/>
  <c r="J184" i="6"/>
  <c r="I184" i="6"/>
  <c r="H184" i="6"/>
  <c r="G184" i="6"/>
  <c r="F184" i="6"/>
  <c r="E184" i="6"/>
  <c r="L182" i="6"/>
  <c r="K182" i="6"/>
  <c r="J182" i="6"/>
  <c r="I182" i="6"/>
  <c r="H182" i="6"/>
  <c r="G182" i="6"/>
  <c r="F182" i="6"/>
  <c r="E182" i="6"/>
  <c r="M12" i="13" l="1"/>
  <c r="M228" i="6"/>
  <c r="L230" i="6"/>
  <c r="M259" i="6"/>
  <c r="M227" i="6"/>
  <c r="M131" i="6"/>
  <c r="M132" i="6"/>
  <c r="M134" i="6"/>
  <c r="F94" i="6"/>
  <c r="M190" i="6"/>
  <c r="M217" i="6"/>
  <c r="E94" i="6"/>
  <c r="K94" i="6"/>
  <c r="H94" i="6"/>
  <c r="I94" i="6"/>
  <c r="L94" i="6"/>
  <c r="G94" i="6"/>
  <c r="J94" i="6"/>
  <c r="M144" i="6"/>
  <c r="M58" i="6"/>
  <c r="M52" i="6" s="1"/>
  <c r="M129" i="6" s="1"/>
  <c r="M206" i="6"/>
  <c r="M184" i="6" s="1"/>
  <c r="M130" i="6"/>
  <c r="M6" i="2"/>
  <c r="N6" i="2" s="1"/>
  <c r="K38" i="6"/>
  <c r="M138" i="6"/>
  <c r="M204" i="6" s="1"/>
  <c r="F38" i="6"/>
  <c r="I38" i="6"/>
  <c r="G38" i="6"/>
  <c r="J38" i="6"/>
  <c r="M133" i="6"/>
  <c r="E221" i="6"/>
  <c r="L38" i="6"/>
  <c r="M37" i="6"/>
  <c r="N37" i="6" s="1"/>
  <c r="O37" i="6" s="1"/>
  <c r="P37" i="6" s="1"/>
  <c r="M33" i="6"/>
  <c r="M11" i="13" s="1"/>
  <c r="H38" i="6"/>
  <c r="N22" i="6"/>
  <c r="E230" i="6"/>
  <c r="F221" i="6"/>
  <c r="F230" i="6"/>
  <c r="I221" i="6"/>
  <c r="G221" i="6"/>
  <c r="L221" i="6"/>
  <c r="K230" i="6"/>
  <c r="H221" i="6"/>
  <c r="J221" i="6"/>
  <c r="I230" i="6"/>
  <c r="H230" i="6"/>
  <c r="K221" i="6"/>
  <c r="J230" i="6"/>
  <c r="G230" i="6"/>
  <c r="L183" i="6"/>
  <c r="L282" i="6" s="1"/>
  <c r="M279" i="6" s="1"/>
  <c r="M256" i="6" s="1"/>
  <c r="M141" i="6" s="1"/>
  <c r="K183" i="6"/>
  <c r="J183" i="6"/>
  <c r="I183" i="6"/>
  <c r="H183" i="6"/>
  <c r="G183" i="6"/>
  <c r="E183" i="6"/>
  <c r="F244" i="6" s="1"/>
  <c r="L189" i="6"/>
  <c r="K189" i="6"/>
  <c r="J189" i="6"/>
  <c r="I189" i="6"/>
  <c r="H189" i="6"/>
  <c r="G189" i="6"/>
  <c r="F189" i="6"/>
  <c r="E189" i="6"/>
  <c r="L176" i="6"/>
  <c r="K176" i="6"/>
  <c r="J176" i="6"/>
  <c r="I176" i="6"/>
  <c r="H176" i="6"/>
  <c r="G176" i="6"/>
  <c r="F176" i="6"/>
  <c r="E176" i="6"/>
  <c r="L175" i="6"/>
  <c r="K175" i="6"/>
  <c r="J175" i="6"/>
  <c r="I175" i="6"/>
  <c r="H175" i="6"/>
  <c r="G175" i="6"/>
  <c r="F175" i="6"/>
  <c r="E175" i="6"/>
  <c r="L168" i="6"/>
  <c r="K168" i="6"/>
  <c r="J168" i="6"/>
  <c r="I168" i="6"/>
  <c r="H168" i="6"/>
  <c r="G168" i="6"/>
  <c r="F168" i="6"/>
  <c r="E168" i="6"/>
  <c r="L167" i="6"/>
  <c r="K167" i="6"/>
  <c r="J167" i="6"/>
  <c r="I167" i="6"/>
  <c r="H167" i="6"/>
  <c r="G167" i="6"/>
  <c r="F167" i="6"/>
  <c r="L165" i="6"/>
  <c r="K165" i="6"/>
  <c r="J165" i="6"/>
  <c r="I165" i="6"/>
  <c r="H165" i="6"/>
  <c r="G165" i="6"/>
  <c r="F165" i="6"/>
  <c r="E165" i="6"/>
  <c r="L161" i="6"/>
  <c r="M161" i="6" s="1"/>
  <c r="N161" i="6" s="1"/>
  <c r="O161" i="6" s="1"/>
  <c r="P161" i="6" s="1"/>
  <c r="K161" i="6"/>
  <c r="J161" i="6"/>
  <c r="I161" i="6"/>
  <c r="H161" i="6"/>
  <c r="G161" i="6"/>
  <c r="F161" i="6"/>
  <c r="E161" i="6"/>
  <c r="E159" i="6"/>
  <c r="E99" i="6" s="1"/>
  <c r="L159" i="6"/>
  <c r="L99" i="6" s="1"/>
  <c r="K159" i="6"/>
  <c r="K99" i="6" s="1"/>
  <c r="J159" i="6"/>
  <c r="J99" i="6" s="1"/>
  <c r="I159" i="6"/>
  <c r="I99" i="6" s="1"/>
  <c r="H159" i="6"/>
  <c r="H99" i="6" s="1"/>
  <c r="G159" i="6"/>
  <c r="G99" i="6" s="1"/>
  <c r="F159" i="6"/>
  <c r="F99" i="6" s="1"/>
  <c r="K63" i="6"/>
  <c r="J63" i="6"/>
  <c r="I63" i="6"/>
  <c r="H63" i="6"/>
  <c r="G63" i="6"/>
  <c r="F63" i="6"/>
  <c r="E63" i="6"/>
  <c r="L65" i="6"/>
  <c r="K65" i="6"/>
  <c r="J65" i="6"/>
  <c r="I65" i="6"/>
  <c r="H65" i="6"/>
  <c r="G65" i="6"/>
  <c r="F65" i="6"/>
  <c r="E65" i="6"/>
  <c r="L148" i="6"/>
  <c r="L151" i="6" s="1"/>
  <c r="K148" i="6"/>
  <c r="K151" i="6" s="1"/>
  <c r="J148" i="6"/>
  <c r="J151" i="6" s="1"/>
  <c r="I148" i="6"/>
  <c r="I151" i="6" s="1"/>
  <c r="H148" i="6"/>
  <c r="H151" i="6" s="1"/>
  <c r="G148" i="6"/>
  <c r="G151" i="6" s="1"/>
  <c r="F148" i="6"/>
  <c r="F151" i="6" s="1"/>
  <c r="E148" i="6"/>
  <c r="E151" i="6" s="1"/>
  <c r="I30" i="13" l="1"/>
  <c r="H30" i="13"/>
  <c r="J30" i="13"/>
  <c r="F30" i="13"/>
  <c r="G30" i="13"/>
  <c r="K30" i="13"/>
  <c r="L30" i="13"/>
  <c r="M182" i="6"/>
  <c r="N190" i="6"/>
  <c r="N12" i="13"/>
  <c r="G282" i="6"/>
  <c r="H244" i="6"/>
  <c r="H282" i="6"/>
  <c r="I244" i="6"/>
  <c r="I282" i="6"/>
  <c r="J244" i="6"/>
  <c r="J282" i="6"/>
  <c r="K244" i="6"/>
  <c r="K282" i="6"/>
  <c r="L244" i="6"/>
  <c r="E282" i="6"/>
  <c r="N228" i="6"/>
  <c r="N217" i="6"/>
  <c r="N227" i="6"/>
  <c r="F22" i="8"/>
  <c r="H22" i="8"/>
  <c r="G22" i="8"/>
  <c r="N144" i="6"/>
  <c r="N58" i="6"/>
  <c r="N52" i="6" s="1"/>
  <c r="N142" i="6"/>
  <c r="N206" i="6" s="1"/>
  <c r="N184" i="6" s="1"/>
  <c r="I22" i="8"/>
  <c r="E22" i="8"/>
  <c r="E263" i="6"/>
  <c r="E264" i="6" s="1"/>
  <c r="C22" i="8"/>
  <c r="J22" i="8"/>
  <c r="F263" i="6"/>
  <c r="F264" i="6" s="1"/>
  <c r="D22" i="8"/>
  <c r="L264" i="6"/>
  <c r="G263" i="6"/>
  <c r="G264" i="6" s="1"/>
  <c r="H264" i="6"/>
  <c r="J263" i="6"/>
  <c r="J264" i="6" s="1"/>
  <c r="I263" i="6"/>
  <c r="I264" i="6" s="1"/>
  <c r="K263" i="6"/>
  <c r="K264" i="6" s="1"/>
  <c r="M61" i="6"/>
  <c r="M20" i="13" s="1"/>
  <c r="M135" i="6"/>
  <c r="N133" i="6"/>
  <c r="N132" i="6"/>
  <c r="N131" i="6"/>
  <c r="N134" i="6"/>
  <c r="M36" i="6"/>
  <c r="M124" i="6" s="1"/>
  <c r="M34" i="6"/>
  <c r="N33" i="6"/>
  <c r="N11" i="13" s="1"/>
  <c r="O22" i="6"/>
  <c r="E191" i="6"/>
  <c r="H191" i="6"/>
  <c r="G191" i="6"/>
  <c r="J186" i="6"/>
  <c r="F191" i="6"/>
  <c r="I186" i="6"/>
  <c r="H186" i="6"/>
  <c r="E186" i="6"/>
  <c r="I191" i="6"/>
  <c r="J191" i="6"/>
  <c r="K191" i="6"/>
  <c r="F186" i="6"/>
  <c r="L191" i="6"/>
  <c r="G186" i="6"/>
  <c r="K186" i="6"/>
  <c r="L186" i="6"/>
  <c r="K177" i="6"/>
  <c r="L177" i="6"/>
  <c r="E177" i="6"/>
  <c r="I177" i="6"/>
  <c r="F177" i="6"/>
  <c r="J177" i="6"/>
  <c r="G177" i="6"/>
  <c r="H177" i="6"/>
  <c r="E169" i="6"/>
  <c r="E162" i="6"/>
  <c r="F169" i="6"/>
  <c r="K169" i="6"/>
  <c r="G169" i="6"/>
  <c r="H169" i="6"/>
  <c r="I169" i="6"/>
  <c r="J169" i="6"/>
  <c r="L169" i="6"/>
  <c r="G162" i="6"/>
  <c r="H162" i="6"/>
  <c r="J162" i="6"/>
  <c r="K162" i="6"/>
  <c r="L162" i="6"/>
  <c r="I162" i="6"/>
  <c r="F162" i="6"/>
  <c r="M19" i="13" l="1"/>
  <c r="M18" i="13"/>
  <c r="O190" i="6"/>
  <c r="O12" i="13"/>
  <c r="N182" i="6"/>
  <c r="O228" i="6"/>
  <c r="O217" i="6"/>
  <c r="N181" i="6"/>
  <c r="N189" i="6"/>
  <c r="N185" i="6"/>
  <c r="O227" i="6"/>
  <c r="O259" i="6"/>
  <c r="O263" i="6" s="1"/>
  <c r="O58" i="6"/>
  <c r="O52" i="6" s="1"/>
  <c r="O144" i="6"/>
  <c r="O142" i="6"/>
  <c r="O206" i="6" s="1"/>
  <c r="O184" i="6" s="1"/>
  <c r="N34" i="6"/>
  <c r="N61" i="6"/>
  <c r="N20" i="13" s="1"/>
  <c r="N129" i="6"/>
  <c r="O133" i="6"/>
  <c r="O132" i="6"/>
  <c r="O131" i="6"/>
  <c r="O134" i="6"/>
  <c r="O130" i="6"/>
  <c r="O33" i="6"/>
  <c r="O11" i="13" s="1"/>
  <c r="P22" i="6"/>
  <c r="P12" i="13" s="1"/>
  <c r="N36" i="6"/>
  <c r="G193" i="6"/>
  <c r="G195" i="6" s="1"/>
  <c r="H193" i="6"/>
  <c r="H195" i="6" s="1"/>
  <c r="J193" i="6"/>
  <c r="J195" i="6" s="1"/>
  <c r="F193" i="6"/>
  <c r="F195" i="6" s="1"/>
  <c r="I193" i="6"/>
  <c r="I195" i="6" s="1"/>
  <c r="F171" i="6"/>
  <c r="E193" i="6"/>
  <c r="E195" i="6" s="1"/>
  <c r="L193" i="6"/>
  <c r="L195" i="6" s="1"/>
  <c r="K193" i="6"/>
  <c r="K195" i="6" s="1"/>
  <c r="H171" i="6"/>
  <c r="G171" i="6"/>
  <c r="E171" i="6"/>
  <c r="K171" i="6"/>
  <c r="J171" i="6"/>
  <c r="L171" i="6"/>
  <c r="I171" i="6"/>
  <c r="E197" i="6" l="1"/>
  <c r="O182" i="6"/>
  <c r="P228" i="6"/>
  <c r="P217" i="6"/>
  <c r="P190" i="6"/>
  <c r="P227" i="6"/>
  <c r="P58" i="6"/>
  <c r="P52" i="6" s="1"/>
  <c r="P144" i="6"/>
  <c r="P142" i="6"/>
  <c r="P206" i="6" s="1"/>
  <c r="P184" i="6" s="1"/>
  <c r="P33" i="6"/>
  <c r="P11" i="13" s="1"/>
  <c r="O34" i="6"/>
  <c r="P133" i="6"/>
  <c r="P132" i="6"/>
  <c r="P131" i="6"/>
  <c r="P134" i="6"/>
  <c r="P130" i="6"/>
  <c r="O36" i="6"/>
  <c r="O61" i="6"/>
  <c r="O20" i="13" s="1"/>
  <c r="O129" i="6"/>
  <c r="O135" i="6" s="1"/>
  <c r="I197" i="6"/>
  <c r="F197" i="6"/>
  <c r="H197" i="6"/>
  <c r="G197" i="6"/>
  <c r="K197" i="6"/>
  <c r="L197" i="6"/>
  <c r="J197" i="6"/>
  <c r="L245" i="6"/>
  <c r="K245" i="6"/>
  <c r="J245" i="6"/>
  <c r="I245" i="6"/>
  <c r="H245" i="6"/>
  <c r="F245" i="6"/>
  <c r="L68" i="6"/>
  <c r="K68" i="6"/>
  <c r="J68" i="6"/>
  <c r="I68" i="6"/>
  <c r="H68" i="6"/>
  <c r="G68" i="6"/>
  <c r="F68" i="6"/>
  <c r="E68" i="6"/>
  <c r="L67" i="6"/>
  <c r="K67" i="6"/>
  <c r="J67" i="6"/>
  <c r="I67" i="6"/>
  <c r="H67" i="6"/>
  <c r="G67" i="6"/>
  <c r="F67" i="6"/>
  <c r="E67" i="6"/>
  <c r="L66" i="6"/>
  <c r="K66" i="6"/>
  <c r="J66" i="6"/>
  <c r="I66" i="6"/>
  <c r="H66" i="6"/>
  <c r="G66" i="6"/>
  <c r="F66" i="6"/>
  <c r="E66" i="6"/>
  <c r="L52" i="6"/>
  <c r="K52" i="6"/>
  <c r="J52" i="6"/>
  <c r="I52" i="6"/>
  <c r="H52" i="6"/>
  <c r="G52" i="6"/>
  <c r="F52" i="6"/>
  <c r="E52" i="6"/>
  <c r="L125" i="6"/>
  <c r="K125" i="6"/>
  <c r="J125" i="6"/>
  <c r="I125" i="6"/>
  <c r="H125" i="6"/>
  <c r="G125" i="6"/>
  <c r="F125" i="6"/>
  <c r="E125" i="6"/>
  <c r="L124" i="6"/>
  <c r="K124" i="6"/>
  <c r="J124" i="6"/>
  <c r="I124" i="6"/>
  <c r="H124" i="6"/>
  <c r="G124" i="6"/>
  <c r="F124" i="6"/>
  <c r="E124" i="6"/>
  <c r="O19" i="13" l="1"/>
  <c r="O18" i="13"/>
  <c r="P182" i="6"/>
  <c r="P181" i="6"/>
  <c r="P189" i="6"/>
  <c r="P185" i="6"/>
  <c r="H250" i="6"/>
  <c r="H43" i="6"/>
  <c r="I250" i="6"/>
  <c r="I43" i="6"/>
  <c r="G250" i="6"/>
  <c r="G43" i="6"/>
  <c r="E250" i="6"/>
  <c r="E43" i="6"/>
  <c r="F250" i="6"/>
  <c r="F43" i="6"/>
  <c r="J250" i="6"/>
  <c r="J43" i="6"/>
  <c r="K250" i="6"/>
  <c r="K43" i="6"/>
  <c r="L250" i="6"/>
  <c r="L43" i="6"/>
  <c r="F70" i="6"/>
  <c r="G70" i="6"/>
  <c r="J70" i="6"/>
  <c r="K70" i="6"/>
  <c r="L70" i="6"/>
  <c r="H70" i="6"/>
  <c r="I70" i="6"/>
  <c r="K64" i="6"/>
  <c r="J64" i="6"/>
  <c r="G64" i="6"/>
  <c r="H64" i="6"/>
  <c r="L64" i="6"/>
  <c r="F64" i="6"/>
  <c r="I64" i="6"/>
  <c r="P34" i="6"/>
  <c r="P36" i="6"/>
  <c r="P61" i="6"/>
  <c r="P20" i="13" s="1"/>
  <c r="P129" i="6"/>
  <c r="P135" i="6" s="1"/>
  <c r="K61" i="6"/>
  <c r="K20" i="13" s="1"/>
  <c r="K58" i="6"/>
  <c r="K59" i="6" s="1"/>
  <c r="L61" i="6"/>
  <c r="L20" i="13" s="1"/>
  <c r="L58" i="6"/>
  <c r="L59" i="6" s="1"/>
  <c r="G61" i="6"/>
  <c r="G20" i="13" s="1"/>
  <c r="G58" i="6"/>
  <c r="G59" i="6" s="1"/>
  <c r="H61" i="6"/>
  <c r="H20" i="13" s="1"/>
  <c r="H58" i="6"/>
  <c r="H59" i="6" s="1"/>
  <c r="F61" i="6"/>
  <c r="F20" i="13" s="1"/>
  <c r="F58" i="6"/>
  <c r="F59" i="6" s="1"/>
  <c r="I61" i="6"/>
  <c r="I20" i="13" s="1"/>
  <c r="I58" i="6"/>
  <c r="I59" i="6" s="1"/>
  <c r="E58" i="6"/>
  <c r="E59" i="6" s="1"/>
  <c r="E61" i="6"/>
  <c r="E20" i="13" s="1"/>
  <c r="J61" i="6"/>
  <c r="J20" i="13" s="1"/>
  <c r="J58" i="6"/>
  <c r="J59" i="6" s="1"/>
  <c r="I135" i="6"/>
  <c r="G135" i="6"/>
  <c r="F135" i="6"/>
  <c r="E135" i="6"/>
  <c r="J135" i="6"/>
  <c r="K135" i="6"/>
  <c r="H135" i="6"/>
  <c r="L135" i="6"/>
  <c r="K126" i="6"/>
  <c r="L126" i="6"/>
  <c r="I126" i="6"/>
  <c r="J126" i="6"/>
  <c r="E126" i="6"/>
  <c r="H126" i="6"/>
  <c r="F126" i="6"/>
  <c r="F215" i="6" s="1"/>
  <c r="G126" i="6"/>
  <c r="L241" i="6"/>
  <c r="L200" i="6"/>
  <c r="M200" i="6" s="1"/>
  <c r="L154" i="6"/>
  <c r="M154" i="6" s="1"/>
  <c r="L121" i="6"/>
  <c r="M121" i="6" s="1"/>
  <c r="D241" i="6"/>
  <c r="D200" i="6"/>
  <c r="D154" i="6"/>
  <c r="C56" i="6"/>
  <c r="C55" i="6"/>
  <c r="C54" i="6"/>
  <c r="C48" i="6"/>
  <c r="C47" i="6"/>
  <c r="C46" i="6"/>
  <c r="C41" i="6"/>
  <c r="C40" i="6"/>
  <c r="C39" i="6"/>
  <c r="C31" i="6"/>
  <c r="C30" i="6"/>
  <c r="C29" i="6"/>
  <c r="L20" i="6"/>
  <c r="E48" i="13" l="1"/>
  <c r="E47" i="13"/>
  <c r="E46" i="13"/>
  <c r="E52" i="13" s="1"/>
  <c r="E45" i="13"/>
  <c r="E51" i="13" s="1"/>
  <c r="E44" i="13"/>
  <c r="E50" i="13" s="1"/>
  <c r="F44" i="13"/>
  <c r="F50" i="13" s="1"/>
  <c r="F45" i="13"/>
  <c r="F51" i="13" s="1"/>
  <c r="F46" i="13"/>
  <c r="F52" i="13" s="1"/>
  <c r="F47" i="13"/>
  <c r="F48" i="13"/>
  <c r="F27" i="13"/>
  <c r="H44" i="13"/>
  <c r="H50" i="13" s="1"/>
  <c r="H27" i="13"/>
  <c r="H46" i="13"/>
  <c r="H52" i="13" s="1"/>
  <c r="H47" i="13"/>
  <c r="H48" i="13"/>
  <c r="H45" i="13"/>
  <c r="H51" i="13" s="1"/>
  <c r="J44" i="13"/>
  <c r="J50" i="13" s="1"/>
  <c r="J45" i="13"/>
  <c r="J51" i="13" s="1"/>
  <c r="J46" i="13"/>
  <c r="J52" i="13" s="1"/>
  <c r="J27" i="13"/>
  <c r="J48" i="13"/>
  <c r="J47" i="13"/>
  <c r="L45" i="13"/>
  <c r="L51" i="13" s="1"/>
  <c r="L27" i="13"/>
  <c r="L46" i="13"/>
  <c r="L52" i="13" s="1"/>
  <c r="L47" i="13"/>
  <c r="L48" i="13"/>
  <c r="L44" i="13"/>
  <c r="L50" i="13" s="1"/>
  <c r="K44" i="13"/>
  <c r="K50" i="13" s="1"/>
  <c r="K45" i="13"/>
  <c r="K51" i="13" s="1"/>
  <c r="K27" i="13"/>
  <c r="K46" i="13"/>
  <c r="K52" i="13" s="1"/>
  <c r="K53" i="13" s="1"/>
  <c r="K47" i="13"/>
  <c r="K48" i="13"/>
  <c r="G44" i="13"/>
  <c r="G50" i="13" s="1"/>
  <c r="G45" i="13"/>
  <c r="G51" i="13" s="1"/>
  <c r="G27" i="13"/>
  <c r="G46" i="13"/>
  <c r="G52" i="13" s="1"/>
  <c r="G47" i="13"/>
  <c r="G48" i="13"/>
  <c r="I44" i="13"/>
  <c r="I50" i="13" s="1"/>
  <c r="I45" i="13"/>
  <c r="I51" i="13" s="1"/>
  <c r="I46" i="13"/>
  <c r="I52" i="13" s="1"/>
  <c r="I47" i="13"/>
  <c r="I48" i="13"/>
  <c r="I27" i="13"/>
  <c r="H79" i="6"/>
  <c r="G19" i="13"/>
  <c r="G18" i="13"/>
  <c r="H44" i="6"/>
  <c r="H14" i="13"/>
  <c r="J111" i="6"/>
  <c r="I13" i="13"/>
  <c r="I26" i="13"/>
  <c r="G44" i="6"/>
  <c r="H45" i="6" s="1"/>
  <c r="G14" i="13"/>
  <c r="G79" i="6"/>
  <c r="F19" i="13"/>
  <c r="F18" i="13"/>
  <c r="K111" i="6"/>
  <c r="J13" i="13"/>
  <c r="J26" i="13"/>
  <c r="K44" i="6"/>
  <c r="K14" i="13"/>
  <c r="L13" i="13"/>
  <c r="L26" i="13"/>
  <c r="J44" i="6"/>
  <c r="J45" i="6" s="1"/>
  <c r="J14" i="13"/>
  <c r="F13" i="13"/>
  <c r="F26" i="13"/>
  <c r="H111" i="6"/>
  <c r="G13" i="13"/>
  <c r="G26" i="13"/>
  <c r="J79" i="6"/>
  <c r="I19" i="13"/>
  <c r="I18" i="13"/>
  <c r="M181" i="6"/>
  <c r="L19" i="13"/>
  <c r="L18" i="13"/>
  <c r="L21" i="13" s="1"/>
  <c r="P19" i="13"/>
  <c r="P18" i="13"/>
  <c r="F44" i="6"/>
  <c r="F14" i="13"/>
  <c r="I44" i="6"/>
  <c r="I14" i="13"/>
  <c r="I79" i="6"/>
  <c r="H19" i="13"/>
  <c r="H18" i="13"/>
  <c r="E19" i="13"/>
  <c r="E18" i="13"/>
  <c r="I111" i="6"/>
  <c r="H13" i="13"/>
  <c r="H26" i="13"/>
  <c r="L44" i="6"/>
  <c r="L45" i="6" s="1"/>
  <c r="L14" i="13"/>
  <c r="F111" i="6"/>
  <c r="E13" i="13"/>
  <c r="L111" i="6"/>
  <c r="K13" i="13"/>
  <c r="K26" i="13"/>
  <c r="L79" i="6"/>
  <c r="K19" i="13"/>
  <c r="K18" i="13"/>
  <c r="E44" i="6"/>
  <c r="E14" i="13"/>
  <c r="K79" i="6"/>
  <c r="J19" i="13"/>
  <c r="J18" i="13"/>
  <c r="G111" i="6"/>
  <c r="M218" i="6"/>
  <c r="M220" i="6"/>
  <c r="M158" i="6" s="1"/>
  <c r="M160" i="6"/>
  <c r="M210" i="6" s="1"/>
  <c r="G110" i="6"/>
  <c r="I110" i="6"/>
  <c r="H215" i="6"/>
  <c r="K110" i="6"/>
  <c r="J215" i="6"/>
  <c r="H110" i="6"/>
  <c r="G215" i="6"/>
  <c r="J110" i="6"/>
  <c r="I215" i="6"/>
  <c r="L215" i="6"/>
  <c r="L110" i="6"/>
  <c r="K215" i="6"/>
  <c r="F87" i="6"/>
  <c r="F79" i="6"/>
  <c r="M189" i="6"/>
  <c r="M185" i="6"/>
  <c r="F110" i="6"/>
  <c r="F77" i="6"/>
  <c r="I81" i="6"/>
  <c r="H81" i="6"/>
  <c r="F81" i="6"/>
  <c r="K81" i="6"/>
  <c r="J81" i="6"/>
  <c r="G81" i="6"/>
  <c r="L81" i="6"/>
  <c r="L137" i="6"/>
  <c r="G118" i="6"/>
  <c r="G137" i="6"/>
  <c r="F118" i="6"/>
  <c r="F137" i="6"/>
  <c r="H118" i="6"/>
  <c r="H137" i="6"/>
  <c r="J118" i="6"/>
  <c r="J137" i="6"/>
  <c r="E137" i="6"/>
  <c r="I118" i="6"/>
  <c r="I137" i="6"/>
  <c r="K118" i="6"/>
  <c r="K137" i="6"/>
  <c r="L118" i="6"/>
  <c r="E118" i="6"/>
  <c r="N200" i="6"/>
  <c r="N154" i="6"/>
  <c r="L87" i="6"/>
  <c r="G87" i="6"/>
  <c r="K87" i="6"/>
  <c r="H87" i="6"/>
  <c r="J87" i="6"/>
  <c r="I87" i="6"/>
  <c r="H77" i="6"/>
  <c r="F86" i="6"/>
  <c r="F78" i="6"/>
  <c r="J86" i="6"/>
  <c r="J78" i="6"/>
  <c r="G77" i="6"/>
  <c r="K77" i="6"/>
  <c r="I86" i="6"/>
  <c r="I78" i="6"/>
  <c r="L78" i="6"/>
  <c r="L86" i="6"/>
  <c r="K86" i="6"/>
  <c r="K78" i="6"/>
  <c r="H78" i="6"/>
  <c r="H86" i="6"/>
  <c r="J77" i="6"/>
  <c r="G78" i="6"/>
  <c r="G86" i="6"/>
  <c r="I77" i="6"/>
  <c r="L77" i="6"/>
  <c r="N121" i="6"/>
  <c r="L17" i="6"/>
  <c r="L75" i="6"/>
  <c r="L50" i="6"/>
  <c r="K154" i="6"/>
  <c r="J154" i="6" s="1"/>
  <c r="I154" i="6" s="1"/>
  <c r="H154" i="6" s="1"/>
  <c r="G154" i="6" s="1"/>
  <c r="F154" i="6" s="1"/>
  <c r="E154" i="6" s="1"/>
  <c r="M241" i="6"/>
  <c r="K241" i="6"/>
  <c r="J241" i="6" s="1"/>
  <c r="I241" i="6" s="1"/>
  <c r="H241" i="6" s="1"/>
  <c r="G241" i="6" s="1"/>
  <c r="F241" i="6" s="1"/>
  <c r="E241" i="6" s="1"/>
  <c r="K200" i="6"/>
  <c r="J200" i="6" s="1"/>
  <c r="I200" i="6" s="1"/>
  <c r="H200" i="6" s="1"/>
  <c r="G200" i="6" s="1"/>
  <c r="F200" i="6" s="1"/>
  <c r="E200" i="6" s="1"/>
  <c r="K121" i="6"/>
  <c r="J121" i="6" s="1"/>
  <c r="I121" i="6" s="1"/>
  <c r="H121" i="6" s="1"/>
  <c r="G121" i="6" s="1"/>
  <c r="F121" i="6" s="1"/>
  <c r="E121" i="6" s="1"/>
  <c r="K20" i="6"/>
  <c r="M20" i="6"/>
  <c r="K45" i="6" l="1"/>
  <c r="K21" i="13"/>
  <c r="E21" i="13"/>
  <c r="I53" i="13"/>
  <c r="J53" i="13"/>
  <c r="F45" i="6"/>
  <c r="F53" i="13"/>
  <c r="G45" i="6"/>
  <c r="G53" i="13"/>
  <c r="E53" i="13"/>
  <c r="L53" i="13"/>
  <c r="H53" i="13"/>
  <c r="I45" i="6"/>
  <c r="J21" i="13"/>
  <c r="I21" i="13"/>
  <c r="M44" i="6"/>
  <c r="M43" i="6" s="1"/>
  <c r="J140" i="6"/>
  <c r="J25" i="13"/>
  <c r="J32" i="13" s="1"/>
  <c r="L140" i="6"/>
  <c r="L25" i="13"/>
  <c r="L32" i="13" s="1"/>
  <c r="H21" i="13"/>
  <c r="H140" i="6"/>
  <c r="H25" i="13"/>
  <c r="H32" i="13" s="1"/>
  <c r="E140" i="6"/>
  <c r="E42" i="13" s="1"/>
  <c r="E25" i="13"/>
  <c r="E32" i="13" s="1"/>
  <c r="K140" i="6"/>
  <c r="K25" i="13"/>
  <c r="K32" i="13" s="1"/>
  <c r="F140" i="6"/>
  <c r="F25" i="13"/>
  <c r="F32" i="13" s="1"/>
  <c r="G21" i="13"/>
  <c r="I140" i="6"/>
  <c r="I25" i="13"/>
  <c r="I32" i="13" s="1"/>
  <c r="G140" i="6"/>
  <c r="G25" i="13"/>
  <c r="G32" i="13" s="1"/>
  <c r="F21" i="13"/>
  <c r="M211" i="6"/>
  <c r="N211" i="6"/>
  <c r="M212" i="6"/>
  <c r="N212" i="6"/>
  <c r="M213" i="6"/>
  <c r="N213" i="6"/>
  <c r="N241" i="6"/>
  <c r="N244" i="6" s="1"/>
  <c r="O200" i="6"/>
  <c r="O154" i="6"/>
  <c r="O121" i="6"/>
  <c r="M17" i="6"/>
  <c r="M75" i="6"/>
  <c r="M50" i="6"/>
  <c r="K75" i="6"/>
  <c r="K50" i="6"/>
  <c r="K17" i="6"/>
  <c r="J20" i="6"/>
  <c r="N20" i="6"/>
  <c r="N44" i="6" l="1"/>
  <c r="F28" i="13"/>
  <c r="F42" i="13"/>
  <c r="H28" i="13"/>
  <c r="H42" i="13"/>
  <c r="G28" i="13"/>
  <c r="G42" i="13"/>
  <c r="K28" i="13"/>
  <c r="K42" i="13"/>
  <c r="J28" i="13"/>
  <c r="J42" i="13"/>
  <c r="I28" i="13"/>
  <c r="I42" i="13"/>
  <c r="L28" i="13"/>
  <c r="L42" i="13"/>
  <c r="H143" i="6"/>
  <c r="H37" i="13"/>
  <c r="H33" i="13"/>
  <c r="G143" i="6"/>
  <c r="G73" i="6" s="1"/>
  <c r="G37" i="13"/>
  <c r="G33" i="13"/>
  <c r="I143" i="6"/>
  <c r="I34" i="13" s="1"/>
  <c r="I37" i="13"/>
  <c r="I33" i="13"/>
  <c r="L143" i="6"/>
  <c r="L73" i="6" s="1"/>
  <c r="L37" i="13"/>
  <c r="L33" i="13"/>
  <c r="J143" i="6"/>
  <c r="J34" i="13" s="1"/>
  <c r="J37" i="13"/>
  <c r="J33" i="13"/>
  <c r="K143" i="6"/>
  <c r="K34" i="13" s="1"/>
  <c r="K37" i="13"/>
  <c r="K33" i="13"/>
  <c r="E143" i="6"/>
  <c r="E37" i="13"/>
  <c r="E33" i="13"/>
  <c r="F143" i="6"/>
  <c r="F73" i="6" s="1"/>
  <c r="F37" i="13"/>
  <c r="F33" i="13"/>
  <c r="M125" i="6"/>
  <c r="N125" i="6" s="1"/>
  <c r="O125" i="6" s="1"/>
  <c r="O255" i="6" s="1"/>
  <c r="M14" i="13"/>
  <c r="H73" i="6"/>
  <c r="J73" i="6"/>
  <c r="J146" i="6"/>
  <c r="O44" i="6"/>
  <c r="N43" i="6"/>
  <c r="O241" i="6"/>
  <c r="M221" i="6"/>
  <c r="P200" i="6"/>
  <c r="P154" i="6"/>
  <c r="P121" i="6"/>
  <c r="J50" i="6"/>
  <c r="J75" i="6"/>
  <c r="N17" i="6"/>
  <c r="N75" i="6"/>
  <c r="N50" i="6"/>
  <c r="I20" i="6"/>
  <c r="J17" i="6"/>
  <c r="O20" i="6"/>
  <c r="M126" i="6" l="1"/>
  <c r="M27" i="13" s="1"/>
  <c r="J40" i="13"/>
  <c r="M255" i="6"/>
  <c r="M257" i="6" s="1"/>
  <c r="I146" i="6"/>
  <c r="J29" i="13" s="1"/>
  <c r="J149" i="6"/>
  <c r="J35" i="13"/>
  <c r="K146" i="6"/>
  <c r="K149" i="6" s="1"/>
  <c r="K73" i="6"/>
  <c r="F34" i="13"/>
  <c r="F146" i="6"/>
  <c r="E34" i="13"/>
  <c r="E146" i="6"/>
  <c r="E40" i="13" s="1"/>
  <c r="E73" i="6"/>
  <c r="I73" i="6"/>
  <c r="L34" i="13"/>
  <c r="L146" i="6"/>
  <c r="M13" i="13"/>
  <c r="M21" i="13" s="1"/>
  <c r="M26" i="13"/>
  <c r="G34" i="13"/>
  <c r="G146" i="6"/>
  <c r="H34" i="13"/>
  <c r="H146" i="6"/>
  <c r="N255" i="6"/>
  <c r="N124" i="6"/>
  <c r="N126" i="6" s="1"/>
  <c r="J202" i="6"/>
  <c r="J113" i="6"/>
  <c r="M137" i="6"/>
  <c r="P44" i="6"/>
  <c r="P43" i="6" s="1"/>
  <c r="O43" i="6"/>
  <c r="O244" i="6"/>
  <c r="P241" i="6"/>
  <c r="P125" i="6"/>
  <c r="O17" i="6"/>
  <c r="O50" i="6"/>
  <c r="O75" i="6"/>
  <c r="I75" i="6"/>
  <c r="I50" i="6"/>
  <c r="H20" i="6"/>
  <c r="I17" i="6"/>
  <c r="P20" i="6"/>
  <c r="N218" i="6" l="1"/>
  <c r="M45" i="13"/>
  <c r="M51" i="13" s="1"/>
  <c r="N160" i="6"/>
  <c r="N210" i="6" s="1"/>
  <c r="N220" i="6"/>
  <c r="M47" i="13"/>
  <c r="K113" i="6"/>
  <c r="I113" i="6"/>
  <c r="J39" i="13"/>
  <c r="J41" i="13" s="1"/>
  <c r="J38" i="13"/>
  <c r="H40" i="13"/>
  <c r="H29" i="13"/>
  <c r="I35" i="13"/>
  <c r="I202" i="6"/>
  <c r="I214" i="6" s="1"/>
  <c r="L29" i="13"/>
  <c r="L40" i="13"/>
  <c r="F29" i="13"/>
  <c r="F40" i="13"/>
  <c r="N26" i="13"/>
  <c r="N45" i="13"/>
  <c r="N51" i="13" s="1"/>
  <c r="N27" i="13"/>
  <c r="K39" i="13"/>
  <c r="K38" i="13"/>
  <c r="I40" i="13"/>
  <c r="I29" i="13"/>
  <c r="G40" i="13"/>
  <c r="G29" i="13"/>
  <c r="I149" i="6"/>
  <c r="K40" i="13"/>
  <c r="K29" i="13"/>
  <c r="E35" i="13"/>
  <c r="E113" i="6"/>
  <c r="G35" i="13"/>
  <c r="G113" i="6"/>
  <c r="G202" i="6"/>
  <c r="G214" i="6" s="1"/>
  <c r="G149" i="6"/>
  <c r="M140" i="6"/>
  <c r="M25" i="13"/>
  <c r="M32" i="13" s="1"/>
  <c r="F35" i="13"/>
  <c r="F149" i="6"/>
  <c r="F38" i="13" s="1"/>
  <c r="F39" i="13" s="1"/>
  <c r="F113" i="6"/>
  <c r="F202" i="6"/>
  <c r="F214" i="6" s="1"/>
  <c r="O160" i="6"/>
  <c r="O210" i="6" s="1"/>
  <c r="K202" i="6"/>
  <c r="K214" i="6" s="1"/>
  <c r="K35" i="13"/>
  <c r="H35" i="13"/>
  <c r="H149" i="6"/>
  <c r="H202" i="6"/>
  <c r="H214" i="6" s="1"/>
  <c r="H113" i="6"/>
  <c r="L35" i="13"/>
  <c r="L202" i="6"/>
  <c r="L214" i="6" s="1"/>
  <c r="L149" i="6"/>
  <c r="L38" i="13" s="1"/>
  <c r="L39" i="13" s="1"/>
  <c r="L41" i="13" s="1"/>
  <c r="L113" i="6"/>
  <c r="O218" i="6"/>
  <c r="P124" i="6"/>
  <c r="P126" i="6" s="1"/>
  <c r="O124" i="6"/>
  <c r="O126" i="6" s="1"/>
  <c r="P218" i="6" s="1"/>
  <c r="O14" i="13"/>
  <c r="O220" i="6"/>
  <c r="N13" i="13"/>
  <c r="N221" i="6"/>
  <c r="J214" i="6"/>
  <c r="P255" i="6"/>
  <c r="P17" i="6"/>
  <c r="P50" i="6"/>
  <c r="P75" i="6"/>
  <c r="H75" i="6"/>
  <c r="H50" i="6"/>
  <c r="G20" i="6"/>
  <c r="H17" i="6"/>
  <c r="O137" i="6" l="1"/>
  <c r="O25" i="13" s="1"/>
  <c r="O32" i="13" s="1"/>
  <c r="P220" i="6"/>
  <c r="P221" i="6" s="1"/>
  <c r="I39" i="13"/>
  <c r="I41" i="13" s="1"/>
  <c r="I38" i="13"/>
  <c r="M28" i="13"/>
  <c r="M42" i="13"/>
  <c r="G39" i="13"/>
  <c r="G41" i="13" s="1"/>
  <c r="G38" i="13"/>
  <c r="H234" i="6"/>
  <c r="H56" i="13"/>
  <c r="H55" i="13"/>
  <c r="H57" i="13"/>
  <c r="I234" i="6"/>
  <c r="I56" i="13"/>
  <c r="I55" i="13"/>
  <c r="I57" i="13"/>
  <c r="H39" i="13"/>
  <c r="H41" i="13" s="1"/>
  <c r="H38" i="13"/>
  <c r="O27" i="13"/>
  <c r="K234" i="6"/>
  <c r="K56" i="13"/>
  <c r="K57" i="13"/>
  <c r="K55" i="13"/>
  <c r="P45" i="13"/>
  <c r="P51" i="13" s="1"/>
  <c r="P27" i="13"/>
  <c r="L234" i="6"/>
  <c r="L55" i="13"/>
  <c r="L56" i="13"/>
  <c r="L57" i="13"/>
  <c r="G234" i="6"/>
  <c r="G56" i="13"/>
  <c r="G55" i="13"/>
  <c r="G57" i="13"/>
  <c r="F234" i="6"/>
  <c r="F56" i="13"/>
  <c r="F57" i="13"/>
  <c r="F55" i="13"/>
  <c r="J234" i="6"/>
  <c r="J56" i="13"/>
  <c r="J55" i="13"/>
  <c r="J57" i="13"/>
  <c r="P160" i="6"/>
  <c r="P210" i="6" s="1"/>
  <c r="F41" i="13"/>
  <c r="K41" i="13"/>
  <c r="M33" i="13"/>
  <c r="O221" i="6"/>
  <c r="O13" i="13"/>
  <c r="O21" i="13" s="1"/>
  <c r="O26" i="13"/>
  <c r="P26" i="13"/>
  <c r="P137" i="6"/>
  <c r="P25" i="13" s="1"/>
  <c r="P32" i="13" s="1"/>
  <c r="P13" i="13"/>
  <c r="P21" i="13" s="1"/>
  <c r="G75" i="6"/>
  <c r="G50" i="6"/>
  <c r="F20" i="6"/>
  <c r="G17" i="6"/>
  <c r="F75" i="6" l="1"/>
  <c r="F50" i="6"/>
  <c r="E20" i="6"/>
  <c r="F17" i="6"/>
  <c r="E50" i="6" l="1"/>
  <c r="E75" i="6"/>
  <c r="M118" i="6" s="1"/>
  <c r="M232" i="6" s="1"/>
  <c r="E17" i="6"/>
  <c r="N118" i="6" l="1"/>
  <c r="O118" i="6" s="1"/>
  <c r="P118" i="6" s="1"/>
  <c r="M167" i="6"/>
  <c r="N167" i="6"/>
  <c r="M168" i="6"/>
  <c r="N168" i="6"/>
  <c r="N46" i="13" s="1"/>
  <c r="N52" i="13" s="1"/>
  <c r="K5" i="3"/>
  <c r="J5" i="3" s="1"/>
  <c r="I5" i="3" s="1"/>
  <c r="H5" i="3" s="1"/>
  <c r="G5" i="3" s="1"/>
  <c r="F5" i="3" s="1"/>
  <c r="E5" i="3" s="1"/>
  <c r="H6" i="2"/>
  <c r="G6" i="2" s="1"/>
  <c r="M209" i="6" l="1"/>
  <c r="M215" i="6" s="1"/>
  <c r="M46" i="13"/>
  <c r="M52" i="13" s="1"/>
  <c r="N208" i="6"/>
  <c r="N44" i="13"/>
  <c r="N50" i="13" s="1"/>
  <c r="N53" i="13" s="1"/>
  <c r="M208" i="6"/>
  <c r="M44" i="13"/>
  <c r="M50" i="13" s="1"/>
  <c r="N209" i="6"/>
  <c r="N215" i="6" s="1"/>
  <c r="M162" i="6"/>
  <c r="N232" i="6"/>
  <c r="F6" i="2"/>
  <c r="M53" i="13" l="1"/>
  <c r="E6" i="2"/>
  <c r="P232" i="6"/>
  <c r="O232" i="6"/>
  <c r="P167" i="6"/>
  <c r="P44" i="13" s="1"/>
  <c r="P50" i="13" s="1"/>
  <c r="O167" i="6"/>
  <c r="P168" i="6"/>
  <c r="P46" i="13" s="1"/>
  <c r="P52" i="13" s="1"/>
  <c r="N138" i="6"/>
  <c r="N204" i="6" s="1"/>
  <c r="N158" i="6" s="1"/>
  <c r="N47" i="13" s="1"/>
  <c r="P53" i="13" l="1"/>
  <c r="O208" i="6"/>
  <c r="O44" i="13"/>
  <c r="O50" i="13" s="1"/>
  <c r="P208" i="6"/>
  <c r="N162" i="6"/>
  <c r="D6" i="2"/>
  <c r="C6" i="2" s="1"/>
  <c r="B6" i="2" s="1"/>
  <c r="P138" i="6"/>
  <c r="O138" i="6"/>
  <c r="O204" i="6" s="1"/>
  <c r="O158" i="6" s="1"/>
  <c r="O47" i="13" s="1"/>
  <c r="P204" i="6" l="1"/>
  <c r="P158" i="6" s="1"/>
  <c r="P47" i="13" s="1"/>
  <c r="P140" i="6"/>
  <c r="O140" i="6"/>
  <c r="P28" i="13" l="1"/>
  <c r="P33" i="13"/>
  <c r="O33" i="13"/>
  <c r="M191" i="6"/>
  <c r="N191" i="6" l="1"/>
  <c r="P191" i="6" l="1"/>
  <c r="N259" i="6" l="1"/>
  <c r="M263" i="6"/>
  <c r="N263" i="6" l="1"/>
  <c r="N14" i="13"/>
  <c r="P259" i="6"/>
  <c r="P263" i="6" l="1"/>
  <c r="P14" i="13"/>
  <c r="N130" i="6"/>
  <c r="N135" i="6" s="1"/>
  <c r="O189" i="6" l="1"/>
  <c r="O45" i="13" s="1"/>
  <c r="O51" i="13" s="1"/>
  <c r="N19" i="13"/>
  <c r="N18" i="13"/>
  <c r="N21" i="13" s="1"/>
  <c r="O181" i="6"/>
  <c r="O185" i="6"/>
  <c r="N137" i="6"/>
  <c r="O168" i="6"/>
  <c r="O46" i="13" s="1"/>
  <c r="O52" i="13" s="1"/>
  <c r="O53" i="13" l="1"/>
  <c r="N140" i="6"/>
  <c r="N25" i="13"/>
  <c r="N32" i="13" s="1"/>
  <c r="P211" i="6"/>
  <c r="O211" i="6"/>
  <c r="O213" i="6"/>
  <c r="P213" i="6"/>
  <c r="O212" i="6"/>
  <c r="P212" i="6"/>
  <c r="O191" i="6"/>
  <c r="P209" i="6"/>
  <c r="O209" i="6"/>
  <c r="N28" i="13" l="1"/>
  <c r="O28" i="13"/>
  <c r="N33" i="13"/>
  <c r="P215" i="6"/>
  <c r="O215" i="6"/>
  <c r="P162" i="6"/>
  <c r="O162" i="6"/>
  <c r="E70" i="6"/>
  <c r="E202" i="6" l="1"/>
  <c r="E214" i="6" s="1"/>
  <c r="E149" i="6"/>
  <c r="E38" i="13" s="1"/>
  <c r="E39" i="13" s="1"/>
  <c r="E41" i="13" s="1"/>
  <c r="E234" i="6" l="1"/>
  <c r="E236" i="6" s="1"/>
  <c r="E238" i="6" s="1"/>
  <c r="E57" i="13"/>
  <c r="E56" i="13"/>
  <c r="E55" i="13"/>
  <c r="F235" i="6" l="1"/>
  <c r="F236" i="6" s="1"/>
  <c r="G235" i="6" l="1"/>
  <c r="G236" i="6" s="1"/>
  <c r="F238" i="6"/>
  <c r="H235" i="6" l="1"/>
  <c r="H236" i="6" s="1"/>
  <c r="G238" i="6"/>
  <c r="I235" i="6" l="1"/>
  <c r="I236" i="6" s="1"/>
  <c r="H238" i="6"/>
  <c r="J235" i="6" l="1"/>
  <c r="J236" i="6" s="1"/>
  <c r="I238" i="6"/>
  <c r="K235" i="6" l="1"/>
  <c r="K236" i="6" s="1"/>
  <c r="J238" i="6"/>
  <c r="L235" i="6" l="1"/>
  <c r="L236" i="6" s="1"/>
  <c r="L238" i="6" s="1"/>
  <c r="K238" i="6"/>
  <c r="M235" i="6" l="1"/>
  <c r="M143" i="6"/>
  <c r="M146" i="6" l="1"/>
  <c r="M202" i="6" s="1"/>
  <c r="M176" i="6" s="1"/>
  <c r="M34" i="13"/>
  <c r="M225" i="6" l="1"/>
  <c r="M35" i="13"/>
  <c r="M29" i="13"/>
  <c r="M214" i="6"/>
  <c r="M55" i="13" l="1"/>
  <c r="M264" i="6"/>
  <c r="M266" i="6" s="1"/>
  <c r="M268" i="6" s="1"/>
  <c r="M224" i="6" s="1"/>
  <c r="M175" i="6" s="1"/>
  <c r="M177" i="6" s="1"/>
  <c r="M48" i="13" l="1"/>
  <c r="M40" i="13"/>
  <c r="M267" i="6"/>
  <c r="M273" i="6" s="1"/>
  <c r="M148" i="6"/>
  <c r="M149" i="6" l="1"/>
  <c r="M151" i="6"/>
  <c r="M281" i="6"/>
  <c r="M282" i="6" s="1"/>
  <c r="N279" i="6" s="1"/>
  <c r="M38" i="13" l="1"/>
  <c r="M39" i="13" s="1"/>
  <c r="M41" i="13" s="1"/>
  <c r="M30" i="13"/>
  <c r="M226" i="6"/>
  <c r="M230" i="6" l="1"/>
  <c r="M234" i="6" s="1"/>
  <c r="M236" i="6" s="1"/>
  <c r="N235" i="6" s="1"/>
  <c r="M270" i="6"/>
  <c r="M274" i="6" s="1"/>
  <c r="M277" i="6" s="1"/>
  <c r="M183" i="6"/>
  <c r="M165" i="6" l="1"/>
  <c r="M238" i="6" s="1"/>
  <c r="M186" i="6"/>
  <c r="M193" i="6" s="1"/>
  <c r="M195" i="6" s="1"/>
  <c r="M57" i="13"/>
  <c r="M169" i="6"/>
  <c r="M171" i="6" s="1"/>
  <c r="M275" i="6"/>
  <c r="N272" i="6" s="1"/>
  <c r="N256" i="6" s="1"/>
  <c r="N141" i="6" s="1"/>
  <c r="M37" i="13" l="1"/>
  <c r="N143" i="6"/>
  <c r="N146" i="6" s="1"/>
  <c r="N42" i="13"/>
  <c r="M197" i="6"/>
  <c r="M56" i="13"/>
  <c r="N257" i="6"/>
  <c r="N225" i="6" l="1"/>
  <c r="N202" i="6"/>
  <c r="N214" i="6" s="1"/>
  <c r="N34" i="13"/>
  <c r="N35" i="13"/>
  <c r="N29" i="13"/>
  <c r="N176" i="6" l="1"/>
  <c r="N264" i="6"/>
  <c r="N266" i="6" s="1"/>
  <c r="N268" i="6" s="1"/>
  <c r="N224" i="6" s="1"/>
  <c r="N175" i="6" s="1"/>
  <c r="N55" i="13"/>
  <c r="N267" i="6" l="1"/>
  <c r="N273" i="6" s="1"/>
  <c r="N177" i="6"/>
  <c r="N148" i="6"/>
  <c r="N48" i="13" l="1"/>
  <c r="N40" i="13"/>
  <c r="N149" i="6"/>
  <c r="N151" i="6"/>
  <c r="N281" i="6"/>
  <c r="N282" i="6" s="1"/>
  <c r="O279" i="6" s="1"/>
  <c r="N38" i="13" l="1"/>
  <c r="N39" i="13" s="1"/>
  <c r="N41" i="13" s="1"/>
  <c r="N30" i="13"/>
  <c r="N226" i="6"/>
  <c r="N183" i="6" s="1"/>
  <c r="N57" i="13" s="1"/>
  <c r="N186" i="6" l="1"/>
  <c r="N270" i="6"/>
  <c r="N274" i="6" s="1"/>
  <c r="N275" i="6" s="1"/>
  <c r="O272" i="6" s="1"/>
  <c r="O256" i="6" s="1"/>
  <c r="O257" i="6" s="1"/>
  <c r="N230" i="6"/>
  <c r="N234" i="6" s="1"/>
  <c r="N193" i="6" l="1"/>
  <c r="N195" i="6" s="1"/>
  <c r="N37" i="13"/>
  <c r="N277" i="6"/>
  <c r="N236" i="6"/>
  <c r="O141" i="6"/>
  <c r="O143" i="6" l="1"/>
  <c r="O146" i="6" s="1"/>
  <c r="O202" i="6" s="1"/>
  <c r="O42" i="13"/>
  <c r="O235" i="6"/>
  <c r="N165" i="6"/>
  <c r="O34" i="13" l="1"/>
  <c r="O29" i="13"/>
  <c r="O225" i="6"/>
  <c r="O35" i="13"/>
  <c r="N169" i="6"/>
  <c r="N171" i="6" s="1"/>
  <c r="N238" i="6"/>
  <c r="O214" i="6"/>
  <c r="O176" i="6"/>
  <c r="O264" i="6" l="1"/>
  <c r="O266" i="6" s="1"/>
  <c r="O268" i="6" s="1"/>
  <c r="O224" i="6" s="1"/>
  <c r="O175" i="6" s="1"/>
  <c r="O177" i="6" s="1"/>
  <c r="O55" i="13"/>
  <c r="N197" i="6"/>
  <c r="N56" i="13"/>
  <c r="O267" i="6" l="1"/>
  <c r="O273" i="6" s="1"/>
  <c r="O148" i="6"/>
  <c r="O149" i="6" s="1"/>
  <c r="O48" i="13"/>
  <c r="O40" i="13"/>
  <c r="O151" i="6" l="1"/>
  <c r="O38" i="13" s="1"/>
  <c r="O39" i="13" s="1"/>
  <c r="O41" i="13" s="1"/>
  <c r="O281" i="6"/>
  <c r="O282" i="6" s="1"/>
  <c r="P279" i="6" s="1"/>
  <c r="O226" i="6" l="1"/>
  <c r="O183" i="6" s="1"/>
  <c r="O30" i="13"/>
  <c r="O57" i="13" l="1"/>
  <c r="O186" i="6"/>
  <c r="O37" i="13" s="1"/>
  <c r="O230" i="6"/>
  <c r="O234" i="6" s="1"/>
  <c r="O236" i="6" s="1"/>
  <c r="O270" i="6"/>
  <c r="O274" i="6" s="1"/>
  <c r="O275" i="6" s="1"/>
  <c r="P272" i="6" s="1"/>
  <c r="P256" i="6" s="1"/>
  <c r="P235" i="6"/>
  <c r="O165" i="6"/>
  <c r="O277" i="6" l="1"/>
  <c r="O193" i="6"/>
  <c r="O195" i="6" s="1"/>
  <c r="O169" i="6"/>
  <c r="O171" i="6" s="1"/>
  <c r="O238" i="6"/>
  <c r="P141" i="6"/>
  <c r="P257" i="6"/>
  <c r="P143" i="6" l="1"/>
  <c r="P146" i="6" s="1"/>
  <c r="P42" i="13"/>
  <c r="O197" i="6"/>
  <c r="O56" i="13"/>
  <c r="P34" i="13"/>
  <c r="P202" i="6" l="1"/>
  <c r="P176" i="6" s="1"/>
  <c r="P225" i="6"/>
  <c r="P35" i="13"/>
  <c r="P29" i="13"/>
  <c r="P214" i="6"/>
  <c r="P264" i="6" l="1"/>
  <c r="P266" i="6" s="1"/>
  <c r="P268" i="6" s="1"/>
  <c r="P224" i="6" s="1"/>
  <c r="P55" i="13"/>
  <c r="P267" i="6" l="1"/>
  <c r="P273" i="6" s="1"/>
  <c r="P148" i="6"/>
  <c r="P175" i="6"/>
  <c r="P177" i="6" s="1"/>
  <c r="P281" i="6" l="1"/>
  <c r="P282" i="6" s="1"/>
  <c r="P48" i="13"/>
  <c r="P40" i="13"/>
  <c r="P149" i="6"/>
  <c r="P151" i="6"/>
  <c r="P226" i="6" l="1"/>
  <c r="P230" i="6" s="1"/>
  <c r="P234" i="6" s="1"/>
  <c r="P236" i="6" s="1"/>
  <c r="P165" i="6" s="1"/>
  <c r="P169" i="6" s="1"/>
  <c r="P171" i="6" s="1"/>
  <c r="P56" i="13" s="1"/>
  <c r="P38" i="13"/>
  <c r="P39" i="13" s="1"/>
  <c r="P41" i="13" s="1"/>
  <c r="P30" i="13"/>
  <c r="P183" i="6" l="1"/>
  <c r="P270" i="6"/>
  <c r="P274" i="6" s="1"/>
  <c r="P275" i="6" s="1"/>
  <c r="P238" i="6"/>
  <c r="P186" i="6"/>
  <c r="P193" i="6" s="1"/>
  <c r="P195" i="6" s="1"/>
  <c r="P197" i="6" s="1"/>
  <c r="P57" i="13"/>
  <c r="P277" i="6"/>
  <c r="P37" i="13" l="1"/>
</calcChain>
</file>

<file path=xl/sharedStrings.xml><?xml version="1.0" encoding="utf-8"?>
<sst xmlns="http://schemas.openxmlformats.org/spreadsheetml/2006/main" count="1247" uniqueCount="774">
  <si>
    <t>Consolidated Statement of Profit and Loss</t>
  </si>
  <si>
    <t>as at March 31, 2024</t>
  </si>
  <si>
    <t>(Rupees in millions, except for share data and if otherwise stated)</t>
  </si>
  <si>
    <t>Particulars</t>
  </si>
  <si>
    <t>Income</t>
  </si>
  <si>
    <t/>
  </si>
  <si>
    <t>Revenue from operations</t>
  </si>
  <si>
    <t>Other income</t>
  </si>
  <si>
    <t>Total income</t>
  </si>
  <si>
    <t>Expenses</t>
  </si>
  <si>
    <t>Aircraft fuel expenses</t>
  </si>
  <si>
    <t>Aircraft and engine rentals</t>
  </si>
  <si>
    <t>Supplementary rentals and aircraft repair and maintenance (net)</t>
  </si>
  <si>
    <t>Airport fees and charges</t>
  </si>
  <si>
    <t>Purchase of stock-in-trade (In-flight)</t>
  </si>
  <si>
    <t>543.21</t>
  </si>
  <si>
    <t>Changes in inventories of stock-in-trade</t>
  </si>
  <si>
    <t>54.10</t>
  </si>
  <si>
    <t>(12.44)</t>
  </si>
  <si>
    <t>(16.77)</t>
  </si>
  <si>
    <t>11.61</t>
  </si>
  <si>
    <t>(30.53)</t>
  </si>
  <si>
    <t>(6.55)</t>
  </si>
  <si>
    <t>12.65</t>
  </si>
  <si>
    <t>(2.94)</t>
  </si>
  <si>
    <t>Employee benefits expense</t>
  </si>
  <si>
    <t>Finance costs</t>
  </si>
  <si>
    <t>Depreciation and amortisation expenses</t>
  </si>
  <si>
    <t>Foreign exchange loss (net)</t>
  </si>
  <si>
    <t>Other expenses</t>
  </si>
  <si>
    <t>Total expenses</t>
  </si>
  <si>
    <t>Profit / (loss) before tax</t>
  </si>
  <si>
    <t>Tax expense</t>
  </si>
  <si>
    <t>Current tax</t>
  </si>
  <si>
    <t>10.85</t>
  </si>
  <si>
    <t>14.04</t>
  </si>
  <si>
    <t>4.12</t>
  </si>
  <si>
    <t>(78.68)</t>
  </si>
  <si>
    <t>91.30</t>
  </si>
  <si>
    <t>15.24</t>
  </si>
  <si>
    <t>Deferred tax (credit) / charge</t>
  </si>
  <si>
    <t>-</t>
  </si>
  <si>
    <t>77.49</t>
  </si>
  <si>
    <t>(37.75)</t>
  </si>
  <si>
    <t>(311.21)</t>
  </si>
  <si>
    <t>(59.99)</t>
  </si>
  <si>
    <t>Total tax (credit) / expense</t>
  </si>
  <si>
    <t>81.61</t>
  </si>
  <si>
    <t>(116.43)</t>
  </si>
  <si>
    <t>(219.91)</t>
  </si>
  <si>
    <t>Profit / (loss) for the year</t>
  </si>
  <si>
    <t>Consolidated Statement of Balance Sheet</t>
  </si>
  <si>
    <t>(Rupees in millions)</t>
  </si>
  <si>
    <t>I.</t>
  </si>
  <si>
    <t>ASSETS</t>
  </si>
  <si>
    <t>Non-current assets</t>
  </si>
  <si>
    <t>a.</t>
  </si>
  <si>
    <t>Property, plant and equipment</t>
  </si>
  <si>
    <t>b.</t>
  </si>
  <si>
    <t>Right of use assets</t>
  </si>
  <si>
    <t>c.</t>
  </si>
  <si>
    <t>Capital work-in-progress</t>
  </si>
  <si>
    <t>d.</t>
  </si>
  <si>
    <t>Intangible assets</t>
  </si>
  <si>
    <t>483.27</t>
  </si>
  <si>
    <t>107.27</t>
  </si>
  <si>
    <t>215.62</t>
  </si>
  <si>
    <t>334.96</t>
  </si>
  <si>
    <t>335.91</t>
  </si>
  <si>
    <t>304.88</t>
  </si>
  <si>
    <t>440.53</t>
  </si>
  <si>
    <t>e.</t>
  </si>
  <si>
    <t>Intangible assets under development</t>
  </si>
  <si>
    <t>13.39</t>
  </si>
  <si>
    <t>208.17</t>
  </si>
  <si>
    <t>60.39</t>
  </si>
  <si>
    <t>54.19</t>
  </si>
  <si>
    <t>109.69</t>
  </si>
  <si>
    <t>16.14</t>
  </si>
  <si>
    <t>30.70</t>
  </si>
  <si>
    <t>f.</t>
  </si>
  <si>
    <t>Financial assets</t>
  </si>
  <si>
    <t>(i)</t>
  </si>
  <si>
    <t>Investments</t>
  </si>
  <si>
    <t>0.68</t>
  </si>
  <si>
    <t>0.12</t>
  </si>
  <si>
    <t>0.83</t>
  </si>
  <si>
    <t>0.75</t>
  </si>
  <si>
    <t>0.15</t>
  </si>
  <si>
    <t>0.17</t>
  </si>
  <si>
    <t>0.18</t>
  </si>
  <si>
    <t>(ii)</t>
  </si>
  <si>
    <t>Loans</t>
  </si>
  <si>
    <t>(iii) Other financial assets</t>
  </si>
  <si>
    <t>58.30</t>
  </si>
  <si>
    <t>g.</t>
  </si>
  <si>
    <t>Deferred tax assets (net)</t>
  </si>
  <si>
    <t>9.67</t>
  </si>
  <si>
    <t>h.</t>
  </si>
  <si>
    <t>Income tax assets (net)</t>
  </si>
  <si>
    <t>16,100.98</t>
  </si>
  <si>
    <t>7,119.22</t>
  </si>
  <si>
    <t>5,139.53</t>
  </si>
  <si>
    <t>4,296.71</t>
  </si>
  <si>
    <t>1,240.49</t>
  </si>
  <si>
    <t>386.39</t>
  </si>
  <si>
    <t>97.60</t>
  </si>
  <si>
    <t>i.</t>
  </si>
  <si>
    <t>Other non-current assets</t>
  </si>
  <si>
    <t>Total non-current assets</t>
  </si>
  <si>
    <t>Current assets</t>
  </si>
  <si>
    <t>Inventories</t>
  </si>
  <si>
    <t>Trade receivables</t>
  </si>
  <si>
    <t>(iii) Cash and cash equivalents</t>
  </si>
  <si>
    <t>(iv) Bank balances other than cash and cash equivalents, above</t>
  </si>
  <si>
    <t>(v)</t>
  </si>
  <si>
    <t>39.76</t>
  </si>
  <si>
    <t>(vi)</t>
  </si>
  <si>
    <t>Other financial assets</t>
  </si>
  <si>
    <t>Other current assets</t>
  </si>
  <si>
    <t>Total current assets</t>
  </si>
  <si>
    <t>TOTAL ASSETS</t>
  </si>
  <si>
    <t>II.</t>
  </si>
  <si>
    <t>EQUITY AND LIABILITIES</t>
  </si>
  <si>
    <t>EQUITY</t>
  </si>
  <si>
    <t>Equity share capital</t>
  </si>
  <si>
    <t>Other equity</t>
  </si>
  <si>
    <t>Equity attributable to the owners of the Company</t>
  </si>
  <si>
    <t>Non-controlling interest</t>
  </si>
  <si>
    <t>Total equity</t>
  </si>
  <si>
    <t>LIABILITIES</t>
  </si>
  <si>
    <t>Non-current liabilities</t>
  </si>
  <si>
    <t>Financial liabilities</t>
  </si>
  <si>
    <t>Borrowings</t>
  </si>
  <si>
    <t>Lease liabilities</t>
  </si>
  <si>
    <t>(iii)</t>
  </si>
  <si>
    <t>Other financial liabilities</t>
  </si>
  <si>
    <t>Provisions</t>
  </si>
  <si>
    <t>Deferred tax liabilities (net)</t>
  </si>
  <si>
    <t>644.16</t>
  </si>
  <si>
    <t>Other non-current liabilities</t>
  </si>
  <si>
    <t>717.06</t>
  </si>
  <si>
    <t>451.97</t>
  </si>
  <si>
    <t>342.79</t>
  </si>
  <si>
    <t>241.90</t>
  </si>
  <si>
    <t>369.77</t>
  </si>
  <si>
    <t>345.18</t>
  </si>
  <si>
    <t>673.93</t>
  </si>
  <si>
    <t>75.00</t>
  </si>
  <si>
    <t>Deferred incentives</t>
  </si>
  <si>
    <t>302.20</t>
  </si>
  <si>
    <t>778.19</t>
  </si>
  <si>
    <t>Total non-current liabilities</t>
  </si>
  <si>
    <t>Current liabilities</t>
  </si>
  <si>
    <t>(ii) Lease liabilities</t>
  </si>
  <si>
    <t>(iii) Trade payables</t>
  </si>
  <si>
    <t>(iv) Other financial liabilities</t>
  </si>
  <si>
    <t>667.06</t>
  </si>
  <si>
    <t>Current tax liabilities (net)</t>
  </si>
  <si>
    <t>30.76</t>
  </si>
  <si>
    <t>33.51</t>
  </si>
  <si>
    <t>127.51</t>
  </si>
  <si>
    <t>446.77</t>
  </si>
  <si>
    <t>Other current liabilities</t>
  </si>
  <si>
    <t>475.99</t>
  </si>
  <si>
    <t>476.04</t>
  </si>
  <si>
    <t>476.03</t>
  </si>
  <si>
    <t>476.05</t>
  </si>
  <si>
    <t>Total current liabilities</t>
  </si>
  <si>
    <t>TOTAL EQUITY AND LIABILITIES</t>
  </si>
  <si>
    <t>Consolidated Statement of Cash Flows</t>
  </si>
  <si>
    <t>for the year ended March 31, 2024</t>
  </si>
  <si>
    <t>A.</t>
  </si>
  <si>
    <t>Cash flows from operating activities</t>
  </si>
  <si>
    <t>Adjustments for:</t>
  </si>
  <si>
    <t>Interest on lease liabilities</t>
  </si>
  <si>
    <t>Unrealised foreign exchange loss (net)</t>
  </si>
  <si>
    <t>99.76</t>
  </si>
  <si>
    <t>(861.80)</t>
  </si>
  <si>
    <t>Interest accretion on provisions and other financial liabilities measured at amortised cost (net)</t>
  </si>
  <si>
    <t>Mark to market gain on current investments at fair value</t>
  </si>
  <si>
    <t>(546.42)</t>
  </si>
  <si>
    <t>Interest income from bank deposits</t>
  </si>
  <si>
    <t>(675.25)</t>
  </si>
  <si>
    <t>Non cash incentives, claims and credits</t>
  </si>
  <si>
    <t>(476.04)</t>
  </si>
  <si>
    <t>(809.83)</t>
  </si>
  <si>
    <t>Net gain on sale of current investments</t>
  </si>
  <si>
    <t>(904.04)</t>
  </si>
  <si>
    <t>(543.37)</t>
  </si>
  <si>
    <t>(455.95)</t>
  </si>
  <si>
    <t>Interest income from financial assets at amortised cost</t>
  </si>
  <si>
    <t>(986.56)</t>
  </si>
  <si>
    <t>(755.46)</t>
  </si>
  <si>
    <t>219.16</t>
  </si>
  <si>
    <t>179.98</t>
  </si>
  <si>
    <t>Employee stock option scheme expense (included in salaries, wages and bonus)</t>
  </si>
  <si>
    <t>433.32</t>
  </si>
  <si>
    <t>172.45</t>
  </si>
  <si>
    <t>342.04</t>
  </si>
  <si>
    <t>306.58</t>
  </si>
  <si>
    <t>(99.15)</t>
  </si>
  <si>
    <t>(133.28)</t>
  </si>
  <si>
    <t>274.91</t>
  </si>
  <si>
    <t>504.89</t>
  </si>
  <si>
    <t>Unrealised gain on fair valuation of derivatives (net)</t>
  </si>
  <si>
    <t>(1.59)</t>
  </si>
  <si>
    <t>Liabilities no longer required written back</t>
  </si>
  <si>
    <t>(1.40)</t>
  </si>
  <si>
    <t>(23.05)</t>
  </si>
  <si>
    <t>(13.74)</t>
  </si>
  <si>
    <t>(78.31)</t>
  </si>
  <si>
    <t>(76.67)</t>
  </si>
  <si>
    <t>(263.81)</t>
  </si>
  <si>
    <t>(252.46)</t>
  </si>
  <si>
    <t>(414.93)</t>
  </si>
  <si>
    <t>Interest on borrowings measured at amortised cost</t>
  </si>
  <si>
    <t>513.91</t>
  </si>
  <si>
    <t>434.36</t>
  </si>
  <si>
    <t>470.46</t>
  </si>
  <si>
    <t>244.71</t>
  </si>
  <si>
    <t>336.48</t>
  </si>
  <si>
    <t>317.11</t>
  </si>
  <si>
    <t>(589.97)</t>
  </si>
  <si>
    <t>(488.02)</t>
  </si>
  <si>
    <t>Property, plant and equipment written off</t>
  </si>
  <si>
    <t>702.75</t>
  </si>
  <si>
    <t>199.00</t>
  </si>
  <si>
    <t>153.72</t>
  </si>
  <si>
    <t>540.72</t>
  </si>
  <si>
    <t>104.04</t>
  </si>
  <si>
    <t>70.21</t>
  </si>
  <si>
    <t>53.41</t>
  </si>
  <si>
    <t>47.46</t>
  </si>
  <si>
    <t>Profit on sale of property, plant and equipment (net)</t>
  </si>
  <si>
    <t>(15.63)</t>
  </si>
  <si>
    <t>(11.88)</t>
  </si>
  <si>
    <t>49.26</t>
  </si>
  <si>
    <t>0.81</t>
  </si>
  <si>
    <t>0.45</t>
  </si>
  <si>
    <t>(24.58)</t>
  </si>
  <si>
    <t>Bad debts written off</t>
  </si>
  <si>
    <t>0.90</t>
  </si>
  <si>
    <t>89.56</t>
  </si>
  <si>
    <t>46.53</t>
  </si>
  <si>
    <t>193.81</t>
  </si>
  <si>
    <t>13.45</t>
  </si>
  <si>
    <t>8.65</t>
  </si>
  <si>
    <t>Impairment loss on trade receivables</t>
  </si>
  <si>
    <t>2.57</t>
  </si>
  <si>
    <t>67.75</t>
  </si>
  <si>
    <t>0.33</t>
  </si>
  <si>
    <t>2.92</t>
  </si>
  <si>
    <t>3.70</t>
  </si>
  <si>
    <t>6.91</t>
  </si>
  <si>
    <t>Advances written off</t>
  </si>
  <si>
    <t>0.23</t>
  </si>
  <si>
    <t>0.21</t>
  </si>
  <si>
    <t>13.81</t>
  </si>
  <si>
    <t>0.60</t>
  </si>
  <si>
    <t>1.16</t>
  </si>
  <si>
    <t>9.09</t>
  </si>
  <si>
    <t>Others:</t>
  </si>
  <si>
    <t>Operating profit before working capital changes</t>
  </si>
  <si>
    <t>Increase in other financial assets and other assets</t>
  </si>
  <si>
    <t>Increase in inventories</t>
  </si>
  <si>
    <t>(337.31)</t>
  </si>
  <si>
    <t>(916.45)</t>
  </si>
  <si>
    <t>(302.90)</t>
  </si>
  <si>
    <t>(746.87)</t>
  </si>
  <si>
    <t>(282.14)</t>
  </si>
  <si>
    <t>(200.77)</t>
  </si>
  <si>
    <t>(868.68)</t>
  </si>
  <si>
    <t>Increase in trade receivables</t>
  </si>
  <si>
    <t>392.63</t>
  </si>
  <si>
    <t>(674.37)</t>
  </si>
  <si>
    <t>(21.45)</t>
  </si>
  <si>
    <t>Increase in deferred incentives</t>
  </si>
  <si>
    <t>Cash generated from operating activities</t>
  </si>
  <si>
    <t>Income tax paid</t>
  </si>
  <si>
    <t>(764.14)</t>
  </si>
  <si>
    <t>(963.34)</t>
  </si>
  <si>
    <t>Net cash generated from operating activities</t>
  </si>
  <si>
    <t>B.</t>
  </si>
  <si>
    <t>Cash flows from investing activities</t>
  </si>
  <si>
    <t>Purchase of mutual funds / equity shares / non-convertible bonds (Refer to Note 8)</t>
  </si>
  <si>
    <t>Proceeds from sale of mutual funds / equity shares / non-convertible bonds (Refer to Note 8)</t>
  </si>
  <si>
    <t>Investment in deposits (Refer to Note 9 and 14)</t>
  </si>
  <si>
    <t>Proceeds from maturity of deposits (Refer to Note 9 and 14)</t>
  </si>
  <si>
    <t>Interest received</t>
  </si>
  <si>
    <t>915.50</t>
  </si>
  <si>
    <t>Proceeds from sale and leaseback of owned assets (net)</t>
  </si>
  <si>
    <t>Major inspection and overhaul costs on leased aircraft (including capital advances)</t>
  </si>
  <si>
    <t>Purchase of property, plant and equipment and intangible assets (including capital advances)</t>
  </si>
  <si>
    <t>Proceeds from sale of property, plant and equipment</t>
  </si>
  <si>
    <t>51.02</t>
  </si>
  <si>
    <t>43.90</t>
  </si>
  <si>
    <t>66.65</t>
  </si>
  <si>
    <t>164.69</t>
  </si>
  <si>
    <t>267.38</t>
  </si>
  <si>
    <t>54.07</t>
  </si>
  <si>
    <t>2.43</t>
  </si>
  <si>
    <t>Net cash used in investing activities</t>
  </si>
  <si>
    <t>C.</t>
  </si>
  <si>
    <t>Cash flows from financing activities</t>
  </si>
  <si>
    <t>Repayment of lease liabilities (net of incentives) (Refer to Note 3 below)</t>
  </si>
  <si>
    <t>Interest charges paid on lease liabilities (Refer to Note 3 below)</t>
  </si>
  <si>
    <t>(770.09)</t>
  </si>
  <si>
    <t>(533.41)</t>
  </si>
  <si>
    <t>(478.79)</t>
  </si>
  <si>
    <t>Interest paid on secured loans</t>
  </si>
  <si>
    <t>(607.61)</t>
  </si>
  <si>
    <t>(344.57)</t>
  </si>
  <si>
    <t>(456.71)</t>
  </si>
  <si>
    <t>(292.04)</t>
  </si>
  <si>
    <t>(340.10)</t>
  </si>
  <si>
    <t>(292.65)</t>
  </si>
  <si>
    <t>(209.20)</t>
  </si>
  <si>
    <t>(168.77)</t>
  </si>
  <si>
    <t>Final dividend paid</t>
  </si>
  <si>
    <t>Corporate dividend tax paid</t>
  </si>
  <si>
    <t>(395.34)</t>
  </si>
  <si>
    <t>(474.09)</t>
  </si>
  <si>
    <t>Securities premium received on account of issue of shares</t>
  </si>
  <si>
    <t>413.08</t>
  </si>
  <si>
    <t>220.74</t>
  </si>
  <si>
    <t>273.10</t>
  </si>
  <si>
    <t>91.55</t>
  </si>
  <si>
    <t>240.69</t>
  </si>
  <si>
    <t>Proceeds from issue of shares on exercise of stock options</t>
  </si>
  <si>
    <t>4.32</t>
  </si>
  <si>
    <t>3.45</t>
  </si>
  <si>
    <t>1.14</t>
  </si>
  <si>
    <t>3.89</t>
  </si>
  <si>
    <t>11.11</t>
  </si>
  <si>
    <t>Net cash used in financing activities</t>
  </si>
  <si>
    <t>Net (decrease) / increase in cash and cash equivalents during the year (A+B+C)</t>
  </si>
  <si>
    <t>(37.00)</t>
  </si>
  <si>
    <t>473.32</t>
  </si>
  <si>
    <t>Effect of exchange rate changes on cash and cash equivalents held in foreign currency</t>
  </si>
  <si>
    <t>(27.47)</t>
  </si>
  <si>
    <t>166.49</t>
  </si>
  <si>
    <t>12.57</t>
  </si>
  <si>
    <t>(177.28)</t>
  </si>
  <si>
    <t>(56.51)</t>
  </si>
  <si>
    <t>103.67</t>
  </si>
  <si>
    <t>80.93</t>
  </si>
  <si>
    <t>47.44</t>
  </si>
  <si>
    <t>Assumptions:</t>
  </si>
  <si>
    <t>Company Name:</t>
  </si>
  <si>
    <t>Periods in Model:</t>
  </si>
  <si>
    <t>Units (for Conversions):</t>
  </si>
  <si>
    <t>Fuel Units (for Conversions):</t>
  </si>
  <si>
    <t>Scenario:</t>
  </si>
  <si>
    <t>Base</t>
  </si>
  <si>
    <t>% Funding from Debt Issuances:</t>
  </si>
  <si>
    <t>Current Share Price:</t>
  </si>
  <si>
    <t>Last Full Historical Year:</t>
  </si>
  <si>
    <t>Fiscal Year:</t>
  </si>
  <si>
    <t>Historical</t>
  </si>
  <si>
    <t>Projected</t>
  </si>
  <si>
    <t>Revenue, Expense, and Cash Flow Assumptions:</t>
  </si>
  <si>
    <t>Units:</t>
  </si>
  <si>
    <t>Revenue Drivers:</t>
  </si>
  <si>
    <t>Available Seat Kilometres (ASK):</t>
  </si>
  <si>
    <t>Millions</t>
  </si>
  <si>
    <t>ASK YoY Growth Rate:</t>
  </si>
  <si>
    <t>%</t>
  </si>
  <si>
    <t>Passenger Load Factor:</t>
  </si>
  <si>
    <t>Revenue Passenger Kilometres (RPK):</t>
  </si>
  <si>
    <t>RPK YoY Growth Rate:</t>
  </si>
  <si>
    <t>Passenger Revenue:</t>
  </si>
  <si>
    <t>p as Stated</t>
  </si>
  <si>
    <t>YoY Growth Rate in Passenger Yield:</t>
  </si>
  <si>
    <t>Ancillary Revenue:</t>
  </si>
  <si>
    <t>Ancillary Yield (Revenue per RPK):</t>
  </si>
  <si>
    <t>YoY Growth Rate in Ancillary Yield:</t>
  </si>
  <si>
    <t>Expense Drivers:</t>
  </si>
  <si>
    <t>Fuel Expense:</t>
  </si>
  <si>
    <t>Effective Fuel Cost per Metric Tonne:</t>
  </si>
  <si>
    <t>Implied Metric Tonnes of Fuel Used:</t>
  </si>
  <si>
    <t>mt</t>
  </si>
  <si>
    <t>Metric Tonnes of Fuel per Million ASK:</t>
  </si>
  <si>
    <t>mt / M ASK</t>
  </si>
  <si>
    <t>Fuel Expense per ASK:</t>
  </si>
  <si>
    <t>p per ASK</t>
  </si>
  <si>
    <t>Non-Fuel Operating Expense per ASK:</t>
  </si>
  <si>
    <t>Balance Sheet and Cash Flow Statement Drivers:</t>
  </si>
  <si>
    <t>Accounts Receivable % LTM Revenue:</t>
  </si>
  <si>
    <t>Other Long-Term Assets % LTM Revenue:</t>
  </si>
  <si>
    <t>Accounts Payable % LTM Operating Expenses:</t>
  </si>
  <si>
    <t>CapEx per ASK:</t>
  </si>
  <si>
    <t>Additions to Right-of-Use Assets per ASK:</t>
  </si>
  <si>
    <t>FX Rate Effects % Revenue:</t>
  </si>
  <si>
    <t>Total Revenue:</t>
  </si>
  <si>
    <t>Interest Expense:</t>
  </si>
  <si>
    <t>Profit / (Loss) Before Tax:</t>
  </si>
  <si>
    <t>Income Tax (Expense) / Benefit:</t>
  </si>
  <si>
    <t>After-Tax Profit / (Loss):</t>
  </si>
  <si>
    <t>Basic Shares Outstanding:</t>
  </si>
  <si>
    <t># Shares</t>
  </si>
  <si>
    <t>Basic Earnings per Share (EPS):</t>
  </si>
  <si>
    <t>ASSETS:</t>
  </si>
  <si>
    <t>Current Assets:</t>
  </si>
  <si>
    <t>Cash &amp; Equivalents:</t>
  </si>
  <si>
    <t>Accounts Receivable:</t>
  </si>
  <si>
    <t>Total Current Assets:</t>
  </si>
  <si>
    <t>Non-Current Assets:</t>
  </si>
  <si>
    <t>Net PP&amp;E:</t>
  </si>
  <si>
    <t>Goodwill &amp; Other Intangible Assets:</t>
  </si>
  <si>
    <t>Total Non-Current Assets:</t>
  </si>
  <si>
    <t>Total Assets:</t>
  </si>
  <si>
    <t>LIABILITIES AND EQUITY:</t>
  </si>
  <si>
    <t>Current Liabilities:</t>
  </si>
  <si>
    <t>Accounts Payable:</t>
  </si>
  <si>
    <t>Total Current Liabilities:</t>
  </si>
  <si>
    <t>Non-Current Liabilities:</t>
  </si>
  <si>
    <t>Total Debt:</t>
  </si>
  <si>
    <t>Total Non-Current Liabilities:</t>
  </si>
  <si>
    <t>Total Liabilities:</t>
  </si>
  <si>
    <t>Total Liabilities &amp; Equity:</t>
  </si>
  <si>
    <t>Balance Check:</t>
  </si>
  <si>
    <t>Consolidated Statement of Cash Flows:</t>
  </si>
  <si>
    <t>CASH FLOWS FROM OPERATING ACTIVITIES:</t>
  </si>
  <si>
    <t>Adjustments for Non-Cash Charges:</t>
  </si>
  <si>
    <t>(+) Loss / (-) Gains &amp; Other Adjustments:</t>
  </si>
  <si>
    <t>(+/-) Deferred Income Taxes:</t>
  </si>
  <si>
    <t>Changes in Operating Assets and Liabilities:</t>
  </si>
  <si>
    <t>Net Cash Flow from Operations:</t>
  </si>
  <si>
    <t>CASH FLOWS FROM INVESTING ACTIVITIES:</t>
  </si>
  <si>
    <t>(-) CapEx:</t>
  </si>
  <si>
    <t>(-) Additions to Right-of-Use Assets:</t>
  </si>
  <si>
    <t>Net Cash Flow from Investing:</t>
  </si>
  <si>
    <t>CASH FLOWS FROM FINANCING ACTIVITIES:</t>
  </si>
  <si>
    <t>(+) Share Issuances / (-) Repurchases:</t>
  </si>
  <si>
    <t>(-) Ordinary Dividends Paid:</t>
  </si>
  <si>
    <t>(+) Net Debt Proceeds:</t>
  </si>
  <si>
    <t>(-) Debt Repayments &amp; Maturities:</t>
  </si>
  <si>
    <t>Net Cash Flow from Financing:</t>
  </si>
  <si>
    <t>FX Rate Effects:</t>
  </si>
  <si>
    <t>Net Change in Cash:</t>
  </si>
  <si>
    <t>Beginning Cash:</t>
  </si>
  <si>
    <t>Ending Cash:</t>
  </si>
  <si>
    <t>Debt &amp; Equity Schedule:</t>
  </si>
  <si>
    <t>Benchmark Interest Rate:</t>
  </si>
  <si>
    <t>Interest Rate on Beg. Bonds + Finance Leases:</t>
  </si>
  <si>
    <t>Interest Rate Spread:</t>
  </si>
  <si>
    <t>Interest Rate on Beginning Revolver:</t>
  </si>
  <si>
    <t>(+) Interest Income:</t>
  </si>
  <si>
    <t>Net Interest Expense:</t>
  </si>
  <si>
    <t>Seats Flown (Millions):</t>
  </si>
  <si>
    <t>M Seats</t>
  </si>
  <si>
    <t>ASK per Seat:</t>
  </si>
  <si>
    <t>ASK / Seat</t>
  </si>
  <si>
    <t>Minimum Liquidity per Seat:</t>
  </si>
  <si>
    <t>Minimum Liquidity Required:</t>
  </si>
  <si>
    <t>Actual Liquidity Before Additional Funding:</t>
  </si>
  <si>
    <t>Additional Funding Required:</t>
  </si>
  <si>
    <t>Debt Issued:</t>
  </si>
  <si>
    <t>Equity Issued:</t>
  </si>
  <si>
    <t>Cash Flow Available for Revolver Repayment:</t>
  </si>
  <si>
    <t>Drawn Revolver - Beginning:</t>
  </si>
  <si>
    <t>(+) Revolver Borrowing Required:</t>
  </si>
  <si>
    <t>(-) Revolver Repayment:</t>
  </si>
  <si>
    <t>Drawn Revolver - Ending:</t>
  </si>
  <si>
    <t>Revolver - Undrawn Portion:</t>
  </si>
  <si>
    <t>Eurobonds + Finance Leases - Beginning:</t>
  </si>
  <si>
    <t>(+) Additional Borrowing:</t>
  </si>
  <si>
    <t>Eurobonds + Finance Leases - Ending:</t>
  </si>
  <si>
    <t>Key Metrics and Ratios:</t>
  </si>
  <si>
    <t>x</t>
  </si>
  <si>
    <t xml:space="preserve"> InterGlobe Aviation Limited</t>
  </si>
  <si>
    <t xml:space="preserve"> </t>
  </si>
  <si>
    <t>₹ M</t>
  </si>
  <si>
    <t>₹ / Seat</t>
  </si>
  <si>
    <t>₹ as Stated</t>
  </si>
  <si>
    <t>r</t>
  </si>
  <si>
    <t>Non-Fuel Operating Expense</t>
  </si>
  <si>
    <t>No. of Equity Shares</t>
  </si>
  <si>
    <t>Revenue:</t>
  </si>
  <si>
    <t>Operating Expenses:</t>
  </si>
  <si>
    <t>Repair &amp; Maintenance</t>
  </si>
  <si>
    <t>Capital work-in-progress:</t>
  </si>
  <si>
    <t>Short-term Investments:</t>
  </si>
  <si>
    <t>Inventory:</t>
  </si>
  <si>
    <t>(₹ in Millions Except Per Share and Per Unit Data)</t>
  </si>
  <si>
    <t>EQUITY:</t>
  </si>
  <si>
    <t>Total Equity</t>
  </si>
  <si>
    <t>LIABILITIES:</t>
  </si>
  <si>
    <t>Other Non-current Liabilities:</t>
  </si>
  <si>
    <t>Operating Lease Liabilities (Net):</t>
  </si>
  <si>
    <t>Deferred Tax Liabilities (Net):</t>
  </si>
  <si>
    <t>(+) Depreciation and amortisation expenses:</t>
  </si>
  <si>
    <t>EBITDA:</t>
  </si>
  <si>
    <t>EBIT:</t>
  </si>
  <si>
    <t>Total Operating Expense:</t>
  </si>
  <si>
    <t>Change in Inventory:</t>
  </si>
  <si>
    <t>Increase in other financial assets and other assets:</t>
  </si>
  <si>
    <t>(-) Financial Investment:</t>
  </si>
  <si>
    <t>(-) Proceeds from Sale, Leaseback &amp; others:</t>
  </si>
  <si>
    <t>(-) Interest charges paid on lease liabilities:</t>
  </si>
  <si>
    <t>YEARLY</t>
  </si>
  <si>
    <t>AIRCRAFT FLOWN</t>
  </si>
  <si>
    <t>DEPARTURES
(IN NUMBER)</t>
  </si>
  <si>
    <t>HOURS
(IN NUMBER)</t>
  </si>
  <si>
    <t>KILOMETRE
(IN THOUSAND)</t>
  </si>
  <si>
    <t>PASSENGERS CARRIED
(IN NUMBER)</t>
  </si>
  <si>
    <t>PASSENGER KMS.PERFORMED
(IN THOUSAND)</t>
  </si>
  <si>
    <t xml:space="preserve"> PAX.LOAD FACTOR#
(IN %)</t>
  </si>
  <si>
    <t xml:space="preserve"> CARGO CARRIED </t>
  </si>
  <si>
    <t xml:space="preserve"> FREIGHT
(IN TONNE)</t>
  </si>
  <si>
    <t>MAIL
(IN TONNE)</t>
  </si>
  <si>
    <t xml:space="preserve"> TOTAL
(IN TONNE)</t>
  </si>
  <si>
    <t xml:space="preserve">TONNE  KILOMETRE PERFORMED </t>
  </si>
  <si>
    <t xml:space="preserve"> PASSENGER
(IN THOUSAND)</t>
  </si>
  <si>
    <t>FREIGHT
(IN THOUSAND)</t>
  </si>
  <si>
    <t xml:space="preserve"> MAIL
(IN THOUSAND)</t>
  </si>
  <si>
    <t xml:space="preserve"> TOTAL
(IN THOUSAND)</t>
  </si>
  <si>
    <t>AVAILABLE TONNE KILOMETRE
(IN THOUSAND)</t>
  </si>
  <si>
    <t xml:space="preserve"> WEIGHT LOAD FACTOR##
(IN %)</t>
  </si>
  <si>
    <t>Yearly Operational Statistics for FY 2017-24 on scheduled consolidated services</t>
  </si>
  <si>
    <t>Market Cap:</t>
  </si>
  <si>
    <t>(INDIGO)</t>
  </si>
  <si>
    <t>Consolidated Statement of Balance Sheet:</t>
  </si>
  <si>
    <t>Consolidated Income Statement:</t>
  </si>
  <si>
    <t>AVAILABLE SEAT KILOMETRE (in million)</t>
  </si>
  <si>
    <t>FY23</t>
  </si>
  <si>
    <t>FY24</t>
  </si>
  <si>
    <t>FY17</t>
  </si>
  <si>
    <t>FY18</t>
  </si>
  <si>
    <t>FY19</t>
  </si>
  <si>
    <t>FY20</t>
  </si>
  <si>
    <t>FY21</t>
  </si>
  <si>
    <t>FY22</t>
  </si>
  <si>
    <t>Capacity</t>
  </si>
  <si>
    <t>ASK (million)</t>
  </si>
  <si>
    <t>YoY (%)</t>
  </si>
  <si>
    <t>RPK (million)</t>
  </si>
  <si>
    <t>Revenue Calculation</t>
  </si>
  <si>
    <t>Ticket Revenue (INR m)</t>
  </si>
  <si>
    <t>Yield (INR/RPK)</t>
  </si>
  <si>
    <t>Total Revenue (INR m)</t>
  </si>
  <si>
    <t>Fuel Cost</t>
  </si>
  <si>
    <t>Exchange rate (INR/USD)</t>
  </si>
  <si>
    <t>Aircraft fuel expenses (INR m)</t>
  </si>
  <si>
    <t>Spreads</t>
  </si>
  <si>
    <t>RASK</t>
  </si>
  <si>
    <t>CASK</t>
  </si>
  <si>
    <t>RASK-CASK</t>
  </si>
  <si>
    <t>CASK-ex fuel</t>
  </si>
  <si>
    <t>RASK-CASK (ex-fuel)</t>
  </si>
  <si>
    <t>Operational metrics</t>
  </si>
  <si>
    <t>Y/E March</t>
  </si>
  <si>
    <t>Load Factor (%)</t>
  </si>
  <si>
    <t>Ancillary revenues (incl. others)</t>
  </si>
  <si>
    <t>ATF Prices (INR/lit)</t>
  </si>
  <si>
    <t>ASK YoY (%)</t>
  </si>
  <si>
    <t>RPK YoY (%)</t>
  </si>
  <si>
    <t>Passenger Yield (₹ per RPK):</t>
  </si>
  <si>
    <t>1)</t>
  </si>
  <si>
    <t>In April 2024, we entered into an agreement with Airbus to place an order for 30 Firm A350-900 aircraft, for which the deliveries are expected to start in 2027.</t>
  </si>
  <si>
    <t>2)</t>
  </si>
  <si>
    <t>3)</t>
  </si>
  <si>
    <t>4)</t>
  </si>
  <si>
    <t>5)</t>
  </si>
  <si>
    <t>IndiGo placed the largest-ever single aircraft order by any airline of 500 aircraft. By 2030, we are poised to become a 600+ aircraft carrier.</t>
  </si>
  <si>
    <t>Year</t>
  </si>
  <si>
    <t>ds</t>
  </si>
  <si>
    <t>yhat</t>
  </si>
  <si>
    <t>yhat_lower</t>
  </si>
  <si>
    <t>yhat_upper</t>
  </si>
  <si>
    <t>index</t>
  </si>
  <si>
    <r>
      <t xml:space="preserve">For </t>
    </r>
    <r>
      <rPr>
        <b/>
        <sz val="11"/>
        <color theme="1"/>
        <rFont val="Calibri"/>
        <family val="2"/>
      </rPr>
      <t>Aviation Turbine Fuel (ATF)</t>
    </r>
    <r>
      <rPr>
        <sz val="11"/>
        <color theme="1"/>
        <rFont val="Calibri"/>
        <family val="2"/>
      </rPr>
      <t xml:space="preserve">, the approximate density is </t>
    </r>
    <r>
      <rPr>
        <b/>
        <sz val="11"/>
        <color theme="1"/>
        <rFont val="Calibri"/>
        <family val="2"/>
      </rPr>
      <t>0.8 kg/L</t>
    </r>
    <r>
      <rPr>
        <sz val="11"/>
        <color theme="1"/>
        <rFont val="Calibri"/>
        <family val="2"/>
      </rPr>
      <t>.</t>
    </r>
  </si>
  <si>
    <t>So, the formula is:</t>
  </si>
  <si>
    <t>1 MT=1000 kg/0.8 (kg/L)=</t>
  </si>
  <si>
    <t>litres</t>
  </si>
  <si>
    <t>Depreciation and amortisation expenses per ASK:</t>
  </si>
  <si>
    <t>Other Expenses:</t>
  </si>
  <si>
    <t>Effective Current Tax Rate:</t>
  </si>
  <si>
    <t>Interest Element per ASK:</t>
  </si>
  <si>
    <t xml:space="preserve">Source: Valuation Report by Motilal Oswal </t>
  </si>
  <si>
    <t>Yahoo! Inc. - Working Capital and Interest Rate Projections</t>
  </si>
  <si>
    <t>($ in Millions Except for Days and Percentages)</t>
  </si>
  <si>
    <t xml:space="preserve">December 31, </t>
  </si>
  <si>
    <t>Historical LIBOR and LIBOR Curve:</t>
  </si>
  <si>
    <t>Accounts Receivable % Revenue:</t>
  </si>
  <si>
    <t>Days Sales Outstanding (DSO):</t>
  </si>
  <si>
    <t>Prepaid Expenses &amp; Other % OpEx:</t>
  </si>
  <si>
    <t>Accounts Payable % Cost of Revenue:</t>
  </si>
  <si>
    <t>Accounts Payable Days:</t>
  </si>
  <si>
    <t>Accrued Expenses &amp; Other % OpEx:</t>
  </si>
  <si>
    <t>ST Deferred Revenue % Revenue:</t>
  </si>
  <si>
    <t>LT Deferred Revenue % Revenue:</t>
  </si>
  <si>
    <t>Short-Term Securities Interest Rate:</t>
  </si>
  <si>
    <t>LIBOR Spread:</t>
  </si>
  <si>
    <t>Long-Term Securities Interest Rate:</t>
  </si>
  <si>
    <t>Effective Cash Interest Rate:</t>
  </si>
  <si>
    <t>Inventory % LTM operating Expense:</t>
  </si>
  <si>
    <t>Base Case</t>
  </si>
  <si>
    <t>Optimistic Case</t>
  </si>
  <si>
    <t>Conservative Case</t>
  </si>
  <si>
    <t>Rationale</t>
  </si>
  <si>
    <t>FY25</t>
  </si>
  <si>
    <t>FY26</t>
  </si>
  <si>
    <t>FY27</t>
  </si>
  <si>
    <t>FY28</t>
  </si>
  <si>
    <t>FY29</t>
  </si>
  <si>
    <t>Continued efficiency gains (e.g., UPI adoption, vendor negotiations).</t>
  </si>
  <si>
    <t>Fleet expansion drives prepayments for fuel/maintenance.</t>
  </si>
  <si>
    <t>International route growth increases airport fee prepayments.</t>
  </si>
  <si>
    <t>Stabilization as digital tools optimize working capital.</t>
  </si>
  <si>
    <t>Mature operations with balanced prepayment strategies.</t>
  </si>
  <si>
    <t>Other Current Assets % LTM OpEx</t>
  </si>
  <si>
    <t>Continued SLBs for Airbus deliveries; steady debt issuances.</t>
  </si>
  <si>
    <t>Peak financing for A321XLR aircraft and engine commitments.</t>
  </si>
  <si>
    <t>Expansion into international hubs (Istanbul, Nairobi) requiring airport bonds.</t>
  </si>
  <si>
    <t>Refinancing of older debt; higher interest rates may cap growth.</t>
  </si>
  <si>
    <t>Stabilization as fleet growth plateaus; focus on liability management.</t>
  </si>
  <si>
    <t>Deferred tax Liabilities % CapEx:</t>
  </si>
  <si>
    <t>Continued SLB-driven DTL growth; CapEx aligns with Airbus delivery schedules.</t>
  </si>
  <si>
    <t>Peak DTL from A321XLR deliveries and engine maintenance accruals.</t>
  </si>
  <si>
    <t>Stabilization as tax depreciation normalizes; CapEx rises for new routes.</t>
  </si>
  <si>
    <t>Mature fleet growth; DTL growth slows relative to CapEx.</t>
  </si>
  <si>
    <t>Fleet expansion begins; balanced supplier negotiations.</t>
  </si>
  <si>
    <t>Increased CapEx for aircraft parts; strategic supplier partnerships.</t>
  </si>
  <si>
    <t>Peak fleet deliveries; leverage with suppliers (bulk orders).</t>
  </si>
  <si>
    <t>Stabilization as supply chain matures.</t>
  </si>
  <si>
    <t>Mature operations; focus on optimizing working capital.</t>
  </si>
  <si>
    <t>Ration (might be)</t>
  </si>
  <si>
    <t>Increase in accounts payables:</t>
  </si>
  <si>
    <t>Increase/(decrease) in provisions &amp; other payables::</t>
  </si>
  <si>
    <t>SLB-driven fleet additions; ASK growth aligns with aircraft deliveries.</t>
  </si>
  <si>
    <t>Peak SLB activity for A321XLR deliveries; ASK growth moderates.</t>
  </si>
  <si>
    <t>Higher lease costs for international routes; ASK rises with new hubs.</t>
  </si>
  <si>
    <t>Stabilization as fleet growth plateaus; ASK catches up.</t>
  </si>
  <si>
    <t>Maturity in fleet financing; focus on optimizing leased vs. owned aircraft.</t>
  </si>
  <si>
    <t>Ordinary Dividends Paid % Net Income:</t>
  </si>
  <si>
    <t>Continued focus on fleet expansion (50+ aircraft/year).</t>
  </si>
  <si>
    <t>Gradual debt reduction; possible token dividends if net income surges.</t>
  </si>
  <si>
    <t>Stabilized leverage and strong cash flows may allow limited payouts.</t>
  </si>
  <si>
    <t>Mature growth phase; partial return to shareholders.</t>
  </si>
  <si>
    <t>Balanced approach if expansion plateaus and profitability sustains.</t>
  </si>
  <si>
    <t>Gradual reduction in SLB reliance; focus on owned fleet for key routes.</t>
  </si>
  <si>
    <t>Rising interest rates increase leasing costs; shift to bonds/loans.</t>
  </si>
  <si>
    <t>Stabilization as fleet growth plateaus; optimize financing mix.</t>
  </si>
  <si>
    <t>Mature fleet strategy; minimal SLB activity beyond maintenance.</t>
  </si>
  <si>
    <t>YoY growth in Financial Investment:</t>
  </si>
  <si>
    <t>Gradual reinvestment of operational cash flows post-pandemic recovery.</t>
  </si>
  <si>
    <t>Rising CapEx for A321XLR deliveries limits surplus cash.</t>
  </si>
  <si>
    <t>Focus on owned fleet and engine maintenance reduces liquidity buffers.</t>
  </si>
  <si>
    <t>Mature growth phase: Minimal financial investments beyond liquidity needs.</t>
  </si>
  <si>
    <t>RBI Repo Rate</t>
  </si>
  <si>
    <t>Aviation Financing Trends</t>
  </si>
  <si>
    <t>Stable borrowing costs</t>
  </si>
  <si>
    <t>Continued stability</t>
  </si>
  <si>
    <t>Pre-pandemic rate cuts</t>
  </si>
  <si>
    <t>Pandemic-induced rate cuts</t>
  </si>
  <si>
    <t>Low rates continue</t>
  </si>
  <si>
    <t>Rate hikes begin</t>
  </si>
  <si>
    <t>Higher borrowing costs</t>
  </si>
  <si>
    <t>Stable, with some easing</t>
  </si>
  <si>
    <t>Interest Income:</t>
  </si>
  <si>
    <t>Interest income from bank deposits:</t>
  </si>
  <si>
    <t>Interest income from financial assets at amortised cost:</t>
  </si>
  <si>
    <t>Interest on income tax refund:</t>
  </si>
  <si>
    <t>Finance cost of lease liabilities:</t>
  </si>
  <si>
    <t>Interest Expences actual:</t>
  </si>
  <si>
    <t>Seat flown (in million)</t>
  </si>
  <si>
    <t>(-) Interest Expense (excluding lease liabilities):</t>
  </si>
  <si>
    <t>Interest Income % other Income:</t>
  </si>
  <si>
    <t>Post-FY25 normalization; cash reserves slightly reduced for CapEx.</t>
  </si>
  <si>
    <t>Gradual decline in interest rates; fleet expansion prioritizes liquidity.</t>
  </si>
  <si>
    <t>Stabilizing cash reserves; growth in non-interest income (cargo, MRO services).</t>
  </si>
  <si>
    <t>Mature cash management; diversified other income streams.</t>
  </si>
  <si>
    <t>Pre-COVID growth; conservative debt strategy.</t>
  </si>
  <si>
    <t>Fleet expansion (200+ aircraft).</t>
  </si>
  <si>
    <t>Stable operations; liquidity buildup.</t>
  </si>
  <si>
    <t>COVID-19 crisis: drew down revolvers; govt. support.</t>
  </si>
  <si>
    <t>Partial recovery; undrawn revolvers restored.</t>
  </si>
  <si>
    <t>Post-COVID rebound; aggressive liquidity retention.</t>
  </si>
  <si>
    <t>Record liquidity; 300+ aircraft fleet.</t>
  </si>
  <si>
    <t>₹16,000–20,000</t>
  </si>
  <si>
    <t>Total Liquidity (Cash + Undrawn Revolvers)</t>
  </si>
  <si>
    <t>Cash &amp; Equivalents</t>
  </si>
  <si>
    <t>Undrawn Revolver (Estimate)</t>
  </si>
  <si>
    <t>Key Events</t>
  </si>
  <si>
    <t>₹4,000–5,000</t>
  </si>
  <si>
    <t>Projected fleet growth to 350+ aircraft; focus on liquidity buffers.</t>
  </si>
  <si>
    <t>20,000–25,000 (Projected)</t>
  </si>
  <si>
    <t>Interest Element of Operating Lease Payments:</t>
  </si>
  <si>
    <t>Operating Lease Interest Element per ASK:</t>
  </si>
  <si>
    <t>Gradual ASK growth and stable lease terms offsetting moderate rate hikes.</t>
  </si>
  <si>
    <t>Improved negotiation with lessors and increased owned fleet share.</t>
  </si>
  <si>
    <t>Enhanced operational efficiency and diversified financing reduce lease dependency.</t>
  </si>
  <si>
    <t>Mature fleet strategy with optimized lease-to-own balance.</t>
  </si>
  <si>
    <t>Financial assets and other assets:</t>
  </si>
  <si>
    <t>Financial assets and other assets % of LTM Revenue:</t>
  </si>
  <si>
    <t>Net Provisions &amp; Other Payables:</t>
  </si>
  <si>
    <t>Deferred Incentives (Net)</t>
  </si>
  <si>
    <t>Other Liabilities (Net):</t>
  </si>
  <si>
    <t>Increase in trade payables:</t>
  </si>
  <si>
    <t>(-) Repayment of operating lease liabilities (net):</t>
  </si>
  <si>
    <t>Proceeds from of short-term borrowings</t>
  </si>
  <si>
    <t xml:space="preserve"> Repayment of operating lease liabilities</t>
  </si>
  <si>
    <t>Increase in deferred incentives:</t>
  </si>
  <si>
    <t>Provisions &amp; Other Payables % LTM OpEx:</t>
  </si>
  <si>
    <t>Gradual stabilization post-FY22 spike; strategic fleet investments continue.</t>
  </si>
  <si>
    <t>Increased CapEx for aircraft deliveries and infrastructure upgrades.</t>
  </si>
  <si>
    <t>Focus on operational efficiency reduces idle financial assets.</t>
  </si>
  <si>
    <t>Maturity in asset allocation; optimized balance between liquidity and growth.</t>
  </si>
  <si>
    <t>Stabilization as fleet expansion plateaus and revenue growth normalizes.</t>
  </si>
  <si>
    <t>Financial Investment % LTM revenue:</t>
  </si>
  <si>
    <t>Repayment of operating lease liabilities per ASK:</t>
  </si>
  <si>
    <t>Interest charges paid on lease liabilities per ASK:</t>
  </si>
  <si>
    <t>Deferred Income Taxes % Book Income Taxes:</t>
  </si>
  <si>
    <t>Deferred Incentives (Net) % LTM OpEx:</t>
  </si>
  <si>
    <t>Other liabilities per ASK</t>
  </si>
  <si>
    <t>Proceeds from Sale, Leaseback &amp; others % LTM Revenue:</t>
  </si>
  <si>
    <t>Moderated growth (8%) post-FY25 spike; balance between deleveraging and growth.</t>
  </si>
  <si>
    <t>Continued focus on reducing leverage amid stable cash flows.</t>
  </si>
  <si>
    <t>Rising repayments due to maturing debt from pre-COVID expansion.</t>
  </si>
  <si>
    <t>Peak repayments as IndiGo aims for a healthier balance sheet.</t>
  </si>
  <si>
    <t>&lt;&lt; Click here for other cases</t>
  </si>
  <si>
    <t>&lt;&lt; Click here for different funding scenario</t>
  </si>
  <si>
    <t>Cash Check:</t>
  </si>
  <si>
    <t>Trend</t>
  </si>
  <si>
    <t>EBITDA Growth</t>
  </si>
  <si>
    <t>EBIT Growth</t>
  </si>
  <si>
    <t>Net ProfitGrowth</t>
  </si>
  <si>
    <t>Dividend Growth</t>
  </si>
  <si>
    <t>EBT Margin</t>
  </si>
  <si>
    <t>Net Profit Margin</t>
  </si>
  <si>
    <t>Return on Capital Employed</t>
  </si>
  <si>
    <t>Retained Earnings%</t>
  </si>
  <si>
    <t>Return on Equity %</t>
  </si>
  <si>
    <t>Self Sustained Growth Rate</t>
  </si>
  <si>
    <t>Interest Coverage Ratio</t>
  </si>
  <si>
    <t>Debtor Turnover Ratio</t>
  </si>
  <si>
    <t>Credit Turnover Ratio</t>
  </si>
  <si>
    <t>Inventory Turnover Ratio</t>
  </si>
  <si>
    <t>Fixed Asset Turnover</t>
  </si>
  <si>
    <t>Capital Turnover Ratio</t>
  </si>
  <si>
    <t>Debtor Days</t>
  </si>
  <si>
    <t>Payable Days</t>
  </si>
  <si>
    <t>Inventory Days</t>
  </si>
  <si>
    <t>Cash Conversion Cycle (in days)</t>
  </si>
  <si>
    <t>CFO/Total Assets</t>
  </si>
  <si>
    <t>CFO/Total Debt</t>
  </si>
  <si>
    <t>Revenue &amp; Traffic Matrics:</t>
  </si>
  <si>
    <t>Revenue Passenger Kilometers (RPK)</t>
  </si>
  <si>
    <t>Available Seat Kilometers (ASK)</t>
  </si>
  <si>
    <t>Passenger Load Factor (PLF)</t>
  </si>
  <si>
    <t>Revenue per Available Seat Kilometer (RASK)</t>
  </si>
  <si>
    <t>Ancillary Revenue per Passenger</t>
  </si>
  <si>
    <t>Million</t>
  </si>
  <si>
    <t>Cost Efficiency Metrics</t>
  </si>
  <si>
    <t>Cost per Available Seat Kilometer (CASK)</t>
  </si>
  <si>
    <t>Fuel Cost per ASK</t>
  </si>
  <si>
    <t>EBITDAR</t>
  </si>
  <si>
    <t>EBITDAR Margin</t>
  </si>
  <si>
    <t>Operating (EBIT) Margin</t>
  </si>
  <si>
    <t>YoY Revenue Growth</t>
  </si>
  <si>
    <t>CASK Ex-Fuel</t>
  </si>
  <si>
    <t>Industry-Specific Aviation Metrics</t>
  </si>
  <si>
    <t>Break-Even Load Factor (BELF)</t>
  </si>
  <si>
    <t>Dividend Payout ratio</t>
  </si>
  <si>
    <t>Dividend paid per share</t>
  </si>
  <si>
    <t>days</t>
  </si>
  <si>
    <t>Traditional Ratios &amp; Matrics</t>
  </si>
  <si>
    <t>CFO/Revenue</t>
  </si>
  <si>
    <t>Sector:</t>
  </si>
  <si>
    <t>Industry:</t>
  </si>
  <si>
    <t>Air Transport Services</t>
  </si>
  <si>
    <t>Transport - Airlines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</si>
</sst>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8">
    <numFmt numFmtId="6" formatCode="&quot;₹&quot;\ #,##0;[Red]&quot;₹&quot;\ \-#,##0"/>
    <numFmt numFmtId="8" formatCode="&quot;₹&quot;\ #,##0.00;[Red]&quot;₹&quot;\ \-#,##0.00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(0.0%_);\(0.0%\);_(&quot;–&quot;_)_%;_(@_)_%"/>
    <numFmt numFmtId="165" formatCode="yyyy\-mm\-dd"/>
    <numFmt numFmtId="166" formatCode="0.0%;\(0.0%\)"/>
    <numFmt numFmtId="167" formatCode="#,##0_);\(#,##0\);\-_);@_)"/>
    <numFmt numFmtId="168" formatCode="&quot;FY&quot;yy"/>
    <numFmt numFmtId="169" formatCode="_(* #,##0.0_);_(* \(#,##0.0\);_(* &quot;-&quot;?_);_(@_)"/>
    <numFmt numFmtId="170" formatCode="_(&quot;$&quot;* #,##0.0000_);_(&quot;$&quot;* \(#,##0.0000\);_(&quot;$&quot;* &quot;-&quot;????_);_(@_)"/>
    <numFmt numFmtId="171" formatCode="_(* #,##0.00_);_(* \(#,##0.00\);_(* &quot;-&quot;??_);_(@_)"/>
    <numFmt numFmtId="172" formatCode="_(* #,##0_);_(* \(#,##0\);_(* &quot;-&quot;_);_(@_)"/>
    <numFmt numFmtId="173" formatCode="_(* #,##0.000_);_(* \(#,##0.000\);_(* &quot;-&quot;??_);_(@_)"/>
    <numFmt numFmtId="174" formatCode="_-[$£-809]* #,##0.0_-;\-[$£-809]* #,##0.0_-;_-[$£-809]* &quot;-&quot;?_-;_-@_-"/>
    <numFmt numFmtId="175" formatCode="_(* #,##0.0_);_(* \(#,##0.0\);_(* &quot;-&quot;??_);_(@_)"/>
    <numFmt numFmtId="176" formatCode="_-[$₹-820]* #,##0.0_-;\-[$₹-820]* #,##0.0_-;_-[$₹-820]* &quot;-&quot;?_-;_-@_-"/>
    <numFmt numFmtId="177" formatCode="@\:"/>
    <numFmt numFmtId="178" formatCode="_-[$₹-820]* #,##0.0_-;[$₹-820]* \(#,##0.0\)_-;_-[$₹-820]* &quot;-&quot;?_-;_-@_-"/>
    <numFmt numFmtId="179" formatCode="_(* #,##0_);_(* \(#,##0\);_(* &quot;-&quot;?_);_(@_)"/>
    <numFmt numFmtId="180" formatCode="_(&quot;₹&quot;\ \ #,##0.0_);_(&quot;₹&quot;\ \ \(#,##0.0\);_(* &quot;-&quot;??_);_(@_)"/>
    <numFmt numFmtId="181" formatCode="#,##0.0"/>
    <numFmt numFmtId="182" formatCode="_-[$-820]* #,##0.0_-;\-[$-820]* #,##0.0_-;_-[$-820]* &quot;-&quot;?_-;_-@_-"/>
    <numFmt numFmtId="183" formatCode="&quot;$&quot;#,##0.0;\(&quot;$&quot;#,##0.0\);&quot;OK!&quot;;&quot;ERROR&quot;"/>
    <numFmt numFmtId="184" formatCode="_-[$₹-820]* #,##0.0_-;[$₹-820]* \(#,##0.0_-\);_-[$₹-820]* &quot;-&quot;?_-;_-@_-"/>
    <numFmt numFmtId="185" formatCode="0.0"/>
    <numFmt numFmtId="186" formatCode="0.0%"/>
    <numFmt numFmtId="187" formatCode="0.000"/>
    <numFmt numFmtId="188" formatCode="&quot;₹&quot;\ \ 0.0"/>
    <numFmt numFmtId="189" formatCode="0.0;\(0.0\)"/>
    <numFmt numFmtId="190" formatCode="yyyy"/>
    <numFmt numFmtId="191" formatCode="_ &quot;₹&quot;\ \ \ \ #,##0.00_ ;_ &quot;₹&quot;\ \ \ \ \-#,##0.00_ ;_ &quot;₹&quot;\ &quot;-&quot;??_ ;_ @_ "/>
    <numFmt numFmtId="192" formatCode="0\)"/>
    <numFmt numFmtId="193" formatCode="0.000%;\(0.000%\)"/>
    <numFmt numFmtId="194" formatCode="_(0.0%_);\(0.0%\);&quot;0.0&quot;\%;_(@_)_%"/>
    <numFmt numFmtId="195" formatCode="_(0.000%_);\(0.000%\);_(&quot;–&quot;_)_%;_(@_)_%"/>
    <numFmt numFmtId="196" formatCode="_-[$-820]* #,##0.0_-;\-[$-820]* #,##0.0_-;_-[$₹-820]* &quot;-&quot;?_-;_-@_-"/>
    <numFmt numFmtId="197" formatCode="_ * #,##0.0_ ;_ * \-#,##0.0_ ;_ * &quot;-&quot;?_ ;_ @_ "/>
    <numFmt numFmtId="198" formatCode="0.0%;\ \(0.0%\);&quot;-&quot;"/>
    <numFmt numFmtId="199" formatCode="_(0.0_);\(0.0\);_(&quot;–&quot;_)_;_(@_)_%"/>
    <numFmt numFmtId="200" formatCode="_(0.00%_);\(0.00%\);_(&quot;–&quot;_)_%;_(@_)_%"/>
    <numFmt numFmtId="201" formatCode="#,##0.00_-;\ \(#,##0.00\)_-;&quot;-&quot;??_-;_-@_-"/>
    <numFmt numFmtId="202" formatCode="_-[$₹-820]* #,##0.000_-;[$₹-820]* \(#,##0.000\)_-;_-[$₹-820]* &quot;-&quot;???_-;_-@_-"/>
    <numFmt numFmtId="203" formatCode="&quot;₹&quot;#,##0.0;\(&quot;₹&quot;#,##0.0\);&quot;OK!&quot;;&quot;ERROR&quot;"/>
    <numFmt numFmtId="204" formatCode="_(0.0%_);\(0.0%\);_(&quot;0.0%&quot;_)_%;_(@_)_%"/>
    <numFmt numFmtId="205" formatCode="_(0.0%_);\(0.0%\);&quot;0.0%&quot;;_(@_)_%"/>
    <numFmt numFmtId="206" formatCode="0.0\ \x\ ;\(0.0\ \x\)\ "/>
    <numFmt numFmtId="207" formatCode="_(0.0%_);\(0.0%\);&quot;0.0% &quot;;_(@_)_%"/>
  </numFmts>
  <fonts count="53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20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0000FF"/>
      <name val="Calibri"/>
      <family val="2"/>
    </font>
    <font>
      <sz val="12"/>
      <color rgb="FF0000FF"/>
      <name val="Calibri"/>
      <family val="2"/>
      <scheme val="minor"/>
    </font>
    <font>
      <sz val="12"/>
      <color rgb="FF0000FF"/>
      <name val="Calibri"/>
      <family val="2"/>
    </font>
    <font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</font>
    <font>
      <b/>
      <sz val="11"/>
      <color rgb="FF002060"/>
      <name val="Calibri"/>
      <family val="2"/>
    </font>
    <font>
      <b/>
      <sz val="8"/>
      <color rgb="FF1F1F1F"/>
      <name val="Arial"/>
      <family val="2"/>
    </font>
    <font>
      <sz val="8"/>
      <color rgb="FF1F1F1F"/>
      <name val="Arial"/>
      <family val="2"/>
    </font>
    <font>
      <b/>
      <sz val="10"/>
      <color rgb="FF1F1F1F"/>
      <name val="Arial"/>
      <family val="2"/>
    </font>
    <font>
      <sz val="10"/>
      <color rgb="FF1F1F1F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1"/>
      <color theme="1" tint="0.499984740745262"/>
      <name val="Calibri"/>
      <family val="2"/>
      <scheme val="minor"/>
    </font>
    <font>
      <b/>
      <sz val="11"/>
      <color indexed="9"/>
      <name val="Calibri"/>
      <family val="2"/>
      <scheme val="minor"/>
    </font>
    <font>
      <u/>
      <sz val="11"/>
      <color indexed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2"/>
      <color theme="1"/>
      <name val="Calibri"/>
      <family val="2"/>
    </font>
    <font>
      <sz val="12"/>
      <color rgb="FF3333FF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3333FF"/>
      <name val="Calibri"/>
      <family val="2"/>
    </font>
    <font>
      <b/>
      <sz val="12"/>
      <color rgb="FF0000FF"/>
      <name val="Calibri"/>
      <family val="2"/>
    </font>
    <font>
      <sz val="11"/>
      <color theme="5" tint="-0.249977111117893"/>
      <name val="Calibri"/>
      <family val="2"/>
    </font>
    <font>
      <b/>
      <sz val="11"/>
      <color theme="5" tint="-0.499984740745262"/>
      <name val="Calibri"/>
      <family val="2"/>
    </font>
    <font>
      <b/>
      <sz val="12"/>
      <color rgb="FFC00000"/>
      <name val="Calibri"/>
      <family val="2"/>
      <scheme val="minor"/>
    </font>
    <font>
      <b/>
      <sz val="14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-0.249977111117893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theme="7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9" tint="0.79998168889431442"/>
      </patternFill>
    </fill>
  </fills>
  <borders count="7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1"/>
      </top>
      <bottom style="thin">
        <color theme="9" tint="0.39997558519241921"/>
      </bottom>
      <diagonal/>
    </border>
    <border>
      <left/>
      <right/>
      <top style="thin">
        <color theme="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9" tint="0.39997558519241921"/>
      </right>
      <top style="thin">
        <color theme="1"/>
      </top>
      <bottom/>
      <diagonal/>
    </border>
    <border>
      <left style="thin">
        <color theme="9" tint="0.39997558519241921"/>
      </left>
      <right/>
      <top style="medium">
        <color theme="1"/>
      </top>
      <bottom style="thin">
        <color theme="9" tint="0.39994506668294322"/>
      </bottom>
      <diagonal/>
    </border>
    <border>
      <left/>
      <right style="thin">
        <color theme="9" tint="0.39997558519241921"/>
      </right>
      <top style="medium">
        <color theme="1"/>
      </top>
      <bottom style="thin">
        <color theme="9" tint="0.39994506668294322"/>
      </bottom>
      <diagonal/>
    </border>
    <border>
      <left/>
      <right/>
      <top style="medium">
        <color theme="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medium">
        <color theme="1"/>
      </top>
      <bottom style="thin">
        <color theme="9" tint="0.39997558519241921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theme="9" tint="0.39997558519241921"/>
      </left>
      <right/>
      <top style="thin">
        <color auto="1"/>
      </top>
      <bottom style="thin">
        <color theme="9" tint="0.39997558519241921"/>
      </bottom>
      <diagonal/>
    </border>
    <border>
      <left/>
      <right/>
      <top style="thin">
        <color auto="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auto="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medium">
        <color auto="1"/>
      </top>
      <bottom style="thin">
        <color theme="9" tint="0.39997558519241921"/>
      </bottom>
      <diagonal/>
    </border>
    <border>
      <left/>
      <right/>
      <top style="medium">
        <color auto="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medium">
        <color auto="1"/>
      </top>
      <bottom style="thin">
        <color theme="9" tint="0.3999755851924192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 style="thin">
        <color theme="1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9" tint="0.39994506668294322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4506668294322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/>
      </left>
      <right style="thin">
        <color theme="9" tint="0.39994506668294322"/>
      </right>
      <top style="thin">
        <color theme="9"/>
      </top>
      <bottom style="thin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/>
      </top>
      <bottom style="thin">
        <color theme="9" tint="0.39994506668294322"/>
      </bottom>
      <diagonal/>
    </border>
    <border>
      <left style="thin">
        <color theme="9" tint="0.39994506668294322"/>
      </left>
      <right style="thin">
        <color theme="9"/>
      </right>
      <top style="thin">
        <color theme="9"/>
      </top>
      <bottom style="thin">
        <color theme="9" tint="0.39994506668294322"/>
      </bottom>
      <diagonal/>
    </border>
    <border>
      <left style="thin">
        <color theme="9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4506668294322"/>
      </left>
      <right style="thin">
        <color theme="9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/>
      </left>
      <right style="thin">
        <color theme="9" tint="0.39994506668294322"/>
      </right>
      <top style="thin">
        <color theme="9" tint="0.39994506668294322"/>
      </top>
      <bottom style="thin">
        <color theme="9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/>
      </bottom>
      <diagonal/>
    </border>
    <border>
      <left style="thin">
        <color theme="9" tint="0.39994506668294322"/>
      </left>
      <right style="thin">
        <color theme="9"/>
      </right>
      <top style="thin">
        <color theme="9" tint="0.39994506668294322"/>
      </top>
      <bottom style="thin">
        <color theme="9"/>
      </bottom>
      <diagonal/>
    </border>
    <border>
      <left/>
      <right/>
      <top style="thin">
        <color theme="8" tint="-0.499984740745262"/>
      </top>
      <bottom style="thin">
        <color theme="8" tint="-0.499984740745262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 style="thin">
        <color theme="8" tint="-0.499984740745262"/>
      </top>
      <bottom style="thin">
        <color theme="8" tint="-0.499984740745262"/>
      </bottom>
      <diagonal/>
    </border>
    <border>
      <left/>
      <right style="thin">
        <color rgb="FF002060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9" tint="0.3999755851924192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auto="1"/>
      </right>
      <top/>
      <bottom/>
      <diagonal/>
    </border>
    <border>
      <left style="thin">
        <color theme="0"/>
      </left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4" fillId="8" borderId="1" applyNumberFormat="0" applyAlignment="0" applyProtection="0"/>
    <xf numFmtId="0" fontId="8" fillId="0" borderId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455">
    <xf numFmtId="0" fontId="0" fillId="0" borderId="0" xfId="0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4" fillId="0" borderId="0" xfId="0" applyFont="1"/>
    <xf numFmtId="0" fontId="2" fillId="0" borderId="0" xfId="0" applyFont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4" borderId="8" xfId="0" applyFont="1" applyFill="1" applyBorder="1"/>
    <xf numFmtId="0" fontId="2" fillId="4" borderId="9" xfId="0" applyFont="1" applyFill="1" applyBorder="1" applyAlignment="1">
      <alignment horizontal="right"/>
    </xf>
    <xf numFmtId="0" fontId="2" fillId="4" borderId="10" xfId="0" applyFont="1" applyFill="1" applyBorder="1" applyAlignment="1">
      <alignment horizontal="right"/>
    </xf>
    <xf numFmtId="0" fontId="3" fillId="0" borderId="8" xfId="0" applyFont="1" applyBorder="1"/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3" borderId="8" xfId="0" applyFill="1" applyBorder="1" applyAlignment="1">
      <alignment horizontal="left" indent="1"/>
    </xf>
    <xf numFmtId="0" fontId="0" fillId="3" borderId="9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0" fontId="0" fillId="0" borderId="2" xfId="0" applyBorder="1" applyAlignment="1">
      <alignment horizontal="left" indent="1"/>
    </xf>
    <xf numFmtId="0" fontId="3" fillId="3" borderId="11" xfId="0" applyFont="1" applyFill="1" applyBorder="1"/>
    <xf numFmtId="0" fontId="0" fillId="0" borderId="8" xfId="0" applyBorder="1" applyAlignment="1">
      <alignment horizontal="left" indent="1"/>
    </xf>
    <xf numFmtId="0" fontId="0" fillId="3" borderId="2" xfId="0" applyFill="1" applyBorder="1" applyAlignment="1">
      <alignment horizontal="left" indent="1"/>
    </xf>
    <xf numFmtId="0" fontId="0" fillId="0" borderId="11" xfId="0" applyBorder="1"/>
    <xf numFmtId="0" fontId="3" fillId="3" borderId="8" xfId="0" applyFont="1" applyFill="1" applyBorder="1"/>
    <xf numFmtId="0" fontId="3" fillId="3" borderId="9" xfId="0" applyFont="1" applyFill="1" applyBorder="1" applyAlignment="1">
      <alignment horizontal="right"/>
    </xf>
    <xf numFmtId="0" fontId="0" fillId="3" borderId="14" xfId="0" applyFill="1" applyBorder="1"/>
    <xf numFmtId="0" fontId="3" fillId="5" borderId="17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2" fillId="4" borderId="9" xfId="0" applyFont="1" applyFill="1" applyBorder="1"/>
    <xf numFmtId="0" fontId="3" fillId="0" borderId="9" xfId="0" applyFont="1" applyBorder="1"/>
    <xf numFmtId="0" fontId="3" fillId="3" borderId="9" xfId="0" applyFont="1" applyFill="1" applyBorder="1"/>
    <xf numFmtId="0" fontId="5" fillId="0" borderId="21" xfId="0" applyFont="1" applyBorder="1"/>
    <xf numFmtId="0" fontId="5" fillId="3" borderId="21" xfId="0" applyFont="1" applyFill="1" applyBorder="1"/>
    <xf numFmtId="4" fontId="0" fillId="0" borderId="9" xfId="0" applyNumberFormat="1" applyBorder="1" applyAlignment="1">
      <alignment horizontal="right"/>
    </xf>
    <xf numFmtId="0" fontId="0" fillId="0" borderId="22" xfId="0" applyBorder="1"/>
    <xf numFmtId="0" fontId="0" fillId="0" borderId="23" xfId="0" applyBorder="1"/>
    <xf numFmtId="0" fontId="3" fillId="0" borderId="23" xfId="0" applyFont="1" applyBorder="1"/>
    <xf numFmtId="0" fontId="0" fillId="3" borderId="22" xfId="0" applyFill="1" applyBorder="1"/>
    <xf numFmtId="0" fontId="0" fillId="3" borderId="23" xfId="0" applyFill="1" applyBorder="1"/>
    <xf numFmtId="0" fontId="3" fillId="3" borderId="23" xfId="0" applyFont="1" applyFill="1" applyBorder="1"/>
    <xf numFmtId="0" fontId="3" fillId="5" borderId="25" xfId="0" applyFont="1" applyFill="1" applyBorder="1"/>
    <xf numFmtId="0" fontId="3" fillId="5" borderId="26" xfId="0" applyFont="1" applyFill="1" applyBorder="1"/>
    <xf numFmtId="0" fontId="5" fillId="3" borderId="9" xfId="0" applyFont="1" applyFill="1" applyBorder="1"/>
    <xf numFmtId="0" fontId="0" fillId="5" borderId="25" xfId="0" applyFill="1" applyBorder="1"/>
    <xf numFmtId="0" fontId="0" fillId="5" borderId="26" xfId="0" applyFill="1" applyBorder="1"/>
    <xf numFmtId="0" fontId="6" fillId="0" borderId="0" xfId="0" applyFont="1"/>
    <xf numFmtId="0" fontId="0" fillId="3" borderId="8" xfId="0" applyFill="1" applyBorder="1" applyAlignment="1">
      <alignment horizontal="right"/>
    </xf>
    <xf numFmtId="0" fontId="2" fillId="6" borderId="8" xfId="0" applyFont="1" applyFill="1" applyBorder="1"/>
    <xf numFmtId="0" fontId="2" fillId="6" borderId="9" xfId="0" applyFont="1" applyFill="1" applyBorder="1"/>
    <xf numFmtId="0" fontId="2" fillId="6" borderId="9" xfId="0" applyFont="1" applyFill="1" applyBorder="1" applyAlignment="1">
      <alignment horizontal="right"/>
    </xf>
    <xf numFmtId="0" fontId="2" fillId="6" borderId="10" xfId="0" applyFont="1" applyFill="1" applyBorder="1" applyAlignment="1">
      <alignment horizontal="right"/>
    </xf>
    <xf numFmtId="0" fontId="2" fillId="6" borderId="8" xfId="0" applyFont="1" applyFill="1" applyBorder="1" applyAlignment="1">
      <alignment horizontal="right"/>
    </xf>
    <xf numFmtId="0" fontId="3" fillId="3" borderId="8" xfId="0" applyFont="1" applyFill="1" applyBorder="1" applyAlignment="1">
      <alignment horizontal="right"/>
    </xf>
    <xf numFmtId="0" fontId="3" fillId="0" borderId="0" xfId="0" applyFont="1"/>
    <xf numFmtId="0" fontId="0" fillId="3" borderId="9" xfId="0" applyFill="1" applyBorder="1" applyAlignment="1">
      <alignment horizontal="left"/>
    </xf>
    <xf numFmtId="0" fontId="0" fillId="0" borderId="9" xfId="0" applyBorder="1" applyAlignment="1">
      <alignment horizontal="left" indent="1"/>
    </xf>
    <xf numFmtId="0" fontId="0" fillId="3" borderId="9" xfId="0" applyFill="1" applyBorder="1" applyAlignment="1">
      <alignment horizontal="left" indent="1"/>
    </xf>
    <xf numFmtId="0" fontId="3" fillId="5" borderId="8" xfId="0" applyFont="1" applyFill="1" applyBorder="1"/>
    <xf numFmtId="0" fontId="3" fillId="5" borderId="9" xfId="0" applyFont="1" applyFill="1" applyBorder="1"/>
    <xf numFmtId="4" fontId="0" fillId="3" borderId="10" xfId="0" applyNumberFormat="1" applyFill="1" applyBorder="1" applyAlignment="1">
      <alignment horizontal="right"/>
    </xf>
    <xf numFmtId="0" fontId="3" fillId="7" borderId="8" xfId="0" applyFont="1" applyFill="1" applyBorder="1"/>
    <xf numFmtId="0" fontId="3" fillId="7" borderId="9" xfId="0" applyFont="1" applyFill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13" fillId="0" borderId="0" xfId="0" applyFont="1"/>
    <xf numFmtId="37" fontId="15" fillId="8" borderId="1" xfId="2" applyNumberFormat="1" applyFont="1" applyAlignment="1">
      <alignment horizontal="center"/>
    </xf>
    <xf numFmtId="164" fontId="16" fillId="8" borderId="1" xfId="2" applyNumberFormat="1" applyFont="1" applyAlignment="1">
      <alignment horizontal="center"/>
    </xf>
    <xf numFmtId="37" fontId="15" fillId="0" borderId="29" xfId="2" applyNumberFormat="1" applyFont="1" applyFill="1" applyBorder="1" applyAlignment="1">
      <alignment horizontal="center"/>
    </xf>
    <xf numFmtId="165" fontId="15" fillId="8" borderId="1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8" fillId="0" borderId="0" xfId="0" applyFont="1" applyAlignment="1">
      <alignment horizontal="left" indent="1"/>
    </xf>
    <xf numFmtId="0" fontId="12" fillId="9" borderId="33" xfId="0" applyFont="1" applyFill="1" applyBorder="1"/>
    <xf numFmtId="0" fontId="10" fillId="9" borderId="33" xfId="0" applyFont="1" applyFill="1" applyBorder="1" applyAlignment="1">
      <alignment horizontal="left" indent="1"/>
    </xf>
    <xf numFmtId="0" fontId="13" fillId="9" borderId="33" xfId="0" applyFont="1" applyFill="1" applyBorder="1"/>
    <xf numFmtId="0" fontId="10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left" indent="1"/>
    </xf>
    <xf numFmtId="0" fontId="21" fillId="0" borderId="0" xfId="0" applyFont="1" applyAlignment="1">
      <alignment horizontal="left" indent="2"/>
    </xf>
    <xf numFmtId="0" fontId="13" fillId="0" borderId="0" xfId="0" applyFont="1" applyAlignment="1">
      <alignment horizontal="left" indent="1"/>
    </xf>
    <xf numFmtId="0" fontId="21" fillId="0" borderId="0" xfId="0" applyFont="1" applyAlignment="1">
      <alignment horizontal="left" indent="1"/>
    </xf>
    <xf numFmtId="0" fontId="12" fillId="9" borderId="28" xfId="0" applyFont="1" applyFill="1" applyBorder="1"/>
    <xf numFmtId="0" fontId="10" fillId="9" borderId="28" xfId="0" applyFont="1" applyFill="1" applyBorder="1" applyAlignment="1">
      <alignment horizontal="left" indent="1"/>
    </xf>
    <xf numFmtId="0" fontId="13" fillId="9" borderId="28" xfId="0" applyFont="1" applyFill="1" applyBorder="1"/>
    <xf numFmtId="0" fontId="9" fillId="0" borderId="0" xfId="0" applyFont="1" applyAlignment="1">
      <alignment horizontal="center"/>
    </xf>
    <xf numFmtId="0" fontId="13" fillId="0" borderId="28" xfId="0" applyFont="1" applyBorder="1" applyAlignment="1">
      <alignment horizontal="center"/>
    </xf>
    <xf numFmtId="0" fontId="12" fillId="0" borderId="34" xfId="0" applyFont="1" applyBorder="1" applyAlignment="1">
      <alignment horizontal="left"/>
    </xf>
    <xf numFmtId="9" fontId="10" fillId="0" borderId="0" xfId="0" applyNumberFormat="1" applyFont="1"/>
    <xf numFmtId="49" fontId="12" fillId="9" borderId="28" xfId="0" applyNumberFormat="1" applyFont="1" applyFill="1" applyBorder="1"/>
    <xf numFmtId="0" fontId="10" fillId="0" borderId="28" xfId="0" applyFont="1" applyBorder="1" applyAlignment="1">
      <alignment horizontal="left" indent="1"/>
    </xf>
    <xf numFmtId="0" fontId="12" fillId="0" borderId="34" xfId="0" applyFont="1" applyBorder="1"/>
    <xf numFmtId="49" fontId="10" fillId="0" borderId="0" xfId="0" applyNumberFormat="1" applyFont="1" applyAlignment="1">
      <alignment horizontal="left" indent="1"/>
    </xf>
    <xf numFmtId="0" fontId="13" fillId="0" borderId="35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10" fillId="0" borderId="34" xfId="0" applyFont="1" applyBorder="1"/>
    <xf numFmtId="0" fontId="11" fillId="10" borderId="28" xfId="0" applyFont="1" applyFill="1" applyBorder="1"/>
    <xf numFmtId="0" fontId="11" fillId="11" borderId="28" xfId="0" applyFont="1" applyFill="1" applyBorder="1"/>
    <xf numFmtId="0" fontId="17" fillId="10" borderId="0" xfId="0" applyFont="1" applyFill="1"/>
    <xf numFmtId="0" fontId="18" fillId="10" borderId="0" xfId="0" applyFont="1" applyFill="1"/>
    <xf numFmtId="0" fontId="19" fillId="10" borderId="28" xfId="0" applyFont="1" applyFill="1" applyBorder="1" applyAlignment="1">
      <alignment horizontal="center"/>
    </xf>
    <xf numFmtId="177" fontId="10" fillId="0" borderId="0" xfId="0" applyNumberFormat="1" applyFont="1" applyAlignment="1">
      <alignment horizontal="left" indent="1"/>
    </xf>
    <xf numFmtId="0" fontId="8" fillId="0" borderId="0" xfId="0" applyFont="1" applyAlignment="1">
      <alignment horizontal="right"/>
    </xf>
    <xf numFmtId="0" fontId="8" fillId="10" borderId="0" xfId="0" applyFont="1" applyFill="1" applyAlignment="1">
      <alignment horizontal="right"/>
    </xf>
    <xf numFmtId="0" fontId="12" fillId="0" borderId="0" xfId="0" applyFont="1" applyAlignment="1">
      <alignment horizontal="right"/>
    </xf>
    <xf numFmtId="168" fontId="11" fillId="10" borderId="28" xfId="0" applyNumberFormat="1" applyFont="1" applyFill="1" applyBorder="1" applyAlignment="1">
      <alignment horizontal="right"/>
    </xf>
    <xf numFmtId="168" fontId="11" fillId="10" borderId="32" xfId="0" applyNumberFormat="1" applyFont="1" applyFill="1" applyBorder="1" applyAlignment="1">
      <alignment horizontal="right"/>
    </xf>
    <xf numFmtId="0" fontId="12" fillId="9" borderId="33" xfId="0" applyFont="1" applyFill="1" applyBorder="1" applyAlignment="1">
      <alignment horizontal="right"/>
    </xf>
    <xf numFmtId="0" fontId="10" fillId="9" borderId="33" xfId="0" applyFont="1" applyFill="1" applyBorder="1" applyAlignment="1">
      <alignment horizontal="right" indent="1"/>
    </xf>
    <xf numFmtId="0" fontId="13" fillId="9" borderId="33" xfId="0" applyFont="1" applyFill="1" applyBorder="1" applyAlignment="1">
      <alignment horizontal="right"/>
    </xf>
    <xf numFmtId="167" fontId="20" fillId="0" borderId="0" xfId="0" applyNumberFormat="1" applyFont="1" applyAlignment="1">
      <alignment horizontal="right"/>
    </xf>
    <xf numFmtId="166" fontId="15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0" fontId="20" fillId="0" borderId="0" xfId="0" applyFont="1" applyAlignment="1">
      <alignment horizontal="right"/>
    </xf>
    <xf numFmtId="164" fontId="16" fillId="8" borderId="1" xfId="2" applyNumberFormat="1" applyFont="1" applyAlignment="1">
      <alignment horizontal="right"/>
    </xf>
    <xf numFmtId="169" fontId="20" fillId="0" borderId="0" xfId="0" applyNumberFormat="1" applyFont="1" applyAlignment="1">
      <alignment horizontal="right"/>
    </xf>
    <xf numFmtId="168" fontId="12" fillId="9" borderId="28" xfId="0" applyNumberFormat="1" applyFont="1" applyFill="1" applyBorder="1" applyAlignment="1">
      <alignment horizontal="right"/>
    </xf>
    <xf numFmtId="0" fontId="10" fillId="0" borderId="0" xfId="0" applyFont="1" applyAlignment="1">
      <alignment horizontal="right"/>
    </xf>
    <xf numFmtId="172" fontId="20" fillId="0" borderId="0" xfId="0" applyNumberFormat="1" applyFont="1" applyAlignment="1">
      <alignment horizontal="right"/>
    </xf>
    <xf numFmtId="164" fontId="16" fillId="0" borderId="0" xfId="2" applyNumberFormat="1" applyFont="1" applyFill="1" applyBorder="1" applyAlignment="1">
      <alignment horizontal="right"/>
    </xf>
    <xf numFmtId="173" fontId="20" fillId="0" borderId="0" xfId="0" applyNumberFormat="1" applyFont="1" applyAlignment="1">
      <alignment horizontal="right"/>
    </xf>
    <xf numFmtId="170" fontId="20" fillId="0" borderId="0" xfId="0" applyNumberFormat="1" applyFont="1" applyAlignment="1">
      <alignment horizontal="right"/>
    </xf>
    <xf numFmtId="174" fontId="10" fillId="0" borderId="0" xfId="0" applyNumberFormat="1" applyFont="1" applyAlignment="1">
      <alignment horizontal="right"/>
    </xf>
    <xf numFmtId="176" fontId="20" fillId="0" borderId="0" xfId="0" applyNumberFormat="1" applyFont="1" applyAlignment="1">
      <alignment horizontal="right"/>
    </xf>
    <xf numFmtId="169" fontId="12" fillId="0" borderId="34" xfId="0" applyNumberFormat="1" applyFont="1" applyBorder="1" applyAlignment="1">
      <alignment horizontal="right"/>
    </xf>
    <xf numFmtId="9" fontId="20" fillId="0" borderId="0" xfId="0" applyNumberFormat="1" applyFont="1" applyAlignment="1">
      <alignment horizontal="right"/>
    </xf>
    <xf numFmtId="169" fontId="22" fillId="0" borderId="34" xfId="0" applyNumberFormat="1" applyFont="1" applyBorder="1" applyAlignment="1">
      <alignment horizontal="right"/>
    </xf>
    <xf numFmtId="169" fontId="22" fillId="0" borderId="0" xfId="0" applyNumberFormat="1" applyFont="1" applyAlignment="1">
      <alignment horizontal="right"/>
    </xf>
    <xf numFmtId="169" fontId="12" fillId="0" borderId="0" xfId="0" applyNumberFormat="1" applyFont="1" applyAlignment="1">
      <alignment horizontal="right"/>
    </xf>
    <xf numFmtId="176" fontId="12" fillId="0" borderId="0" xfId="0" applyNumberFormat="1" applyFont="1" applyAlignment="1">
      <alignment horizontal="right"/>
    </xf>
    <xf numFmtId="0" fontId="12" fillId="9" borderId="28" xfId="0" applyFont="1" applyFill="1" applyBorder="1" applyAlignment="1">
      <alignment horizontal="right"/>
    </xf>
    <xf numFmtId="169" fontId="20" fillId="0" borderId="28" xfId="0" applyNumberFormat="1" applyFont="1" applyBorder="1" applyAlignment="1">
      <alignment horizontal="right"/>
    </xf>
    <xf numFmtId="171" fontId="10" fillId="0" borderId="0" xfId="0" applyNumberFormat="1" applyFont="1" applyAlignment="1">
      <alignment horizontal="right"/>
    </xf>
    <xf numFmtId="169" fontId="10" fillId="0" borderId="0" xfId="0" applyNumberFormat="1" applyFont="1" applyAlignment="1">
      <alignment horizontal="right"/>
    </xf>
    <xf numFmtId="169" fontId="23" fillId="0" borderId="0" xfId="0" applyNumberFormat="1" applyFont="1" applyAlignment="1">
      <alignment horizontal="right"/>
    </xf>
    <xf numFmtId="169" fontId="10" fillId="0" borderId="28" xfId="0" applyNumberFormat="1" applyFont="1" applyBorder="1" applyAlignment="1">
      <alignment horizontal="right"/>
    </xf>
    <xf numFmtId="175" fontId="20" fillId="0" borderId="0" xfId="0" applyNumberFormat="1" applyFont="1" applyAlignment="1">
      <alignment horizontal="right"/>
    </xf>
    <xf numFmtId="164" fontId="16" fillId="8" borderId="36" xfId="2" applyNumberFormat="1" applyFont="1" applyBorder="1" applyAlignment="1">
      <alignment horizontal="right"/>
    </xf>
    <xf numFmtId="2" fontId="0" fillId="3" borderId="10" xfId="0" applyNumberFormat="1" applyFill="1" applyBorder="1" applyAlignment="1">
      <alignment horizontal="right"/>
    </xf>
    <xf numFmtId="2" fontId="0" fillId="3" borderId="9" xfId="0" applyNumberFormat="1" applyFill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4" fontId="0" fillId="0" borderId="8" xfId="0" applyNumberFormat="1" applyBorder="1" applyAlignment="1">
      <alignment horizontal="right"/>
    </xf>
    <xf numFmtId="4" fontId="0" fillId="0" borderId="10" xfId="0" applyNumberFormat="1" applyBorder="1" applyAlignment="1">
      <alignment horizontal="right"/>
    </xf>
    <xf numFmtId="4" fontId="0" fillId="3" borderId="9" xfId="0" applyNumberFormat="1" applyFill="1" applyBorder="1" applyAlignment="1">
      <alignment horizontal="right"/>
    </xf>
    <xf numFmtId="4" fontId="0" fillId="3" borderId="8" xfId="0" applyNumberFormat="1" applyFill="1" applyBorder="1" applyAlignment="1">
      <alignment horizontal="right"/>
    </xf>
    <xf numFmtId="4" fontId="0" fillId="0" borderId="9" xfId="0" applyNumberFormat="1" applyBorder="1" applyAlignment="1">
      <alignment horizontal="right" indent="1"/>
    </xf>
    <xf numFmtId="4" fontId="0" fillId="3" borderId="9" xfId="0" applyNumberFormat="1" applyFill="1" applyBorder="1" applyAlignment="1">
      <alignment horizontal="right" indent="1"/>
    </xf>
    <xf numFmtId="4" fontId="3" fillId="3" borderId="9" xfId="0" applyNumberFormat="1" applyFont="1" applyFill="1" applyBorder="1" applyAlignment="1">
      <alignment horizontal="right"/>
    </xf>
    <xf numFmtId="4" fontId="3" fillId="3" borderId="8" xfId="0" applyNumberFormat="1" applyFont="1" applyFill="1" applyBorder="1" applyAlignment="1">
      <alignment horizontal="right"/>
    </xf>
    <xf numFmtId="4" fontId="3" fillId="3" borderId="10" xfId="0" applyNumberFormat="1" applyFont="1" applyFill="1" applyBorder="1" applyAlignment="1">
      <alignment horizontal="right"/>
    </xf>
    <xf numFmtId="4" fontId="3" fillId="0" borderId="9" xfId="0" applyNumberFormat="1" applyFont="1" applyBorder="1" applyAlignment="1">
      <alignment horizontal="right"/>
    </xf>
    <xf numFmtId="4" fontId="3" fillId="0" borderId="10" xfId="0" applyNumberFormat="1" applyFont="1" applyBorder="1" applyAlignment="1">
      <alignment horizontal="right"/>
    </xf>
    <xf numFmtId="4" fontId="3" fillId="5" borderId="9" xfId="0" applyNumberFormat="1" applyFont="1" applyFill="1" applyBorder="1" applyAlignment="1">
      <alignment horizontal="right"/>
    </xf>
    <xf numFmtId="4" fontId="3" fillId="5" borderId="8" xfId="0" applyNumberFormat="1" applyFont="1" applyFill="1" applyBorder="1" applyAlignment="1">
      <alignment horizontal="right"/>
    </xf>
    <xf numFmtId="4" fontId="3" fillId="5" borderId="10" xfId="0" applyNumberFormat="1" applyFont="1" applyFill="1" applyBorder="1" applyAlignment="1">
      <alignment horizontal="right"/>
    </xf>
    <xf numFmtId="4" fontId="3" fillId="0" borderId="8" xfId="0" applyNumberFormat="1" applyFont="1" applyBorder="1" applyAlignment="1">
      <alignment horizontal="right"/>
    </xf>
    <xf numFmtId="4" fontId="3" fillId="7" borderId="9" xfId="0" applyNumberFormat="1" applyFont="1" applyFill="1" applyBorder="1" applyAlignment="1">
      <alignment horizontal="right"/>
    </xf>
    <xf numFmtId="4" fontId="3" fillId="7" borderId="8" xfId="0" applyNumberFormat="1" applyFont="1" applyFill="1" applyBorder="1" applyAlignment="1">
      <alignment horizontal="right"/>
    </xf>
    <xf numFmtId="4" fontId="3" fillId="7" borderId="10" xfId="0" applyNumberFormat="1" applyFont="1" applyFill="1" applyBorder="1" applyAlignment="1">
      <alignment horizontal="right"/>
    </xf>
    <xf numFmtId="4" fontId="3" fillId="0" borderId="24" xfId="0" applyNumberFormat="1" applyFont="1" applyBorder="1" applyAlignment="1">
      <alignment horizontal="right"/>
    </xf>
    <xf numFmtId="4" fontId="3" fillId="0" borderId="23" xfId="0" applyNumberFormat="1" applyFont="1" applyBorder="1" applyAlignment="1">
      <alignment horizontal="right"/>
    </xf>
    <xf numFmtId="4" fontId="3" fillId="3" borderId="24" xfId="0" applyNumberFormat="1" applyFont="1" applyFill="1" applyBorder="1" applyAlignment="1">
      <alignment horizontal="right"/>
    </xf>
    <xf numFmtId="4" fontId="3" fillId="3" borderId="23" xfId="0" applyNumberFormat="1" applyFont="1" applyFill="1" applyBorder="1" applyAlignment="1">
      <alignment horizontal="right"/>
    </xf>
    <xf numFmtId="4" fontId="3" fillId="5" borderId="27" xfId="0" applyNumberFormat="1" applyFont="1" applyFill="1" applyBorder="1" applyAlignment="1">
      <alignment horizontal="right"/>
    </xf>
    <xf numFmtId="4" fontId="3" fillId="5" borderId="26" xfId="0" applyNumberFormat="1" applyFont="1" applyFill="1" applyBorder="1" applyAlignment="1">
      <alignment horizontal="right"/>
    </xf>
    <xf numFmtId="4" fontId="5" fillId="0" borderId="21" xfId="0" applyNumberFormat="1" applyFont="1" applyBorder="1" applyAlignment="1">
      <alignment horizontal="right"/>
    </xf>
    <xf numFmtId="4" fontId="5" fillId="3" borderId="21" xfId="0" applyNumberFormat="1" applyFont="1" applyFill="1" applyBorder="1" applyAlignment="1">
      <alignment horizontal="right"/>
    </xf>
    <xf numFmtId="4" fontId="0" fillId="0" borderId="4" xfId="0" applyNumberFormat="1" applyBorder="1" applyAlignment="1">
      <alignment horizontal="right"/>
    </xf>
    <xf numFmtId="4" fontId="0" fillId="0" borderId="3" xfId="0" applyNumberFormat="1" applyBorder="1" applyAlignment="1">
      <alignment horizontal="right"/>
    </xf>
    <xf numFmtId="4" fontId="3" fillId="3" borderId="13" xfId="0" applyNumberFormat="1" applyFont="1" applyFill="1" applyBorder="1" applyAlignment="1">
      <alignment horizontal="right"/>
    </xf>
    <xf numFmtId="4" fontId="3" fillId="3" borderId="12" xfId="0" applyNumberFormat="1" applyFont="1" applyFill="1" applyBorder="1" applyAlignment="1">
      <alignment horizontal="right"/>
    </xf>
    <xf numFmtId="4" fontId="0" fillId="3" borderId="4" xfId="0" applyNumberFormat="1" applyFill="1" applyBorder="1" applyAlignment="1">
      <alignment horizontal="right"/>
    </xf>
    <xf numFmtId="4" fontId="0" fillId="3" borderId="3" xfId="0" applyNumberFormat="1" applyFill="1" applyBorder="1" applyAlignment="1">
      <alignment horizontal="right"/>
    </xf>
    <xf numFmtId="4" fontId="0" fillId="0" borderId="13" xfId="0" applyNumberFormat="1" applyBorder="1" applyAlignment="1">
      <alignment horizontal="right"/>
    </xf>
    <xf numFmtId="4" fontId="0" fillId="0" borderId="12" xfId="0" applyNumberFormat="1" applyBorder="1" applyAlignment="1">
      <alignment horizontal="right"/>
    </xf>
    <xf numFmtId="4" fontId="0" fillId="3" borderId="16" xfId="0" applyNumberFormat="1" applyFill="1" applyBorder="1" applyAlignment="1">
      <alignment horizontal="right"/>
    </xf>
    <xf numFmtId="4" fontId="0" fillId="3" borderId="15" xfId="0" applyNumberFormat="1" applyFill="1" applyBorder="1" applyAlignment="1">
      <alignment horizontal="right"/>
    </xf>
    <xf numFmtId="4" fontId="3" fillId="5" borderId="20" xfId="0" applyNumberFormat="1" applyFont="1" applyFill="1" applyBorder="1" applyAlignment="1">
      <alignment horizontal="right"/>
    </xf>
    <xf numFmtId="4" fontId="3" fillId="5" borderId="19" xfId="0" applyNumberFormat="1" applyFont="1" applyFill="1" applyBorder="1" applyAlignment="1">
      <alignment horizontal="right"/>
    </xf>
    <xf numFmtId="4" fontId="3" fillId="5" borderId="18" xfId="0" applyNumberFormat="1" applyFont="1" applyFill="1" applyBorder="1" applyAlignment="1">
      <alignment horizontal="right"/>
    </xf>
    <xf numFmtId="178" fontId="12" fillId="0" borderId="0" xfId="0" applyNumberFormat="1" applyFont="1" applyAlignment="1">
      <alignment horizontal="right"/>
    </xf>
    <xf numFmtId="179" fontId="20" fillId="0" borderId="0" xfId="0" applyNumberFormat="1" applyFont="1" applyAlignment="1">
      <alignment horizontal="right"/>
    </xf>
    <xf numFmtId="180" fontId="10" fillId="0" borderId="0" xfId="0" applyNumberFormat="1" applyFont="1" applyAlignment="1">
      <alignment horizontal="right"/>
    </xf>
    <xf numFmtId="181" fontId="0" fillId="0" borderId="10" xfId="0" applyNumberFormat="1" applyBorder="1" applyAlignment="1">
      <alignment horizontal="right"/>
    </xf>
    <xf numFmtId="181" fontId="0" fillId="0" borderId="9" xfId="0" applyNumberFormat="1" applyBorder="1" applyAlignment="1">
      <alignment horizontal="right"/>
    </xf>
    <xf numFmtId="4" fontId="0" fillId="0" borderId="0" xfId="0" applyNumberFormat="1"/>
    <xf numFmtId="43" fontId="10" fillId="0" borderId="0" xfId="0" applyNumberFormat="1" applyFont="1" applyAlignment="1">
      <alignment horizontal="right"/>
    </xf>
    <xf numFmtId="0" fontId="15" fillId="8" borderId="37" xfId="2" applyFont="1" applyBorder="1" applyAlignment="1">
      <alignment horizontal="left"/>
    </xf>
    <xf numFmtId="177" fontId="12" fillId="0" borderId="34" xfId="0" applyNumberFormat="1" applyFont="1" applyBorder="1" applyAlignment="1">
      <alignment horizontal="left" indent="1"/>
    </xf>
    <xf numFmtId="0" fontId="24" fillId="0" borderId="34" xfId="0" applyFont="1" applyBorder="1" applyAlignment="1">
      <alignment horizontal="center"/>
    </xf>
    <xf numFmtId="4" fontId="12" fillId="0" borderId="34" xfId="0" applyNumberFormat="1" applyFont="1" applyBorder="1"/>
    <xf numFmtId="4" fontId="0" fillId="12" borderId="10" xfId="0" applyNumberFormat="1" applyFill="1" applyBorder="1" applyAlignment="1">
      <alignment horizontal="right"/>
    </xf>
    <xf numFmtId="4" fontId="0" fillId="12" borderId="9" xfId="0" applyNumberFormat="1" applyFill="1" applyBorder="1" applyAlignment="1">
      <alignment horizontal="right"/>
    </xf>
    <xf numFmtId="4" fontId="0" fillId="13" borderId="10" xfId="0" applyNumberFormat="1" applyFill="1" applyBorder="1" applyAlignment="1">
      <alignment horizontal="right"/>
    </xf>
    <xf numFmtId="182" fontId="20" fillId="0" borderId="0" xfId="0" applyNumberFormat="1" applyFont="1" applyAlignment="1">
      <alignment horizontal="right"/>
    </xf>
    <xf numFmtId="183" fontId="13" fillId="0" borderId="0" xfId="0" applyNumberFormat="1" applyFont="1" applyAlignment="1">
      <alignment horizontal="right"/>
    </xf>
    <xf numFmtId="184" fontId="22" fillId="0" borderId="0" xfId="0" applyNumberFormat="1" applyFont="1" applyAlignment="1">
      <alignment horizontal="right"/>
    </xf>
    <xf numFmtId="4" fontId="0" fillId="13" borderId="9" xfId="0" applyNumberFormat="1" applyFill="1" applyBorder="1" applyAlignment="1">
      <alignment horizontal="right"/>
    </xf>
    <xf numFmtId="4" fontId="0" fillId="13" borderId="8" xfId="0" applyNumberFormat="1" applyFill="1" applyBorder="1" applyAlignment="1">
      <alignment horizontal="right"/>
    </xf>
    <xf numFmtId="4" fontId="0" fillId="12" borderId="8" xfId="0" applyNumberFormat="1" applyFill="1" applyBorder="1" applyAlignment="1">
      <alignment horizontal="right"/>
    </xf>
    <xf numFmtId="44" fontId="0" fillId="0" borderId="0" xfId="0" applyNumberFormat="1"/>
    <xf numFmtId="169" fontId="15" fillId="0" borderId="28" xfId="0" applyNumberFormat="1" applyFont="1" applyBorder="1" applyAlignment="1">
      <alignment horizontal="right"/>
    </xf>
    <xf numFmtId="0" fontId="25" fillId="0" borderId="0" xfId="3" applyFont="1"/>
    <xf numFmtId="0" fontId="8" fillId="0" borderId="0" xfId="3"/>
    <xf numFmtId="3" fontId="8" fillId="0" borderId="0" xfId="3" applyNumberFormat="1"/>
    <xf numFmtId="176" fontId="15" fillId="8" borderId="1" xfId="2" applyNumberFormat="1" applyFont="1" applyAlignment="1">
      <alignment horizontal="center"/>
    </xf>
    <xf numFmtId="0" fontId="0" fillId="3" borderId="40" xfId="0" applyFill="1" applyBorder="1" applyAlignment="1">
      <alignment horizontal="right"/>
    </xf>
    <xf numFmtId="4" fontId="0" fillId="0" borderId="40" xfId="0" applyNumberFormat="1" applyBorder="1" applyAlignment="1">
      <alignment horizontal="right"/>
    </xf>
    <xf numFmtId="0" fontId="2" fillId="6" borderId="40" xfId="0" applyFont="1" applyFill="1" applyBorder="1" applyAlignment="1">
      <alignment horizontal="right"/>
    </xf>
    <xf numFmtId="0" fontId="3" fillId="3" borderId="40" xfId="0" applyFont="1" applyFill="1" applyBorder="1" applyAlignment="1">
      <alignment horizontal="right"/>
    </xf>
    <xf numFmtId="4" fontId="0" fillId="3" borderId="40" xfId="0" applyNumberFormat="1" applyFill="1" applyBorder="1" applyAlignment="1">
      <alignment horizontal="right"/>
    </xf>
    <xf numFmtId="4" fontId="3" fillId="3" borderId="40" xfId="0" applyNumberFormat="1" applyFont="1" applyFill="1" applyBorder="1" applyAlignment="1">
      <alignment horizontal="right"/>
    </xf>
    <xf numFmtId="4" fontId="3" fillId="0" borderId="40" xfId="0" applyNumberFormat="1" applyFont="1" applyBorder="1" applyAlignment="1">
      <alignment horizontal="right"/>
    </xf>
    <xf numFmtId="4" fontId="3" fillId="5" borderId="40" xfId="0" applyNumberFormat="1" applyFont="1" applyFill="1" applyBorder="1" applyAlignment="1">
      <alignment horizontal="right"/>
    </xf>
    <xf numFmtId="4" fontId="3" fillId="7" borderId="40" xfId="0" applyNumberFormat="1" applyFont="1" applyFill="1" applyBorder="1" applyAlignment="1">
      <alignment horizontal="right"/>
    </xf>
    <xf numFmtId="0" fontId="0" fillId="0" borderId="40" xfId="0" applyBorder="1" applyAlignment="1">
      <alignment horizontal="right"/>
    </xf>
    <xf numFmtId="0" fontId="2" fillId="4" borderId="40" xfId="0" applyFont="1" applyFill="1" applyBorder="1" applyAlignment="1">
      <alignment horizontal="right"/>
    </xf>
    <xf numFmtId="0" fontId="3" fillId="0" borderId="40" xfId="0" applyFont="1" applyBorder="1" applyAlignment="1">
      <alignment horizontal="right"/>
    </xf>
    <xf numFmtId="181" fontId="0" fillId="0" borderId="40" xfId="0" applyNumberFormat="1" applyBorder="1" applyAlignment="1">
      <alignment horizontal="right"/>
    </xf>
    <xf numFmtId="2" fontId="0" fillId="3" borderId="40" xfId="0" applyNumberFormat="1" applyFill="1" applyBorder="1" applyAlignment="1">
      <alignment horizontal="right"/>
    </xf>
    <xf numFmtId="2" fontId="0" fillId="0" borderId="40" xfId="0" applyNumberFormat="1" applyBorder="1" applyAlignment="1">
      <alignment horizontal="right"/>
    </xf>
    <xf numFmtId="4" fontId="0" fillId="12" borderId="40" xfId="0" applyNumberFormat="1" applyFill="1" applyBorder="1" applyAlignment="1">
      <alignment horizontal="right"/>
    </xf>
    <xf numFmtId="0" fontId="0" fillId="3" borderId="41" xfId="0" applyFill="1" applyBorder="1"/>
    <xf numFmtId="0" fontId="0" fillId="0" borderId="41" xfId="0" applyBorder="1"/>
    <xf numFmtId="0" fontId="2" fillId="4" borderId="41" xfId="0" applyFont="1" applyFill="1" applyBorder="1" applyAlignment="1">
      <alignment horizontal="right"/>
    </xf>
    <xf numFmtId="0" fontId="0" fillId="0" borderId="41" xfId="0" applyBorder="1" applyAlignment="1">
      <alignment horizontal="right"/>
    </xf>
    <xf numFmtId="4" fontId="0" fillId="3" borderId="41" xfId="0" applyNumberFormat="1" applyFill="1" applyBorder="1" applyAlignment="1">
      <alignment horizontal="right"/>
    </xf>
    <xf numFmtId="4" fontId="0" fillId="0" borderId="41" xfId="0" applyNumberFormat="1" applyBorder="1" applyAlignment="1">
      <alignment horizontal="right"/>
    </xf>
    <xf numFmtId="4" fontId="3" fillId="3" borderId="41" xfId="0" applyNumberFormat="1" applyFont="1" applyFill="1" applyBorder="1" applyAlignment="1">
      <alignment horizontal="right"/>
    </xf>
    <xf numFmtId="4" fontId="3" fillId="5" borderId="41" xfId="0" applyNumberFormat="1" applyFont="1" applyFill="1" applyBorder="1" applyAlignment="1">
      <alignment horizontal="right"/>
    </xf>
    <xf numFmtId="43" fontId="0" fillId="0" borderId="39" xfId="1" applyFont="1" applyBorder="1"/>
    <xf numFmtId="0" fontId="0" fillId="0" borderId="39" xfId="0" applyBorder="1"/>
    <xf numFmtId="0" fontId="8" fillId="0" borderId="42" xfId="3" applyBorder="1" applyAlignment="1">
      <alignment horizontal="left"/>
    </xf>
    <xf numFmtId="0" fontId="8" fillId="0" borderId="42" xfId="3" applyBorder="1"/>
    <xf numFmtId="0" fontId="27" fillId="6" borderId="42" xfId="3" applyFont="1" applyFill="1" applyBorder="1" applyAlignment="1">
      <alignment horizontal="right"/>
    </xf>
    <xf numFmtId="0" fontId="8" fillId="14" borderId="42" xfId="3" applyFill="1" applyBorder="1" applyAlignment="1">
      <alignment horizontal="left"/>
    </xf>
    <xf numFmtId="0" fontId="8" fillId="14" borderId="42" xfId="3" applyFill="1" applyBorder="1"/>
    <xf numFmtId="0" fontId="27" fillId="6" borderId="47" xfId="3" applyFont="1" applyFill="1" applyBorder="1" applyAlignment="1">
      <alignment horizontal="right"/>
    </xf>
    <xf numFmtId="0" fontId="8" fillId="0" borderId="47" xfId="3" applyBorder="1"/>
    <xf numFmtId="0" fontId="8" fillId="14" borderId="47" xfId="3" applyFill="1" applyBorder="1"/>
    <xf numFmtId="0" fontId="8" fillId="14" borderId="48" xfId="3" applyFill="1" applyBorder="1" applyAlignment="1">
      <alignment horizontal="left"/>
    </xf>
    <xf numFmtId="0" fontId="8" fillId="14" borderId="49" xfId="3" applyFill="1" applyBorder="1" applyAlignment="1">
      <alignment horizontal="left"/>
    </xf>
    <xf numFmtId="0" fontId="8" fillId="14" borderId="49" xfId="3" applyFill="1" applyBorder="1"/>
    <xf numFmtId="0" fontId="8" fillId="14" borderId="50" xfId="3" applyFill="1" applyBorder="1"/>
    <xf numFmtId="0" fontId="0" fillId="0" borderId="0" xfId="0" applyAlignment="1">
      <alignment horizontal="right"/>
    </xf>
    <xf numFmtId="0" fontId="0" fillId="0" borderId="51" xfId="0" applyBorder="1"/>
    <xf numFmtId="0" fontId="30" fillId="0" borderId="57" xfId="0" applyFont="1" applyBorder="1"/>
    <xf numFmtId="0" fontId="0" fillId="0" borderId="58" xfId="0" applyBorder="1"/>
    <xf numFmtId="0" fontId="0" fillId="0" borderId="55" xfId="0" applyBorder="1"/>
    <xf numFmtId="3" fontId="0" fillId="0" borderId="0" xfId="0" applyNumberFormat="1"/>
    <xf numFmtId="3" fontId="0" fillId="0" borderId="56" xfId="0" applyNumberFormat="1" applyBorder="1"/>
    <xf numFmtId="0" fontId="29" fillId="0" borderId="55" xfId="0" applyFont="1" applyBorder="1" applyAlignment="1">
      <alignment horizontal="left" indent="1"/>
    </xf>
    <xf numFmtId="9" fontId="29" fillId="0" borderId="0" xfId="0" applyNumberFormat="1" applyFont="1"/>
    <xf numFmtId="9" fontId="29" fillId="0" borderId="56" xfId="0" applyNumberFormat="1" applyFont="1" applyBorder="1"/>
    <xf numFmtId="9" fontId="0" fillId="0" borderId="0" xfId="0" applyNumberFormat="1"/>
    <xf numFmtId="9" fontId="0" fillId="0" borderId="56" xfId="0" applyNumberFormat="1" applyBorder="1"/>
    <xf numFmtId="0" fontId="0" fillId="0" borderId="56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2" fillId="15" borderId="55" xfId="0" applyFont="1" applyFill="1" applyBorder="1"/>
    <xf numFmtId="0" fontId="2" fillId="15" borderId="0" xfId="0" applyFont="1" applyFill="1" applyAlignment="1">
      <alignment horizontal="right"/>
    </xf>
    <xf numFmtId="0" fontId="2" fillId="15" borderId="56" xfId="0" applyFont="1" applyFill="1" applyBorder="1" applyAlignment="1">
      <alignment horizontal="right"/>
    </xf>
    <xf numFmtId="181" fontId="20" fillId="0" borderId="0" xfId="0" applyNumberFormat="1" applyFont="1" applyAlignment="1">
      <alignment horizontal="right"/>
    </xf>
    <xf numFmtId="185" fontId="8" fillId="0" borderId="0" xfId="3" applyNumberFormat="1"/>
    <xf numFmtId="0" fontId="25" fillId="0" borderId="0" xfId="3" applyFont="1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1" fillId="16" borderId="0" xfId="0" applyFont="1" applyFill="1" applyAlignment="1">
      <alignment horizontal="right" vertical="center" wrapText="1"/>
    </xf>
    <xf numFmtId="0" fontId="31" fillId="16" borderId="0" xfId="0" applyFont="1" applyFill="1" applyAlignment="1">
      <alignment horizontal="center" vertical="center" wrapText="1"/>
    </xf>
    <xf numFmtId="14" fontId="32" fillId="16" borderId="0" xfId="0" applyNumberFormat="1" applyFont="1" applyFill="1" applyAlignment="1">
      <alignment horizontal="right" vertical="center" wrapText="1"/>
    </xf>
    <xf numFmtId="0" fontId="32" fillId="16" borderId="0" xfId="0" applyFont="1" applyFill="1" applyAlignment="1">
      <alignment horizontal="right" vertical="center" wrapText="1"/>
    </xf>
    <xf numFmtId="9" fontId="0" fillId="0" borderId="0" xfId="4" applyFont="1"/>
    <xf numFmtId="186" fontId="0" fillId="0" borderId="0" xfId="4" applyNumberFormat="1" applyFont="1"/>
    <xf numFmtId="0" fontId="33" fillId="16" borderId="0" xfId="0" applyFont="1" applyFill="1" applyAlignment="1">
      <alignment horizontal="center" vertical="center"/>
    </xf>
    <xf numFmtId="0" fontId="33" fillId="16" borderId="62" xfId="0" applyFont="1" applyFill="1" applyBorder="1" applyAlignment="1">
      <alignment horizontal="right" vertical="center"/>
    </xf>
    <xf numFmtId="22" fontId="34" fillId="16" borderId="62" xfId="0" applyNumberFormat="1" applyFont="1" applyFill="1" applyBorder="1" applyAlignment="1">
      <alignment vertical="center" wrapText="1"/>
    </xf>
    <xf numFmtId="0" fontId="34" fillId="16" borderId="62" xfId="0" applyFont="1" applyFill="1" applyBorder="1" applyAlignment="1">
      <alignment horizontal="right" vertical="center"/>
    </xf>
    <xf numFmtId="187" fontId="0" fillId="0" borderId="0" xfId="0" applyNumberFormat="1"/>
    <xf numFmtId="0" fontId="33" fillId="0" borderId="0" xfId="0" applyFont="1" applyAlignment="1">
      <alignment horizontal="right" vertical="center"/>
    </xf>
    <xf numFmtId="22" fontId="34" fillId="0" borderId="0" xfId="0" applyNumberFormat="1" applyFont="1" applyAlignment="1">
      <alignment vertical="center" wrapText="1"/>
    </xf>
    <xf numFmtId="0" fontId="34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14" fontId="0" fillId="0" borderId="0" xfId="0" applyNumberFormat="1" applyAlignment="1">
      <alignment horizontal="right"/>
    </xf>
    <xf numFmtId="14" fontId="34" fillId="0" borderId="0" xfId="0" applyNumberFormat="1" applyFont="1" applyAlignment="1">
      <alignment horizontal="right" vertical="center"/>
    </xf>
    <xf numFmtId="22" fontId="34" fillId="0" borderId="0" xfId="0" applyNumberFormat="1" applyFont="1" applyAlignment="1">
      <alignment horizontal="right" vertical="center" wrapText="1"/>
    </xf>
    <xf numFmtId="0" fontId="8" fillId="0" borderId="0" xfId="3" applyAlignment="1">
      <alignment horizontal="left"/>
    </xf>
    <xf numFmtId="188" fontId="0" fillId="0" borderId="0" xfId="0" applyNumberFormat="1"/>
    <xf numFmtId="0" fontId="35" fillId="0" borderId="63" xfId="0" applyFont="1" applyBorder="1" applyAlignment="1">
      <alignment wrapText="1"/>
    </xf>
    <xf numFmtId="0" fontId="35" fillId="0" borderId="63" xfId="0" applyFont="1" applyBorder="1" applyAlignment="1">
      <alignment horizontal="right" wrapText="1"/>
    </xf>
    <xf numFmtId="14" fontId="35" fillId="0" borderId="63" xfId="0" applyNumberFormat="1" applyFont="1" applyBorder="1" applyAlignment="1">
      <alignment horizontal="right" wrapText="1"/>
    </xf>
    <xf numFmtId="185" fontId="16" fillId="8" borderId="1" xfId="2" applyNumberFormat="1" applyFont="1" applyAlignment="1">
      <alignment horizontal="right"/>
    </xf>
    <xf numFmtId="189" fontId="10" fillId="0" borderId="0" xfId="0" applyNumberFormat="1" applyFont="1" applyAlignment="1">
      <alignment horizontal="right"/>
    </xf>
    <xf numFmtId="177" fontId="36" fillId="0" borderId="0" xfId="0" applyNumberFormat="1" applyFont="1" applyAlignment="1">
      <alignment horizontal="left"/>
    </xf>
    <xf numFmtId="187" fontId="16" fillId="8" borderId="1" xfId="4" applyNumberFormat="1" applyFont="1" applyFill="1" applyBorder="1" applyAlignment="1">
      <alignment horizontal="right"/>
    </xf>
    <xf numFmtId="187" fontId="20" fillId="0" borderId="0" xfId="4" applyNumberFormat="1" applyFont="1" applyAlignment="1">
      <alignment horizontal="right"/>
    </xf>
    <xf numFmtId="187" fontId="8" fillId="0" borderId="0" xfId="4" applyNumberFormat="1" applyFont="1" applyAlignment="1">
      <alignment horizontal="right"/>
    </xf>
    <xf numFmtId="0" fontId="2" fillId="4" borderId="64" xfId="0" applyFont="1" applyFill="1" applyBorder="1" applyAlignment="1">
      <alignment horizontal="right"/>
    </xf>
    <xf numFmtId="3" fontId="20" fillId="0" borderId="0" xfId="0" applyNumberFormat="1" applyFont="1" applyAlignment="1">
      <alignment horizontal="right"/>
    </xf>
    <xf numFmtId="185" fontId="20" fillId="0" borderId="0" xfId="0" applyNumberFormat="1" applyFont="1" applyAlignment="1">
      <alignment horizontal="right"/>
    </xf>
    <xf numFmtId="0" fontId="37" fillId="0" borderId="0" xfId="3" applyFont="1" applyAlignment="1">
      <alignment horizontal="right"/>
    </xf>
    <xf numFmtId="0" fontId="38" fillId="17" borderId="65" xfId="0" applyFont="1" applyFill="1" applyBorder="1" applyAlignment="1">
      <alignment horizontal="left"/>
    </xf>
    <xf numFmtId="0" fontId="39" fillId="17" borderId="34" xfId="0" applyFont="1" applyFill="1" applyBorder="1" applyAlignment="1">
      <alignment horizontal="left"/>
    </xf>
    <xf numFmtId="0" fontId="39" fillId="17" borderId="66" xfId="0" applyFont="1" applyFill="1" applyBorder="1" applyAlignment="1">
      <alignment horizontal="left"/>
    </xf>
    <xf numFmtId="0" fontId="0" fillId="0" borderId="67" xfId="0" applyBorder="1"/>
    <xf numFmtId="0" fontId="0" fillId="0" borderId="68" xfId="0" applyBorder="1"/>
    <xf numFmtId="0" fontId="25" fillId="0" borderId="0" xfId="0" applyFont="1" applyAlignment="1">
      <alignment horizontal="centerContinuous"/>
    </xf>
    <xf numFmtId="0" fontId="25" fillId="0" borderId="28" xfId="0" applyFont="1" applyBorder="1" applyAlignment="1">
      <alignment horizontal="centerContinuous"/>
    </xf>
    <xf numFmtId="0" fontId="0" fillId="0" borderId="69" xfId="0" applyBorder="1" applyAlignment="1">
      <alignment horizontal="left"/>
    </xf>
    <xf numFmtId="190" fontId="40" fillId="0" borderId="33" xfId="0" applyNumberFormat="1" applyFont="1" applyBorder="1" applyAlignment="1">
      <alignment horizontal="center"/>
    </xf>
    <xf numFmtId="190" fontId="41" fillId="0" borderId="33" xfId="0" applyNumberFormat="1" applyFont="1" applyBorder="1" applyAlignment="1">
      <alignment horizontal="center"/>
    </xf>
    <xf numFmtId="0" fontId="0" fillId="0" borderId="67" xfId="0" applyBorder="1" applyAlignment="1">
      <alignment horizontal="left"/>
    </xf>
    <xf numFmtId="190" fontId="40" fillId="0" borderId="0" xfId="0" applyNumberFormat="1" applyFont="1" applyAlignment="1">
      <alignment horizontal="center"/>
    </xf>
    <xf numFmtId="190" fontId="41" fillId="0" borderId="0" xfId="0" applyNumberFormat="1" applyFont="1" applyAlignment="1">
      <alignment horizontal="center"/>
    </xf>
    <xf numFmtId="186" fontId="42" fillId="0" borderId="0" xfId="0" applyNumberFormat="1" applyFont="1"/>
    <xf numFmtId="186" fontId="43" fillId="0" borderId="0" xfId="0" applyNumberFormat="1" applyFont="1"/>
    <xf numFmtId="186" fontId="0" fillId="0" borderId="0" xfId="0" applyNumberFormat="1"/>
    <xf numFmtId="186" fontId="25" fillId="0" borderId="0" xfId="0" applyNumberFormat="1" applyFont="1"/>
    <xf numFmtId="185" fontId="0" fillId="0" borderId="0" xfId="0" applyNumberFormat="1"/>
    <xf numFmtId="185" fontId="25" fillId="0" borderId="0" xfId="0" applyNumberFormat="1" applyFont="1"/>
    <xf numFmtId="0" fontId="0" fillId="0" borderId="67" xfId="0" applyBorder="1" applyAlignment="1">
      <alignment horizontal="left" indent="1"/>
    </xf>
    <xf numFmtId="166" fontId="0" fillId="0" borderId="0" xfId="0" applyNumberFormat="1"/>
    <xf numFmtId="166" fontId="25" fillId="0" borderId="0" xfId="0" applyNumberFormat="1" applyFont="1"/>
    <xf numFmtId="0" fontId="0" fillId="0" borderId="69" xfId="0" applyBorder="1" applyAlignment="1">
      <alignment horizontal="left" indent="1"/>
    </xf>
    <xf numFmtId="166" fontId="0" fillId="0" borderId="28" xfId="0" applyNumberFormat="1" applyBorder="1"/>
    <xf numFmtId="166" fontId="25" fillId="0" borderId="28" xfId="0" applyNumberFormat="1" applyFont="1" applyBorder="1"/>
    <xf numFmtId="0" fontId="0" fillId="0" borderId="70" xfId="0" applyBorder="1"/>
    <xf numFmtId="191" fontId="15" fillId="8" borderId="1" xfId="0" applyNumberFormat="1" applyFont="1" applyFill="1" applyBorder="1" applyAlignment="1">
      <alignment horizontal="center"/>
    </xf>
    <xf numFmtId="186" fontId="10" fillId="0" borderId="0" xfId="4" applyNumberFormat="1" applyFont="1" applyAlignment="1">
      <alignment horizontal="right"/>
    </xf>
    <xf numFmtId="9" fontId="22" fillId="0" borderId="0" xfId="4" applyFont="1" applyAlignment="1">
      <alignment horizontal="right"/>
    </xf>
    <xf numFmtId="164" fontId="44" fillId="0" borderId="0" xfId="2" applyNumberFormat="1" applyFont="1" applyFill="1" applyBorder="1" applyAlignment="1">
      <alignment horizontal="right"/>
    </xf>
    <xf numFmtId="10" fontId="0" fillId="0" borderId="0" xfId="0" applyNumberFormat="1"/>
    <xf numFmtId="10" fontId="0" fillId="0" borderId="0" xfId="0" applyNumberFormat="1" applyAlignment="1">
      <alignment horizontal="left"/>
    </xf>
    <xf numFmtId="192" fontId="3" fillId="0" borderId="0" xfId="0" applyNumberFormat="1" applyFont="1" applyAlignment="1">
      <alignment horizontal="right"/>
    </xf>
    <xf numFmtId="3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182" fontId="8" fillId="0" borderId="0" xfId="0" applyNumberFormat="1" applyFont="1"/>
    <xf numFmtId="44" fontId="8" fillId="0" borderId="0" xfId="0" applyNumberFormat="1" applyFont="1"/>
    <xf numFmtId="43" fontId="8" fillId="0" borderId="0" xfId="0" applyNumberFormat="1" applyFont="1"/>
    <xf numFmtId="169" fontId="8" fillId="0" borderId="0" xfId="0" applyNumberFormat="1" applyFont="1"/>
    <xf numFmtId="9" fontId="20" fillId="0" borderId="0" xfId="4" applyFont="1" applyAlignment="1">
      <alignment horizontal="right"/>
    </xf>
    <xf numFmtId="178" fontId="22" fillId="0" borderId="0" xfId="0" applyNumberFormat="1" applyFont="1" applyAlignment="1">
      <alignment horizontal="right"/>
    </xf>
    <xf numFmtId="193" fontId="10" fillId="0" borderId="0" xfId="0" applyNumberFormat="1" applyFont="1" applyAlignment="1">
      <alignment horizontal="right"/>
    </xf>
    <xf numFmtId="194" fontId="16" fillId="8" borderId="1" xfId="2" applyNumberFormat="1" applyFont="1" applyAlignment="1">
      <alignment horizontal="right"/>
    </xf>
    <xf numFmtId="195" fontId="44" fillId="8" borderId="1" xfId="2" applyNumberFormat="1" applyFont="1" applyAlignment="1">
      <alignment horizontal="right"/>
    </xf>
    <xf numFmtId="184" fontId="8" fillId="0" borderId="0" xfId="0" applyNumberFormat="1" applyFont="1"/>
    <xf numFmtId="196" fontId="20" fillId="0" borderId="0" xfId="0" applyNumberFormat="1" applyFont="1" applyAlignment="1">
      <alignment horizontal="right"/>
    </xf>
    <xf numFmtId="182" fontId="44" fillId="8" borderId="1" xfId="2" applyNumberFormat="1" applyFont="1" applyAlignment="1">
      <alignment horizontal="right"/>
    </xf>
    <xf numFmtId="3" fontId="8" fillId="0" borderId="0" xfId="0" applyNumberFormat="1" applyFont="1"/>
    <xf numFmtId="4" fontId="8" fillId="0" borderId="0" xfId="0" applyNumberFormat="1" applyFont="1"/>
    <xf numFmtId="10" fontId="0" fillId="0" borderId="0" xfId="4" applyNumberFormat="1" applyFont="1" applyAlignment="1">
      <alignment horizontal="left"/>
    </xf>
    <xf numFmtId="10" fontId="45" fillId="0" borderId="0" xfId="4" applyNumberFormat="1" applyFont="1" applyAlignment="1">
      <alignment horizontal="right"/>
    </xf>
    <xf numFmtId="0" fontId="3" fillId="18" borderId="34" xfId="0" applyFont="1" applyFill="1" applyBorder="1"/>
    <xf numFmtId="4" fontId="3" fillId="18" borderId="34" xfId="0" applyNumberFormat="1" applyFont="1" applyFill="1" applyBorder="1"/>
    <xf numFmtId="197" fontId="10" fillId="0" borderId="0" xfId="0" applyNumberFormat="1" applyFont="1" applyAlignment="1">
      <alignment horizontal="right"/>
    </xf>
    <xf numFmtId="198" fontId="10" fillId="0" borderId="0" xfId="4" applyNumberFormat="1" applyFont="1" applyAlignment="1">
      <alignment horizontal="right"/>
    </xf>
    <xf numFmtId="198" fontId="45" fillId="0" borderId="0" xfId="4" applyNumberFormat="1" applyFont="1" applyAlignment="1">
      <alignment horizontal="right"/>
    </xf>
    <xf numFmtId="186" fontId="46" fillId="0" borderId="0" xfId="0" applyNumberFormat="1" applyFont="1" applyAlignment="1">
      <alignment horizontal="right"/>
    </xf>
    <xf numFmtId="0" fontId="25" fillId="18" borderId="33" xfId="3" applyFont="1" applyFill="1" applyBorder="1"/>
    <xf numFmtId="4" fontId="3" fillId="18" borderId="33" xfId="0" applyNumberFormat="1" applyFont="1" applyFill="1" applyBorder="1"/>
    <xf numFmtId="0" fontId="3" fillId="18" borderId="33" xfId="0" applyFont="1" applyFill="1" applyBorder="1"/>
    <xf numFmtId="199" fontId="16" fillId="8" borderId="1" xfId="2" applyNumberFormat="1" applyFont="1" applyAlignment="1">
      <alignment horizontal="right"/>
    </xf>
    <xf numFmtId="10" fontId="3" fillId="0" borderId="0" xfId="0" applyNumberFormat="1" applyFont="1" applyAlignment="1">
      <alignment horizontal="left"/>
    </xf>
    <xf numFmtId="0" fontId="24" fillId="0" borderId="0" xfId="0" applyFont="1" applyAlignment="1">
      <alignment horizontal="center"/>
    </xf>
    <xf numFmtId="181" fontId="12" fillId="0" borderId="0" xfId="0" applyNumberFormat="1" applyFont="1" applyAlignment="1">
      <alignment horizontal="right"/>
    </xf>
    <xf numFmtId="6" fontId="8" fillId="0" borderId="0" xfId="0" applyNumberFormat="1" applyFont="1"/>
    <xf numFmtId="6" fontId="25" fillId="0" borderId="0" xfId="0" applyNumberFormat="1" applyFont="1"/>
    <xf numFmtId="0" fontId="25" fillId="0" borderId="0" xfId="0" applyFont="1"/>
    <xf numFmtId="0" fontId="25" fillId="0" borderId="0" xfId="0" applyFont="1" applyAlignment="1">
      <alignment horizontal="left"/>
    </xf>
    <xf numFmtId="6" fontId="25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6" fontId="8" fillId="0" borderId="0" xfId="0" applyNumberFormat="1" applyFont="1" applyAlignment="1">
      <alignment horizontal="left"/>
    </xf>
    <xf numFmtId="200" fontId="16" fillId="8" borderId="1" xfId="2" applyNumberFormat="1" applyFont="1" applyAlignment="1">
      <alignment horizontal="right"/>
    </xf>
    <xf numFmtId="164" fontId="47" fillId="8" borderId="1" xfId="2" applyNumberFormat="1" applyFont="1" applyAlignment="1">
      <alignment horizontal="right"/>
    </xf>
    <xf numFmtId="199" fontId="47" fillId="8" borderId="1" xfId="2" applyNumberFormat="1" applyFont="1" applyAlignment="1">
      <alignment horizontal="right"/>
    </xf>
    <xf numFmtId="43" fontId="20" fillId="0" borderId="0" xfId="0" applyNumberFormat="1" applyFont="1" applyAlignment="1">
      <alignment horizontal="right"/>
    </xf>
    <xf numFmtId="201" fontId="20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5" fillId="0" borderId="71" xfId="0" applyFont="1" applyBorder="1" applyAlignment="1">
      <alignment horizontal="center"/>
    </xf>
    <xf numFmtId="164" fontId="48" fillId="0" borderId="71" xfId="2" applyNumberFormat="1" applyFont="1" applyFill="1" applyBorder="1" applyAlignment="1">
      <alignment horizontal="center"/>
    </xf>
    <xf numFmtId="4" fontId="3" fillId="0" borderId="0" xfId="0" applyNumberFormat="1" applyFont="1"/>
    <xf numFmtId="173" fontId="16" fillId="8" borderId="1" xfId="4" applyNumberFormat="1" applyFont="1" applyFill="1" applyBorder="1" applyAlignment="1">
      <alignment horizontal="right"/>
    </xf>
    <xf numFmtId="4" fontId="49" fillId="3" borderId="9" xfId="0" applyNumberFormat="1" applyFont="1" applyFill="1" applyBorder="1" applyAlignment="1">
      <alignment horizontal="right" indent="1"/>
    </xf>
    <xf numFmtId="4" fontId="49" fillId="12" borderId="8" xfId="0" applyNumberFormat="1" applyFont="1" applyFill="1" applyBorder="1" applyAlignment="1">
      <alignment horizontal="right"/>
    </xf>
    <xf numFmtId="4" fontId="49" fillId="3" borderId="10" xfId="0" applyNumberFormat="1" applyFont="1" applyFill="1" applyBorder="1" applyAlignment="1">
      <alignment horizontal="right"/>
    </xf>
    <xf numFmtId="4" fontId="49" fillId="3" borderId="9" xfId="0" applyNumberFormat="1" applyFont="1" applyFill="1" applyBorder="1" applyAlignment="1">
      <alignment horizontal="right"/>
    </xf>
    <xf numFmtId="4" fontId="49" fillId="3" borderId="8" xfId="0" applyNumberFormat="1" applyFont="1" applyFill="1" applyBorder="1" applyAlignment="1">
      <alignment horizontal="right"/>
    </xf>
    <xf numFmtId="4" fontId="49" fillId="3" borderId="40" xfId="0" applyNumberFormat="1" applyFont="1" applyFill="1" applyBorder="1" applyAlignment="1">
      <alignment horizontal="right"/>
    </xf>
    <xf numFmtId="169" fontId="20" fillId="0" borderId="72" xfId="0" applyNumberFormat="1" applyFont="1" applyBorder="1" applyAlignment="1">
      <alignment horizontal="right"/>
    </xf>
    <xf numFmtId="4" fontId="0" fillId="20" borderId="9" xfId="0" applyNumberFormat="1" applyFill="1" applyBorder="1" applyAlignment="1">
      <alignment horizontal="right"/>
    </xf>
    <xf numFmtId="4" fontId="0" fillId="19" borderId="9" xfId="0" applyNumberFormat="1" applyFill="1" applyBorder="1" applyAlignment="1">
      <alignment horizontal="right"/>
    </xf>
    <xf numFmtId="4" fontId="0" fillId="12" borderId="41" xfId="0" applyNumberFormat="1" applyFill="1" applyBorder="1" applyAlignment="1">
      <alignment horizontal="right"/>
    </xf>
    <xf numFmtId="44" fontId="20" fillId="0" borderId="0" xfId="0" applyNumberFormat="1" applyFont="1" applyAlignment="1">
      <alignment horizontal="right"/>
    </xf>
    <xf numFmtId="43" fontId="0" fillId="0" borderId="0" xfId="0" applyNumberFormat="1"/>
    <xf numFmtId="4" fontId="0" fillId="20" borderId="10" xfId="0" applyNumberFormat="1" applyFill="1" applyBorder="1" applyAlignment="1">
      <alignment horizontal="right"/>
    </xf>
    <xf numFmtId="4" fontId="0" fillId="19" borderId="10" xfId="0" applyNumberFormat="1" applyFill="1" applyBorder="1" applyAlignment="1">
      <alignment horizontal="right"/>
    </xf>
    <xf numFmtId="4" fontId="50" fillId="3" borderId="9" xfId="0" applyNumberFormat="1" applyFont="1" applyFill="1" applyBorder="1" applyAlignment="1">
      <alignment horizontal="right" indent="1"/>
    </xf>
    <xf numFmtId="4" fontId="0" fillId="19" borderId="9" xfId="0" applyNumberFormat="1" applyFill="1" applyBorder="1" applyAlignment="1">
      <alignment horizontal="right" indent="1"/>
    </xf>
    <xf numFmtId="4" fontId="0" fillId="20" borderId="9" xfId="0" applyNumberFormat="1" applyFill="1" applyBorder="1" applyAlignment="1">
      <alignment horizontal="right" indent="1"/>
    </xf>
    <xf numFmtId="0" fontId="51" fillId="0" borderId="0" xfId="0" applyFont="1" applyAlignment="1">
      <alignment horizontal="right"/>
    </xf>
    <xf numFmtId="4" fontId="3" fillId="0" borderId="3" xfId="0" applyNumberFormat="1" applyFont="1" applyBorder="1" applyAlignment="1">
      <alignment horizontal="right"/>
    </xf>
    <xf numFmtId="44" fontId="3" fillId="0" borderId="34" xfId="0" applyNumberFormat="1" applyFont="1" applyBorder="1"/>
    <xf numFmtId="186" fontId="10" fillId="0" borderId="0" xfId="4" applyNumberFormat="1" applyFont="1" applyBorder="1" applyAlignment="1">
      <alignment horizontal="right"/>
    </xf>
    <xf numFmtId="9" fontId="22" fillId="0" borderId="0" xfId="4" applyFont="1" applyBorder="1" applyAlignment="1">
      <alignment horizontal="right"/>
    </xf>
    <xf numFmtId="10" fontId="45" fillId="0" borderId="0" xfId="4" applyNumberFormat="1" applyFont="1" applyBorder="1" applyAlignment="1">
      <alignment horizontal="right"/>
    </xf>
    <xf numFmtId="173" fontId="10" fillId="0" borderId="0" xfId="0" applyNumberFormat="1" applyFont="1" applyAlignment="1">
      <alignment horizontal="right"/>
    </xf>
    <xf numFmtId="173" fontId="16" fillId="8" borderId="1" xfId="2" applyNumberFormat="1" applyFont="1" applyAlignment="1">
      <alignment horizontal="right"/>
    </xf>
    <xf numFmtId="202" fontId="20" fillId="0" borderId="0" xfId="0" applyNumberFormat="1" applyFont="1" applyAlignment="1">
      <alignment horizontal="right"/>
    </xf>
    <xf numFmtId="198" fontId="10" fillId="0" borderId="0" xfId="4" applyNumberFormat="1" applyFont="1" applyAlignment="1"/>
    <xf numFmtId="169" fontId="16" fillId="8" borderId="1" xfId="2" applyNumberFormat="1" applyFont="1" applyAlignment="1">
      <alignment horizontal="right"/>
    </xf>
    <xf numFmtId="0" fontId="52" fillId="0" borderId="0" xfId="0" applyFont="1"/>
    <xf numFmtId="203" fontId="13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18" fillId="10" borderId="0" xfId="0" applyFont="1" applyFill="1" applyAlignment="1">
      <alignment horizontal="center"/>
    </xf>
    <xf numFmtId="8" fontId="13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right"/>
    </xf>
    <xf numFmtId="164" fontId="10" fillId="0" borderId="0" xfId="4" applyNumberFormat="1" applyFont="1" applyAlignment="1">
      <alignment horizontal="right"/>
    </xf>
    <xf numFmtId="164" fontId="10" fillId="0" borderId="0" xfId="4" applyNumberFormat="1" applyFont="1" applyBorder="1" applyAlignment="1">
      <alignment horizontal="right"/>
    </xf>
    <xf numFmtId="177" fontId="10" fillId="0" borderId="0" xfId="0" applyNumberFormat="1" applyFont="1"/>
    <xf numFmtId="204" fontId="10" fillId="0" borderId="0" xfId="0" applyNumberFormat="1" applyFont="1" applyAlignment="1">
      <alignment horizontal="right"/>
    </xf>
    <xf numFmtId="205" fontId="10" fillId="0" borderId="0" xfId="0" applyNumberFormat="1" applyFont="1" applyAlignment="1">
      <alignment horizontal="right"/>
    </xf>
    <xf numFmtId="206" fontId="10" fillId="0" borderId="0" xfId="0" applyNumberFormat="1" applyFont="1" applyAlignment="1">
      <alignment horizontal="right"/>
    </xf>
    <xf numFmtId="207" fontId="10" fillId="0" borderId="0" xfId="0" applyNumberFormat="1" applyFont="1" applyAlignment="1">
      <alignment horizontal="right"/>
    </xf>
    <xf numFmtId="0" fontId="29" fillId="0" borderId="0" xfId="0" applyFont="1" applyAlignment="1">
      <alignment horizontal="center"/>
    </xf>
    <xf numFmtId="1" fontId="10" fillId="0" borderId="0" xfId="0" applyNumberFormat="1" applyFont="1" applyAlignment="1">
      <alignment horizontal="right"/>
    </xf>
    <xf numFmtId="178" fontId="22" fillId="0" borderId="34" xfId="0" applyNumberFormat="1" applyFont="1" applyBorder="1" applyAlignment="1">
      <alignment horizontal="right"/>
    </xf>
    <xf numFmtId="0" fontId="15" fillId="8" borderId="38" xfId="2" applyFont="1" applyBorder="1" applyAlignment="1">
      <alignment horizontal="center"/>
    </xf>
    <xf numFmtId="0" fontId="15" fillId="8" borderId="29" xfId="2" applyFont="1" applyBorder="1" applyAlignment="1">
      <alignment horizontal="center"/>
    </xf>
    <xf numFmtId="0" fontId="11" fillId="10" borderId="30" xfId="0" applyFont="1" applyFill="1" applyBorder="1" applyAlignment="1">
      <alignment horizontal="center"/>
    </xf>
    <xf numFmtId="0" fontId="11" fillId="10" borderId="31" xfId="0" applyFont="1" applyFill="1" applyBorder="1" applyAlignment="1">
      <alignment horizontal="center"/>
    </xf>
    <xf numFmtId="0" fontId="15" fillId="8" borderId="38" xfId="2" applyFont="1" applyBorder="1" applyAlignment="1">
      <alignment horizontal="center"/>
    </xf>
    <xf numFmtId="0" fontId="15" fillId="8" borderId="37" xfId="2" applyFont="1" applyBorder="1" applyAlignment="1">
      <alignment horizontal="center"/>
    </xf>
    <xf numFmtId="168" fontId="11" fillId="10" borderId="73" xfId="0" applyNumberFormat="1" applyFont="1" applyFill="1" applyBorder="1" applyAlignment="1">
      <alignment horizontal="center" vertical="center"/>
    </xf>
    <xf numFmtId="0" fontId="28" fillId="0" borderId="52" xfId="3" applyFont="1" applyBorder="1" applyAlignment="1">
      <alignment horizontal="center"/>
    </xf>
    <xf numFmtId="0" fontId="28" fillId="0" borderId="53" xfId="3" applyFont="1" applyBorder="1" applyAlignment="1">
      <alignment horizontal="center"/>
    </xf>
    <xf numFmtId="0" fontId="28" fillId="0" borderId="54" xfId="3" applyFont="1" applyBorder="1" applyAlignment="1">
      <alignment horizontal="center"/>
    </xf>
    <xf numFmtId="0" fontId="8" fillId="0" borderId="46" xfId="3" applyBorder="1" applyAlignment="1">
      <alignment vertical="center" wrapText="1"/>
    </xf>
    <xf numFmtId="0" fontId="8" fillId="0" borderId="46" xfId="3" applyBorder="1" applyAlignment="1">
      <alignment horizontal="left"/>
    </xf>
    <xf numFmtId="0" fontId="8" fillId="0" borderId="42" xfId="3" applyBorder="1" applyAlignment="1">
      <alignment horizontal="left"/>
    </xf>
    <xf numFmtId="0" fontId="26" fillId="0" borderId="43" xfId="0" applyFont="1" applyBorder="1" applyAlignment="1">
      <alignment horizontal="center"/>
    </xf>
    <xf numFmtId="0" fontId="26" fillId="0" borderId="44" xfId="0" applyFont="1" applyBorder="1" applyAlignment="1">
      <alignment horizontal="center"/>
    </xf>
    <xf numFmtId="0" fontId="26" fillId="0" borderId="45" xfId="0" applyFont="1" applyBorder="1" applyAlignment="1">
      <alignment horizontal="center"/>
    </xf>
    <xf numFmtId="0" fontId="27" fillId="6" borderId="46" xfId="3" applyFont="1" applyFill="1" applyBorder="1" applyAlignment="1">
      <alignment horizontal="left"/>
    </xf>
    <xf numFmtId="0" fontId="27" fillId="6" borderId="42" xfId="3" applyFont="1" applyFill="1" applyBorder="1" applyAlignment="1">
      <alignment horizontal="left"/>
    </xf>
    <xf numFmtId="0" fontId="8" fillId="14" borderId="46" xfId="3" applyFill="1" applyBorder="1" applyAlignment="1">
      <alignment horizontal="left"/>
    </xf>
    <xf numFmtId="0" fontId="8" fillId="14" borderId="42" xfId="3" applyFill="1" applyBorder="1" applyAlignment="1">
      <alignment horizontal="left"/>
    </xf>
    <xf numFmtId="0" fontId="8" fillId="14" borderId="46" xfId="3" applyFill="1" applyBorder="1" applyAlignment="1">
      <alignment horizontal="left" wrapText="1"/>
    </xf>
  </cellXfs>
  <cellStyles count="6">
    <cellStyle name="Comma" xfId="1" builtinId="3"/>
    <cellStyle name="Normal" xfId="0" builtinId="0"/>
    <cellStyle name="Normal 2" xfId="3" xr:uid="{393FF061-16CE-43E2-88B7-E0EBB907D6DC}"/>
    <cellStyle name="Note 2" xfId="2" xr:uid="{5A2B7AB5-9CC8-4016-8212-5A013D467BF0}"/>
    <cellStyle name="Percent" xfId="4" builtinId="5"/>
    <cellStyle name="Percent 2" xfId="5" xr:uid="{DF01E291-9933-46AD-AD44-18246D2A1F20}"/>
  </cellStyles>
  <dxfs count="4">
    <dxf>
      <font>
        <b val="0"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FF66"/>
      <color rgb="FF9EE0F4"/>
      <color rgb="FF1F4E78"/>
      <color rgb="FF3333FF"/>
      <color rgb="FF78BDE8"/>
      <color rgb="FF0ADC0F"/>
      <color rgb="FF7AADDC"/>
      <color rgb="FF79EC66"/>
      <color rgb="FF5A9AD4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Cash Flow Statement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'3-FInancial Statements'!$C$214:$D$214</c:f>
              <c:strCache>
                <c:ptCount val="2"/>
                <c:pt idx="0">
                  <c:v>Net Cash Flow from Operations:</c:v>
                </c:pt>
                <c:pt idx="1">
                  <c:v>₹ M</c:v>
                </c:pt>
              </c:strCache>
            </c:strRef>
          </c:tx>
          <c:spPr>
            <a:solidFill>
              <a:srgbClr val="1F4E78"/>
            </a:solidFill>
            <a:ln>
              <a:noFill/>
            </a:ln>
            <a:effectLst/>
          </c:spPr>
          <c:invertIfNegative val="0"/>
          <c:cat>
            <c:numRef>
              <c:f>'3-FInancial Statements'!$E$241:$P$241</c:f>
              <c:numCache>
                <c:formatCode>"FY"yy</c:formatCode>
                <c:ptCount val="12"/>
                <c:pt idx="0">
                  <c:v>42825</c:v>
                </c:pt>
                <c:pt idx="1">
                  <c:v>43190</c:v>
                </c:pt>
                <c:pt idx="2">
                  <c:v>43555</c:v>
                </c:pt>
                <c:pt idx="3">
                  <c:v>43921</c:v>
                </c:pt>
                <c:pt idx="4">
                  <c:v>44286</c:v>
                </c:pt>
                <c:pt idx="5">
                  <c:v>44651</c:v>
                </c:pt>
                <c:pt idx="6">
                  <c:v>45016</c:v>
                </c:pt>
                <c:pt idx="7">
                  <c:v>45382</c:v>
                </c:pt>
                <c:pt idx="8">
                  <c:v>45747</c:v>
                </c:pt>
                <c:pt idx="9">
                  <c:v>46112</c:v>
                </c:pt>
                <c:pt idx="10">
                  <c:v>46477</c:v>
                </c:pt>
                <c:pt idx="11">
                  <c:v>46843</c:v>
                </c:pt>
              </c:numCache>
            </c:numRef>
          </c:cat>
          <c:val>
            <c:numRef>
              <c:f>'3-FInancial Statements'!$E$214:$P$214</c:f>
              <c:numCache>
                <c:formatCode>_(* #,##0.0_);_(* \(#,##0.0\);_(* "-"?_);_(@_)</c:formatCode>
                <c:ptCount val="12"/>
                <c:pt idx="0">
                  <c:v>38657.820000000007</c:v>
                </c:pt>
                <c:pt idx="1">
                  <c:v>38290.659999999996</c:v>
                </c:pt>
                <c:pt idx="2">
                  <c:v>30809.670000000006</c:v>
                </c:pt>
                <c:pt idx="3">
                  <c:v>69645.100000000006</c:v>
                </c:pt>
                <c:pt idx="4">
                  <c:v>-16268.890000000021</c:v>
                </c:pt>
                <c:pt idx="5">
                  <c:v>20515.720000000038</c:v>
                </c:pt>
                <c:pt idx="6">
                  <c:v>126978.71999999999</c:v>
                </c:pt>
                <c:pt idx="7">
                  <c:v>211619.14999999997</c:v>
                </c:pt>
                <c:pt idx="8">
                  <c:v>209636.55003525474</c:v>
                </c:pt>
                <c:pt idx="9">
                  <c:v>224159.75906250754</c:v>
                </c:pt>
                <c:pt idx="10">
                  <c:v>211788.53618865725</c:v>
                </c:pt>
                <c:pt idx="11">
                  <c:v>273991.05700488365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2-4342-9257-7B2D8751967F}"/>
            </c:ext>
          </c:extLst>
        </c:ser>
        <c:ser>
          <c:idx val="1"/>
          <c:order val="1"/>
          <c:tx>
            <c:strRef>
              <c:f>'3-FInancial Statements'!$C$221:$D$221</c:f>
              <c:strCache>
                <c:ptCount val="2"/>
                <c:pt idx="0">
                  <c:v>Net Cash Flow from Investing:</c:v>
                </c:pt>
                <c:pt idx="1">
                  <c:v>₹ 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'3-FInancial Statements'!$E$241:$P$241</c:f>
              <c:numCache>
                <c:formatCode>"FY"yy</c:formatCode>
                <c:ptCount val="12"/>
                <c:pt idx="0">
                  <c:v>42825</c:v>
                </c:pt>
                <c:pt idx="1">
                  <c:v>43190</c:v>
                </c:pt>
                <c:pt idx="2">
                  <c:v>43555</c:v>
                </c:pt>
                <c:pt idx="3">
                  <c:v>43921</c:v>
                </c:pt>
                <c:pt idx="4">
                  <c:v>44286</c:v>
                </c:pt>
                <c:pt idx="5">
                  <c:v>44651</c:v>
                </c:pt>
                <c:pt idx="6">
                  <c:v>45016</c:v>
                </c:pt>
                <c:pt idx="7">
                  <c:v>45382</c:v>
                </c:pt>
                <c:pt idx="8">
                  <c:v>45747</c:v>
                </c:pt>
                <c:pt idx="9">
                  <c:v>46112</c:v>
                </c:pt>
                <c:pt idx="10">
                  <c:v>46477</c:v>
                </c:pt>
                <c:pt idx="11">
                  <c:v>46843</c:v>
                </c:pt>
              </c:numCache>
            </c:numRef>
          </c:cat>
          <c:val>
            <c:numRef>
              <c:f>'3-FInancial Statements'!$E$221:$P$221</c:f>
              <c:numCache>
                <c:formatCode>_(* #,##0.0_);_(* \(#,##0.0\);_(* "-"?_);_(@_)</c:formatCode>
                <c:ptCount val="12"/>
                <c:pt idx="0">
                  <c:v>-30378.570000000011</c:v>
                </c:pt>
                <c:pt idx="1">
                  <c:v>-41597.759999999995</c:v>
                </c:pt>
                <c:pt idx="2">
                  <c:v>-25414.58</c:v>
                </c:pt>
                <c:pt idx="3">
                  <c:v>-45947.360000000015</c:v>
                </c:pt>
                <c:pt idx="4">
                  <c:v>31805.690000000021</c:v>
                </c:pt>
                <c:pt idx="5">
                  <c:v>14957.859999999962</c:v>
                </c:pt>
                <c:pt idx="6">
                  <c:v>-40638.779999999984</c:v>
                </c:pt>
                <c:pt idx="7">
                  <c:v>-118140.92999999996</c:v>
                </c:pt>
                <c:pt idx="8">
                  <c:v>-76998.788872377947</c:v>
                </c:pt>
                <c:pt idx="9">
                  <c:v>-88719.918908688167</c:v>
                </c:pt>
                <c:pt idx="10">
                  <c:v>-97867.934303167014</c:v>
                </c:pt>
                <c:pt idx="11">
                  <c:v>-95960.197179073148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E2-4342-9257-7B2D8751967F}"/>
            </c:ext>
          </c:extLst>
        </c:ser>
        <c:ser>
          <c:idx val="2"/>
          <c:order val="2"/>
          <c:tx>
            <c:strRef>
              <c:f>'3-FInancial Statements'!$C$230:$D$230</c:f>
              <c:strCache>
                <c:ptCount val="2"/>
                <c:pt idx="0">
                  <c:v>Net Cash Flow from Financing:</c:v>
                </c:pt>
                <c:pt idx="1">
                  <c:v>₹ 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'3-FInancial Statements'!$E$241:$P$241</c:f>
              <c:numCache>
                <c:formatCode>"FY"yy</c:formatCode>
                <c:ptCount val="12"/>
                <c:pt idx="0">
                  <c:v>42825</c:v>
                </c:pt>
                <c:pt idx="1">
                  <c:v>43190</c:v>
                </c:pt>
                <c:pt idx="2">
                  <c:v>43555</c:v>
                </c:pt>
                <c:pt idx="3">
                  <c:v>43921</c:v>
                </c:pt>
                <c:pt idx="4">
                  <c:v>44286</c:v>
                </c:pt>
                <c:pt idx="5">
                  <c:v>44651</c:v>
                </c:pt>
                <c:pt idx="6">
                  <c:v>45016</c:v>
                </c:pt>
                <c:pt idx="7">
                  <c:v>45382</c:v>
                </c:pt>
                <c:pt idx="8">
                  <c:v>45747</c:v>
                </c:pt>
                <c:pt idx="9">
                  <c:v>46112</c:v>
                </c:pt>
                <c:pt idx="10">
                  <c:v>46477</c:v>
                </c:pt>
                <c:pt idx="11">
                  <c:v>46843</c:v>
                </c:pt>
              </c:numCache>
            </c:numRef>
          </c:cat>
          <c:val>
            <c:numRef>
              <c:f>'3-FInancial Statements'!$E$230:$P$230</c:f>
              <c:numCache>
                <c:formatCode>_(* #,##0.0_);_(* \(#,##0.0\);_(* "-"?_);_(@_)</c:formatCode>
                <c:ptCount val="12"/>
                <c:pt idx="0">
                  <c:v>-13364.5</c:v>
                </c:pt>
                <c:pt idx="1">
                  <c:v>8402.16</c:v>
                </c:pt>
                <c:pt idx="2">
                  <c:v>-4921.7700000000004</c:v>
                </c:pt>
                <c:pt idx="3">
                  <c:v>-23734.739999999998</c:v>
                </c:pt>
                <c:pt idx="4">
                  <c:v>-17461.329999999998</c:v>
                </c:pt>
                <c:pt idx="5">
                  <c:v>-30421.709999999995</c:v>
                </c:pt>
                <c:pt idx="6">
                  <c:v>-83980.03</c:v>
                </c:pt>
                <c:pt idx="7">
                  <c:v>-99177.67</c:v>
                </c:pt>
                <c:pt idx="8">
                  <c:v>-109876.66956291752</c:v>
                </c:pt>
                <c:pt idx="9">
                  <c:v>-125133.92461579028</c:v>
                </c:pt>
                <c:pt idx="10">
                  <c:v>-134949.39432605269</c:v>
                </c:pt>
                <c:pt idx="11">
                  <c:v>-149618.65782641264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E2-4342-9257-7B2D87519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67950960"/>
        <c:axId val="167939920"/>
      </c:barChart>
      <c:lineChart>
        <c:grouping val="standard"/>
        <c:varyColors val="0"/>
        <c:ser>
          <c:idx val="3"/>
          <c:order val="3"/>
          <c:tx>
            <c:strRef>
              <c:f>'3-FInancial Statements'!$C$236:$D$236</c:f>
              <c:strCache>
                <c:ptCount val="2"/>
                <c:pt idx="0">
                  <c:v>Ending Cash:</c:v>
                </c:pt>
                <c:pt idx="1">
                  <c:v>₹ M</c:v>
                </c:pt>
              </c:strCache>
            </c:strRef>
          </c:tx>
          <c:spPr>
            <a:ln w="317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75000"/>
                </a:schemeClr>
              </a:solidFill>
              <a:ln w="12700">
                <a:solidFill>
                  <a:schemeClr val="bg1"/>
                </a:solidFill>
                <a:round/>
              </a:ln>
              <a:effectLst/>
            </c:spPr>
          </c:marker>
          <c:val>
            <c:numRef>
              <c:f>'3-FInancial Statements'!$E$236:$P$236</c:f>
              <c:numCache>
                <c:formatCode>_-[$₹-820]* #,##0.0_-;[$₹-820]* \(#,##0.0\)_-;_-[$₹-820]* "-"?_-;_-@_-</c:formatCode>
                <c:ptCount val="12"/>
                <c:pt idx="0">
                  <c:v>1531.189999999996</c:v>
                </c:pt>
                <c:pt idx="1">
                  <c:v>6707.1799999999976</c:v>
                </c:pt>
                <c:pt idx="2">
                  <c:v>7284.170000000001</c:v>
                </c:pt>
                <c:pt idx="3">
                  <c:v>7190.6599999999935</c:v>
                </c:pt>
                <c:pt idx="4">
                  <c:v>5088.8499999999949</c:v>
                </c:pt>
                <c:pt idx="5">
                  <c:v>10153.290000000001</c:v>
                </c:pt>
                <c:pt idx="6">
                  <c:v>12679.690000000004</c:v>
                </c:pt>
                <c:pt idx="7">
                  <c:v>6952.7700000000068</c:v>
                </c:pt>
                <c:pt idx="8">
                  <c:v>29895.58120096377</c:v>
                </c:pt>
                <c:pt idx="9">
                  <c:v>40449.066797908941</c:v>
                </c:pt>
                <c:pt idx="10">
                  <c:v>19633.56540257013</c:v>
                </c:pt>
                <c:pt idx="11">
                  <c:v>48099.790618208121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E2-4342-9257-7B2D87519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50960"/>
        <c:axId val="167939920"/>
      </c:lineChart>
      <c:dateAx>
        <c:axId val="167950960"/>
        <c:scaling>
          <c:orientation val="minMax"/>
        </c:scaling>
        <c:delete val="0"/>
        <c:axPos val="b"/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numFmt formatCode="&quot;FY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39920"/>
        <c:crosses val="autoZero"/>
        <c:auto val="1"/>
        <c:lblOffset val="100"/>
        <c:baseTimeUnit val="years"/>
      </c:dateAx>
      <c:valAx>
        <c:axId val="167939920"/>
        <c:scaling>
          <c:orientation val="minMax"/>
        </c:scaling>
        <c:delete val="0"/>
        <c:axPos val="l"/>
        <c:numFmt formatCode="_(* #,##0.0_);_(* \(#,##0.0\);_(* &quot;-&quot;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5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124598</xdr:colOff>
      <xdr:row>285</xdr:row>
      <xdr:rowOff>42930</xdr:rowOff>
    </xdr:from>
    <xdr:to>
      <xdr:col>10</xdr:col>
      <xdr:colOff>837127</xdr:colOff>
      <xdr:row>318</xdr:row>
      <xdr:rowOff>96591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8BE595-2B10-9D7F-7CB7-6E722F2D9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ANDEEP%20VERMA\Desktop\DATA\FORM%20A\FORM%20A(CALENDAR%20YEAR)\Calendar%202016\Monthlyupload20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wnloads\Valex_Model_July%202014%20v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ianceair16"/>
      <sheetName val="airindiaexpress16"/>
      <sheetName val="airindia16"/>
      <sheetName val="airasia16"/>
      <sheetName val="aircosta16"/>
      <sheetName val="airpegasus16"/>
      <sheetName val="quikjetcargo16"/>
      <sheetName val="bluedart16"/>
      <sheetName val="goair16"/>
      <sheetName val="indigo16"/>
      <sheetName val="jetairways16"/>
      <sheetName val="jetlite16"/>
      <sheetName val="spicejet16"/>
      <sheetName val="vistara16"/>
      <sheetName val="aircarnival16"/>
      <sheetName val="trujet16"/>
      <sheetName val="totaldom16"/>
      <sheetName val="totalint16"/>
      <sheetName val="COMPARI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Consol"/>
      <sheetName val="Model"/>
      <sheetName val="직급별,연도별급여"/>
      <sheetName val="Cost"/>
      <sheetName val="PF BS"/>
      <sheetName val="Revenue"/>
      <sheetName val="1H14yoy"/>
      <sheetName val="_CIQHiddenCacheSheet"/>
      <sheetName val="IRR"/>
      <sheetName val="Notes"/>
      <sheetName val="PF_Balance Sheet"/>
      <sheetName val="Calc"/>
      <sheetName val="DCF"/>
      <sheetName val="WACC"/>
      <sheetName val="&gt;&gt;Comps"/>
      <sheetName val="Football Field"/>
      <sheetName val="Trading"/>
      <sheetName val="Transaction"/>
      <sheetName val="Description"/>
      <sheetName val="&gt;&gt;DART"/>
      <sheetName val="Summary"/>
      <sheetName val="BS_Valex"/>
      <sheetName val="IS_Valex"/>
      <sheetName val="CFS_Valex"/>
      <sheetName val="&gt;&gt;Q&amp;A"/>
      <sheetName val="발렉스코리아"/>
      <sheetName val="Additional"/>
      <sheetName val="&gt;&gt;Data"/>
      <sheetName val="IS-Detailed(rev)"/>
      <sheetName val="IS-Detailed"/>
      <sheetName val="상품매출"/>
      <sheetName val="5Yr Plan!!"/>
      <sheetName val="CF"/>
      <sheetName val="IS"/>
      <sheetName val="손익관리"/>
      <sheetName val="정산결제예시"/>
      <sheetName val="SG&amp;A"/>
      <sheetName val="FY13yoy_new"/>
      <sheetName val="FY13yoy"/>
      <sheetName val="14E_Plan"/>
      <sheetName val="Depreciation"/>
      <sheetName val="Amortization"/>
      <sheetName val="BS"/>
      <sheetName val="매출채권"/>
      <sheetName val="미지급금"/>
      <sheetName val="선급금"/>
      <sheetName val="선수금"/>
      <sheetName val="금융거래"/>
      <sheetName val="재무분석"/>
      <sheetName val="차입금용도"/>
      <sheetName val="이자율"/>
      <sheetName val="Capex"/>
      <sheetName val="Customer"/>
      <sheetName val="Top 10"/>
      <sheetName val="14E plan"/>
      <sheetName val="14E #"/>
      <sheetName val="CMS CDATM"/>
      <sheetName val="CIT,물류"/>
      <sheetName val="DMS팀"/>
      <sheetName val="국제영업"/>
      <sheetName val="3PL"/>
      <sheetName val="Salary&gt;&gt;"/>
      <sheetName val="업종별급여"/>
      <sheetName val="직원수추이,월별인력현황"/>
      <sheetName val="인원현황(13년12월)"/>
      <sheetName val="인원현황(14년6월)"/>
      <sheetName val="Others&gt;&gt;"/>
      <sheetName val="주주명부"/>
      <sheetName val="시장점유율"/>
      <sheetName val="ATMCD"/>
      <sheetName val="Vans"/>
      <sheetName val="임대차"/>
      <sheetName val="특별관계"/>
      <sheetName val="&gt;&gt;Notes"/>
      <sheetName val="Mgmt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/>
      <sheetData sheetId="20" refreshError="1"/>
      <sheetData sheetId="21">
        <row r="3">
          <cell r="N3">
            <v>1000000</v>
          </cell>
        </row>
      </sheetData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A89AB-9886-4D8B-8B8E-5C7FA8768618}">
  <sheetPr codeName="Sheet1">
    <tabColor rgb="FFFFFF66"/>
    <pageSetUpPr autoPageBreaks="0"/>
  </sheetPr>
  <dimension ref="B2:T283"/>
  <sheetViews>
    <sheetView showGridLines="0" zoomScale="73" zoomScaleNormal="91" zoomScaleSheetLayoutView="55" workbookViewId="0">
      <selection sqref="A1:K16"/>
    </sheetView>
  </sheetViews>
  <sheetFormatPr defaultColWidth="8.88671875" defaultRowHeight="14.4" outlineLevelRow="1" outlineLevelCol="1" x14ac:dyDescent="0.3"/>
  <cols>
    <col min="1" max="2" width="2.6640625" style="67" customWidth="1"/>
    <col min="3" max="3" width="33" style="67" customWidth="1"/>
    <col min="4" max="4" width="18.6640625" style="68" customWidth="1"/>
    <col min="5" max="11" width="15.77734375" style="107" customWidth="1" outlineLevel="1"/>
    <col min="12" max="12" width="15.77734375" style="107" customWidth="1"/>
    <col min="13" max="16" width="15.77734375" style="107" customWidth="1" outlineLevel="1"/>
    <col min="17" max="17" width="8.88671875" style="67"/>
    <col min="18" max="18" width="8.33203125" style="386" customWidth="1"/>
    <col min="19" max="19" width="10.6640625" style="67" bestFit="1" customWidth="1"/>
    <col min="20" max="20" width="16.88671875" style="67" customWidth="1"/>
    <col min="21" max="16384" width="8.88671875" style="67"/>
  </cols>
  <sheetData>
    <row r="2" spans="2:16" ht="18" x14ac:dyDescent="0.35">
      <c r="B2" s="66" t="str">
        <f>Company_Name&amp;" - 3-Statement Operating Model"</f>
        <v xml:space="preserve"> InterGlobe Aviation Limited - 3-Statement Operating Model</v>
      </c>
    </row>
    <row r="3" spans="2:16" ht="15.6" x14ac:dyDescent="0.3">
      <c r="B3" s="69" t="s">
        <v>485</v>
      </c>
    </row>
    <row r="5" spans="2:16" ht="15.6" x14ac:dyDescent="0.3">
      <c r="B5" s="102" t="s">
        <v>348</v>
      </c>
      <c r="C5" s="102"/>
      <c r="D5" s="101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</row>
    <row r="6" spans="2:16" ht="15.6" outlineLevel="1" x14ac:dyDescent="0.3">
      <c r="B6" s="70"/>
      <c r="C6" s="69"/>
      <c r="D6" s="71"/>
    </row>
    <row r="7" spans="2:16" ht="15.6" outlineLevel="1" x14ac:dyDescent="0.3">
      <c r="B7" s="69"/>
      <c r="C7" s="69" t="s">
        <v>349</v>
      </c>
      <c r="D7" s="434" t="s">
        <v>471</v>
      </c>
      <c r="E7" s="435"/>
      <c r="F7" s="193" t="s">
        <v>522</v>
      </c>
    </row>
    <row r="8" spans="2:16" ht="15.6" outlineLevel="1" x14ac:dyDescent="0.3">
      <c r="B8" s="69"/>
      <c r="C8" s="69" t="s">
        <v>350</v>
      </c>
      <c r="D8" s="72">
        <v>1</v>
      </c>
      <c r="I8" s="107" t="s">
        <v>770</v>
      </c>
      <c r="J8" s="438" t="s">
        <v>772</v>
      </c>
      <c r="K8" s="439"/>
    </row>
    <row r="9" spans="2:16" ht="15.6" outlineLevel="1" x14ac:dyDescent="0.3">
      <c r="B9" s="69"/>
      <c r="C9" s="69" t="s">
        <v>351</v>
      </c>
      <c r="D9" s="72">
        <v>1</v>
      </c>
      <c r="F9" s="107" t="s">
        <v>472</v>
      </c>
      <c r="G9" s="107" t="s">
        <v>472</v>
      </c>
      <c r="I9" s="107" t="s">
        <v>771</v>
      </c>
      <c r="J9" s="438" t="s">
        <v>773</v>
      </c>
      <c r="K9" s="439"/>
    </row>
    <row r="10" spans="2:16" ht="15.6" outlineLevel="1" x14ac:dyDescent="0.3">
      <c r="B10" s="69"/>
      <c r="C10" s="69" t="s">
        <v>352</v>
      </c>
      <c r="D10" s="72">
        <v>1000000</v>
      </c>
      <c r="I10" s="107" t="s">
        <v>521</v>
      </c>
      <c r="J10" s="211">
        <v>1731292.6</v>
      </c>
    </row>
    <row r="11" spans="2:16" ht="15.6" outlineLevel="1" x14ac:dyDescent="0.3">
      <c r="B11" s="69"/>
      <c r="C11" s="69" t="s">
        <v>353</v>
      </c>
      <c r="D11" s="72" t="s">
        <v>354</v>
      </c>
      <c r="E11" s="377" t="s">
        <v>722</v>
      </c>
    </row>
    <row r="12" spans="2:16" ht="15.6" outlineLevel="1" x14ac:dyDescent="0.3">
      <c r="B12" s="69"/>
      <c r="C12" s="69" t="s">
        <v>355</v>
      </c>
      <c r="D12" s="73">
        <v>1</v>
      </c>
      <c r="E12" s="377" t="s">
        <v>723</v>
      </c>
    </row>
    <row r="13" spans="2:16" ht="15.6" outlineLevel="1" x14ac:dyDescent="0.3">
      <c r="B13" s="69"/>
      <c r="C13" s="69" t="s">
        <v>356</v>
      </c>
      <c r="D13" s="333">
        <v>4726.6499999999996</v>
      </c>
    </row>
    <row r="14" spans="2:16" ht="15.6" outlineLevel="1" x14ac:dyDescent="0.3">
      <c r="B14" s="69"/>
      <c r="C14" s="69"/>
      <c r="D14" s="74"/>
    </row>
    <row r="15" spans="2:16" ht="15.6" outlineLevel="1" x14ac:dyDescent="0.3">
      <c r="B15" s="69"/>
      <c r="C15" s="69" t="s">
        <v>357</v>
      </c>
      <c r="D15" s="75">
        <v>45382</v>
      </c>
    </row>
    <row r="16" spans="2:16" outlineLevel="1" x14ac:dyDescent="0.3"/>
    <row r="17" spans="2:20" ht="15.6" outlineLevel="1" x14ac:dyDescent="0.3">
      <c r="B17" s="69"/>
      <c r="C17" s="76" t="s">
        <v>358</v>
      </c>
      <c r="D17" s="70"/>
      <c r="E17" s="109">
        <f>YEAR(E20)</f>
        <v>2017</v>
      </c>
      <c r="F17" s="109">
        <f t="shared" ref="F17:P17" si="0">YEAR(F20)</f>
        <v>2018</v>
      </c>
      <c r="G17" s="109">
        <f t="shared" si="0"/>
        <v>2019</v>
      </c>
      <c r="H17" s="109">
        <f t="shared" si="0"/>
        <v>2020</v>
      </c>
      <c r="I17" s="109">
        <f t="shared" si="0"/>
        <v>2021</v>
      </c>
      <c r="J17" s="109">
        <f t="shared" si="0"/>
        <v>2022</v>
      </c>
      <c r="K17" s="109">
        <f t="shared" si="0"/>
        <v>2023</v>
      </c>
      <c r="L17" s="109">
        <f t="shared" si="0"/>
        <v>2024</v>
      </c>
      <c r="M17" s="109">
        <f t="shared" si="0"/>
        <v>2025</v>
      </c>
      <c r="N17" s="109">
        <f t="shared" si="0"/>
        <v>2026</v>
      </c>
      <c r="O17" s="109">
        <f t="shared" si="0"/>
        <v>2027</v>
      </c>
      <c r="P17" s="109">
        <f t="shared" si="0"/>
        <v>2028</v>
      </c>
    </row>
    <row r="18" spans="2:20" x14ac:dyDescent="0.3">
      <c r="C18" s="77"/>
    </row>
    <row r="19" spans="2:20" ht="15.6" x14ac:dyDescent="0.3">
      <c r="B19" s="103"/>
      <c r="C19" s="103"/>
      <c r="D19" s="104"/>
      <c r="E19" s="436" t="s">
        <v>359</v>
      </c>
      <c r="F19" s="436"/>
      <c r="G19" s="436"/>
      <c r="H19" s="436"/>
      <c r="I19" s="436"/>
      <c r="J19" s="436"/>
      <c r="K19" s="436"/>
      <c r="L19" s="437"/>
      <c r="M19" s="436" t="s">
        <v>360</v>
      </c>
      <c r="N19" s="436"/>
      <c r="O19" s="436"/>
      <c r="P19" s="436"/>
    </row>
    <row r="20" spans="2:20" ht="15.6" x14ac:dyDescent="0.3">
      <c r="B20" s="101" t="s">
        <v>361</v>
      </c>
      <c r="C20" s="101"/>
      <c r="D20" s="105" t="s">
        <v>362</v>
      </c>
      <c r="E20" s="110">
        <f t="shared" ref="E20:J20" si="1">EOMONTH(F20,-12)</f>
        <v>42825</v>
      </c>
      <c r="F20" s="110">
        <f t="shared" si="1"/>
        <v>43190</v>
      </c>
      <c r="G20" s="110">
        <f t="shared" si="1"/>
        <v>43555</v>
      </c>
      <c r="H20" s="110">
        <f t="shared" si="1"/>
        <v>43921</v>
      </c>
      <c r="I20" s="110">
        <f t="shared" si="1"/>
        <v>44286</v>
      </c>
      <c r="J20" s="110">
        <f t="shared" si="1"/>
        <v>44651</v>
      </c>
      <c r="K20" s="110">
        <f>EOMONTH(L20,-12)</f>
        <v>45016</v>
      </c>
      <c r="L20" s="111">
        <f>Hist_Year</f>
        <v>45382</v>
      </c>
      <c r="M20" s="110">
        <f>EOMONTH(L20,12)</f>
        <v>45747</v>
      </c>
      <c r="N20" s="110">
        <f>EOMONTH(M20,12)</f>
        <v>46112</v>
      </c>
      <c r="O20" s="110">
        <f>EOMONTH(N20,12)</f>
        <v>46477</v>
      </c>
      <c r="P20" s="110">
        <f>EOMONTH(O20,12)</f>
        <v>46843</v>
      </c>
    </row>
    <row r="21" spans="2:20" ht="15.6" outlineLevel="1" x14ac:dyDescent="0.3">
      <c r="B21" s="78" t="s">
        <v>363</v>
      </c>
      <c r="C21" s="79"/>
      <c r="D21" s="80"/>
      <c r="E21" s="112"/>
      <c r="F21" s="112"/>
      <c r="G21" s="112"/>
      <c r="H21" s="112"/>
      <c r="I21" s="112"/>
      <c r="J21" s="112"/>
      <c r="K21" s="112"/>
      <c r="L21" s="113"/>
      <c r="M21" s="114"/>
      <c r="N21" s="114"/>
      <c r="O21" s="114"/>
      <c r="P21" s="114"/>
    </row>
    <row r="22" spans="2:20" ht="15.6" outlineLevel="1" x14ac:dyDescent="0.3">
      <c r="B22" s="69"/>
      <c r="C22" s="81" t="s">
        <v>364</v>
      </c>
      <c r="D22" s="82" t="s">
        <v>365</v>
      </c>
      <c r="E22" s="115">
        <f>+OS!B27</f>
        <v>54583</v>
      </c>
      <c r="F22" s="115">
        <f>+OS!C27</f>
        <v>63510</v>
      </c>
      <c r="G22" s="115">
        <f>+OS!D27</f>
        <v>81016</v>
      </c>
      <c r="H22" s="115">
        <f>+OS!E27</f>
        <v>96300</v>
      </c>
      <c r="I22" s="115">
        <f>+OS!F27</f>
        <v>45471</v>
      </c>
      <c r="J22" s="115">
        <f>+OS!G27</f>
        <v>70400</v>
      </c>
      <c r="K22" s="115">
        <f>+OS!H27</f>
        <v>114400</v>
      </c>
      <c r="L22" s="115">
        <f>+OS!I27</f>
        <v>139300</v>
      </c>
      <c r="M22" s="115">
        <f>+L22*(1+M23)</f>
        <v>161134.27715472423</v>
      </c>
      <c r="N22" s="115">
        <f t="shared" ref="N22:P22" si="2">+M22*(1+N23)</f>
        <v>183018.23751528794</v>
      </c>
      <c r="O22" s="115">
        <f t="shared" si="2"/>
        <v>204198.02551381907</v>
      </c>
      <c r="P22" s="115">
        <f t="shared" si="2"/>
        <v>224617.828065201</v>
      </c>
    </row>
    <row r="23" spans="2:20" ht="15.6" outlineLevel="1" x14ac:dyDescent="0.3">
      <c r="B23" s="69"/>
      <c r="C23" s="83" t="s">
        <v>366</v>
      </c>
      <c r="D23" s="82" t="s">
        <v>367</v>
      </c>
      <c r="E23" s="116">
        <v>0.27</v>
      </c>
      <c r="F23" s="117">
        <f>+F22/E22-1</f>
        <v>0.16354909037612453</v>
      </c>
      <c r="G23" s="117">
        <f t="shared" ref="G23:L23" si="3">+G22/F22-1</f>
        <v>0.27564163123917496</v>
      </c>
      <c r="H23" s="117">
        <f t="shared" si="3"/>
        <v>0.18865409301866287</v>
      </c>
      <c r="I23" s="117">
        <f t="shared" si="3"/>
        <v>-0.52781931464174447</v>
      </c>
      <c r="J23" s="117">
        <f t="shared" si="3"/>
        <v>0.54823953728750197</v>
      </c>
      <c r="K23" s="117">
        <f t="shared" si="3"/>
        <v>0.625</v>
      </c>
      <c r="L23" s="117">
        <f t="shared" si="3"/>
        <v>0.21765734265734271</v>
      </c>
      <c r="M23" s="117">
        <f>INDEX(M24:M26,MATCH(Scenario,$C$24:$C$26,0))</f>
        <v>0.15674283671733114</v>
      </c>
      <c r="N23" s="117">
        <f>INDEX(N24:N26,MATCH(Scenario,$C$24:$C$26,0))</f>
        <v>0.13581194980351885</v>
      </c>
      <c r="O23" s="117">
        <f>INDEX(O24:O26,MATCH(Scenario,$C$24:$C$26,0))</f>
        <v>0.115725013452618</v>
      </c>
      <c r="P23" s="117">
        <f>INDEX(P24:P26,MATCH(Scenario,$C$24:$C$26,0))</f>
        <v>0.1</v>
      </c>
    </row>
    <row r="24" spans="2:20" ht="15.6" outlineLevel="1" x14ac:dyDescent="0.3">
      <c r="B24" s="69"/>
      <c r="C24" s="84" t="s">
        <v>354</v>
      </c>
      <c r="D24" s="82" t="s">
        <v>367</v>
      </c>
      <c r="E24" s="118"/>
      <c r="F24" s="118"/>
      <c r="G24" s="118"/>
      <c r="H24" s="118"/>
      <c r="I24" s="118"/>
      <c r="J24" s="118"/>
      <c r="K24" s="118"/>
      <c r="L24" s="118"/>
      <c r="M24" s="119">
        <v>0.15674283671733114</v>
      </c>
      <c r="N24" s="119">
        <v>0.13581194980351885</v>
      </c>
      <c r="O24" s="119">
        <v>0.115725013452618</v>
      </c>
      <c r="P24" s="119">
        <v>0.1</v>
      </c>
    </row>
    <row r="25" spans="2:20" ht="15.6" outlineLevel="1" x14ac:dyDescent="0.3">
      <c r="B25" s="69"/>
      <c r="C25" s="84" t="s">
        <v>599</v>
      </c>
      <c r="D25" s="82" t="s">
        <v>367</v>
      </c>
      <c r="E25" s="118"/>
      <c r="F25" s="118"/>
      <c r="G25" s="118"/>
      <c r="H25" s="118"/>
      <c r="I25" s="118"/>
      <c r="J25" s="118"/>
      <c r="K25" s="118"/>
      <c r="L25" s="118"/>
      <c r="M25" s="119">
        <v>0.17023193034899675</v>
      </c>
      <c r="N25" s="119">
        <v>0.15500967049240311</v>
      </c>
      <c r="O25" s="119">
        <v>0.121587023706106</v>
      </c>
      <c r="P25" s="119">
        <v>0.12</v>
      </c>
    </row>
    <row r="26" spans="2:20" ht="15.6" outlineLevel="1" x14ac:dyDescent="0.3">
      <c r="B26" s="69"/>
      <c r="C26" s="84" t="s">
        <v>600</v>
      </c>
      <c r="D26" s="82" t="s">
        <v>367</v>
      </c>
      <c r="E26" s="118"/>
      <c r="F26" s="118"/>
      <c r="G26" s="118"/>
      <c r="H26" s="118"/>
      <c r="I26" s="118"/>
      <c r="J26" s="118"/>
      <c r="K26" s="118"/>
      <c r="L26" s="118"/>
      <c r="M26" s="119">
        <v>0.142905938363004</v>
      </c>
      <c r="N26" s="119">
        <v>0.12603054115737189</v>
      </c>
      <c r="O26" s="119">
        <v>0.10426998593072501</v>
      </c>
      <c r="P26" s="119">
        <v>9.5000000000000001E-2</v>
      </c>
    </row>
    <row r="27" spans="2:20" ht="15.6" outlineLevel="1" x14ac:dyDescent="0.3">
      <c r="B27" s="69"/>
      <c r="C27" s="85"/>
      <c r="D27" s="71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</row>
    <row r="28" spans="2:20" ht="15.6" outlineLevel="1" x14ac:dyDescent="0.3">
      <c r="B28" s="69"/>
      <c r="C28" s="81" t="s">
        <v>368</v>
      </c>
      <c r="D28" s="82" t="s">
        <v>367</v>
      </c>
      <c r="E28" s="423">
        <f>+OS!B29</f>
        <v>0.85</v>
      </c>
      <c r="F28" s="423">
        <f>+OS!C29</f>
        <v>0.87</v>
      </c>
      <c r="G28" s="423">
        <f>+OS!D29</f>
        <v>0.86</v>
      </c>
      <c r="H28" s="423">
        <f>+OS!E29</f>
        <v>0.86</v>
      </c>
      <c r="I28" s="423">
        <f>+OS!F29</f>
        <v>0.69</v>
      </c>
      <c r="J28" s="423">
        <f>+OS!G29</f>
        <v>0.73</v>
      </c>
      <c r="K28" s="423">
        <f>+OS!H29</f>
        <v>0.82</v>
      </c>
      <c r="L28" s="423">
        <f>+OS!I29</f>
        <v>0.86</v>
      </c>
      <c r="M28" s="423">
        <f>INDEX(M29:M31,MATCH(Scenario,$C$24:$C$26,0))</f>
        <v>0.89256487541941598</v>
      </c>
      <c r="N28" s="423">
        <f>INDEX(N29:N31,MATCH(Scenario,$C$24:$C$26,0))</f>
        <v>0.89332007003912905</v>
      </c>
      <c r="O28" s="423">
        <f>INDEX(O29:O31,MATCH(Scenario,$C$24:$C$26,0))</f>
        <v>0.87</v>
      </c>
      <c r="P28" s="423">
        <f>INDEX(P29:P31,MATCH(Scenario,$C$24:$C$26,0))</f>
        <v>0.85699999999999998</v>
      </c>
    </row>
    <row r="29" spans="2:20" ht="15.6" outlineLevel="1" x14ac:dyDescent="0.3">
      <c r="B29" s="69"/>
      <c r="C29" s="86" t="str">
        <f>$C$24</f>
        <v>Base</v>
      </c>
      <c r="D29" s="82" t="s">
        <v>367</v>
      </c>
      <c r="E29" s="118"/>
      <c r="F29" s="118"/>
      <c r="G29" s="118"/>
      <c r="H29" s="118"/>
      <c r="I29" s="118"/>
      <c r="J29" s="118"/>
      <c r="K29" s="118"/>
      <c r="L29" s="118"/>
      <c r="M29" s="119">
        <v>0.89256487541941598</v>
      </c>
      <c r="N29" s="119">
        <v>0.89332007003912905</v>
      </c>
      <c r="O29" s="119">
        <v>0.87</v>
      </c>
      <c r="P29" s="119">
        <v>0.85699999999999998</v>
      </c>
    </row>
    <row r="30" spans="2:20" ht="15.6" outlineLevel="1" x14ac:dyDescent="0.3">
      <c r="B30" s="69"/>
      <c r="C30" s="86" t="str">
        <f>$C$25</f>
        <v>Optimistic Case</v>
      </c>
      <c r="D30" s="82" t="s">
        <v>367</v>
      </c>
      <c r="E30" s="118"/>
      <c r="F30" s="118"/>
      <c r="G30" s="118"/>
      <c r="H30" s="118"/>
      <c r="I30" s="118"/>
      <c r="J30" s="118"/>
      <c r="K30" s="118"/>
      <c r="L30" s="118"/>
      <c r="M30" s="119">
        <v>0.91107537083392398</v>
      </c>
      <c r="N30" s="119">
        <v>0.91113571410958893</v>
      </c>
      <c r="O30" s="119">
        <v>0.89793851125430391</v>
      </c>
      <c r="P30" s="119">
        <v>0.89469620381221204</v>
      </c>
    </row>
    <row r="31" spans="2:20" ht="15.6" outlineLevel="1" x14ac:dyDescent="0.3">
      <c r="B31" s="69"/>
      <c r="C31" s="86" t="str">
        <f>$C$26</f>
        <v>Conservative Case</v>
      </c>
      <c r="D31" s="82" t="s">
        <v>367</v>
      </c>
      <c r="E31" s="118"/>
      <c r="F31" s="118"/>
      <c r="G31" s="118"/>
      <c r="H31" s="118"/>
      <c r="I31" s="118"/>
      <c r="J31" s="118"/>
      <c r="K31" s="118"/>
      <c r="L31" s="118"/>
      <c r="M31" s="119">
        <v>0.87542476359398402</v>
      </c>
      <c r="N31" s="119">
        <v>0.87486650250873699</v>
      </c>
      <c r="O31" s="119">
        <v>0.86207888299361501</v>
      </c>
      <c r="P31" s="119">
        <v>0.85499999999999998</v>
      </c>
      <c r="R31" s="387"/>
      <c r="S31" s="124"/>
      <c r="T31" s="124"/>
    </row>
    <row r="32" spans="2:20" ht="15.6" outlineLevel="1" x14ac:dyDescent="0.3">
      <c r="B32" s="69"/>
      <c r="C32" s="85"/>
      <c r="D32" s="71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</row>
    <row r="33" spans="2:16" ht="15.6" outlineLevel="1" x14ac:dyDescent="0.3">
      <c r="B33" s="69"/>
      <c r="C33" s="81" t="s">
        <v>369</v>
      </c>
      <c r="D33" s="82" t="s">
        <v>365</v>
      </c>
      <c r="E33" s="120">
        <f>+OS!B30</f>
        <v>46288</v>
      </c>
      <c r="F33" s="120">
        <f>+OS!C30</f>
        <v>55524</v>
      </c>
      <c r="G33" s="120">
        <f>+OS!D30</f>
        <v>69787</v>
      </c>
      <c r="H33" s="120">
        <f>+OS!E30</f>
        <v>82600</v>
      </c>
      <c r="I33" s="120">
        <f>+OS!F30</f>
        <v>31595</v>
      </c>
      <c r="J33" s="120">
        <f>+OS!G30</f>
        <v>51700</v>
      </c>
      <c r="K33" s="120">
        <f>+OS!H30</f>
        <v>93900</v>
      </c>
      <c r="L33" s="120">
        <f>+OS!I30</f>
        <v>119700</v>
      </c>
      <c r="M33" s="120">
        <f>+M22*M28</f>
        <v>143822.79601440407</v>
      </c>
      <c r="N33" s="120">
        <f t="shared" ref="N33:O33" si="4">+N22*N28</f>
        <v>163493.86475559499</v>
      </c>
      <c r="O33" s="120">
        <f t="shared" si="4"/>
        <v>177652.28219702258</v>
      </c>
      <c r="P33" s="120">
        <f>+P22*P28</f>
        <v>192497.47865187726</v>
      </c>
    </row>
    <row r="34" spans="2:16" ht="15.6" outlineLevel="1" x14ac:dyDescent="0.3">
      <c r="B34" s="69"/>
      <c r="C34" s="83" t="s">
        <v>370</v>
      </c>
      <c r="D34" s="82" t="s">
        <v>367</v>
      </c>
      <c r="E34" s="423">
        <v>0.28999999999999998</v>
      </c>
      <c r="F34" s="423">
        <f>+F33/E33-1</f>
        <v>0.19953335637746283</v>
      </c>
      <c r="G34" s="423">
        <f t="shared" ref="G34:L34" si="5">+G33/F33-1</f>
        <v>0.25687990778762337</v>
      </c>
      <c r="H34" s="423">
        <f t="shared" si="5"/>
        <v>0.18360153037098592</v>
      </c>
      <c r="I34" s="423">
        <f t="shared" si="5"/>
        <v>-0.61749394673123481</v>
      </c>
      <c r="J34" s="423">
        <f t="shared" si="5"/>
        <v>0.63633486311125176</v>
      </c>
      <c r="K34" s="423">
        <f t="shared" si="5"/>
        <v>0.81624758220502902</v>
      </c>
      <c r="L34" s="423">
        <f t="shared" si="5"/>
        <v>0.27476038338658149</v>
      </c>
      <c r="M34" s="423">
        <f t="shared" ref="M34" si="6">+M33/L33-1</f>
        <v>0.20152711791482103</v>
      </c>
      <c r="N34" s="423">
        <f t="shared" ref="N34" si="7">+N33/M33-1</f>
        <v>0.13677295454067528</v>
      </c>
      <c r="O34" s="423">
        <f t="shared" ref="O34" si="8">+O33/N33-1</f>
        <v>8.659907491080987E-2</v>
      </c>
      <c r="P34" s="423">
        <f t="shared" ref="P34" si="9">+P33/O33-1</f>
        <v>8.3563218390804828E-2</v>
      </c>
    </row>
    <row r="35" spans="2:16" ht="15.6" outlineLevel="1" x14ac:dyDescent="0.3">
      <c r="B35" s="69"/>
      <c r="C35" s="85"/>
      <c r="D35" s="71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</row>
    <row r="36" spans="2:16" ht="15.6" outlineLevel="1" x14ac:dyDescent="0.3">
      <c r="B36" s="69"/>
      <c r="C36" s="81" t="s">
        <v>371</v>
      </c>
      <c r="D36" s="82" t="s">
        <v>473</v>
      </c>
      <c r="E36" s="120">
        <f>+OS!B33</f>
        <v>161971</v>
      </c>
      <c r="F36" s="120">
        <f>+OS!C33</f>
        <v>199433</v>
      </c>
      <c r="G36" s="120">
        <f>+OS!D33</f>
        <v>251359</v>
      </c>
      <c r="H36" s="120">
        <f>+OS!E33</f>
        <v>314682</v>
      </c>
      <c r="I36" s="120">
        <f>+OS!F33</f>
        <v>118735</v>
      </c>
      <c r="J36" s="120">
        <f>+OS!G33</f>
        <v>219239</v>
      </c>
      <c r="K36" s="120">
        <f>+OS!H33</f>
        <v>481759</v>
      </c>
      <c r="L36" s="120">
        <f>+OS!I33</f>
        <v>607980</v>
      </c>
      <c r="M36" s="120">
        <f>+M33*M37/Units</f>
        <v>786648.59950509586</v>
      </c>
      <c r="N36" s="120">
        <f>+N33*N37/Units</f>
        <v>942940.67400449002</v>
      </c>
      <c r="O36" s="120">
        <f>+O33*O37/Units</f>
        <v>1052882.5566339183</v>
      </c>
      <c r="P36" s="120">
        <f>+P33*P37/Units</f>
        <v>1216589.4711815414</v>
      </c>
    </row>
    <row r="37" spans="2:16" ht="15.6" outlineLevel="1" x14ac:dyDescent="0.3">
      <c r="B37" s="69"/>
      <c r="C37" s="83" t="s">
        <v>558</v>
      </c>
      <c r="D37" s="82" t="s">
        <v>372</v>
      </c>
      <c r="E37" s="269">
        <f>E36/E33</f>
        <v>3.499200656757691</v>
      </c>
      <c r="F37" s="269">
        <f t="shared" ref="F37:L37" si="10">F36/F33</f>
        <v>3.5918341618039045</v>
      </c>
      <c r="G37" s="269">
        <f t="shared" si="10"/>
        <v>3.6018026279966184</v>
      </c>
      <c r="H37" s="269">
        <f t="shared" si="10"/>
        <v>3.8097094430992735</v>
      </c>
      <c r="I37" s="269">
        <f t="shared" si="10"/>
        <v>3.758031334071847</v>
      </c>
      <c r="J37" s="269">
        <f t="shared" si="10"/>
        <v>4.2405996131528045</v>
      </c>
      <c r="K37" s="269">
        <f t="shared" si="10"/>
        <v>5.130553780617678</v>
      </c>
      <c r="L37" s="269">
        <f t="shared" si="10"/>
        <v>5.079197994987469</v>
      </c>
      <c r="M37" s="269">
        <f>+L37*(1+M38)</f>
        <v>5.4695682555518657</v>
      </c>
      <c r="N37" s="269">
        <f t="shared" ref="N37" si="11">+M37*(1+N38)</f>
        <v>5.7674376675484469</v>
      </c>
      <c r="O37" s="269">
        <f t="shared" ref="O37" si="12">+N37*(1+O38)</f>
        <v>5.9266480768664422</v>
      </c>
      <c r="P37" s="269">
        <f t="shared" ref="P37" si="13">+O37*(1+P38)</f>
        <v>6.3200280840129182</v>
      </c>
    </row>
    <row r="38" spans="2:16" ht="15.6" outlineLevel="1" x14ac:dyDescent="0.3">
      <c r="B38" s="69"/>
      <c r="C38" s="83" t="s">
        <v>373</v>
      </c>
      <c r="D38" s="82" t="s">
        <v>367</v>
      </c>
      <c r="E38" s="423">
        <v>-0.10299999999999999</v>
      </c>
      <c r="F38" s="423">
        <f>+F37/E37-1</f>
        <v>2.6472761676961554E-2</v>
      </c>
      <c r="G38" s="423">
        <f t="shared" ref="G38:L38" si="14">+G37/F37-1</f>
        <v>2.7753135984729393E-3</v>
      </c>
      <c r="H38" s="423">
        <f t="shared" si="14"/>
        <v>5.7722989451616913E-2</v>
      </c>
      <c r="I38" s="423">
        <f t="shared" si="14"/>
        <v>-1.356484262101243E-2</v>
      </c>
      <c r="J38" s="423">
        <f t="shared" si="14"/>
        <v>0.12840986042500413</v>
      </c>
      <c r="K38" s="423">
        <f t="shared" si="14"/>
        <v>0.20986517206306332</v>
      </c>
      <c r="L38" s="423">
        <f t="shared" si="14"/>
        <v>-1.0009793840232595E-2</v>
      </c>
      <c r="M38" s="423">
        <f>INDEX(M39:M41,MATCH(Scenario,$C$24:$C$26,0))</f>
        <v>7.685667322865597E-2</v>
      </c>
      <c r="N38" s="423">
        <f>INDEX(N39:N41,MATCH(Scenario,$C$24:$C$26,0))</f>
        <v>5.4459401195739776E-2</v>
      </c>
      <c r="O38" s="423">
        <f>INDEX(O39:O41,MATCH(Scenario,$C$24:$C$26,0))</f>
        <v>2.7605050716685176E-2</v>
      </c>
      <c r="P38" s="423">
        <f>INDEX(P39:P41,MATCH(Scenario,$C$24:$C$26,0))</f>
        <v>6.6374787577139993E-2</v>
      </c>
    </row>
    <row r="39" spans="2:16" ht="15.6" outlineLevel="1" x14ac:dyDescent="0.3">
      <c r="B39" s="69"/>
      <c r="C39" s="84" t="str">
        <f>$C$24</f>
        <v>Base</v>
      </c>
      <c r="D39" s="82" t="s">
        <v>367</v>
      </c>
      <c r="E39" s="118"/>
      <c r="F39" s="118"/>
      <c r="G39" s="118"/>
      <c r="H39" s="118"/>
      <c r="I39" s="118"/>
      <c r="J39" s="118"/>
      <c r="K39" s="118"/>
      <c r="L39" s="118"/>
      <c r="M39" s="119">
        <v>7.685667322865597E-2</v>
      </c>
      <c r="N39" s="119">
        <v>5.4459401195739776E-2</v>
      </c>
      <c r="O39" s="119">
        <v>2.7605050716685176E-2</v>
      </c>
      <c r="P39" s="119">
        <v>6.6374787577139993E-2</v>
      </c>
    </row>
    <row r="40" spans="2:16" ht="15.6" outlineLevel="1" x14ac:dyDescent="0.3">
      <c r="B40" s="69"/>
      <c r="C40" s="84" t="str">
        <f>$C$25</f>
        <v>Optimistic Case</v>
      </c>
      <c r="D40" s="82" t="s">
        <v>367</v>
      </c>
      <c r="E40" s="118"/>
      <c r="F40" s="118"/>
      <c r="G40" s="118"/>
      <c r="H40" s="118"/>
      <c r="I40" s="118"/>
      <c r="J40" s="118"/>
      <c r="K40" s="118"/>
      <c r="L40" s="118"/>
      <c r="M40" s="119">
        <v>7.2083468773607801E-2</v>
      </c>
      <c r="N40" s="119">
        <v>5.0229886841461235E-2</v>
      </c>
      <c r="O40" s="119">
        <v>2.5890569413079701E-2</v>
      </c>
      <c r="P40" s="119">
        <v>5.7796314982724001E-2</v>
      </c>
    </row>
    <row r="41" spans="2:16" ht="15.6" outlineLevel="1" x14ac:dyDescent="0.3">
      <c r="B41" s="69"/>
      <c r="C41" s="84" t="str">
        <f>$C$26</f>
        <v>Conservative Case</v>
      </c>
      <c r="D41" s="82" t="s">
        <v>367</v>
      </c>
      <c r="E41" s="118"/>
      <c r="F41" s="118"/>
      <c r="G41" s="118"/>
      <c r="H41" s="118"/>
      <c r="I41" s="118"/>
      <c r="J41" s="118"/>
      <c r="K41" s="118"/>
      <c r="L41" s="118"/>
      <c r="M41" s="119">
        <v>8.3196602170766631E-2</v>
      </c>
      <c r="N41" s="119">
        <v>5.74199291314373E-2</v>
      </c>
      <c r="O41" s="119">
        <v>3.0629341876189375E-2</v>
      </c>
      <c r="P41" s="119">
        <v>8.8103339995874996E-2</v>
      </c>
    </row>
    <row r="42" spans="2:16" ht="15.6" outlineLevel="1" x14ac:dyDescent="0.3">
      <c r="B42" s="69"/>
      <c r="C42" s="83"/>
      <c r="D42" s="82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</row>
    <row r="43" spans="2:16" ht="15.6" outlineLevel="1" x14ac:dyDescent="0.3">
      <c r="B43" s="69"/>
      <c r="C43" s="81" t="s">
        <v>374</v>
      </c>
      <c r="D43" s="82" t="s">
        <v>473</v>
      </c>
      <c r="E43" s="120">
        <f>+E125</f>
        <v>7890.7</v>
      </c>
      <c r="F43" s="120">
        <f t="shared" ref="F43:L43" si="15">+F125</f>
        <v>9468.56</v>
      </c>
      <c r="G43" s="120">
        <f t="shared" si="15"/>
        <v>13245.98</v>
      </c>
      <c r="H43" s="120">
        <f t="shared" si="15"/>
        <v>15355.09</v>
      </c>
      <c r="I43" s="120">
        <f t="shared" si="15"/>
        <v>10369.64</v>
      </c>
      <c r="J43" s="120">
        <f t="shared" si="15"/>
        <v>7255.98</v>
      </c>
      <c r="K43" s="120">
        <f t="shared" si="15"/>
        <v>14349.65</v>
      </c>
      <c r="L43" s="120">
        <f t="shared" si="15"/>
        <v>23268.21</v>
      </c>
      <c r="M43" s="120">
        <f>+M33*M44/Units</f>
        <v>26277.71960477842</v>
      </c>
      <c r="N43" s="120">
        <f>+N33*N44/Units</f>
        <v>28784.813498104835</v>
      </c>
      <c r="O43" s="120">
        <f>+O33*O44/Units</f>
        <v>31044.1841873554</v>
      </c>
      <c r="P43" s="120">
        <f>+P33*P44/Units</f>
        <v>38485.817242027078</v>
      </c>
    </row>
    <row r="44" spans="2:16" ht="15.6" outlineLevel="1" x14ac:dyDescent="0.3">
      <c r="B44" s="69"/>
      <c r="C44" s="83" t="s">
        <v>375</v>
      </c>
      <c r="D44" s="82" t="s">
        <v>372</v>
      </c>
      <c r="E44" s="269">
        <f>+E43/E33</f>
        <v>0.17046966816453507</v>
      </c>
      <c r="F44" s="269">
        <f t="shared" ref="F44:L44" si="16">+F43/F33</f>
        <v>0.17053094157481449</v>
      </c>
      <c r="G44" s="269">
        <f t="shared" si="16"/>
        <v>0.18980583776348031</v>
      </c>
      <c r="H44" s="269">
        <f t="shared" si="16"/>
        <v>0.18589697336561745</v>
      </c>
      <c r="I44" s="269">
        <f t="shared" si="16"/>
        <v>0.32820509574299728</v>
      </c>
      <c r="J44" s="269">
        <f t="shared" si="16"/>
        <v>0.14034777562862669</v>
      </c>
      <c r="K44" s="269">
        <f t="shared" si="16"/>
        <v>0.15281842385516506</v>
      </c>
      <c r="L44" s="269">
        <f t="shared" si="16"/>
        <v>0.19438771929824561</v>
      </c>
      <c r="M44" s="269">
        <f>+L44*(1+M45)</f>
        <v>0.18270900255719313</v>
      </c>
      <c r="N44" s="269">
        <f t="shared" ref="N44" si="17">+M44*(1+N45)</f>
        <v>0.17606051175764245</v>
      </c>
      <c r="O44" s="269">
        <f t="shared" ref="O44" si="18">+N44*(1+O45)</f>
        <v>0.17474689209410954</v>
      </c>
      <c r="P44" s="269">
        <f t="shared" ref="P44" si="19">+O44*(1+P45)</f>
        <v>0.19992894198695915</v>
      </c>
    </row>
    <row r="45" spans="2:16" ht="15.6" outlineLevel="1" x14ac:dyDescent="0.3">
      <c r="B45" s="69"/>
      <c r="C45" s="83" t="s">
        <v>376</v>
      </c>
      <c r="D45" s="82" t="s">
        <v>367</v>
      </c>
      <c r="E45" s="423">
        <v>-0.108</v>
      </c>
      <c r="F45" s="423">
        <f>F44/E44-1</f>
        <v>3.5943878426669684E-4</v>
      </c>
      <c r="G45" s="423">
        <f t="shared" ref="G45:L45" si="20">G44/F44-1</f>
        <v>0.1130287325611794</v>
      </c>
      <c r="H45" s="423">
        <f t="shared" si="20"/>
        <v>-2.0594015673710553E-2</v>
      </c>
      <c r="I45" s="423">
        <f t="shared" si="20"/>
        <v>0.76552145955325379</v>
      </c>
      <c r="J45" s="423">
        <f t="shared" si="20"/>
        <v>-0.57237782883625077</v>
      </c>
      <c r="K45" s="423">
        <f t="shared" si="20"/>
        <v>8.885533219662034E-2</v>
      </c>
      <c r="L45" s="423">
        <f t="shared" si="20"/>
        <v>0.27201756433817303</v>
      </c>
      <c r="M45" s="423">
        <f>INDEX(M46:M48,MATCH(Scenario,$C$24:$C$26,0))</f>
        <v>-6.0079498762645733E-2</v>
      </c>
      <c r="N45" s="423">
        <f>INDEX(N46:N48,MATCH(Scenario,$C$24:$C$26,0))</f>
        <v>-3.6388413852073476E-2</v>
      </c>
      <c r="O45" s="423">
        <f>INDEX(O46:O48,MATCH(Scenario,$C$24:$C$26,0))</f>
        <v>-7.4611828082221665E-3</v>
      </c>
      <c r="P45" s="423">
        <f>INDEX(P46:P48,MATCH(Scenario,$C$24:$C$26,0))</f>
        <v>0.14410585270545395</v>
      </c>
    </row>
    <row r="46" spans="2:16" ht="15.6" outlineLevel="1" x14ac:dyDescent="0.3">
      <c r="B46" s="69"/>
      <c r="C46" s="84" t="str">
        <f>$C$24</f>
        <v>Base</v>
      </c>
      <c r="D46" s="82" t="s">
        <v>367</v>
      </c>
      <c r="E46" s="118"/>
      <c r="F46" s="118"/>
      <c r="G46" s="118"/>
      <c r="H46" s="118"/>
      <c r="I46" s="118"/>
      <c r="J46" s="118"/>
      <c r="K46" s="118"/>
      <c r="L46" s="118"/>
      <c r="M46" s="119">
        <v>-6.0079498762645733E-2</v>
      </c>
      <c r="N46" s="119">
        <v>-3.6388413852073476E-2</v>
      </c>
      <c r="O46" s="119">
        <v>-7.4611828082221665E-3</v>
      </c>
      <c r="P46" s="119">
        <v>0.14410585270545395</v>
      </c>
    </row>
    <row r="47" spans="2:16" ht="15.6" outlineLevel="1" x14ac:dyDescent="0.3">
      <c r="B47" s="69"/>
      <c r="C47" s="84" t="str">
        <f>$C$25</f>
        <v>Optimistic Case</v>
      </c>
      <c r="D47" s="82" t="s">
        <v>367</v>
      </c>
      <c r="E47" s="118"/>
      <c r="F47" s="118"/>
      <c r="G47" s="118"/>
      <c r="H47" s="118"/>
      <c r="I47" s="118"/>
      <c r="J47" s="118"/>
      <c r="K47" s="118"/>
      <c r="L47" s="118"/>
      <c r="M47" s="119">
        <v>-6.0119586238711165E-2</v>
      </c>
      <c r="N47" s="119">
        <v>-4.1289270302005243E-2</v>
      </c>
      <c r="O47" s="119">
        <v>-1.0713709058115195E-2</v>
      </c>
      <c r="P47" s="119">
        <v>0.15629571687038335</v>
      </c>
    </row>
    <row r="48" spans="2:16" ht="15.6" outlineLevel="1" x14ac:dyDescent="0.3">
      <c r="B48" s="69"/>
      <c r="C48" s="84" t="str">
        <f>$C$26</f>
        <v>Conservative Case</v>
      </c>
      <c r="D48" s="82" t="s">
        <v>367</v>
      </c>
      <c r="E48" s="118"/>
      <c r="F48" s="118"/>
      <c r="G48" s="118"/>
      <c r="H48" s="118"/>
      <c r="I48" s="118"/>
      <c r="J48" s="118"/>
      <c r="K48" s="118"/>
      <c r="L48" s="118"/>
      <c r="M48" s="119">
        <v>-5.1045877057645961E-2</v>
      </c>
      <c r="N48" s="119">
        <v>-3.3013710364148352E-2</v>
      </c>
      <c r="O48" s="119">
        <v>-7.4930566773140361E-3</v>
      </c>
      <c r="P48" s="119">
        <v>0.13485550882977293</v>
      </c>
    </row>
    <row r="49" spans="2:16" ht="15.6" x14ac:dyDescent="0.3">
      <c r="B49" s="69"/>
      <c r="C49" s="83"/>
      <c r="D49" s="82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</row>
    <row r="50" spans="2:16" ht="15.6" outlineLevel="1" x14ac:dyDescent="0.3">
      <c r="B50" s="87" t="s">
        <v>377</v>
      </c>
      <c r="C50" s="88"/>
      <c r="D50" s="89"/>
      <c r="E50" s="121">
        <f>E$20</f>
        <v>42825</v>
      </c>
      <c r="F50" s="121">
        <f t="shared" ref="F50:P50" si="21">F$20</f>
        <v>43190</v>
      </c>
      <c r="G50" s="121">
        <f t="shared" si="21"/>
        <v>43555</v>
      </c>
      <c r="H50" s="121">
        <f t="shared" si="21"/>
        <v>43921</v>
      </c>
      <c r="I50" s="121">
        <f t="shared" si="21"/>
        <v>44286</v>
      </c>
      <c r="J50" s="121">
        <f t="shared" si="21"/>
        <v>44651</v>
      </c>
      <c r="K50" s="121">
        <f t="shared" si="21"/>
        <v>45016</v>
      </c>
      <c r="L50" s="121">
        <f t="shared" si="21"/>
        <v>45382</v>
      </c>
      <c r="M50" s="121">
        <f t="shared" si="21"/>
        <v>45747</v>
      </c>
      <c r="N50" s="121">
        <f t="shared" si="21"/>
        <v>46112</v>
      </c>
      <c r="O50" s="121">
        <f t="shared" si="21"/>
        <v>46477</v>
      </c>
      <c r="P50" s="121">
        <f t="shared" si="21"/>
        <v>46843</v>
      </c>
    </row>
    <row r="51" spans="2:16" ht="15.6" outlineLevel="1" x14ac:dyDescent="0.3">
      <c r="B51" s="69"/>
      <c r="C51" s="81"/>
      <c r="D51" s="82"/>
      <c r="E51" s="122"/>
      <c r="F51" s="122"/>
      <c r="G51" s="122"/>
      <c r="H51" s="122"/>
      <c r="I51" s="122"/>
      <c r="J51" s="122"/>
      <c r="K51" s="118"/>
      <c r="L51" s="118"/>
      <c r="M51" s="118"/>
      <c r="N51" s="118"/>
      <c r="O51" s="118"/>
    </row>
    <row r="52" spans="2:16" ht="15.6" outlineLevel="1" x14ac:dyDescent="0.3">
      <c r="B52" s="69"/>
      <c r="C52" s="81" t="s">
        <v>378</v>
      </c>
      <c r="D52" s="82" t="s">
        <v>473</v>
      </c>
      <c r="E52" s="120">
        <f>+E129</f>
        <v>-63415.13</v>
      </c>
      <c r="F52" s="120">
        <f t="shared" ref="F52:L52" si="22">+F129</f>
        <v>-77601.36</v>
      </c>
      <c r="G52" s="120">
        <f t="shared" si="22"/>
        <v>-119427.93</v>
      </c>
      <c r="H52" s="120">
        <f t="shared" si="22"/>
        <v>-124537.94</v>
      </c>
      <c r="I52" s="120">
        <f t="shared" si="22"/>
        <v>-38312.769999999997</v>
      </c>
      <c r="J52" s="120">
        <f t="shared" si="22"/>
        <v>-96952.36</v>
      </c>
      <c r="K52" s="120">
        <f t="shared" si="22"/>
        <v>-236460.17</v>
      </c>
      <c r="L52" s="120">
        <f t="shared" si="22"/>
        <v>-239045.78</v>
      </c>
      <c r="M52" s="120">
        <f>+M53*M58/Fuel_Units</f>
        <v>-319763.94706816756</v>
      </c>
      <c r="N52" s="120">
        <f>+N53*N58/Fuel_Units</f>
        <v>-425819.96187317889</v>
      </c>
      <c r="O52" s="120">
        <f>+O53*O58/Fuel_Units</f>
        <v>-492277.28564021614</v>
      </c>
      <c r="P52" s="120">
        <f>+P53*P58/Fuel_Units</f>
        <v>-546422.1122059481</v>
      </c>
    </row>
    <row r="53" spans="2:16" ht="15.6" outlineLevel="1" x14ac:dyDescent="0.3">
      <c r="B53" s="69"/>
      <c r="C53" s="81" t="s">
        <v>379</v>
      </c>
      <c r="D53" s="82" t="s">
        <v>475</v>
      </c>
      <c r="E53" s="120">
        <f>+OS!B39*OS!$C$59</f>
        <v>62500</v>
      </c>
      <c r="F53" s="120">
        <f>+OS!C39*OS!$C$59</f>
        <v>68750</v>
      </c>
      <c r="G53" s="120">
        <f>+OS!D39*OS!$C$59</f>
        <v>85000</v>
      </c>
      <c r="H53" s="120">
        <f>+OS!E39*OS!$C$59</f>
        <v>81250</v>
      </c>
      <c r="I53" s="120">
        <f>+OS!F39*OS!$C$59</f>
        <v>57500</v>
      </c>
      <c r="J53" s="120">
        <f>+OS!G39*OS!$C$59</f>
        <v>87500</v>
      </c>
      <c r="K53" s="120">
        <f>+OS!H39*OS!$C$59</f>
        <v>147500</v>
      </c>
      <c r="L53" s="120">
        <f>+OS!I39*OS!$C$59</f>
        <v>127500</v>
      </c>
      <c r="M53" s="298">
        <f>INDEX(M54:M56,MATCH(Scenario,$C$24:$C$26,0))</f>
        <v>150578.4515</v>
      </c>
      <c r="N53" s="298">
        <f>INDEX(N54:N56,MATCH(Scenario,$C$24:$C$26,0))</f>
        <v>183028.1832</v>
      </c>
      <c r="O53" s="298">
        <f>INDEX(O54:O56,MATCH(Scenario,$C$24:$C$26,0))</f>
        <v>196979.75169999999</v>
      </c>
      <c r="P53" s="298">
        <f>INDEX(P54:P56,MATCH(Scenario,$C$24:$C$26,0))</f>
        <v>207191.76070000001</v>
      </c>
    </row>
    <row r="54" spans="2:16" ht="15.6" outlineLevel="1" x14ac:dyDescent="0.3">
      <c r="B54" s="69"/>
      <c r="C54" s="86" t="str">
        <f>$C$24</f>
        <v>Base</v>
      </c>
      <c r="D54" s="82" t="s">
        <v>475</v>
      </c>
      <c r="E54" s="122"/>
      <c r="F54" s="122"/>
      <c r="G54" s="122"/>
      <c r="H54" s="122"/>
      <c r="I54" s="122"/>
      <c r="J54" s="122"/>
      <c r="K54" s="118"/>
      <c r="L54" s="118"/>
      <c r="M54" s="297">
        <v>150578.4515</v>
      </c>
      <c r="N54" s="297">
        <v>183028.1832</v>
      </c>
      <c r="O54" s="297">
        <v>196979.75169999999</v>
      </c>
      <c r="P54" s="297">
        <v>207191.76070000001</v>
      </c>
    </row>
    <row r="55" spans="2:16" ht="15.6" outlineLevel="1" x14ac:dyDescent="0.3">
      <c r="B55" s="69"/>
      <c r="C55" s="86" t="str">
        <f>$C$25</f>
        <v>Optimistic Case</v>
      </c>
      <c r="D55" s="82" t="s">
        <v>475</v>
      </c>
      <c r="E55" s="122"/>
      <c r="F55" s="122"/>
      <c r="G55" s="122"/>
      <c r="H55" s="122"/>
      <c r="I55" s="122"/>
      <c r="J55" s="122"/>
      <c r="K55" s="118"/>
      <c r="L55" s="118"/>
      <c r="M55" s="297">
        <v>181534.44639999999</v>
      </c>
      <c r="N55" s="297">
        <v>200412.90059999999</v>
      </c>
      <c r="O55" s="297">
        <v>214165.68429999999</v>
      </c>
      <c r="P55" s="297">
        <v>224793.14490000001</v>
      </c>
    </row>
    <row r="56" spans="2:16" ht="15.6" outlineLevel="1" x14ac:dyDescent="0.3">
      <c r="B56" s="69"/>
      <c r="C56" s="86" t="str">
        <f>$C$26</f>
        <v>Conservative Case</v>
      </c>
      <c r="D56" s="82" t="s">
        <v>475</v>
      </c>
      <c r="E56" s="122"/>
      <c r="F56" s="122"/>
      <c r="G56" s="122"/>
      <c r="H56" s="122"/>
      <c r="I56" s="122"/>
      <c r="J56" s="122"/>
      <c r="K56" s="118"/>
      <c r="L56" s="118"/>
      <c r="M56" s="297">
        <v>147015.9498</v>
      </c>
      <c r="N56" s="297">
        <v>165616.99540000001</v>
      </c>
      <c r="O56" s="297">
        <v>179978.53390000001</v>
      </c>
      <c r="P56" s="297">
        <v>189070.73860000001</v>
      </c>
    </row>
    <row r="57" spans="2:16" ht="15.6" outlineLevel="1" x14ac:dyDescent="0.3">
      <c r="B57" s="69"/>
      <c r="C57" s="81"/>
      <c r="D57" s="82"/>
      <c r="E57" s="122"/>
      <c r="F57" s="122"/>
      <c r="G57" s="122"/>
      <c r="H57" s="122"/>
      <c r="I57" s="122"/>
      <c r="J57" s="122"/>
      <c r="K57" s="118"/>
      <c r="L57" s="118"/>
      <c r="M57" s="118"/>
      <c r="N57" s="118"/>
      <c r="O57" s="118"/>
    </row>
    <row r="58" spans="2:16" ht="15.6" outlineLevel="1" x14ac:dyDescent="0.3">
      <c r="B58" s="69"/>
      <c r="C58" s="81" t="s">
        <v>380</v>
      </c>
      <c r="D58" s="90" t="s">
        <v>381</v>
      </c>
      <c r="E58" s="123">
        <f t="shared" ref="E58:L58" si="23">+E52/E53*Fuel_Units</f>
        <v>-1014642.08</v>
      </c>
      <c r="F58" s="123">
        <f t="shared" si="23"/>
        <v>-1128747.0545454544</v>
      </c>
      <c r="G58" s="123">
        <f t="shared" si="23"/>
        <v>-1405034.4705882352</v>
      </c>
      <c r="H58" s="123">
        <f t="shared" si="23"/>
        <v>-1532774.6461538463</v>
      </c>
      <c r="I58" s="123">
        <f t="shared" si="23"/>
        <v>-666309.04347826086</v>
      </c>
      <c r="J58" s="123">
        <f t="shared" si="23"/>
        <v>-1108026.9714285715</v>
      </c>
      <c r="K58" s="123">
        <f t="shared" si="23"/>
        <v>-1603119.7966101696</v>
      </c>
      <c r="L58" s="123">
        <f t="shared" si="23"/>
        <v>-1874868.8627450981</v>
      </c>
      <c r="M58" s="123">
        <f>-M59*M22</f>
        <v>-2123570.4304487919</v>
      </c>
      <c r="N58" s="123">
        <f t="shared" ref="N58:P58" si="24">-N59*N22</f>
        <v>-2326526.7371849152</v>
      </c>
      <c r="O58" s="123">
        <f t="shared" si="24"/>
        <v>-2499126.3385789725</v>
      </c>
      <c r="P58" s="123">
        <f t="shared" si="24"/>
        <v>-2637277.2274334366</v>
      </c>
    </row>
    <row r="59" spans="2:16" ht="15.6" outlineLevel="1" x14ac:dyDescent="0.3">
      <c r="B59" s="69"/>
      <c r="C59" s="81" t="s">
        <v>382</v>
      </c>
      <c r="D59" s="82" t="s">
        <v>383</v>
      </c>
      <c r="E59" s="305">
        <f>+E58/E22</f>
        <v>-18.5889760548156</v>
      </c>
      <c r="F59" s="305">
        <f t="shared" ref="F59:K59" si="25">+F58/F22</f>
        <v>-17.772745308541246</v>
      </c>
      <c r="G59" s="305">
        <f t="shared" si="25"/>
        <v>-17.34267886082052</v>
      </c>
      <c r="H59" s="305">
        <f t="shared" si="25"/>
        <v>-15.916662992251778</v>
      </c>
      <c r="I59" s="305">
        <f t="shared" si="25"/>
        <v>-14.653494391551996</v>
      </c>
      <c r="J59" s="305">
        <f t="shared" si="25"/>
        <v>-15.739019480519481</v>
      </c>
      <c r="K59" s="305">
        <f t="shared" si="25"/>
        <v>-14.013284935403581</v>
      </c>
      <c r="L59" s="305">
        <f>+L58/L22</f>
        <v>-13.459216530833439</v>
      </c>
      <c r="M59" s="297">
        <v>13.178887</v>
      </c>
      <c r="N59" s="297">
        <v>12.711994000000001</v>
      </c>
      <c r="O59" s="297">
        <v>12.238739000000001</v>
      </c>
      <c r="P59" s="297">
        <v>11.741175</v>
      </c>
    </row>
    <row r="60" spans="2:16" ht="15.6" outlineLevel="1" x14ac:dyDescent="0.3">
      <c r="B60" s="69"/>
      <c r="C60" s="81"/>
      <c r="D60" s="82"/>
      <c r="E60" s="122"/>
      <c r="F60" s="122"/>
      <c r="G60" s="122"/>
      <c r="H60" s="122"/>
      <c r="I60" s="122"/>
      <c r="J60" s="122"/>
      <c r="K60" s="118"/>
      <c r="L60" s="118"/>
      <c r="M60" s="124"/>
      <c r="N60" s="124"/>
      <c r="O60" s="124"/>
      <c r="P60" s="124"/>
    </row>
    <row r="61" spans="2:16" ht="15.6" outlineLevel="1" x14ac:dyDescent="0.3">
      <c r="B61" s="69"/>
      <c r="C61" s="81" t="s">
        <v>384</v>
      </c>
      <c r="D61" s="82" t="s">
        <v>385</v>
      </c>
      <c r="E61" s="415">
        <f t="shared" ref="E61:P61" si="26">+E52/E22*Units</f>
        <v>-1.161811003425975</v>
      </c>
      <c r="F61" s="415">
        <f t="shared" si="26"/>
        <v>-1.2218762399622107</v>
      </c>
      <c r="G61" s="415">
        <f t="shared" si="26"/>
        <v>-1.4741277031697442</v>
      </c>
      <c r="H61" s="415">
        <f t="shared" si="26"/>
        <v>-1.2932288681204569</v>
      </c>
      <c r="I61" s="415">
        <f t="shared" si="26"/>
        <v>-0.84257592751423982</v>
      </c>
      <c r="J61" s="415">
        <f t="shared" si="26"/>
        <v>-1.3771642045454546</v>
      </c>
      <c r="K61" s="415">
        <f t="shared" si="26"/>
        <v>-2.0669595279720281</v>
      </c>
      <c r="L61" s="415">
        <f t="shared" si="26"/>
        <v>-1.7160501076812635</v>
      </c>
      <c r="M61" s="415">
        <f t="shared" si="26"/>
        <v>-1.9844563969534805</v>
      </c>
      <c r="N61" s="415">
        <f t="shared" si="26"/>
        <v>-2.3266531666693009</v>
      </c>
      <c r="O61" s="415">
        <f t="shared" si="26"/>
        <v>-2.4107837693411063</v>
      </c>
      <c r="P61" s="415">
        <f t="shared" si="26"/>
        <v>-2.4326747209368227</v>
      </c>
    </row>
    <row r="62" spans="2:16" ht="15.6" outlineLevel="1" x14ac:dyDescent="0.3">
      <c r="B62" s="69"/>
      <c r="C62" s="81"/>
      <c r="D62" s="82"/>
      <c r="E62" s="122"/>
      <c r="F62" s="122"/>
      <c r="G62" s="122"/>
      <c r="H62" s="122"/>
      <c r="I62" s="122"/>
      <c r="J62" s="122"/>
      <c r="K62" s="118"/>
      <c r="L62" s="118"/>
      <c r="M62" s="118"/>
      <c r="N62" s="118"/>
      <c r="O62" s="118"/>
    </row>
    <row r="63" spans="2:16" ht="15.6" outlineLevel="1" x14ac:dyDescent="0.3">
      <c r="B63" s="69"/>
      <c r="C63" s="81" t="s">
        <v>386</v>
      </c>
      <c r="D63" s="82" t="s">
        <v>385</v>
      </c>
      <c r="E63" s="125">
        <f t="shared" ref="E63:L63" si="27">+E130/E22*Units</f>
        <v>-0.59527783375776344</v>
      </c>
      <c r="F63" s="125">
        <f t="shared" si="27"/>
        <v>-0.58795071642261065</v>
      </c>
      <c r="G63" s="125">
        <f t="shared" si="27"/>
        <v>-0.79610953391922579</v>
      </c>
      <c r="H63" s="125">
        <f t="shared" si="27"/>
        <v>-0.37271536863966775</v>
      </c>
      <c r="I63" s="125">
        <f t="shared" si="27"/>
        <v>-0.41638428888742274</v>
      </c>
      <c r="J63" s="125">
        <f t="shared" si="27"/>
        <v>-0.38588963068181814</v>
      </c>
      <c r="K63" s="125">
        <f t="shared" si="27"/>
        <v>-0.37236748251748253</v>
      </c>
      <c r="L63" s="125">
        <f t="shared" si="27"/>
        <v>-0.43330933237616659</v>
      </c>
      <c r="M63" s="389">
        <v>-0.433</v>
      </c>
      <c r="N63" s="389">
        <v>-0.38588963068181797</v>
      </c>
      <c r="O63" s="389">
        <v>-0.433</v>
      </c>
      <c r="P63" s="389">
        <v>-0.37236748251748297</v>
      </c>
    </row>
    <row r="64" spans="2:16" ht="15.6" outlineLevel="1" x14ac:dyDescent="0.3">
      <c r="B64" s="69"/>
      <c r="C64" s="81" t="s">
        <v>576</v>
      </c>
      <c r="D64" s="82" t="s">
        <v>385</v>
      </c>
      <c r="E64" s="125">
        <f t="shared" ref="E64:L64" si="28">+E138/E22*Units</f>
        <v>-8.3772053569792782E-2</v>
      </c>
      <c r="F64" s="125">
        <f t="shared" si="28"/>
        <v>-6.8788694693749028E-2</v>
      </c>
      <c r="G64" s="125">
        <f t="shared" si="28"/>
        <v>-9.3756788782462727E-2</v>
      </c>
      <c r="H64" s="125">
        <f t="shared" si="28"/>
        <v>-0.41266137071651093</v>
      </c>
      <c r="I64" s="125">
        <f t="shared" si="28"/>
        <v>-1.033503991555057</v>
      </c>
      <c r="J64" s="125">
        <f t="shared" si="28"/>
        <v>-0.71997159090909091</v>
      </c>
      <c r="K64" s="125">
        <f t="shared" si="28"/>
        <v>-0.44606372377622378</v>
      </c>
      <c r="L64" s="125">
        <f t="shared" si="28"/>
        <v>-0.46128707824838477</v>
      </c>
      <c r="M64" s="389">
        <v>-0.49155354785562999</v>
      </c>
      <c r="N64" s="389">
        <v>-0.51153468757545995</v>
      </c>
      <c r="O64" s="389">
        <v>-0.50039198048639599</v>
      </c>
      <c r="P64" s="389">
        <v>-0.52004771492229995</v>
      </c>
    </row>
    <row r="65" spans="2:16" ht="15.6" outlineLevel="1" x14ac:dyDescent="0.3">
      <c r="B65" s="69"/>
      <c r="C65" s="299" t="s">
        <v>481</v>
      </c>
      <c r="D65" s="82" t="s">
        <v>385</v>
      </c>
      <c r="E65" s="125">
        <f t="shared" ref="E65:L68" si="29">+E131/E$22*Units</f>
        <v>0</v>
      </c>
      <c r="F65" s="125">
        <f t="shared" si="29"/>
        <v>0</v>
      </c>
      <c r="G65" s="125">
        <f t="shared" si="29"/>
        <v>-0.45447874493927132</v>
      </c>
      <c r="H65" s="125">
        <f t="shared" si="29"/>
        <v>-0.60926656282450675</v>
      </c>
      <c r="I65" s="125">
        <f t="shared" si="29"/>
        <v>-0.92174352884255895</v>
      </c>
      <c r="J65" s="125">
        <f t="shared" si="29"/>
        <v>-0.86502613636363634</v>
      </c>
      <c r="K65" s="125">
        <f t="shared" si="29"/>
        <v>-0.70323076923076933</v>
      </c>
      <c r="L65" s="125">
        <f t="shared" si="29"/>
        <v>-0.71296654702081841</v>
      </c>
      <c r="M65" s="389">
        <v>-0.70009999999999994</v>
      </c>
      <c r="N65" s="389">
        <v>-0.75</v>
      </c>
      <c r="O65" s="389">
        <v>-0.7</v>
      </c>
      <c r="P65" s="389">
        <v>-0.9</v>
      </c>
    </row>
    <row r="66" spans="2:16" ht="15.6" outlineLevel="1" x14ac:dyDescent="0.3">
      <c r="B66" s="69"/>
      <c r="C66" s="299" t="s">
        <v>25</v>
      </c>
      <c r="D66" s="82" t="s">
        <v>385</v>
      </c>
      <c r="E66" s="125">
        <f t="shared" si="29"/>
        <v>-0.37524320759210744</v>
      </c>
      <c r="F66" s="125">
        <f t="shared" si="29"/>
        <v>-0.38655676271453315</v>
      </c>
      <c r="G66" s="125">
        <f t="shared" si="29"/>
        <v>-0.39628678285770713</v>
      </c>
      <c r="H66" s="125">
        <f t="shared" si="29"/>
        <v>-0.48909231568016609</v>
      </c>
      <c r="I66" s="125">
        <f t="shared" si="29"/>
        <v>-0.72474588199071932</v>
      </c>
      <c r="J66" s="125">
        <f t="shared" si="29"/>
        <v>-0.49523338068181816</v>
      </c>
      <c r="K66" s="125">
        <f t="shared" si="29"/>
        <v>-0.41912167832167829</v>
      </c>
      <c r="L66" s="125">
        <f t="shared" si="29"/>
        <v>-0.46388054558506819</v>
      </c>
      <c r="M66" s="389">
        <v>-0.43928213789908099</v>
      </c>
      <c r="N66" s="389">
        <v>-0.45266785103406898</v>
      </c>
      <c r="O66" s="389">
        <v>-0.44766626558205203</v>
      </c>
      <c r="P66" s="389">
        <v>-0.40450889693648401</v>
      </c>
    </row>
    <row r="67" spans="2:16" ht="15.6" outlineLevel="1" x14ac:dyDescent="0.3">
      <c r="B67" s="69"/>
      <c r="C67" s="299" t="s">
        <v>28</v>
      </c>
      <c r="D67" s="82" t="s">
        <v>385</v>
      </c>
      <c r="E67" s="125">
        <f t="shared" si="29"/>
        <v>0</v>
      </c>
      <c r="F67" s="125">
        <f t="shared" si="29"/>
        <v>0</v>
      </c>
      <c r="G67" s="125">
        <f t="shared" si="29"/>
        <v>-5.7703046311839638E-2</v>
      </c>
      <c r="H67" s="125">
        <f t="shared" si="29"/>
        <v>-0.1605596053997923</v>
      </c>
      <c r="I67" s="125">
        <f t="shared" si="29"/>
        <v>0.11502408128257571</v>
      </c>
      <c r="J67" s="125">
        <f t="shared" si="29"/>
        <v>-0.13364176136363634</v>
      </c>
      <c r="K67" s="125">
        <f t="shared" si="29"/>
        <v>-0.25872141608391608</v>
      </c>
      <c r="L67" s="125">
        <f t="shared" si="29"/>
        <v>-5.1500143575017948E-2</v>
      </c>
      <c r="M67" s="389">
        <v>-0.15442202077733599</v>
      </c>
      <c r="N67" s="389">
        <v>-0.191955310111775</v>
      </c>
      <c r="O67" s="389">
        <v>-0.23039090766659301</v>
      </c>
      <c r="P67" s="389">
        <v>-0.30107660480236198</v>
      </c>
    </row>
    <row r="68" spans="2:16" ht="15.6" outlineLevel="1" x14ac:dyDescent="0.3">
      <c r="B68" s="69"/>
      <c r="C68" s="81" t="s">
        <v>577</v>
      </c>
      <c r="D68" s="82" t="s">
        <v>385</v>
      </c>
      <c r="E68" s="125">
        <f t="shared" si="29"/>
        <v>-0.87914259018375684</v>
      </c>
      <c r="F68" s="125">
        <f t="shared" si="29"/>
        <v>-0.96267139033223115</v>
      </c>
      <c r="G68" s="125">
        <f t="shared" si="29"/>
        <v>-0.36391046213093708</v>
      </c>
      <c r="H68" s="125">
        <f t="shared" si="29"/>
        <v>-0.36697860851505715</v>
      </c>
      <c r="I68" s="125">
        <f t="shared" si="29"/>
        <v>-0.42013811000417844</v>
      </c>
      <c r="J68" s="125">
        <f t="shared" si="29"/>
        <v>-0.34890724431818182</v>
      </c>
      <c r="K68" s="125">
        <f t="shared" si="29"/>
        <v>-0.37123784965034967</v>
      </c>
      <c r="L68" s="125">
        <f t="shared" si="29"/>
        <v>-0.39697824838478102</v>
      </c>
      <c r="M68" s="389">
        <v>-7.4949910686262E-2</v>
      </c>
      <c r="N68" s="389">
        <v>-7.1729214736544505E-2</v>
      </c>
      <c r="O68" s="389">
        <v>-7.8167105501155895E-2</v>
      </c>
      <c r="P68" s="389">
        <v>-0.10172018587797815</v>
      </c>
    </row>
    <row r="69" spans="2:16" ht="15.6" outlineLevel="1" x14ac:dyDescent="0.3">
      <c r="B69" s="69"/>
      <c r="C69" s="81"/>
      <c r="D69" s="82"/>
      <c r="E69" s="122"/>
      <c r="F69" s="122"/>
      <c r="G69" s="122"/>
      <c r="H69" s="122"/>
      <c r="I69" s="122"/>
      <c r="J69" s="122"/>
      <c r="K69" s="118"/>
      <c r="L69" s="118"/>
      <c r="M69" s="301"/>
      <c r="N69" s="301"/>
      <c r="O69" s="301"/>
      <c r="P69" s="302"/>
    </row>
    <row r="70" spans="2:16" ht="15.6" outlineLevel="1" x14ac:dyDescent="0.3">
      <c r="B70" s="69"/>
      <c r="C70" s="81" t="s">
        <v>579</v>
      </c>
      <c r="D70" s="82" t="s">
        <v>385</v>
      </c>
      <c r="E70" s="125">
        <f t="shared" ref="E70:L70" si="30">+E141/E22*Units</f>
        <v>-6.0601286114724366E-2</v>
      </c>
      <c r="F70" s="125">
        <f t="shared" si="30"/>
        <v>-5.3505747126436784E-2</v>
      </c>
      <c r="G70" s="125">
        <f t="shared" si="30"/>
        <v>-6.282252888318357E-2</v>
      </c>
      <c r="H70" s="125">
        <f t="shared" si="30"/>
        <v>-5.3107061266874339E-2</v>
      </c>
      <c r="I70" s="125">
        <f t="shared" si="30"/>
        <v>-0.11486353939873768</v>
      </c>
      <c r="J70" s="125">
        <f t="shared" si="30"/>
        <v>-5.7695312499999998E-2</v>
      </c>
      <c r="K70" s="125">
        <f t="shared" si="30"/>
        <v>-4.3511013986013987E-2</v>
      </c>
      <c r="L70" s="125">
        <f t="shared" si="30"/>
        <v>-4.9751687006460904E-2</v>
      </c>
      <c r="M70" s="389">
        <v>-0.42591805547536299</v>
      </c>
      <c r="N70" s="389">
        <v>-0.42591805547536299</v>
      </c>
      <c r="O70" s="389">
        <v>-0.42591805547536299</v>
      </c>
      <c r="P70" s="389">
        <v>-0.42591805547536299</v>
      </c>
    </row>
    <row r="71" spans="2:16" ht="15.6" outlineLevel="1" x14ac:dyDescent="0.3">
      <c r="B71" s="69"/>
      <c r="C71" s="81" t="s">
        <v>690</v>
      </c>
      <c r="D71" s="82" t="s">
        <v>385</v>
      </c>
      <c r="E71" s="125">
        <f t="shared" ref="E71:L71" si="31">+E142/E22</f>
        <v>0</v>
      </c>
      <c r="F71" s="125">
        <f t="shared" si="31"/>
        <v>0</v>
      </c>
      <c r="G71" s="125">
        <f t="shared" si="31"/>
        <v>0</v>
      </c>
      <c r="H71" s="125">
        <f t="shared" si="31"/>
        <v>-0.14168743509865006</v>
      </c>
      <c r="I71" s="125">
        <f t="shared" si="31"/>
        <v>-0.35620219480548043</v>
      </c>
      <c r="J71" s="125">
        <f t="shared" si="31"/>
        <v>-0.27725</v>
      </c>
      <c r="K71" s="125">
        <f t="shared" si="31"/>
        <v>-0.23024169580419582</v>
      </c>
      <c r="L71" s="125">
        <f t="shared" si="31"/>
        <v>-0.24955585068198133</v>
      </c>
      <c r="M71" s="389">
        <v>-0.24</v>
      </c>
      <c r="N71" s="389">
        <v>-0.23</v>
      </c>
      <c r="O71" s="389">
        <v>-0.22</v>
      </c>
      <c r="P71" s="389">
        <v>-0.21</v>
      </c>
    </row>
    <row r="72" spans="2:16" ht="15.6" outlineLevel="1" x14ac:dyDescent="0.3">
      <c r="B72" s="69"/>
      <c r="C72" s="81"/>
      <c r="D72" s="82"/>
      <c r="E72" s="122"/>
      <c r="F72" s="122"/>
      <c r="G72" s="122"/>
      <c r="H72" s="122"/>
      <c r="I72" s="122"/>
      <c r="J72" s="122"/>
      <c r="K72" s="118"/>
      <c r="L72" s="118"/>
      <c r="M72" s="118"/>
      <c r="N72" s="118"/>
      <c r="O72" s="118"/>
    </row>
    <row r="73" spans="2:16" ht="15.6" outlineLevel="1" x14ac:dyDescent="0.3">
      <c r="B73" s="69"/>
      <c r="C73" s="81" t="s">
        <v>578</v>
      </c>
      <c r="D73" s="82" t="s">
        <v>367</v>
      </c>
      <c r="E73" s="423">
        <f>+E144/E143</f>
        <v>-0.22628305437720492</v>
      </c>
      <c r="F73" s="423">
        <f t="shared" ref="F73:L73" si="32">+F144/F143</f>
        <v>-0.28271532393062199</v>
      </c>
      <c r="G73" s="423">
        <f t="shared" si="32"/>
        <v>-2.0578181891875134</v>
      </c>
      <c r="H73" s="423">
        <f t="shared" si="32"/>
        <v>-8.4998569893554615E-2</v>
      </c>
      <c r="I73" s="423">
        <f t="shared" si="32"/>
        <v>-2.0204463688884232E-3</v>
      </c>
      <c r="J73" s="423">
        <f t="shared" si="32"/>
        <v>1.3258361288639286E-3</v>
      </c>
      <c r="K73" s="423">
        <f t="shared" si="32"/>
        <v>4.5938049072569509E-3</v>
      </c>
      <c r="L73" s="423">
        <f t="shared" si="32"/>
        <v>1.5290291318666733E-2</v>
      </c>
      <c r="M73" s="119">
        <v>-1.5290291318666733E-2</v>
      </c>
      <c r="N73" s="119">
        <v>-0.15396666949377646</v>
      </c>
      <c r="O73" s="119">
        <v>-0.33590802226723904</v>
      </c>
      <c r="P73" s="119">
        <v>-0.230025142264043</v>
      </c>
    </row>
    <row r="74" spans="2:16" ht="15.6" x14ac:dyDescent="0.3">
      <c r="B74" s="69"/>
      <c r="C74" s="81"/>
      <c r="D74" s="82"/>
      <c r="E74" s="122"/>
      <c r="F74" s="122"/>
      <c r="G74" s="122"/>
      <c r="H74" s="122"/>
      <c r="I74" s="122"/>
      <c r="J74" s="122"/>
      <c r="K74" s="118"/>
      <c r="L74" s="118"/>
      <c r="M74" s="118"/>
      <c r="N74" s="118"/>
      <c r="O74" s="118"/>
    </row>
    <row r="75" spans="2:16" ht="15.6" outlineLevel="1" x14ac:dyDescent="0.3">
      <c r="B75" s="87" t="s">
        <v>387</v>
      </c>
      <c r="C75" s="88"/>
      <c r="D75" s="89"/>
      <c r="E75" s="121">
        <f t="shared" ref="E75:P75" si="33">E$20</f>
        <v>42825</v>
      </c>
      <c r="F75" s="121">
        <f t="shared" si="33"/>
        <v>43190</v>
      </c>
      <c r="G75" s="121">
        <f t="shared" si="33"/>
        <v>43555</v>
      </c>
      <c r="H75" s="121">
        <f t="shared" si="33"/>
        <v>43921</v>
      </c>
      <c r="I75" s="121">
        <f t="shared" si="33"/>
        <v>44286</v>
      </c>
      <c r="J75" s="121">
        <f t="shared" si="33"/>
        <v>44651</v>
      </c>
      <c r="K75" s="121">
        <f t="shared" si="33"/>
        <v>45016</v>
      </c>
      <c r="L75" s="121">
        <f t="shared" si="33"/>
        <v>45382</v>
      </c>
      <c r="M75" s="121">
        <f t="shared" si="33"/>
        <v>45747</v>
      </c>
      <c r="N75" s="121">
        <f t="shared" si="33"/>
        <v>46112</v>
      </c>
      <c r="O75" s="121">
        <f t="shared" si="33"/>
        <v>46477</v>
      </c>
      <c r="P75" s="121">
        <f t="shared" si="33"/>
        <v>46843</v>
      </c>
    </row>
    <row r="76" spans="2:16" ht="15.6" outlineLevel="1" x14ac:dyDescent="0.3">
      <c r="B76" s="69"/>
      <c r="C76" s="83"/>
      <c r="D76" s="82"/>
      <c r="E76" s="122"/>
      <c r="F76" s="122"/>
      <c r="G76" s="122"/>
      <c r="H76" s="122"/>
      <c r="I76" s="122"/>
      <c r="J76" s="122"/>
      <c r="K76" s="118"/>
      <c r="L76" s="118"/>
      <c r="M76" s="118"/>
      <c r="N76" s="118"/>
      <c r="O76" s="118"/>
    </row>
    <row r="77" spans="2:16" ht="15.6" outlineLevel="1" x14ac:dyDescent="0.3">
      <c r="B77" s="69"/>
      <c r="C77" s="81" t="s">
        <v>388</v>
      </c>
      <c r="D77" s="82" t="s">
        <v>367</v>
      </c>
      <c r="E77" s="117"/>
      <c r="F77" s="423">
        <f t="shared" ref="F77:L77" si="34">+F167/E126</f>
        <v>1.1684048742434654E-2</v>
      </c>
      <c r="G77" s="423">
        <f t="shared" si="34"/>
        <v>1.5123117767075523E-2</v>
      </c>
      <c r="H77" s="423">
        <f t="shared" si="34"/>
        <v>8.6989967261732123E-3</v>
      </c>
      <c r="I77" s="423">
        <f t="shared" si="34"/>
        <v>5.8720604234046838E-3</v>
      </c>
      <c r="J77" s="423">
        <f t="shared" si="34"/>
        <v>2.1235591300834088E-2</v>
      </c>
      <c r="K77" s="423">
        <f t="shared" si="34"/>
        <v>1.9503817545610314E-2</v>
      </c>
      <c r="L77" s="423">
        <f t="shared" si="34"/>
        <v>1.1497972367129265E-2</v>
      </c>
      <c r="M77" s="380">
        <v>0.01</v>
      </c>
      <c r="N77" s="380">
        <v>0.01</v>
      </c>
      <c r="O77" s="380">
        <v>0.01</v>
      </c>
      <c r="P77" s="380">
        <v>0.01</v>
      </c>
    </row>
    <row r="78" spans="2:16" ht="15.6" outlineLevel="1" x14ac:dyDescent="0.3">
      <c r="B78" s="69"/>
      <c r="C78" s="81" t="s">
        <v>597</v>
      </c>
      <c r="D78" s="82" t="s">
        <v>367</v>
      </c>
      <c r="E78" s="117"/>
      <c r="F78" s="424">
        <f t="shared" ref="F78:L78" si="35">+F168/E135</f>
        <v>-1.114686803347364E-2</v>
      </c>
      <c r="G78" s="424">
        <f t="shared" si="35"/>
        <v>-1.0538769094139162E-2</v>
      </c>
      <c r="H78" s="424">
        <f t="shared" si="35"/>
        <v>-9.9693179925618974E-3</v>
      </c>
      <c r="I78" s="424">
        <f t="shared" si="35"/>
        <v>-9.9815043530006153E-3</v>
      </c>
      <c r="J78" s="424">
        <f t="shared" si="35"/>
        <v>-2.7951906032528527E-2</v>
      </c>
      <c r="K78" s="424">
        <f t="shared" si="35"/>
        <v>-2.3283856217252912E-2</v>
      </c>
      <c r="L78" s="425">
        <f t="shared" si="35"/>
        <v>-1.3029560367504014E-2</v>
      </c>
      <c r="M78" s="380">
        <v>-1.4999999999999999E-2</v>
      </c>
      <c r="N78" s="380">
        <v>-1.2E-2</v>
      </c>
      <c r="O78" s="380">
        <v>-1.0999999999999999E-2</v>
      </c>
      <c r="P78" s="380">
        <v>-0.01</v>
      </c>
    </row>
    <row r="79" spans="2:16" ht="15.6" outlineLevel="1" x14ac:dyDescent="0.3">
      <c r="B79" s="69"/>
      <c r="C79" s="81" t="s">
        <v>715</v>
      </c>
      <c r="D79" s="82" t="s">
        <v>367</v>
      </c>
      <c r="E79" s="117"/>
      <c r="F79" s="423">
        <f>+F185/E135</f>
        <v>-0.1582779580292224</v>
      </c>
      <c r="G79" s="423">
        <f t="shared" ref="G79:L79" si="36">+G185/F135</f>
        <v>-0.25859706340362448</v>
      </c>
      <c r="H79" s="423">
        <f t="shared" si="36"/>
        <v>-9.345922038573061E-3</v>
      </c>
      <c r="I79" s="423">
        <f t="shared" si="36"/>
        <v>-6.9598420614583427E-3</v>
      </c>
      <c r="J79" s="423">
        <f t="shared" si="36"/>
        <v>-1.1852175877475571E-2</v>
      </c>
      <c r="K79" s="423">
        <f t="shared" si="36"/>
        <v>-4.9407784537734501E-3</v>
      </c>
      <c r="L79" s="423">
        <f t="shared" si="36"/>
        <v>-1.6228402751590034E-3</v>
      </c>
      <c r="M79" s="119">
        <v>1E-3</v>
      </c>
      <c r="N79" s="119">
        <v>1E-3</v>
      </c>
      <c r="O79" s="119">
        <v>1E-3</v>
      </c>
      <c r="P79" s="119">
        <v>1E-3</v>
      </c>
    </row>
    <row r="80" spans="2:16" ht="15.6" outlineLevel="1" x14ac:dyDescent="0.3">
      <c r="B80" s="69"/>
      <c r="C80" s="81"/>
      <c r="D80" s="82"/>
      <c r="E80" s="117"/>
      <c r="F80" s="423"/>
      <c r="G80" s="423"/>
      <c r="H80" s="423"/>
      <c r="I80" s="423"/>
      <c r="J80" s="423"/>
      <c r="K80" s="423"/>
      <c r="L80" s="423"/>
      <c r="M80" s="336"/>
      <c r="N80" s="336"/>
      <c r="O80" s="336"/>
      <c r="P80" s="336"/>
    </row>
    <row r="81" spans="2:16" ht="15.6" outlineLevel="1" x14ac:dyDescent="0.3">
      <c r="B81" s="69"/>
      <c r="C81" s="81" t="s">
        <v>696</v>
      </c>
      <c r="D81" s="82" t="s">
        <v>367</v>
      </c>
      <c r="E81" s="117"/>
      <c r="F81" s="423">
        <f>+F160/E126</f>
        <v>-0.10601298841430126</v>
      </c>
      <c r="G81" s="423">
        <f t="shared" ref="G81:L81" si="37">+G160/F126</f>
        <v>0.15139894482346561</v>
      </c>
      <c r="H81" s="423">
        <f t="shared" si="37"/>
        <v>0.14299812516997043</v>
      </c>
      <c r="I81" s="423">
        <f t="shared" si="37"/>
        <v>0.13569533655247532</v>
      </c>
      <c r="J81" s="423">
        <f t="shared" si="37"/>
        <v>0.35630331055241554</v>
      </c>
      <c r="K81" s="423">
        <f t="shared" si="37"/>
        <v>0.26217310771002572</v>
      </c>
      <c r="L81" s="423">
        <f t="shared" si="37"/>
        <v>0.22387472343668871</v>
      </c>
      <c r="M81" s="117">
        <f>INDEX(M82:M84,MATCH(Scenario,$C$24:$C$26,0))</f>
        <v>0.2</v>
      </c>
      <c r="N81" s="117">
        <f>INDEX(N82:N84,MATCH(Scenario,$C$24:$C$26,0))</f>
        <v>0.185</v>
      </c>
      <c r="O81" s="117">
        <f>INDEX(O82:O84,MATCH(Scenario,$C$24:$C$26,0))</f>
        <v>0.13500000000000001</v>
      </c>
      <c r="P81" s="117">
        <f>INDEX(P82:P84,MATCH(Scenario,$C$24:$C$26,0))</f>
        <v>0.115</v>
      </c>
    </row>
    <row r="82" spans="2:16" ht="15.6" outlineLevel="1" x14ac:dyDescent="0.3">
      <c r="B82" s="69"/>
      <c r="C82" s="84" t="str">
        <f>$C$24</f>
        <v>Base</v>
      </c>
      <c r="D82" s="82" t="s">
        <v>367</v>
      </c>
      <c r="E82" s="118"/>
      <c r="F82" s="118"/>
      <c r="G82" s="118"/>
      <c r="H82" s="118"/>
      <c r="I82" s="118"/>
      <c r="J82" s="118"/>
      <c r="K82" s="118"/>
      <c r="L82" s="118"/>
      <c r="M82" s="119">
        <v>0.2</v>
      </c>
      <c r="N82" s="119">
        <v>0.185</v>
      </c>
      <c r="O82" s="119">
        <v>0.13500000000000001</v>
      </c>
      <c r="P82" s="119">
        <v>0.115</v>
      </c>
    </row>
    <row r="83" spans="2:16" ht="15.6" outlineLevel="1" x14ac:dyDescent="0.3">
      <c r="B83" s="69"/>
      <c r="C83" s="84" t="str">
        <f>$C$25</f>
        <v>Optimistic Case</v>
      </c>
      <c r="D83" s="82" t="s">
        <v>367</v>
      </c>
      <c r="E83" s="118"/>
      <c r="F83" s="118"/>
      <c r="G83" s="118"/>
      <c r="H83" s="118"/>
      <c r="I83" s="118"/>
      <c r="J83" s="118"/>
      <c r="K83" s="118"/>
      <c r="L83" s="118"/>
      <c r="M83" s="119">
        <v>0.23</v>
      </c>
      <c r="N83" s="119">
        <v>0.21</v>
      </c>
      <c r="O83" s="119">
        <v>0.19500000000000001</v>
      </c>
      <c r="P83" s="119">
        <v>0.18</v>
      </c>
    </row>
    <row r="84" spans="2:16" ht="15.6" outlineLevel="1" x14ac:dyDescent="0.3">
      <c r="B84" s="69"/>
      <c r="C84" s="84" t="str">
        <f>$C$26</f>
        <v>Conservative Case</v>
      </c>
      <c r="D84" s="82" t="s">
        <v>367</v>
      </c>
      <c r="E84" s="118"/>
      <c r="F84" s="118"/>
      <c r="G84" s="118"/>
      <c r="H84" s="118"/>
      <c r="I84" s="118"/>
      <c r="J84" s="118"/>
      <c r="K84" s="118"/>
      <c r="L84" s="118"/>
      <c r="M84" s="119">
        <v>0.18</v>
      </c>
      <c r="N84" s="119">
        <v>0.15</v>
      </c>
      <c r="O84" s="119">
        <v>0.13</v>
      </c>
      <c r="P84" s="119">
        <v>0.11</v>
      </c>
    </row>
    <row r="85" spans="2:16" ht="15.6" outlineLevel="1" x14ac:dyDescent="0.3">
      <c r="B85" s="69"/>
      <c r="C85" s="81"/>
      <c r="D85" s="82"/>
      <c r="E85" s="126"/>
      <c r="F85" s="126"/>
      <c r="G85" s="126"/>
      <c r="H85" s="126"/>
      <c r="I85" s="126"/>
      <c r="J85" s="126"/>
      <c r="K85" s="126"/>
      <c r="L85" s="126"/>
      <c r="M85" s="126"/>
      <c r="N85" s="126"/>
      <c r="O85" s="126"/>
      <c r="P85" s="126"/>
    </row>
    <row r="86" spans="2:16" ht="15.6" outlineLevel="1" x14ac:dyDescent="0.3">
      <c r="B86" s="69"/>
      <c r="C86" s="81" t="s">
        <v>390</v>
      </c>
      <c r="D86" s="82" t="s">
        <v>367</v>
      </c>
      <c r="E86" s="423"/>
      <c r="F86" s="423">
        <f t="shared" ref="F86:L86" si="38">+F189/E135</f>
        <v>-6.0848611579889252E-2</v>
      </c>
      <c r="G86" s="423">
        <f t="shared" si="38"/>
        <v>-7.2411727385502944E-2</v>
      </c>
      <c r="H86" s="423">
        <f t="shared" si="38"/>
        <v>-5.4617945246240009E-2</v>
      </c>
      <c r="I86" s="423">
        <f t="shared" si="38"/>
        <v>-4.8937156440013181E-2</v>
      </c>
      <c r="J86" s="423">
        <f t="shared" si="38"/>
        <v>-0.21589650733206409</v>
      </c>
      <c r="K86" s="423">
        <f t="shared" si="38"/>
        <v>-0.12667530711017425</v>
      </c>
      <c r="L86" s="423">
        <f t="shared" si="38"/>
        <v>-6.5849018818620084E-2</v>
      </c>
      <c r="M86" s="119">
        <v>0.08</v>
      </c>
      <c r="N86" s="119">
        <v>0.09</v>
      </c>
      <c r="O86" s="119">
        <v>0.09</v>
      </c>
      <c r="P86" s="119">
        <v>0.11</v>
      </c>
    </row>
    <row r="87" spans="2:16" ht="15.6" outlineLevel="1" x14ac:dyDescent="0.3">
      <c r="B87" s="69"/>
      <c r="C87" s="81" t="s">
        <v>705</v>
      </c>
      <c r="D87" s="82" t="s">
        <v>367</v>
      </c>
      <c r="E87" s="423"/>
      <c r="F87" s="423">
        <f t="shared" ref="F87:L87" si="39">+F181/E135</f>
        <v>-1.8259371297345617E-2</v>
      </c>
      <c r="G87" s="423">
        <f t="shared" si="39"/>
        <v>-2.1913398582944985E-2</v>
      </c>
      <c r="H87" s="423">
        <f t="shared" si="39"/>
        <v>-6.8281995731138384E-2</v>
      </c>
      <c r="I87" s="423">
        <f t="shared" si="39"/>
        <v>-5.0736154005724586E-2</v>
      </c>
      <c r="J87" s="423">
        <f t="shared" si="39"/>
        <v>-5.2078143107281621E-2</v>
      </c>
      <c r="K87" s="423">
        <f t="shared" si="39"/>
        <v>-1.1410159852144183E-2</v>
      </c>
      <c r="L87" s="423">
        <f t="shared" si="39"/>
        <v>-1.2282443651819588E-2</v>
      </c>
      <c r="M87" s="119">
        <v>1.2E-2</v>
      </c>
      <c r="N87" s="119">
        <v>1.7999999999999999E-2</v>
      </c>
      <c r="O87" s="119">
        <v>0.02</v>
      </c>
      <c r="P87" s="119">
        <v>0.03</v>
      </c>
    </row>
    <row r="88" spans="2:16" ht="15.6" outlineLevel="1" x14ac:dyDescent="0.3">
      <c r="B88" s="69"/>
      <c r="C88" s="81" t="s">
        <v>712</v>
      </c>
      <c r="D88" s="82" t="s">
        <v>385</v>
      </c>
      <c r="E88" s="413">
        <f t="shared" ref="E88:L89" si="40">+E227/E$22</f>
        <v>-0.12549291904072699</v>
      </c>
      <c r="F88" s="413">
        <f t="shared" si="40"/>
        <v>-2.9586521807589354E-2</v>
      </c>
      <c r="G88" s="413">
        <f t="shared" si="40"/>
        <v>-2.6430828478325265E-2</v>
      </c>
      <c r="H88" s="413">
        <f t="shared" si="40"/>
        <v>-9.0421183800623042E-2</v>
      </c>
      <c r="I88" s="413">
        <f t="shared" si="40"/>
        <v>-0.43913527303116268</v>
      </c>
      <c r="J88" s="413">
        <f t="shared" si="40"/>
        <v>-0.35359630681818183</v>
      </c>
      <c r="K88" s="413">
        <f t="shared" si="40"/>
        <v>-0.50580454545454545</v>
      </c>
      <c r="L88" s="413">
        <f t="shared" si="40"/>
        <v>-0.46835427135678392</v>
      </c>
      <c r="M88" s="414">
        <v>-0.42172259916516802</v>
      </c>
      <c r="N88" s="414">
        <v>-0.42230000000000001</v>
      </c>
      <c r="O88" s="414">
        <v>-0.40450000000000003</v>
      </c>
      <c r="P88" s="414">
        <v>-0.4042</v>
      </c>
    </row>
    <row r="89" spans="2:16" ht="15.6" outlineLevel="1" x14ac:dyDescent="0.3">
      <c r="B89" s="69"/>
      <c r="C89" s="81" t="s">
        <v>713</v>
      </c>
      <c r="D89" s="82" t="s">
        <v>385</v>
      </c>
      <c r="E89" s="413">
        <f t="shared" si="40"/>
        <v>-8.7717787589542528E-3</v>
      </c>
      <c r="F89" s="413">
        <f t="shared" si="40"/>
        <v>-8.3988348291607617E-3</v>
      </c>
      <c r="G89" s="413">
        <f t="shared" si="40"/>
        <v>-9.5054063394884973E-3</v>
      </c>
      <c r="H89" s="413">
        <f t="shared" si="40"/>
        <v>-0.13888369678089305</v>
      </c>
      <c r="I89" s="413">
        <f t="shared" si="40"/>
        <v>-0.35029425348024013</v>
      </c>
      <c r="J89" s="413">
        <f t="shared" si="40"/>
        <v>-0.27725</v>
      </c>
      <c r="K89" s="413">
        <f t="shared" si="40"/>
        <v>-0.23024169580419582</v>
      </c>
      <c r="L89" s="413">
        <f t="shared" si="40"/>
        <v>-0.24661392677674085</v>
      </c>
      <c r="M89" s="414">
        <v>-0.25609996901529403</v>
      </c>
      <c r="N89" s="414">
        <v>-0.25755139789905773</v>
      </c>
      <c r="O89" s="414">
        <v>-0.25262674737382218</v>
      </c>
      <c r="P89" s="414">
        <v>-0.25822301026622874</v>
      </c>
    </row>
    <row r="90" spans="2:16" ht="15.6" outlineLevel="1" x14ac:dyDescent="0.3">
      <c r="B90" s="69"/>
      <c r="C90" s="81" t="s">
        <v>716</v>
      </c>
      <c r="D90" s="82" t="s">
        <v>385</v>
      </c>
      <c r="E90" s="413">
        <f t="shared" ref="E90:L90" si="41">+E190/E22*Units</f>
        <v>1.040779363538098</v>
      </c>
      <c r="F90" s="413">
        <f t="shared" si="41"/>
        <v>0.71332829475673132</v>
      </c>
      <c r="G90" s="413">
        <f t="shared" si="41"/>
        <v>1.0786587834501828</v>
      </c>
      <c r="H90" s="413">
        <f t="shared" si="41"/>
        <v>1.0430298026998961</v>
      </c>
      <c r="I90" s="413">
        <f t="shared" si="41"/>
        <v>2.0111616194937434</v>
      </c>
      <c r="J90" s="413">
        <f t="shared" si="41"/>
        <v>1.4765534090909094</v>
      </c>
      <c r="K90" s="413">
        <f t="shared" si="41"/>
        <v>1.3635078671328671</v>
      </c>
      <c r="L90" s="413">
        <f t="shared" si="41"/>
        <v>1.6432498923187364</v>
      </c>
      <c r="M90" s="414">
        <v>1.54</v>
      </c>
      <c r="N90" s="414">
        <v>1.42</v>
      </c>
      <c r="O90" s="414">
        <v>1.4</v>
      </c>
      <c r="P90" s="414">
        <v>1.2</v>
      </c>
    </row>
    <row r="91" spans="2:16" ht="15.6" outlineLevel="1" x14ac:dyDescent="0.3">
      <c r="B91" s="69"/>
      <c r="C91" s="81"/>
      <c r="D91" s="82"/>
      <c r="E91" s="127"/>
      <c r="F91" s="127"/>
      <c r="G91" s="127"/>
      <c r="H91" s="127"/>
      <c r="I91" s="127"/>
      <c r="J91" s="127"/>
      <c r="K91" s="127"/>
      <c r="L91" s="127"/>
      <c r="M91" s="127"/>
      <c r="N91" s="127"/>
      <c r="O91" s="127"/>
      <c r="P91" s="127"/>
    </row>
    <row r="92" spans="2:16" ht="15.6" outlineLevel="1" x14ac:dyDescent="0.3">
      <c r="B92" s="69"/>
      <c r="C92" s="81" t="s">
        <v>714</v>
      </c>
      <c r="D92" s="82" t="s">
        <v>367</v>
      </c>
      <c r="E92" s="423">
        <f>+E206/E144</f>
        <v>1.2365196886748895E-2</v>
      </c>
      <c r="F92" s="423">
        <f t="shared" ref="F92:L92" si="42">+F206/F144</f>
        <v>-0.24349233237928627</v>
      </c>
      <c r="G92" s="423">
        <f t="shared" si="42"/>
        <v>-1.0050028723840787</v>
      </c>
      <c r="H92" s="423">
        <f t="shared" si="42"/>
        <v>-1.415169842208176</v>
      </c>
      <c r="I92" s="423">
        <f t="shared" si="42"/>
        <v>-0.32422915056256979</v>
      </c>
      <c r="J92" s="423">
        <f t="shared" si="42"/>
        <v>-0.94951599068741566</v>
      </c>
      <c r="K92" s="423">
        <f t="shared" si="42"/>
        <v>0</v>
      </c>
      <c r="L92" s="423">
        <f t="shared" si="42"/>
        <v>-1.0088097499979702</v>
      </c>
      <c r="M92" s="119">
        <v>0.65</v>
      </c>
      <c r="N92" s="119">
        <v>0.55000000000000004</v>
      </c>
      <c r="O92" s="119">
        <v>0.5</v>
      </c>
      <c r="P92" s="119">
        <v>0.45</v>
      </c>
    </row>
    <row r="93" spans="2:16" ht="15.6" outlineLevel="1" x14ac:dyDescent="0.3">
      <c r="B93" s="69"/>
      <c r="C93" s="81"/>
      <c r="D93" s="82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</row>
    <row r="94" spans="2:16" ht="15.6" outlineLevel="1" x14ac:dyDescent="0.3">
      <c r="B94" s="69"/>
      <c r="C94" s="81" t="s">
        <v>618</v>
      </c>
      <c r="D94" s="82" t="s">
        <v>367</v>
      </c>
      <c r="E94" s="423">
        <f t="shared" ref="E94:L94" si="43">+E184/E217</f>
        <v>-0.87036225225301167</v>
      </c>
      <c r="F94" s="423">
        <f t="shared" si="43"/>
        <v>-0.31328577340878455</v>
      </c>
      <c r="G94" s="423">
        <f t="shared" si="43"/>
        <v>-3.9593657723179181E-2</v>
      </c>
      <c r="H94" s="423">
        <f t="shared" si="43"/>
        <v>-2.8264109542720526E-3</v>
      </c>
      <c r="I94" s="423">
        <f t="shared" si="43"/>
        <v>-1.2711982732377023</v>
      </c>
      <c r="J94" s="423">
        <f t="shared" si="43"/>
        <v>-1.7088396308820606</v>
      </c>
      <c r="K94" s="423">
        <f t="shared" si="43"/>
        <v>-2.3508609978167931</v>
      </c>
      <c r="L94" s="423">
        <f t="shared" si="43"/>
        <v>-2.0253009808233835</v>
      </c>
      <c r="M94" s="423">
        <f>INDEX(M95:M97,MATCH(Scenario,$C$24:$C$26,0))</f>
        <v>-2.2000000000000002</v>
      </c>
      <c r="N94" s="423">
        <f>INDEX(N95:N97,MATCH(Scenario,$C$24:$C$26,0))</f>
        <v>-2.4</v>
      </c>
      <c r="O94" s="423">
        <f>INDEX(O95:O97,MATCH(Scenario,$C$24:$C$26,0))</f>
        <v>-2.1</v>
      </c>
      <c r="P94" s="423">
        <f>INDEX(P95:P97,MATCH(Scenario,$C$24:$C$26,0))</f>
        <v>-2</v>
      </c>
    </row>
    <row r="95" spans="2:16" ht="15.6" outlineLevel="1" x14ac:dyDescent="0.3">
      <c r="B95" s="69"/>
      <c r="C95" s="84" t="str">
        <f>$C$24</f>
        <v>Base</v>
      </c>
      <c r="D95" s="82" t="s">
        <v>367</v>
      </c>
      <c r="E95" s="118"/>
      <c r="F95" s="118"/>
      <c r="G95" s="118"/>
      <c r="H95" s="118"/>
      <c r="I95" s="118"/>
      <c r="J95" s="118"/>
      <c r="K95" s="118"/>
      <c r="L95" s="118"/>
      <c r="M95" s="119">
        <v>-2.2000000000000002</v>
      </c>
      <c r="N95" s="119">
        <v>-2.4</v>
      </c>
      <c r="O95" s="119">
        <v>-2.1</v>
      </c>
      <c r="P95" s="119">
        <v>-2</v>
      </c>
    </row>
    <row r="96" spans="2:16" ht="15.6" outlineLevel="1" x14ac:dyDescent="0.3">
      <c r="B96" s="69"/>
      <c r="C96" s="84" t="str">
        <f>$C$25</f>
        <v>Optimistic Case</v>
      </c>
      <c r="D96" s="82" t="s">
        <v>367</v>
      </c>
      <c r="E96" s="118"/>
      <c r="F96" s="118"/>
      <c r="G96" s="118"/>
      <c r="H96" s="118"/>
      <c r="I96" s="118"/>
      <c r="J96" s="118"/>
      <c r="K96" s="118"/>
      <c r="L96" s="118"/>
      <c r="M96" s="119">
        <v>-1.9</v>
      </c>
      <c r="N96" s="119">
        <v>-2.1</v>
      </c>
      <c r="O96" s="119">
        <v>-1.8</v>
      </c>
      <c r="P96" s="119">
        <v>-1.5</v>
      </c>
    </row>
    <row r="97" spans="2:16" ht="15.6" outlineLevel="1" x14ac:dyDescent="0.3">
      <c r="B97" s="69"/>
      <c r="C97" s="84" t="str">
        <f>$C$26</f>
        <v>Conservative Case</v>
      </c>
      <c r="D97" s="82" t="s">
        <v>367</v>
      </c>
      <c r="E97" s="118"/>
      <c r="F97" s="118"/>
      <c r="G97" s="118"/>
      <c r="H97" s="118"/>
      <c r="I97" s="118"/>
      <c r="J97" s="118"/>
      <c r="K97" s="118"/>
      <c r="L97" s="118"/>
      <c r="M97" s="119">
        <v>-2.5</v>
      </c>
      <c r="N97" s="119">
        <v>-2.7</v>
      </c>
      <c r="O97" s="119">
        <v>-2.2999999999999998</v>
      </c>
      <c r="P97" s="119">
        <v>-2</v>
      </c>
    </row>
    <row r="98" spans="2:16" ht="15.6" outlineLevel="1" x14ac:dyDescent="0.3">
      <c r="B98" s="69"/>
      <c r="C98" s="81"/>
      <c r="D98" s="82"/>
      <c r="E98" s="127"/>
      <c r="F98" s="127"/>
      <c r="G98" s="127"/>
      <c r="H98" s="127"/>
      <c r="I98" s="127"/>
      <c r="J98" s="127"/>
      <c r="K98" s="127"/>
      <c r="L98" s="127"/>
      <c r="M98" s="127"/>
      <c r="N98" s="127"/>
      <c r="O98" s="127"/>
      <c r="P98" s="127"/>
    </row>
    <row r="99" spans="2:16" ht="15.6" outlineLevel="1" x14ac:dyDescent="0.3">
      <c r="B99" s="69"/>
      <c r="C99" s="81" t="s">
        <v>482</v>
      </c>
      <c r="D99" s="82" t="s">
        <v>475</v>
      </c>
      <c r="E99" s="138">
        <f>+E159</f>
        <v>233.1</v>
      </c>
      <c r="F99" s="138">
        <f t="shared" ref="F99:L99" si="44">+F159</f>
        <v>294.2</v>
      </c>
      <c r="G99" s="138">
        <f t="shared" si="44"/>
        <v>220.2</v>
      </c>
      <c r="H99" s="138">
        <f t="shared" si="44"/>
        <v>1292.7</v>
      </c>
      <c r="I99" s="138">
        <f t="shared" si="44"/>
        <v>663.5</v>
      </c>
      <c r="J99" s="138">
        <f t="shared" si="44"/>
        <v>1193.18</v>
      </c>
      <c r="K99" s="138">
        <f t="shared" si="44"/>
        <v>0</v>
      </c>
      <c r="L99" s="138">
        <f t="shared" si="44"/>
        <v>1.43</v>
      </c>
      <c r="M99" s="138">
        <f>INDEX(M100:M102,MATCH(Scenario,$C$24:$C$26,0))</f>
        <v>229.89743485557847</v>
      </c>
      <c r="N99" s="138">
        <f>INDEX(N100:N102,MATCH(Scenario,$C$24:$C$26,0))</f>
        <v>345.79254071717151</v>
      </c>
      <c r="O99" s="138">
        <f>INDEX(O100:O102,MATCH(Scenario,$C$24:$C$26,0))</f>
        <v>457.53807602101006</v>
      </c>
      <c r="P99" s="138">
        <f>INDEX(P100:P102,MATCH(Scenario,$C$24:$C$26,0))</f>
        <v>265.16061888658442</v>
      </c>
    </row>
    <row r="100" spans="2:16" ht="15.6" outlineLevel="1" x14ac:dyDescent="0.3">
      <c r="B100" s="69"/>
      <c r="C100" s="86" t="str">
        <f>$C$24</f>
        <v>Base</v>
      </c>
      <c r="D100" s="82" t="s">
        <v>475</v>
      </c>
      <c r="E100" s="138"/>
      <c r="F100" s="138"/>
      <c r="G100" s="138"/>
      <c r="H100" s="138"/>
      <c r="I100" s="138"/>
      <c r="J100" s="138"/>
      <c r="K100" s="120"/>
      <c r="L100" s="120"/>
      <c r="M100" s="417">
        <v>229.89743485557847</v>
      </c>
      <c r="N100" s="417">
        <v>345.79254071717151</v>
      </c>
      <c r="O100" s="417">
        <v>457.53807602101006</v>
      </c>
      <c r="P100" s="417">
        <v>265.16061888658442</v>
      </c>
    </row>
    <row r="101" spans="2:16" ht="15.6" outlineLevel="1" x14ac:dyDescent="0.3">
      <c r="B101" s="69"/>
      <c r="C101" s="86" t="str">
        <f>$C$25</f>
        <v>Optimistic Case</v>
      </c>
      <c r="D101" s="82" t="s">
        <v>475</v>
      </c>
      <c r="E101" s="138"/>
      <c r="F101" s="138"/>
      <c r="G101" s="138"/>
      <c r="H101" s="138"/>
      <c r="I101" s="138"/>
      <c r="J101" s="138"/>
      <c r="K101" s="120"/>
      <c r="L101" s="120"/>
      <c r="M101" s="417">
        <v>401.01448424404953</v>
      </c>
      <c r="N101" s="417">
        <v>195.67064218199812</v>
      </c>
      <c r="O101" s="417">
        <v>131.55197153915651</v>
      </c>
      <c r="P101" s="417">
        <v>474.88644093531184</v>
      </c>
    </row>
    <row r="102" spans="2:16" ht="15.6" outlineLevel="1" x14ac:dyDescent="0.3">
      <c r="B102" s="69"/>
      <c r="C102" s="86" t="str">
        <f>$C$26</f>
        <v>Conservative Case</v>
      </c>
      <c r="D102" s="82" t="s">
        <v>475</v>
      </c>
      <c r="E102" s="138"/>
      <c r="F102" s="138"/>
      <c r="G102" s="138"/>
      <c r="H102" s="138"/>
      <c r="I102" s="138"/>
      <c r="J102" s="138"/>
      <c r="K102" s="120"/>
      <c r="L102" s="120"/>
      <c r="M102" s="417">
        <v>402.79999242897611</v>
      </c>
      <c r="N102" s="417">
        <v>399.63051114184782</v>
      </c>
      <c r="O102" s="417">
        <v>229.61383651313372</v>
      </c>
      <c r="P102" s="417">
        <v>477.32165181008168</v>
      </c>
    </row>
    <row r="103" spans="2:16" ht="15.6" outlineLevel="1" x14ac:dyDescent="0.3">
      <c r="B103" s="69"/>
      <c r="C103" s="81"/>
      <c r="D103" s="82"/>
      <c r="E103" s="127"/>
      <c r="F103" s="127"/>
      <c r="G103" s="127"/>
      <c r="H103" s="127"/>
      <c r="I103" s="127"/>
      <c r="J103" s="127"/>
      <c r="K103" s="127"/>
      <c r="L103" s="127"/>
      <c r="M103" s="127"/>
      <c r="N103" s="127"/>
      <c r="O103" s="127"/>
      <c r="P103" s="127"/>
    </row>
    <row r="104" spans="2:16" ht="15.6" outlineLevel="1" x14ac:dyDescent="0.3">
      <c r="B104" s="69"/>
      <c r="C104" s="81" t="s">
        <v>425</v>
      </c>
      <c r="D104" s="82" t="s">
        <v>475</v>
      </c>
      <c r="E104" s="138">
        <f>+E205</f>
        <v>-3434.7299999999996</v>
      </c>
      <c r="F104" s="138">
        <f t="shared" ref="F104:L104" si="45">+F205</f>
        <v>-5474.59</v>
      </c>
      <c r="G104" s="138">
        <f t="shared" si="45"/>
        <v>1465.6500000000005</v>
      </c>
      <c r="H104" s="138">
        <f t="shared" si="45"/>
        <v>20549.43</v>
      </c>
      <c r="I104" s="138">
        <f t="shared" si="45"/>
        <v>5549.88</v>
      </c>
      <c r="J104" s="138">
        <f t="shared" si="45"/>
        <v>26651.75</v>
      </c>
      <c r="K104" s="138">
        <f t="shared" si="45"/>
        <v>51950.790000000008</v>
      </c>
      <c r="L104" s="138">
        <f t="shared" si="45"/>
        <v>30024.799999999996</v>
      </c>
      <c r="M104" s="138">
        <f>INDEX(M105:M107,MATCH(Scenario,$C$24:$C$26,0))</f>
        <v>69000</v>
      </c>
      <c r="N104" s="138">
        <f>INDEX(N105:N107,MATCH(Scenario,$C$24:$C$26,0))</f>
        <v>44900</v>
      </c>
      <c r="O104" s="138">
        <f>INDEX(O105:O107,MATCH(Scenario,$C$24:$C$26,0))</f>
        <v>43800</v>
      </c>
      <c r="P104" s="138">
        <f>INDEX(P105:P107,MATCH(Scenario,$C$24:$C$26,0))</f>
        <v>78200</v>
      </c>
    </row>
    <row r="105" spans="2:16" ht="15.6" outlineLevel="1" x14ac:dyDescent="0.3">
      <c r="B105" s="69"/>
      <c r="C105" s="86" t="str">
        <f>$C$24</f>
        <v>Base</v>
      </c>
      <c r="D105" s="82" t="s">
        <v>475</v>
      </c>
      <c r="E105" s="138"/>
      <c r="F105" s="138"/>
      <c r="G105" s="138"/>
      <c r="H105" s="138"/>
      <c r="I105" s="138"/>
      <c r="J105" s="138"/>
      <c r="K105" s="120"/>
      <c r="L105" s="120"/>
      <c r="M105" s="417">
        <v>69000</v>
      </c>
      <c r="N105" s="417">
        <v>44900</v>
      </c>
      <c r="O105" s="417">
        <v>43800</v>
      </c>
      <c r="P105" s="417">
        <v>78200</v>
      </c>
    </row>
    <row r="106" spans="2:16" ht="15.6" outlineLevel="1" x14ac:dyDescent="0.3">
      <c r="B106" s="69"/>
      <c r="C106" s="86" t="str">
        <f>$C$25</f>
        <v>Optimistic Case</v>
      </c>
      <c r="D106" s="82" t="s">
        <v>475</v>
      </c>
      <c r="E106" s="138"/>
      <c r="F106" s="138"/>
      <c r="G106" s="138"/>
      <c r="H106" s="138"/>
      <c r="I106" s="138"/>
      <c r="J106" s="138"/>
      <c r="K106" s="120"/>
      <c r="L106" s="120"/>
      <c r="M106" s="417">
        <v>70000</v>
      </c>
      <c r="N106" s="417">
        <v>75500</v>
      </c>
      <c r="O106" s="417">
        <v>62500</v>
      </c>
      <c r="P106" s="417">
        <v>97000</v>
      </c>
    </row>
    <row r="107" spans="2:16" ht="15.6" outlineLevel="1" x14ac:dyDescent="0.3">
      <c r="B107" s="69"/>
      <c r="C107" s="86" t="str">
        <f>$C$26</f>
        <v>Conservative Case</v>
      </c>
      <c r="D107" s="82" t="s">
        <v>475</v>
      </c>
      <c r="E107" s="138"/>
      <c r="F107" s="138"/>
      <c r="G107" s="138"/>
      <c r="H107" s="138"/>
      <c r="I107" s="138"/>
      <c r="J107" s="138"/>
      <c r="K107" s="120"/>
      <c r="L107" s="120"/>
      <c r="M107" s="417">
        <v>67800</v>
      </c>
      <c r="N107" s="417">
        <v>45000</v>
      </c>
      <c r="O107" s="417">
        <v>27000</v>
      </c>
      <c r="P107" s="417">
        <v>52000</v>
      </c>
    </row>
    <row r="108" spans="2:16" ht="15.6" outlineLevel="1" x14ac:dyDescent="0.3">
      <c r="B108" s="69"/>
      <c r="C108" s="81"/>
      <c r="D108" s="82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  <c r="P108" s="127"/>
    </row>
    <row r="109" spans="2:16" ht="15.6" outlineLevel="1" x14ac:dyDescent="0.3">
      <c r="B109" s="69"/>
      <c r="C109" s="81" t="s">
        <v>391</v>
      </c>
      <c r="D109" s="82" t="s">
        <v>385</v>
      </c>
      <c r="E109" s="125">
        <f t="shared" ref="E109:L109" si="46">-E217/E22*Units</f>
        <v>4.346371580895151E-2</v>
      </c>
      <c r="F109" s="125">
        <f t="shared" si="46"/>
        <v>0.1921295858919855</v>
      </c>
      <c r="G109" s="125">
        <f t="shared" si="46"/>
        <v>0.21126221980843288</v>
      </c>
      <c r="H109" s="125">
        <f t="shared" si="46"/>
        <v>0.11301204569055036</v>
      </c>
      <c r="I109" s="125">
        <f t="shared" si="46"/>
        <v>9.6080358910074548E-2</v>
      </c>
      <c r="J109" s="125">
        <f t="shared" si="46"/>
        <v>4.9272869318181818E-2</v>
      </c>
      <c r="K109" s="125">
        <f t="shared" si="46"/>
        <v>4.9808041958041956E-2</v>
      </c>
      <c r="L109" s="125">
        <f t="shared" si="46"/>
        <v>7.9156137832017234E-2</v>
      </c>
      <c r="M109" s="300">
        <v>0.08</v>
      </c>
      <c r="N109" s="300">
        <v>8.5000000000000006E-2</v>
      </c>
      <c r="O109" s="300">
        <v>0.08</v>
      </c>
      <c r="P109" s="300">
        <v>7.4999999999999997E-2</v>
      </c>
    </row>
    <row r="110" spans="2:16" ht="15.6" outlineLevel="1" x14ac:dyDescent="0.3">
      <c r="B110" s="69"/>
      <c r="C110" s="81" t="s">
        <v>711</v>
      </c>
      <c r="D110" s="82" t="s">
        <v>367</v>
      </c>
      <c r="E110" s="125"/>
      <c r="F110" s="423">
        <f>+F218/E126</f>
        <v>-0.15176180989046217</v>
      </c>
      <c r="G110" s="423">
        <f t="shared" ref="G110:L110" si="47">+G218/F126</f>
        <v>-3.4625538166025899E-2</v>
      </c>
      <c r="H110" s="423">
        <f t="shared" si="47"/>
        <v>-0.11758111716530804</v>
      </c>
      <c r="I110" s="423">
        <f t="shared" si="47"/>
        <v>4.6500879154531466E-2</v>
      </c>
      <c r="J110" s="423">
        <f t="shared" si="47"/>
        <v>7.9222865496907921E-2</v>
      </c>
      <c r="K110" s="423">
        <f t="shared" si="47"/>
        <v>-0.15636490502794337</v>
      </c>
      <c r="L110" s="423">
        <f t="shared" si="47"/>
        <v>-0.18577733657367099</v>
      </c>
      <c r="M110" s="119">
        <v>-0.1</v>
      </c>
      <c r="N110" s="119">
        <v>-0.1</v>
      </c>
      <c r="O110" s="119">
        <v>-0.09</v>
      </c>
      <c r="P110" s="119">
        <v>-0.08</v>
      </c>
    </row>
    <row r="111" spans="2:16" ht="15.6" outlineLevel="1" x14ac:dyDescent="0.3">
      <c r="B111" s="69"/>
      <c r="C111" s="81" t="s">
        <v>717</v>
      </c>
      <c r="D111" s="82" t="s">
        <v>367</v>
      </c>
      <c r="E111" s="125"/>
      <c r="F111" s="423">
        <f>+F220/E126</f>
        <v>0</v>
      </c>
      <c r="G111" s="423">
        <f t="shared" ref="G111:L111" si="48">+G220/F126</f>
        <v>0</v>
      </c>
      <c r="H111" s="423">
        <f t="shared" si="48"/>
        <v>0</v>
      </c>
      <c r="I111" s="423">
        <f t="shared" si="48"/>
        <v>5.0503935077984237E-2</v>
      </c>
      <c r="J111" s="423">
        <f t="shared" si="48"/>
        <v>3.8312190103137626E-2</v>
      </c>
      <c r="K111" s="423">
        <f t="shared" si="48"/>
        <v>2.5287279568510901E-2</v>
      </c>
      <c r="L111" s="423">
        <f t="shared" si="48"/>
        <v>-5.9044135207878944E-3</v>
      </c>
      <c r="M111" s="119">
        <v>0.01</v>
      </c>
      <c r="N111" s="119">
        <v>0.01</v>
      </c>
      <c r="O111" s="119">
        <v>0.01</v>
      </c>
      <c r="P111" s="119">
        <v>0.01</v>
      </c>
    </row>
    <row r="112" spans="2:16" ht="15.6" outlineLevel="1" x14ac:dyDescent="0.3">
      <c r="B112" s="69"/>
      <c r="C112" s="81"/>
      <c r="D112" s="82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</row>
    <row r="113" spans="2:16" ht="15.6" outlineLevel="1" x14ac:dyDescent="0.3">
      <c r="B113" s="69"/>
      <c r="C113" s="81" t="s">
        <v>636</v>
      </c>
      <c r="D113" s="82" t="s">
        <v>367</v>
      </c>
      <c r="E113" s="117">
        <f t="shared" ref="E113:L113" si="49">-E225/E146</f>
        <v>0.39339411026775645</v>
      </c>
      <c r="F113" s="117">
        <f t="shared" si="49"/>
        <v>0.65968588721018095</v>
      </c>
      <c r="G113" s="117">
        <f t="shared" si="49"/>
        <v>1.7756015632982798</v>
      </c>
      <c r="H113" s="117">
        <f t="shared" si="49"/>
        <v>-0.97911553619932623</v>
      </c>
      <c r="I113" s="117">
        <f t="shared" si="49"/>
        <v>0</v>
      </c>
      <c r="J113" s="117">
        <f t="shared" si="49"/>
        <v>0</v>
      </c>
      <c r="K113" s="117">
        <f t="shared" si="49"/>
        <v>0</v>
      </c>
      <c r="L113" s="117">
        <f t="shared" si="49"/>
        <v>0</v>
      </c>
      <c r="M113" s="117">
        <f>INDEX(M114:M116,MATCH(Scenario,$C$24:$C$26,0))</f>
        <v>0</v>
      </c>
      <c r="N113" s="117">
        <f>INDEX(N114:N116,MATCH(Scenario,$C$24:$C$26,0))</f>
        <v>0</v>
      </c>
      <c r="O113" s="117">
        <f>INDEX(O114:O116,MATCH(Scenario,$C$24:$C$26,0))</f>
        <v>0</v>
      </c>
      <c r="P113" s="117">
        <f>INDEX(P114:P116,MATCH(Scenario,$C$24:$C$26,0))</f>
        <v>0</v>
      </c>
    </row>
    <row r="114" spans="2:16" ht="15.6" outlineLevel="1" x14ac:dyDescent="0.3">
      <c r="B114" s="69"/>
      <c r="C114" s="84" t="str">
        <f>$C$24</f>
        <v>Base</v>
      </c>
      <c r="D114" s="82" t="s">
        <v>367</v>
      </c>
      <c r="E114" s="118"/>
      <c r="F114" s="118"/>
      <c r="G114" s="118"/>
      <c r="H114" s="118"/>
      <c r="I114" s="118"/>
      <c r="J114" s="118"/>
      <c r="K114" s="118"/>
      <c r="L114" s="118"/>
      <c r="M114" s="350">
        <v>0</v>
      </c>
      <c r="N114" s="350">
        <v>0</v>
      </c>
      <c r="O114" s="350">
        <v>0</v>
      </c>
      <c r="P114" s="350">
        <v>0</v>
      </c>
    </row>
    <row r="115" spans="2:16" ht="15.6" outlineLevel="1" x14ac:dyDescent="0.3">
      <c r="B115" s="69"/>
      <c r="C115" s="84" t="str">
        <f>$C$25</f>
        <v>Optimistic Case</v>
      </c>
      <c r="D115" s="82" t="s">
        <v>367</v>
      </c>
      <c r="E115" s="118"/>
      <c r="F115" s="118"/>
      <c r="G115" s="118"/>
      <c r="H115" s="118"/>
      <c r="I115" s="118"/>
      <c r="J115" s="118"/>
      <c r="K115" s="118"/>
      <c r="L115" s="118"/>
      <c r="M115" s="350">
        <v>0</v>
      </c>
      <c r="N115" s="350">
        <v>0.05</v>
      </c>
      <c r="O115" s="350">
        <v>7.4999999999999997E-2</v>
      </c>
      <c r="P115" s="350">
        <v>0.1</v>
      </c>
    </row>
    <row r="116" spans="2:16" ht="15.6" outlineLevel="1" x14ac:dyDescent="0.3">
      <c r="B116" s="69"/>
      <c r="C116" s="84" t="str">
        <f>$C$26</f>
        <v>Conservative Case</v>
      </c>
      <c r="D116" s="82" t="s">
        <v>367</v>
      </c>
      <c r="E116" s="118"/>
      <c r="F116" s="118"/>
      <c r="G116" s="118"/>
      <c r="H116" s="118"/>
      <c r="I116" s="118"/>
      <c r="J116" s="118"/>
      <c r="K116" s="118"/>
      <c r="L116" s="118"/>
      <c r="M116" s="350">
        <v>0</v>
      </c>
      <c r="N116" s="350">
        <v>0</v>
      </c>
      <c r="O116" s="350">
        <v>0</v>
      </c>
      <c r="P116" s="350">
        <v>0</v>
      </c>
    </row>
    <row r="117" spans="2:16" ht="15.6" outlineLevel="1" x14ac:dyDescent="0.3">
      <c r="B117" s="69"/>
      <c r="C117" s="84"/>
      <c r="D117" s="82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</row>
    <row r="118" spans="2:16" ht="15.6" outlineLevel="1" x14ac:dyDescent="0.3">
      <c r="B118" s="69"/>
      <c r="C118" s="81" t="s">
        <v>393</v>
      </c>
      <c r="D118" s="82" t="s">
        <v>367</v>
      </c>
      <c r="E118" s="349">
        <f t="shared" ref="E118:L118" si="50">-E232/E126</f>
        <v>-2.4492025377951084E-4</v>
      </c>
      <c r="F118" s="349">
        <f t="shared" si="50"/>
        <v>-3.3766216535282444E-4</v>
      </c>
      <c r="G118" s="349">
        <f t="shared" si="50"/>
        <v>-3.4763661092699635E-4</v>
      </c>
      <c r="H118" s="349">
        <f t="shared" si="50"/>
        <v>1.5153583215053504E-4</v>
      </c>
      <c r="I118" s="349">
        <f t="shared" si="50"/>
        <v>1.1307856849216986E-3</v>
      </c>
      <c r="J118" s="349">
        <f t="shared" si="50"/>
        <v>-4.7155433800917414E-5</v>
      </c>
      <c r="K118" s="349">
        <f t="shared" si="50"/>
        <v>-2.979344582845052E-4</v>
      </c>
      <c r="L118" s="349">
        <f t="shared" si="50"/>
        <v>3.85645816284089E-5</v>
      </c>
      <c r="M118" s="351">
        <f>FORECAST(M75,E118:L118,E75:L75)</f>
        <v>2.2353760326455051E-4</v>
      </c>
      <c r="N118" s="351">
        <f>FORECAST(N75,F118:M118,F75:M75)</f>
        <v>2.4291790096135722E-4</v>
      </c>
      <c r="O118" s="351">
        <f>FORECAST(O75,G118:N118,G75:N75)</f>
        <v>1.8872006942468591E-4</v>
      </c>
      <c r="P118" s="351">
        <f>FORECAST(P75,H118:O118,H75:O75)</f>
        <v>4.1510289353822831E-5</v>
      </c>
    </row>
    <row r="119" spans="2:16" ht="15.6" x14ac:dyDescent="0.3">
      <c r="B119" s="69"/>
      <c r="C119" s="83"/>
      <c r="D119" s="82"/>
      <c r="E119" s="138"/>
      <c r="F119" s="122"/>
      <c r="G119" s="122"/>
      <c r="H119" s="122"/>
      <c r="I119" s="122"/>
      <c r="J119" s="122"/>
      <c r="K119" s="118"/>
      <c r="L119" s="118"/>
      <c r="M119" s="118"/>
      <c r="N119" s="118"/>
      <c r="O119" s="118"/>
    </row>
    <row r="120" spans="2:16" ht="15.6" x14ac:dyDescent="0.3">
      <c r="B120" s="103"/>
      <c r="C120" s="103"/>
      <c r="D120" s="104"/>
      <c r="E120" s="436" t="s">
        <v>359</v>
      </c>
      <c r="F120" s="436"/>
      <c r="G120" s="436"/>
      <c r="H120" s="436"/>
      <c r="I120" s="436"/>
      <c r="J120" s="436"/>
      <c r="K120" s="436"/>
      <c r="L120" s="437"/>
      <c r="M120" s="436" t="s">
        <v>360</v>
      </c>
      <c r="N120" s="436"/>
      <c r="O120" s="436"/>
      <c r="P120" s="436"/>
    </row>
    <row r="121" spans="2:16" ht="15.6" x14ac:dyDescent="0.3">
      <c r="B121" s="101" t="s">
        <v>524</v>
      </c>
      <c r="C121" s="101"/>
      <c r="D121" s="105" t="str">
        <f>$D$20</f>
        <v>Units:</v>
      </c>
      <c r="E121" s="110">
        <f t="shared" ref="E121:J121" si="51">EOMONTH(F121,-12)</f>
        <v>42825</v>
      </c>
      <c r="F121" s="110">
        <f t="shared" si="51"/>
        <v>43190</v>
      </c>
      <c r="G121" s="110">
        <f t="shared" si="51"/>
        <v>43555</v>
      </c>
      <c r="H121" s="110">
        <f t="shared" si="51"/>
        <v>43921</v>
      </c>
      <c r="I121" s="110">
        <f t="shared" si="51"/>
        <v>44286</v>
      </c>
      <c r="J121" s="110">
        <f t="shared" si="51"/>
        <v>44651</v>
      </c>
      <c r="K121" s="110">
        <f>EOMONTH(L121,-12)</f>
        <v>45016</v>
      </c>
      <c r="L121" s="111">
        <f>Hist_Year</f>
        <v>45382</v>
      </c>
      <c r="M121" s="110">
        <f>EOMONTH(L121,12)</f>
        <v>45747</v>
      </c>
      <c r="N121" s="110">
        <f>EOMONTH(M121,12)</f>
        <v>46112</v>
      </c>
      <c r="O121" s="110">
        <f>EOMONTH(N121,12)</f>
        <v>46477</v>
      </c>
      <c r="P121" s="110">
        <f>EOMONTH(O121,12)</f>
        <v>46843</v>
      </c>
    </row>
    <row r="122" spans="2:16" ht="15.6" outlineLevel="1" x14ac:dyDescent="0.3">
      <c r="B122" s="69"/>
      <c r="C122" s="83"/>
      <c r="D122" s="82"/>
      <c r="E122" s="122"/>
      <c r="F122" s="122"/>
      <c r="G122" s="122"/>
      <c r="H122" s="122"/>
      <c r="I122" s="122"/>
      <c r="J122" s="122"/>
      <c r="K122" s="118"/>
      <c r="L122" s="118"/>
      <c r="M122" s="118"/>
      <c r="N122" s="118"/>
      <c r="O122" s="118"/>
    </row>
    <row r="123" spans="2:16" ht="15.6" outlineLevel="1" x14ac:dyDescent="0.3">
      <c r="B123" s="69"/>
      <c r="C123" s="76" t="s">
        <v>479</v>
      </c>
      <c r="D123" s="82"/>
      <c r="E123" s="122"/>
      <c r="F123" s="122"/>
      <c r="G123" s="122"/>
      <c r="H123" s="122"/>
      <c r="I123" s="122"/>
      <c r="J123" s="122"/>
      <c r="K123" s="118"/>
      <c r="L123" s="118"/>
      <c r="M123" s="118"/>
      <c r="N123" s="118"/>
      <c r="O123" s="118"/>
    </row>
    <row r="124" spans="2:16" ht="15.6" outlineLevel="1" x14ac:dyDescent="0.3">
      <c r="B124" s="69"/>
      <c r="C124" s="106" t="s">
        <v>6</v>
      </c>
      <c r="D124" s="82" t="s">
        <v>473</v>
      </c>
      <c r="E124" s="128">
        <f>+'P&amp;L'!B8</f>
        <v>185805</v>
      </c>
      <c r="F124" s="128">
        <f>+'P&amp;L'!C8</f>
        <v>230208.87</v>
      </c>
      <c r="G124" s="128">
        <f>+'P&amp;L'!D8</f>
        <v>284967.71999999997</v>
      </c>
      <c r="H124" s="128">
        <f>+'P&amp;L'!E8</f>
        <v>357560.01</v>
      </c>
      <c r="I124" s="128">
        <f>+'P&amp;L'!F8</f>
        <v>146406.31</v>
      </c>
      <c r="J124" s="128">
        <f>+'P&amp;L'!G8</f>
        <v>259309.27</v>
      </c>
      <c r="K124" s="128">
        <f>+'P&amp;L'!H8</f>
        <v>544464.53</v>
      </c>
      <c r="L124" s="128">
        <f>+'P&amp;L'!I8</f>
        <v>689043.42</v>
      </c>
      <c r="M124" s="128">
        <f>+M36</f>
        <v>786648.59950509586</v>
      </c>
      <c r="N124" s="128">
        <f>+N36+N43</f>
        <v>971725.48750259483</v>
      </c>
      <c r="O124" s="128">
        <f>+O36+O43</f>
        <v>1083926.7408212738</v>
      </c>
      <c r="P124" s="128">
        <f>+P36+P43</f>
        <v>1255075.2884235685</v>
      </c>
    </row>
    <row r="125" spans="2:16" ht="15.6" outlineLevel="1" x14ac:dyDescent="0.3">
      <c r="B125" s="69"/>
      <c r="C125" s="106" t="s">
        <v>7</v>
      </c>
      <c r="D125" s="91" t="s">
        <v>473</v>
      </c>
      <c r="E125" s="120">
        <f>+'P&amp;L'!B9</f>
        <v>7890.7</v>
      </c>
      <c r="F125" s="120">
        <f>+'P&amp;L'!C9</f>
        <v>9468.56</v>
      </c>
      <c r="G125" s="120">
        <f>+'P&amp;L'!D9</f>
        <v>13245.98</v>
      </c>
      <c r="H125" s="120">
        <f>+'P&amp;L'!E9</f>
        <v>15355.09</v>
      </c>
      <c r="I125" s="120">
        <f>+'P&amp;L'!F9</f>
        <v>10369.64</v>
      </c>
      <c r="J125" s="120">
        <f>+'P&amp;L'!G9</f>
        <v>7255.98</v>
      </c>
      <c r="K125" s="120">
        <f>+'P&amp;L'!H9</f>
        <v>14349.65</v>
      </c>
      <c r="L125" s="120">
        <f>+'P&amp;L'!I9</f>
        <v>23268.21</v>
      </c>
      <c r="M125" s="120">
        <f>+M43</f>
        <v>26277.71960477842</v>
      </c>
      <c r="N125" s="120">
        <f t="shared" ref="N125:P125" si="52">FORECAST(N121,F121:M121,F125:M125)</f>
        <v>47425.665773173954</v>
      </c>
      <c r="O125" s="120">
        <f t="shared" si="52"/>
        <v>46271.26023848429</v>
      </c>
      <c r="P125" s="120">
        <f t="shared" si="52"/>
        <v>46366.283800970828</v>
      </c>
    </row>
    <row r="126" spans="2:16" ht="15.6" outlineLevel="1" x14ac:dyDescent="0.3">
      <c r="B126" s="69"/>
      <c r="C126" s="92" t="s">
        <v>394</v>
      </c>
      <c r="D126" s="82" t="s">
        <v>473</v>
      </c>
      <c r="E126" s="129">
        <f>SUM(E124:E125)</f>
        <v>193695.7</v>
      </c>
      <c r="F126" s="129">
        <f t="shared" ref="F126:P126" si="53">SUM(F124:F125)</f>
        <v>239677.43</v>
      </c>
      <c r="G126" s="129">
        <f t="shared" si="53"/>
        <v>298213.69999999995</v>
      </c>
      <c r="H126" s="129">
        <f t="shared" si="53"/>
        <v>372915.10000000003</v>
      </c>
      <c r="I126" s="129">
        <f t="shared" si="53"/>
        <v>156775.95000000001</v>
      </c>
      <c r="J126" s="129">
        <f t="shared" si="53"/>
        <v>266565.25</v>
      </c>
      <c r="K126" s="129">
        <f t="shared" si="53"/>
        <v>558814.18000000005</v>
      </c>
      <c r="L126" s="129">
        <f t="shared" si="53"/>
        <v>712311.63</v>
      </c>
      <c r="M126" s="129">
        <f t="shared" si="53"/>
        <v>812926.31910987431</v>
      </c>
      <c r="N126" s="129">
        <f t="shared" si="53"/>
        <v>1019151.1532757687</v>
      </c>
      <c r="O126" s="129">
        <f t="shared" si="53"/>
        <v>1130198.001059758</v>
      </c>
      <c r="P126" s="129">
        <f t="shared" si="53"/>
        <v>1301441.5722245392</v>
      </c>
    </row>
    <row r="127" spans="2:16" ht="15.6" outlineLevel="1" x14ac:dyDescent="0.3">
      <c r="B127" s="69"/>
      <c r="C127" s="83"/>
      <c r="D127" s="82"/>
      <c r="E127" s="122"/>
      <c r="F127" s="122"/>
      <c r="G127" s="122"/>
      <c r="H127" s="122"/>
      <c r="I127" s="122"/>
      <c r="J127" s="122"/>
      <c r="K127" s="130"/>
      <c r="L127" s="130"/>
      <c r="M127" s="130"/>
      <c r="N127" s="130"/>
      <c r="O127" s="130"/>
      <c r="P127" s="130"/>
    </row>
    <row r="128" spans="2:16" ht="15.6" outlineLevel="1" x14ac:dyDescent="0.3">
      <c r="B128" s="69"/>
      <c r="C128" s="76" t="s">
        <v>480</v>
      </c>
      <c r="D128" s="82"/>
      <c r="E128" s="122"/>
      <c r="F128" s="122"/>
      <c r="G128" s="122"/>
      <c r="H128" s="122"/>
      <c r="I128" s="122"/>
      <c r="J128" s="122"/>
      <c r="K128" s="130"/>
      <c r="L128" s="130"/>
      <c r="M128" s="130"/>
      <c r="N128" s="130"/>
      <c r="O128" s="130"/>
      <c r="P128" s="130"/>
    </row>
    <row r="129" spans="2:20" ht="15.6" outlineLevel="1" x14ac:dyDescent="0.3">
      <c r="B129" s="69"/>
      <c r="C129" s="106" t="s">
        <v>10</v>
      </c>
      <c r="D129" s="82" t="s">
        <v>473</v>
      </c>
      <c r="E129" s="120">
        <f>-'P&amp;L'!B12</f>
        <v>-63415.13</v>
      </c>
      <c r="F129" s="120">
        <f>-'P&amp;L'!C12</f>
        <v>-77601.36</v>
      </c>
      <c r="G129" s="120">
        <f>-'P&amp;L'!D12</f>
        <v>-119427.93</v>
      </c>
      <c r="H129" s="120">
        <f>-'P&amp;L'!E12</f>
        <v>-124537.94</v>
      </c>
      <c r="I129" s="120">
        <f>-'P&amp;L'!F12</f>
        <v>-38312.769999999997</v>
      </c>
      <c r="J129" s="120">
        <f>-'P&amp;L'!G12</f>
        <v>-96952.36</v>
      </c>
      <c r="K129" s="120">
        <f>-'P&amp;L'!H12</f>
        <v>-236460.17</v>
      </c>
      <c r="L129" s="120">
        <f>-'P&amp;L'!I12</f>
        <v>-239045.78</v>
      </c>
      <c r="M129" s="120">
        <f>+M52</f>
        <v>-319763.94706816756</v>
      </c>
      <c r="N129" s="120">
        <f>+N52</f>
        <v>-425819.96187317889</v>
      </c>
      <c r="O129" s="120">
        <f>+O52</f>
        <v>-492277.28564021614</v>
      </c>
      <c r="P129" s="120">
        <f>+P52</f>
        <v>-546422.1122059481</v>
      </c>
      <c r="S129" s="93"/>
      <c r="T129" s="93"/>
    </row>
    <row r="130" spans="2:20" ht="15.6" outlineLevel="1" x14ac:dyDescent="0.3">
      <c r="B130" s="69"/>
      <c r="C130" s="106" t="s">
        <v>477</v>
      </c>
      <c r="D130" s="82" t="s">
        <v>473</v>
      </c>
      <c r="E130" s="120">
        <f>-SUM('P&amp;L'!B13,'P&amp;L'!B15,'P&amp;L'!B16,'P&amp;L'!B17)</f>
        <v>-32492.05</v>
      </c>
      <c r="F130" s="120">
        <f>-SUM('P&amp;L'!C13,'P&amp;L'!C15,'P&amp;L'!C16,'P&amp;L'!C17)</f>
        <v>-37340.75</v>
      </c>
      <c r="G130" s="120">
        <f>-SUM('P&amp;L'!D13,'P&amp;L'!D15,'P&amp;L'!D16,'P&amp;L'!D17)</f>
        <v>-64497.61</v>
      </c>
      <c r="H130" s="120">
        <f>-SUM('P&amp;L'!E13,'P&amp;L'!E15,'P&amp;L'!E16,'P&amp;L'!E17)</f>
        <v>-35892.490000000005</v>
      </c>
      <c r="I130" s="120">
        <f>-SUM('P&amp;L'!F13,'P&amp;L'!F15,'P&amp;L'!F16,'P&amp;L'!F17)</f>
        <v>-18933.41</v>
      </c>
      <c r="J130" s="120">
        <f>-SUM('P&amp;L'!G13,'P&amp;L'!G15,'P&amp;L'!G16,'P&amp;L'!G17)</f>
        <v>-27166.629999999997</v>
      </c>
      <c r="K130" s="120">
        <f>-SUM('P&amp;L'!H13,'P&amp;L'!H15,'P&amp;L'!H16,'P&amp;L'!H17)</f>
        <v>-42598.840000000004</v>
      </c>
      <c r="L130" s="120">
        <f>-SUM('P&amp;L'!I13,'P&amp;L'!I15,'P&amp;L'!I16,'P&amp;L'!I17)</f>
        <v>-60359.990000000005</v>
      </c>
      <c r="M130" s="120">
        <f>+M63*M22</f>
        <v>-69771.142007995586</v>
      </c>
      <c r="N130" s="120">
        <f>+N63*N22</f>
        <v>-70624.840082811701</v>
      </c>
      <c r="O130" s="120">
        <f>+O63*O22</f>
        <v>-88417.745047483651</v>
      </c>
      <c r="P130" s="120">
        <f>+P63*P22</f>
        <v>-83640.375165183723</v>
      </c>
      <c r="S130" s="93"/>
      <c r="T130" s="93"/>
    </row>
    <row r="131" spans="2:20" ht="15.6" outlineLevel="1" x14ac:dyDescent="0.3">
      <c r="B131" s="69"/>
      <c r="C131" s="106" t="s">
        <v>481</v>
      </c>
      <c r="D131" s="82" t="s">
        <v>473</v>
      </c>
      <c r="E131" s="120">
        <f>-'P&amp;L'!B14</f>
        <v>0</v>
      </c>
      <c r="F131" s="120">
        <f>-'P&amp;L'!C14</f>
        <v>0</v>
      </c>
      <c r="G131" s="120">
        <f>-'P&amp;L'!D14</f>
        <v>-36820.050000000003</v>
      </c>
      <c r="H131" s="120">
        <f>-'P&amp;L'!E14</f>
        <v>-58672.37</v>
      </c>
      <c r="I131" s="120">
        <f>-'P&amp;L'!F14</f>
        <v>-41912.6</v>
      </c>
      <c r="J131" s="120">
        <f>-'P&amp;L'!G14</f>
        <v>-60897.84</v>
      </c>
      <c r="K131" s="120">
        <f>-'P&amp;L'!H14</f>
        <v>-80449.600000000006</v>
      </c>
      <c r="L131" s="120">
        <f>-'P&amp;L'!I14</f>
        <v>-99316.24</v>
      </c>
      <c r="M131" s="120">
        <f>+M65*M22</f>
        <v>-112810.10743602243</v>
      </c>
      <c r="N131" s="120">
        <f>+N65*N22</f>
        <v>-137263.67813646595</v>
      </c>
      <c r="O131" s="120">
        <f>+O65*O22</f>
        <v>-142938.61785967334</v>
      </c>
      <c r="P131" s="120">
        <f>+P65*P22</f>
        <v>-202156.04525868091</v>
      </c>
      <c r="S131" s="93"/>
      <c r="T131" s="93"/>
    </row>
    <row r="132" spans="2:20" ht="15.6" outlineLevel="1" x14ac:dyDescent="0.3">
      <c r="B132" s="69"/>
      <c r="C132" s="106" t="s">
        <v>25</v>
      </c>
      <c r="D132" s="82" t="s">
        <v>473</v>
      </c>
      <c r="E132" s="120">
        <f>-'P&amp;L'!B18</f>
        <v>-20481.900000000001</v>
      </c>
      <c r="F132" s="120">
        <f>-'P&amp;L'!C18</f>
        <v>-24550.22</v>
      </c>
      <c r="G132" s="120">
        <f>-'P&amp;L'!D18</f>
        <v>-32105.57</v>
      </c>
      <c r="H132" s="120">
        <f>-'P&amp;L'!E18</f>
        <v>-47099.59</v>
      </c>
      <c r="I132" s="120">
        <f>-'P&amp;L'!F18</f>
        <v>-32954.92</v>
      </c>
      <c r="J132" s="120">
        <f>-'P&amp;L'!G18</f>
        <v>-34864.43</v>
      </c>
      <c r="K132" s="120">
        <f>-'P&amp;L'!H18</f>
        <v>-47947.519999999997</v>
      </c>
      <c r="L132" s="120">
        <f>-'P&amp;L'!I18</f>
        <v>-64618.559999999998</v>
      </c>
      <c r="M132" s="120">
        <f>+M66*M22</f>
        <v>-70783.40975735031</v>
      </c>
      <c r="N132" s="120">
        <f>+N66*N22</f>
        <v>-82846.472276088214</v>
      </c>
      <c r="O132" s="120">
        <f>+O66*O22</f>
        <v>-91412.567520999961</v>
      </c>
      <c r="P132" s="120">
        <f>+P66*P22</f>
        <v>-90859.909862923276</v>
      </c>
      <c r="S132" s="93"/>
      <c r="T132" s="93"/>
    </row>
    <row r="133" spans="2:20" ht="15.6" outlineLevel="1" x14ac:dyDescent="0.3">
      <c r="B133" s="69"/>
      <c r="C133" s="106" t="s">
        <v>28</v>
      </c>
      <c r="D133" s="82" t="s">
        <v>473</v>
      </c>
      <c r="E133" s="120">
        <f>-'P&amp;L'!B21</f>
        <v>0</v>
      </c>
      <c r="F133" s="120">
        <f>-'P&amp;L'!C21</f>
        <v>0</v>
      </c>
      <c r="G133" s="120">
        <f>-'P&amp;L'!D21</f>
        <v>-4674.87</v>
      </c>
      <c r="H133" s="120">
        <f>-'P&amp;L'!E21</f>
        <v>-15461.89</v>
      </c>
      <c r="I133" s="120">
        <f>-'P&amp;L'!F21</f>
        <v>5230.26</v>
      </c>
      <c r="J133" s="120">
        <f>-'P&amp;L'!G21</f>
        <v>-9408.3799999999992</v>
      </c>
      <c r="K133" s="120">
        <f>-'P&amp;L'!H21</f>
        <v>-29597.73</v>
      </c>
      <c r="L133" s="120">
        <f>-'P&amp;L'!I21</f>
        <v>-7173.97</v>
      </c>
      <c r="M133" s="120">
        <f>+M67*M22</f>
        <v>-24882.680694727842</v>
      </c>
      <c r="N133" s="120">
        <f>+N67*N22</f>
        <v>-35131.322538357592</v>
      </c>
      <c r="O133" s="120">
        <f>+O67*O22</f>
        <v>-47045.368441854895</v>
      </c>
      <c r="P133" s="120">
        <f>+P67*P22</f>
        <v>-67627.173051951409</v>
      </c>
      <c r="S133" s="93"/>
      <c r="T133" s="93"/>
    </row>
    <row r="134" spans="2:20" ht="15.6" outlineLevel="1" x14ac:dyDescent="0.3">
      <c r="B134" s="69"/>
      <c r="C134" s="106" t="s">
        <v>29</v>
      </c>
      <c r="D134" s="91" t="s">
        <v>473</v>
      </c>
      <c r="E134" s="120">
        <f>-'P&amp;L'!B22</f>
        <v>-47986.239999999998</v>
      </c>
      <c r="F134" s="120">
        <f>-'P&amp;L'!C22</f>
        <v>-61139.26</v>
      </c>
      <c r="G134" s="120">
        <f>-'P&amp;L'!D22</f>
        <v>-29482.57</v>
      </c>
      <c r="H134" s="120">
        <f>-'P&amp;L'!E22</f>
        <v>-35340.04</v>
      </c>
      <c r="I134" s="120">
        <f>-'P&amp;L'!F22</f>
        <v>-19104.099999999999</v>
      </c>
      <c r="J134" s="120">
        <f>-'P&amp;L'!G22</f>
        <v>-24563.07</v>
      </c>
      <c r="K134" s="120">
        <f>-'P&amp;L'!H22</f>
        <v>-42469.61</v>
      </c>
      <c r="L134" s="120">
        <f>-'P&amp;L'!I22</f>
        <v>-55299.07</v>
      </c>
      <c r="M134" s="120">
        <f>+M68*M22</f>
        <v>-12076.999681241969</v>
      </c>
      <c r="N134" s="120">
        <f>+N68*N22</f>
        <v>-13127.754459437994</v>
      </c>
      <c r="O134" s="120">
        <f>+O68*O22</f>
        <v>-15961.568603466418</v>
      </c>
      <c r="P134" s="120">
        <f>+P68*P22</f>
        <v>-22848.167222299984</v>
      </c>
      <c r="S134" s="93"/>
      <c r="T134" s="93"/>
    </row>
    <row r="135" spans="2:20" ht="15.6" outlineLevel="1" x14ac:dyDescent="0.3">
      <c r="B135" s="69"/>
      <c r="C135" s="92" t="s">
        <v>495</v>
      </c>
      <c r="D135" s="82" t="s">
        <v>473</v>
      </c>
      <c r="E135" s="131">
        <f t="shared" ref="E135:P135" si="54">SUM(E129:E134)</f>
        <v>-164375.31999999998</v>
      </c>
      <c r="F135" s="131">
        <f t="shared" si="54"/>
        <v>-200631.59000000003</v>
      </c>
      <c r="G135" s="131">
        <f t="shared" si="54"/>
        <v>-287008.59999999998</v>
      </c>
      <c r="H135" s="131">
        <f t="shared" si="54"/>
        <v>-317004.32</v>
      </c>
      <c r="I135" s="131">
        <f t="shared" si="54"/>
        <v>-145987.54</v>
      </c>
      <c r="J135" s="131">
        <f t="shared" si="54"/>
        <v>-253852.71</v>
      </c>
      <c r="K135" s="131">
        <f t="shared" si="54"/>
        <v>-479523.47</v>
      </c>
      <c r="L135" s="131">
        <f t="shared" si="54"/>
        <v>-525813.61</v>
      </c>
      <c r="M135" s="131">
        <f t="shared" si="54"/>
        <v>-610088.28664550558</v>
      </c>
      <c r="N135" s="131">
        <f t="shared" si="54"/>
        <v>-764814.02936634037</v>
      </c>
      <c r="O135" s="131">
        <f t="shared" si="54"/>
        <v>-878053.15311369428</v>
      </c>
      <c r="P135" s="131">
        <f t="shared" si="54"/>
        <v>-1013553.7827669875</v>
      </c>
    </row>
    <row r="136" spans="2:20" ht="15.6" outlineLevel="1" x14ac:dyDescent="0.3">
      <c r="B136" s="69"/>
      <c r="C136" s="76"/>
      <c r="D136" s="82"/>
      <c r="E136" s="132"/>
      <c r="F136" s="132"/>
      <c r="G136" s="132"/>
      <c r="H136" s="132"/>
      <c r="I136" s="132"/>
      <c r="J136" s="132"/>
      <c r="K136" s="132"/>
      <c r="L136" s="132"/>
      <c r="M136" s="132"/>
      <c r="N136" s="132"/>
      <c r="O136" s="132"/>
      <c r="P136" s="132"/>
    </row>
    <row r="137" spans="2:20" ht="15.6" outlineLevel="1" x14ac:dyDescent="0.3">
      <c r="B137" s="69"/>
      <c r="C137" s="76" t="s">
        <v>493</v>
      </c>
      <c r="D137" s="82" t="s">
        <v>473</v>
      </c>
      <c r="E137" s="132">
        <f>E126+E135</f>
        <v>29320.380000000034</v>
      </c>
      <c r="F137" s="132">
        <f t="shared" ref="F137:P137" si="55">F126+F135</f>
        <v>39045.839999999967</v>
      </c>
      <c r="G137" s="132">
        <f t="shared" si="55"/>
        <v>11205.099999999977</v>
      </c>
      <c r="H137" s="132">
        <f t="shared" si="55"/>
        <v>55910.780000000028</v>
      </c>
      <c r="I137" s="132">
        <f t="shared" si="55"/>
        <v>10788.410000000003</v>
      </c>
      <c r="J137" s="132">
        <f t="shared" si="55"/>
        <v>12712.540000000008</v>
      </c>
      <c r="K137" s="132">
        <f t="shared" si="55"/>
        <v>79290.710000000079</v>
      </c>
      <c r="L137" s="132">
        <f t="shared" si="55"/>
        <v>186498.02000000002</v>
      </c>
      <c r="M137" s="132">
        <f t="shared" si="55"/>
        <v>202838.03246436873</v>
      </c>
      <c r="N137" s="132">
        <f t="shared" si="55"/>
        <v>254337.12390942837</v>
      </c>
      <c r="O137" s="132">
        <f t="shared" si="55"/>
        <v>252144.84794606373</v>
      </c>
      <c r="P137" s="132">
        <f t="shared" si="55"/>
        <v>287887.78945755179</v>
      </c>
    </row>
    <row r="138" spans="2:20" ht="15.6" outlineLevel="1" x14ac:dyDescent="0.3">
      <c r="B138" s="69"/>
      <c r="C138" s="106" t="s">
        <v>27</v>
      </c>
      <c r="D138" s="82" t="s">
        <v>473</v>
      </c>
      <c r="E138" s="120">
        <f>-'P&amp;L'!B20</f>
        <v>-4572.53</v>
      </c>
      <c r="F138" s="120">
        <f>-'P&amp;L'!C20</f>
        <v>-4368.7700000000004</v>
      </c>
      <c r="G138" s="120">
        <f>-'P&amp;L'!D20</f>
        <v>-7595.8</v>
      </c>
      <c r="H138" s="120">
        <f>-'P&amp;L'!E20</f>
        <v>-39739.29</v>
      </c>
      <c r="I138" s="120">
        <f>-'P&amp;L'!F20</f>
        <v>-46994.46</v>
      </c>
      <c r="J138" s="120">
        <f>-'P&amp;L'!G20</f>
        <v>-50686</v>
      </c>
      <c r="K138" s="120">
        <f>-'P&amp;L'!H20</f>
        <v>-51029.69</v>
      </c>
      <c r="L138" s="120">
        <f>-'P&amp;L'!I20</f>
        <v>-64257.29</v>
      </c>
      <c r="M138" s="120">
        <f>+M64*M22</f>
        <v>-79206.125616557081</v>
      </c>
      <c r="N138" s="120">
        <f>+N64*N22</f>
        <v>-93620.176947994143</v>
      </c>
      <c r="O138" s="120">
        <f>+O64*O22</f>
        <v>-102179.05439827155</v>
      </c>
      <c r="P138" s="120">
        <f>+P64*P22</f>
        <v>-116811.98821611784</v>
      </c>
    </row>
    <row r="139" spans="2:20" ht="15.6" outlineLevel="1" x14ac:dyDescent="0.3">
      <c r="B139" s="69"/>
      <c r="C139" s="83" t="s">
        <v>472</v>
      </c>
      <c r="D139" s="82"/>
      <c r="E139" s="122"/>
      <c r="F139" s="122"/>
      <c r="G139" s="122"/>
      <c r="H139" s="122"/>
      <c r="I139" s="122"/>
      <c r="J139" s="122"/>
      <c r="K139" s="118"/>
      <c r="L139" s="118"/>
      <c r="M139" s="118"/>
      <c r="N139" s="118"/>
      <c r="O139" s="118"/>
    </row>
    <row r="140" spans="2:20" ht="15.6" outlineLevel="1" x14ac:dyDescent="0.3">
      <c r="B140" s="69"/>
      <c r="C140" s="76" t="s">
        <v>494</v>
      </c>
      <c r="D140" s="82" t="s">
        <v>473</v>
      </c>
      <c r="E140" s="132">
        <f>+E137+E138</f>
        <v>24747.850000000035</v>
      </c>
      <c r="F140" s="132">
        <f t="shared" ref="F140:P140" si="56">+F137+F138</f>
        <v>34677.069999999963</v>
      </c>
      <c r="G140" s="132">
        <f t="shared" si="56"/>
        <v>3609.2999999999765</v>
      </c>
      <c r="H140" s="132">
        <f t="shared" si="56"/>
        <v>16171.490000000027</v>
      </c>
      <c r="I140" s="132">
        <f t="shared" si="56"/>
        <v>-36206.049999999996</v>
      </c>
      <c r="J140" s="132">
        <f t="shared" si="56"/>
        <v>-37973.459999999992</v>
      </c>
      <c r="K140" s="132">
        <f t="shared" si="56"/>
        <v>28261.020000000077</v>
      </c>
      <c r="L140" s="132">
        <f t="shared" si="56"/>
        <v>122240.73000000001</v>
      </c>
      <c r="M140" s="132">
        <f>+M137+M138</f>
        <v>123631.90684781165</v>
      </c>
      <c r="N140" s="132">
        <f t="shared" si="56"/>
        <v>160716.94696143421</v>
      </c>
      <c r="O140" s="132">
        <f t="shared" si="56"/>
        <v>149965.79354779219</v>
      </c>
      <c r="P140" s="132">
        <f t="shared" si="56"/>
        <v>171075.80124143395</v>
      </c>
    </row>
    <row r="141" spans="2:20" ht="15.6" outlineLevel="1" x14ac:dyDescent="0.3">
      <c r="B141" s="69"/>
      <c r="C141" s="83" t="s">
        <v>395</v>
      </c>
      <c r="D141" s="82" t="s">
        <v>473</v>
      </c>
      <c r="E141" s="120">
        <f>-'P&amp;L'!B39</f>
        <v>-3307.8</v>
      </c>
      <c r="F141" s="120">
        <f>-'P&amp;L'!C39</f>
        <v>-3398.15</v>
      </c>
      <c r="G141" s="120">
        <f>-'P&amp;L'!D39</f>
        <v>-5089.63</v>
      </c>
      <c r="H141" s="120">
        <f>-'P&amp;L'!E39</f>
        <v>-5114.2099999999991</v>
      </c>
      <c r="I141" s="120">
        <f>-'P&amp;L'!F39</f>
        <v>-5222.9600000000009</v>
      </c>
      <c r="J141" s="120">
        <f>-'P&amp;L'!G39</f>
        <v>-4061.75</v>
      </c>
      <c r="K141" s="120">
        <f>-'P&amp;L'!H39</f>
        <v>-4977.66</v>
      </c>
      <c r="L141" s="120">
        <f>-'P&amp;L'!I39</f>
        <v>-6930.4100000000035</v>
      </c>
      <c r="M141" s="120">
        <f>-M256</f>
        <v>-6384.511125</v>
      </c>
      <c r="N141" s="120">
        <f t="shared" ref="N141:P141" si="57">-N256</f>
        <v>-2537.4027608473771</v>
      </c>
      <c r="O141" s="120">
        <f t="shared" si="57"/>
        <v>-2062.3752749999994</v>
      </c>
      <c r="P141" s="120">
        <f t="shared" si="57"/>
        <v>-629.50199999999995</v>
      </c>
    </row>
    <row r="142" spans="2:20" ht="15.6" outlineLevel="1" x14ac:dyDescent="0.3">
      <c r="B142" s="69"/>
      <c r="C142" s="77" t="s">
        <v>689</v>
      </c>
      <c r="D142" s="82" t="s">
        <v>473</v>
      </c>
      <c r="E142" s="120">
        <f>-'P&amp;L'!B38</f>
        <v>0</v>
      </c>
      <c r="F142" s="120">
        <f>-'P&amp;L'!C38</f>
        <v>0</v>
      </c>
      <c r="G142" s="120">
        <f>-'P&amp;L'!D38</f>
        <v>0</v>
      </c>
      <c r="H142" s="120">
        <f>-'P&amp;L'!E38</f>
        <v>-13644.5</v>
      </c>
      <c r="I142" s="120">
        <f>-'P&amp;L'!F38</f>
        <v>-16196.87</v>
      </c>
      <c r="J142" s="120">
        <f>-'P&amp;L'!G38</f>
        <v>-19518.400000000001</v>
      </c>
      <c r="K142" s="120">
        <f>-'P&amp;L'!H38</f>
        <v>-26339.65</v>
      </c>
      <c r="L142" s="120">
        <f>-'P&amp;L'!I38</f>
        <v>-34763.129999999997</v>
      </c>
      <c r="M142" s="120">
        <f>+M71*M22</f>
        <v>-38672.226517133815</v>
      </c>
      <c r="N142" s="120">
        <f>+N71*N22</f>
        <v>-42094.194628516227</v>
      </c>
      <c r="O142" s="120">
        <f>+O71*O22</f>
        <v>-44923.565613040199</v>
      </c>
      <c r="P142" s="120">
        <f>+P71*P22</f>
        <v>-47169.743893692212</v>
      </c>
    </row>
    <row r="143" spans="2:20" ht="15.6" outlineLevel="1" x14ac:dyDescent="0.3">
      <c r="B143" s="69"/>
      <c r="C143" s="92" t="s">
        <v>396</v>
      </c>
      <c r="D143" s="99" t="s">
        <v>473</v>
      </c>
      <c r="E143" s="131">
        <f>SUM(E140:E142)</f>
        <v>21440.050000000036</v>
      </c>
      <c r="F143" s="131">
        <f>SUM(F140:F142)</f>
        <v>31278.919999999962</v>
      </c>
      <c r="G143" s="131">
        <f t="shared" ref="G143:K143" si="58">SUM(G140:G142)</f>
        <v>-1480.3300000000236</v>
      </c>
      <c r="H143" s="131">
        <f t="shared" si="58"/>
        <v>-2587.2199999999721</v>
      </c>
      <c r="I143" s="131">
        <f t="shared" si="58"/>
        <v>-57625.88</v>
      </c>
      <c r="J143" s="131">
        <f t="shared" si="58"/>
        <v>-61553.609999999993</v>
      </c>
      <c r="K143" s="131">
        <f t="shared" si="58"/>
        <v>-3056.2899999999245</v>
      </c>
      <c r="L143" s="131">
        <f>SUM(L140:L142)</f>
        <v>80547.19</v>
      </c>
      <c r="M143" s="131">
        <f t="shared" ref="M143:P143" si="59">SUM(M140:M142)</f>
        <v>78575.169205677841</v>
      </c>
      <c r="N143" s="131">
        <f t="shared" si="59"/>
        <v>116085.3495720706</v>
      </c>
      <c r="O143" s="131">
        <f t="shared" si="59"/>
        <v>102979.85265975198</v>
      </c>
      <c r="P143" s="131">
        <f t="shared" si="59"/>
        <v>123276.55534774173</v>
      </c>
    </row>
    <row r="144" spans="2:20" ht="15.6" outlineLevel="1" x14ac:dyDescent="0.3">
      <c r="B144" s="69"/>
      <c r="C144" s="83" t="s">
        <v>397</v>
      </c>
      <c r="D144" s="82" t="s">
        <v>473</v>
      </c>
      <c r="E144" s="120">
        <f>-'P&amp;L'!B28</f>
        <v>-4851.5200000000004</v>
      </c>
      <c r="F144" s="120">
        <f>-'P&amp;L'!C28</f>
        <v>-8843.0300000000007</v>
      </c>
      <c r="G144" s="120">
        <f>-'P&amp;L'!D28</f>
        <v>3046.25</v>
      </c>
      <c r="H144" s="120">
        <f>-'P&amp;L'!E28</f>
        <v>219.91</v>
      </c>
      <c r="I144" s="120">
        <f>-'P&amp;L'!F28</f>
        <v>116.43</v>
      </c>
      <c r="J144" s="120">
        <f>-'P&amp;L'!G28</f>
        <v>-81.61</v>
      </c>
      <c r="K144" s="120">
        <f>-'P&amp;L'!H28</f>
        <v>-14.04</v>
      </c>
      <c r="L144" s="120">
        <f>-'P&amp;L'!I28</f>
        <v>1231.5899999999999</v>
      </c>
      <c r="M144" s="120">
        <f>+M73*M22</f>
        <v>-2463.790039118519</v>
      </c>
      <c r="N144" s="120">
        <f>+N73*N22</f>
        <v>-28178.70848684982</v>
      </c>
      <c r="O144" s="120">
        <f>+O73*O22</f>
        <v>-68591.754901222186</v>
      </c>
      <c r="P144" s="120">
        <f>+P73*P22</f>
        <v>-51667.747855738213</v>
      </c>
    </row>
    <row r="145" spans="2:20" ht="15.6" outlineLevel="1" x14ac:dyDescent="0.3">
      <c r="B145" s="69"/>
      <c r="C145" s="83"/>
      <c r="D145" s="82"/>
      <c r="E145" s="118"/>
      <c r="F145" s="118"/>
      <c r="G145" s="118"/>
      <c r="H145" s="118"/>
      <c r="I145" s="118"/>
      <c r="J145" s="118"/>
      <c r="K145" s="118"/>
      <c r="L145" s="118"/>
      <c r="M145" s="118"/>
      <c r="N145" s="118"/>
      <c r="O145" s="118"/>
      <c r="P145" s="118"/>
    </row>
    <row r="146" spans="2:20" ht="15.6" outlineLevel="1" x14ac:dyDescent="0.3">
      <c r="B146" s="69"/>
      <c r="C146" s="76" t="s">
        <v>398</v>
      </c>
      <c r="D146" s="82" t="s">
        <v>473</v>
      </c>
      <c r="E146" s="186">
        <f>+E143+E144</f>
        <v>16588.530000000035</v>
      </c>
      <c r="F146" s="186">
        <f t="shared" ref="F146:P146" si="60">+F143+F144</f>
        <v>22435.889999999963</v>
      </c>
      <c r="G146" s="186">
        <f t="shared" si="60"/>
        <v>1565.9199999999764</v>
      </c>
      <c r="H146" s="186">
        <f t="shared" si="60"/>
        <v>-2367.3099999999722</v>
      </c>
      <c r="I146" s="186">
        <f t="shared" si="60"/>
        <v>-57509.45</v>
      </c>
      <c r="J146" s="186">
        <f t="shared" si="60"/>
        <v>-61635.219999999994</v>
      </c>
      <c r="K146" s="186">
        <f t="shared" si="60"/>
        <v>-3070.3299999999244</v>
      </c>
      <c r="L146" s="186">
        <f t="shared" si="60"/>
        <v>81778.78</v>
      </c>
      <c r="M146" s="186">
        <f t="shared" si="60"/>
        <v>76111.379166559316</v>
      </c>
      <c r="N146" s="186">
        <f t="shared" si="60"/>
        <v>87906.641085220777</v>
      </c>
      <c r="O146" s="186">
        <f t="shared" si="60"/>
        <v>34388.097758529795</v>
      </c>
      <c r="P146" s="186">
        <f t="shared" si="60"/>
        <v>71608.807492003514</v>
      </c>
    </row>
    <row r="147" spans="2:20" ht="15.6" outlineLevel="1" x14ac:dyDescent="0.3">
      <c r="B147" s="69"/>
      <c r="C147" s="83"/>
      <c r="D147" s="82"/>
      <c r="E147" s="122"/>
      <c r="F147" s="122"/>
      <c r="G147" s="122"/>
      <c r="H147" s="122"/>
      <c r="I147" s="122"/>
      <c r="J147" s="122"/>
      <c r="K147" s="118"/>
      <c r="L147" s="118"/>
      <c r="M147" s="118"/>
      <c r="N147" s="118"/>
      <c r="O147" s="118"/>
    </row>
    <row r="148" spans="2:20" ht="15.6" outlineLevel="1" x14ac:dyDescent="0.3">
      <c r="B148" s="69"/>
      <c r="C148" s="83" t="s">
        <v>399</v>
      </c>
      <c r="D148" s="82" t="s">
        <v>400</v>
      </c>
      <c r="E148" s="187">
        <f>+'P&amp;L'!B31</f>
        <v>361468363</v>
      </c>
      <c r="F148" s="187">
        <f>+'P&amp;L'!C31</f>
        <v>384406838</v>
      </c>
      <c r="G148" s="187">
        <f>+'P&amp;L'!D31</f>
        <v>384406838</v>
      </c>
      <c r="H148" s="187">
        <f>+'P&amp;L'!E31</f>
        <v>384796279</v>
      </c>
      <c r="I148" s="187">
        <f>+'P&amp;L'!F31</f>
        <v>384910000</v>
      </c>
      <c r="J148" s="187">
        <f>+'P&amp;L'!G31</f>
        <v>385254729</v>
      </c>
      <c r="K148" s="187">
        <f>+'P&amp;L'!H31</f>
        <v>385547099</v>
      </c>
      <c r="L148" s="187">
        <f>+'P&amp;L'!I31</f>
        <v>385978689</v>
      </c>
      <c r="M148" s="304">
        <f>+L148+M224/Share_Price</f>
        <v>385978689</v>
      </c>
      <c r="N148" s="304">
        <f>+M148+N224/Share_Price</f>
        <v>385978689</v>
      </c>
      <c r="O148" s="304">
        <f>+N148+O224/Share_Price</f>
        <v>385978689</v>
      </c>
      <c r="P148" s="304">
        <f>+O148+P224/Share_Price</f>
        <v>385978689</v>
      </c>
    </row>
    <row r="149" spans="2:20" ht="15.6" outlineLevel="1" x14ac:dyDescent="0.3">
      <c r="B149" s="69"/>
      <c r="C149" s="83" t="s">
        <v>401</v>
      </c>
      <c r="D149" s="82" t="s">
        <v>475</v>
      </c>
      <c r="E149" s="188">
        <f>+(E146*1000000)/E148</f>
        <v>45.892066078269856</v>
      </c>
      <c r="F149" s="188">
        <f t="shared" ref="F149:P149" si="61">+(F146*1000000)/F148</f>
        <v>58.364960719038933</v>
      </c>
      <c r="G149" s="188">
        <f t="shared" si="61"/>
        <v>4.0736007927100832</v>
      </c>
      <c r="H149" s="188">
        <f t="shared" si="61"/>
        <v>-6.1521125052250634</v>
      </c>
      <c r="I149" s="188">
        <f t="shared" si="61"/>
        <v>-149.41012184666545</v>
      </c>
      <c r="J149" s="188">
        <f t="shared" si="61"/>
        <v>-159.98562862546976</v>
      </c>
      <c r="K149" s="188">
        <f t="shared" si="61"/>
        <v>-7.9635665991612727</v>
      </c>
      <c r="L149" s="188">
        <f t="shared" si="61"/>
        <v>211.87382187310345</v>
      </c>
      <c r="M149" s="188">
        <f t="shared" si="61"/>
        <v>197.19062563725976</v>
      </c>
      <c r="N149" s="188">
        <f t="shared" si="61"/>
        <v>227.74998617921307</v>
      </c>
      <c r="O149" s="188">
        <f t="shared" si="61"/>
        <v>89.093254986753408</v>
      </c>
      <c r="P149" s="188">
        <f t="shared" si="61"/>
        <v>185.52528813839126</v>
      </c>
    </row>
    <row r="150" spans="2:20" ht="15.6" outlineLevel="1" x14ac:dyDescent="0.3">
      <c r="B150" s="69"/>
      <c r="C150" s="83"/>
      <c r="D150" s="82"/>
      <c r="E150" s="188"/>
      <c r="F150" s="188"/>
      <c r="G150" s="188"/>
      <c r="H150" s="188"/>
      <c r="I150" s="188"/>
      <c r="J150" s="188"/>
      <c r="K150" s="188"/>
      <c r="L150" s="188"/>
      <c r="M150" s="188"/>
      <c r="N150" s="188"/>
      <c r="O150" s="188"/>
      <c r="P150" s="188"/>
    </row>
    <row r="151" spans="2:20" ht="15.6" outlineLevel="1" x14ac:dyDescent="0.3">
      <c r="B151" s="69"/>
      <c r="C151" s="83" t="s">
        <v>766</v>
      </c>
      <c r="D151" s="82" t="s">
        <v>475</v>
      </c>
      <c r="E151" s="188">
        <f>(-E225*1000000)/E148</f>
        <v>18.053668503210059</v>
      </c>
      <c r="F151" s="188">
        <f t="shared" ref="F151:P151" si="62">(-F225*1000000)/F148</f>
        <v>38.502540893926557</v>
      </c>
      <c r="G151" s="188">
        <f t="shared" si="62"/>
        <v>7.233091935789135</v>
      </c>
      <c r="H151" s="188">
        <f t="shared" si="62"/>
        <v>6.0236289343120184</v>
      </c>
      <c r="I151" s="188">
        <f t="shared" si="62"/>
        <v>0</v>
      </c>
      <c r="J151" s="188">
        <f t="shared" si="62"/>
        <v>0</v>
      </c>
      <c r="K151" s="188">
        <f t="shared" si="62"/>
        <v>0</v>
      </c>
      <c r="L151" s="188">
        <f t="shared" si="62"/>
        <v>0</v>
      </c>
      <c r="M151" s="188">
        <f t="shared" si="62"/>
        <v>0</v>
      </c>
      <c r="N151" s="188">
        <f t="shared" si="62"/>
        <v>0</v>
      </c>
      <c r="O151" s="188">
        <f t="shared" si="62"/>
        <v>0</v>
      </c>
      <c r="P151" s="188">
        <f t="shared" si="62"/>
        <v>0</v>
      </c>
    </row>
    <row r="152" spans="2:20" ht="15.6" x14ac:dyDescent="0.3">
      <c r="B152" s="69"/>
      <c r="C152" s="83"/>
      <c r="D152" s="82"/>
      <c r="E152" s="122"/>
      <c r="F152" s="122"/>
      <c r="G152" s="122"/>
      <c r="H152" s="122"/>
      <c r="I152" s="122"/>
      <c r="J152" s="122"/>
      <c r="K152" s="118"/>
      <c r="L152" s="118"/>
      <c r="M152" s="118"/>
      <c r="N152" s="118"/>
      <c r="O152" s="118"/>
    </row>
    <row r="153" spans="2:20" ht="15.6" x14ac:dyDescent="0.3">
      <c r="B153" s="103"/>
      <c r="C153" s="103"/>
      <c r="D153" s="104"/>
      <c r="E153" s="436" t="s">
        <v>359</v>
      </c>
      <c r="F153" s="436"/>
      <c r="G153" s="436"/>
      <c r="H153" s="436"/>
      <c r="I153" s="436"/>
      <c r="J153" s="436"/>
      <c r="K153" s="436"/>
      <c r="L153" s="437"/>
      <c r="M153" s="436" t="s">
        <v>360</v>
      </c>
      <c r="N153" s="436"/>
      <c r="O153" s="436"/>
      <c r="P153" s="436"/>
    </row>
    <row r="154" spans="2:20" ht="15.6" x14ac:dyDescent="0.3">
      <c r="B154" s="101" t="s">
        <v>523</v>
      </c>
      <c r="C154" s="101"/>
      <c r="D154" s="105" t="str">
        <f>$D$20</f>
        <v>Units:</v>
      </c>
      <c r="E154" s="110">
        <f t="shared" ref="E154:J154" si="63">EOMONTH(F154,-12)</f>
        <v>42825</v>
      </c>
      <c r="F154" s="110">
        <f t="shared" si="63"/>
        <v>43190</v>
      </c>
      <c r="G154" s="110">
        <f t="shared" si="63"/>
        <v>43555</v>
      </c>
      <c r="H154" s="110">
        <f t="shared" si="63"/>
        <v>43921</v>
      </c>
      <c r="I154" s="110">
        <f t="shared" si="63"/>
        <v>44286</v>
      </c>
      <c r="J154" s="110">
        <f t="shared" si="63"/>
        <v>44651</v>
      </c>
      <c r="K154" s="110">
        <f>EOMONTH(L154,-12)</f>
        <v>45016</v>
      </c>
      <c r="L154" s="111">
        <f>Hist_Year</f>
        <v>45382</v>
      </c>
      <c r="M154" s="110">
        <f>EOMONTH(L154,12)</f>
        <v>45747</v>
      </c>
      <c r="N154" s="110">
        <f>EOMONTH(M154,12)</f>
        <v>46112</v>
      </c>
      <c r="O154" s="110">
        <f>EOMONTH(N154,12)</f>
        <v>46477</v>
      </c>
      <c r="P154" s="110">
        <f>EOMONTH(O154,12)</f>
        <v>46843</v>
      </c>
    </row>
    <row r="155" spans="2:20" ht="15.6" outlineLevel="1" x14ac:dyDescent="0.3">
      <c r="B155" s="94" t="s">
        <v>402</v>
      </c>
      <c r="C155" s="87"/>
      <c r="D155" s="87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</row>
    <row r="156" spans="2:20" ht="15.6" outlineLevel="1" x14ac:dyDescent="0.3">
      <c r="B156" s="69"/>
      <c r="D156" s="82"/>
      <c r="E156" s="122"/>
      <c r="F156" s="122"/>
      <c r="G156" s="122"/>
      <c r="H156" s="122"/>
      <c r="I156" s="122"/>
      <c r="J156" s="122"/>
      <c r="K156" s="118"/>
      <c r="L156" s="118"/>
      <c r="M156" s="118"/>
      <c r="N156" s="118"/>
      <c r="O156" s="118"/>
    </row>
    <row r="157" spans="2:20" ht="15.6" outlineLevel="1" x14ac:dyDescent="0.3">
      <c r="B157" s="69"/>
      <c r="C157" s="76" t="s">
        <v>407</v>
      </c>
      <c r="D157" s="82"/>
      <c r="E157" s="118"/>
      <c r="F157" s="118"/>
      <c r="G157" s="118"/>
      <c r="H157" s="118"/>
      <c r="I157" s="118"/>
      <c r="J157" s="382"/>
      <c r="K157" s="382"/>
      <c r="L157" s="382"/>
      <c r="M157" s="118"/>
      <c r="N157" s="118"/>
      <c r="O157" s="118"/>
      <c r="P157" s="118"/>
    </row>
    <row r="158" spans="2:20" ht="15.6" outlineLevel="1" x14ac:dyDescent="0.3">
      <c r="B158" s="69"/>
      <c r="C158" s="83" t="s">
        <v>408</v>
      </c>
      <c r="D158" s="82" t="s">
        <v>473</v>
      </c>
      <c r="E158" s="128">
        <f>+BS!E8+BS!E9</f>
        <v>37474.720000000001</v>
      </c>
      <c r="F158" s="128">
        <f>+BS!F8+BS!F9</f>
        <v>45347.56</v>
      </c>
      <c r="G158" s="128">
        <f>+BS!G8+BS!G9</f>
        <v>56315.54</v>
      </c>
      <c r="H158" s="128">
        <f>+BS!H8+BS!H9</f>
        <v>167457.07</v>
      </c>
      <c r="I158" s="128">
        <f>+BS!I8+BS!I9</f>
        <v>187831.37</v>
      </c>
      <c r="J158" s="128">
        <f>+BS!J8+BS!J9</f>
        <v>212621.01</v>
      </c>
      <c r="K158" s="128">
        <f>+BS!K8+BS!K9</f>
        <v>276476.64</v>
      </c>
      <c r="L158" s="128">
        <f>+BS!L8+BS!L9</f>
        <v>361052.2</v>
      </c>
      <c r="M158" s="128">
        <f>+L158-M204+M205-M217-M220-M218-M219</f>
        <v>427844.86325582088</v>
      </c>
      <c r="N158" s="128">
        <f>+M158-N204+N205-N217-N220-N218-N219</f>
        <v>467844.60521651484</v>
      </c>
      <c r="O158" s="128">
        <f>+N158-O204+O205-O217-O220-O218-O219</f>
        <v>507333.48512141034</v>
      </c>
      <c r="P158" s="128">
        <f>+O158-P204+P205-P217-P220-P218-P219</f>
        <v>564681.69408436562</v>
      </c>
    </row>
    <row r="159" spans="2:20" ht="15.6" outlineLevel="1" x14ac:dyDescent="0.3">
      <c r="B159" s="69"/>
      <c r="C159" s="83" t="s">
        <v>482</v>
      </c>
      <c r="D159" s="82" t="s">
        <v>473</v>
      </c>
      <c r="E159" s="120">
        <f>+BS!E10</f>
        <v>233.1</v>
      </c>
      <c r="F159" s="120">
        <f>+BS!F10</f>
        <v>294.2</v>
      </c>
      <c r="G159" s="120">
        <f>+BS!G10</f>
        <v>220.2</v>
      </c>
      <c r="H159" s="120">
        <f>+BS!H10</f>
        <v>1292.7</v>
      </c>
      <c r="I159" s="120">
        <f>+BS!I10</f>
        <v>663.5</v>
      </c>
      <c r="J159" s="120">
        <f>+BS!J10</f>
        <v>1193.18</v>
      </c>
      <c r="K159" s="120">
        <f>+BS!K10</f>
        <v>0</v>
      </c>
      <c r="L159" s="120">
        <f>+BS!L10</f>
        <v>1.43</v>
      </c>
      <c r="M159" s="354">
        <f>+M99</f>
        <v>229.89743485557847</v>
      </c>
      <c r="N159" s="354">
        <f t="shared" ref="N159:P159" si="64">+N99</f>
        <v>345.79254071717151</v>
      </c>
      <c r="O159" s="354">
        <f t="shared" si="64"/>
        <v>457.53807602101006</v>
      </c>
      <c r="P159" s="354">
        <f t="shared" si="64"/>
        <v>265.16061888658442</v>
      </c>
    </row>
    <row r="160" spans="2:20" ht="15.6" outlineLevel="1" x14ac:dyDescent="0.3">
      <c r="B160" s="69"/>
      <c r="C160" s="83" t="s">
        <v>695</v>
      </c>
      <c r="D160" s="82" t="s">
        <v>473</v>
      </c>
      <c r="E160" s="120">
        <f>+SUM(BS!E14:E16,BS!E31:E33,BS!E17:E19)</f>
        <v>27228.949999999968</v>
      </c>
      <c r="F160" s="120">
        <f>+SUM(BS!F14:F16,BS!F31:F33,BS!F17:F19)</f>
        <v>-20534.259999999973</v>
      </c>
      <c r="G160" s="120">
        <f>+SUM(BS!G14:G16,BS!G31:G33,BS!G17:G19)</f>
        <v>36286.91000000004</v>
      </c>
      <c r="H160" s="120">
        <f>+SUM(BS!H14:H16,BS!H31:H33,BS!H17:H19)</f>
        <v>42644.000000000007</v>
      </c>
      <c r="I160" s="120">
        <f>+SUM(BS!I14:I16,BS!I31:I33,BS!I17:I19)</f>
        <v>50602.839999999989</v>
      </c>
      <c r="J160" s="120">
        <f>+SUM(BS!J14:J16,BS!J31:J33,BS!J17:J19)</f>
        <v>55859.789999999972</v>
      </c>
      <c r="K160" s="120">
        <f>+SUM(BS!K14:K16,BS!K31:K33,BS!K17:K19)</f>
        <v>69886.239999999932</v>
      </c>
      <c r="L160" s="120">
        <f>+SUM(BS!L14:L16,BS!L31:L33,BS!L17:L19)</f>
        <v>125104.37</v>
      </c>
      <c r="M160" s="120">
        <f>+M81*L126</f>
        <v>142462.326</v>
      </c>
      <c r="N160" s="120">
        <f>+N81*M126</f>
        <v>150391.36903532676</v>
      </c>
      <c r="O160" s="120">
        <f>+O81*N126</f>
        <v>137585.40569222879</v>
      </c>
      <c r="P160" s="120">
        <f>+P81*O126</f>
        <v>129972.77012187218</v>
      </c>
      <c r="S160" s="345"/>
      <c r="T160" s="345"/>
    </row>
    <row r="161" spans="2:20" ht="15.6" outlineLevel="1" x14ac:dyDescent="0.3">
      <c r="B161" s="69"/>
      <c r="C161" s="83" t="s">
        <v>409</v>
      </c>
      <c r="D161" s="82" t="s">
        <v>473</v>
      </c>
      <c r="E161" s="120">
        <f>+BS!E12+BS!E11</f>
        <v>482.52</v>
      </c>
      <c r="F161" s="120">
        <f>+BS!F12+BS!F11</f>
        <v>471.22999999999996</v>
      </c>
      <c r="G161" s="120">
        <f>+BS!G12+BS!G11</f>
        <v>321.02</v>
      </c>
      <c r="H161" s="120">
        <f>+BS!H12+BS!H11</f>
        <v>445.6</v>
      </c>
      <c r="I161" s="120">
        <f>+BS!I12+BS!I11</f>
        <v>389.15</v>
      </c>
      <c r="J161" s="120">
        <f>+BS!J12+BS!J11</f>
        <v>276.01</v>
      </c>
      <c r="K161" s="120">
        <f>+BS!K12+BS!K11</f>
        <v>315.44</v>
      </c>
      <c r="L161" s="120">
        <f>+BS!L12+BS!L11</f>
        <v>496.65999999999997</v>
      </c>
      <c r="M161" s="120">
        <f>+L161</f>
        <v>496.65999999999997</v>
      </c>
      <c r="N161" s="120">
        <f t="shared" ref="N161:P161" si="65">+M161</f>
        <v>496.65999999999997</v>
      </c>
      <c r="O161" s="120">
        <f t="shared" si="65"/>
        <v>496.65999999999997</v>
      </c>
      <c r="P161" s="120">
        <f t="shared" si="65"/>
        <v>496.65999999999997</v>
      </c>
    </row>
    <row r="162" spans="2:20" ht="15.6" outlineLevel="1" x14ac:dyDescent="0.3">
      <c r="B162" s="69"/>
      <c r="C162" s="92" t="s">
        <v>410</v>
      </c>
      <c r="D162" s="99" t="s">
        <v>473</v>
      </c>
      <c r="E162" s="131">
        <f t="shared" ref="E162:M162" si="66">SUM(E158:E161)</f>
        <v>65419.289999999964</v>
      </c>
      <c r="F162" s="131">
        <f t="shared" si="66"/>
        <v>25578.730000000021</v>
      </c>
      <c r="G162" s="131">
        <f t="shared" si="66"/>
        <v>93143.670000000042</v>
      </c>
      <c r="H162" s="131">
        <f t="shared" si="66"/>
        <v>211839.37000000002</v>
      </c>
      <c r="I162" s="131">
        <f t="shared" si="66"/>
        <v>239486.86</v>
      </c>
      <c r="J162" s="131">
        <f t="shared" si="66"/>
        <v>269949.99</v>
      </c>
      <c r="K162" s="131">
        <f t="shared" si="66"/>
        <v>346678.31999999995</v>
      </c>
      <c r="L162" s="131">
        <f t="shared" si="66"/>
        <v>486654.66</v>
      </c>
      <c r="M162" s="131">
        <f t="shared" si="66"/>
        <v>571033.74669067643</v>
      </c>
      <c r="N162" s="131">
        <f t="shared" ref="N162:P162" si="67">SUM(N158:N161)</f>
        <v>619078.42679255886</v>
      </c>
      <c r="O162" s="131">
        <f t="shared" si="67"/>
        <v>645873.0888896602</v>
      </c>
      <c r="P162" s="131">
        <f t="shared" si="67"/>
        <v>695416.28482512443</v>
      </c>
      <c r="S162" s="346"/>
      <c r="T162" s="346"/>
    </row>
    <row r="163" spans="2:20" ht="15.6" outlineLevel="1" x14ac:dyDescent="0.3">
      <c r="B163" s="69"/>
      <c r="C163" s="70"/>
      <c r="D163" s="82"/>
      <c r="E163" s="192"/>
      <c r="F163" s="192"/>
      <c r="G163" s="192"/>
      <c r="H163" s="192"/>
      <c r="I163" s="192"/>
      <c r="J163" s="192"/>
      <c r="K163" s="192"/>
      <c r="L163" s="192"/>
      <c r="M163" s="118"/>
      <c r="N163" s="118"/>
      <c r="O163" s="118"/>
      <c r="S163" s="345"/>
      <c r="T163" s="345"/>
    </row>
    <row r="164" spans="2:20" ht="15.6" outlineLevel="1" x14ac:dyDescent="0.3">
      <c r="B164" s="69"/>
      <c r="C164" s="70" t="s">
        <v>403</v>
      </c>
      <c r="D164" s="82"/>
      <c r="E164" s="122"/>
      <c r="F164" s="192"/>
      <c r="G164" s="192"/>
      <c r="H164" s="192"/>
      <c r="I164" s="192"/>
      <c r="J164" s="192"/>
      <c r="K164" s="192"/>
      <c r="L164" s="192"/>
      <c r="M164" s="118"/>
      <c r="N164" s="118"/>
      <c r="O164" s="118"/>
    </row>
    <row r="165" spans="2:20" ht="15.6" outlineLevel="1" x14ac:dyDescent="0.3">
      <c r="B165" s="69"/>
      <c r="C165" s="83" t="s">
        <v>404</v>
      </c>
      <c r="D165" s="82" t="s">
        <v>473</v>
      </c>
      <c r="E165" s="120">
        <f>+BS!E29</f>
        <v>1531.19</v>
      </c>
      <c r="F165" s="120">
        <f>+BS!F29</f>
        <v>6707.18</v>
      </c>
      <c r="G165" s="120">
        <f>+BS!G29</f>
        <v>7284.17</v>
      </c>
      <c r="H165" s="120">
        <f>+BS!H29</f>
        <v>7190.66</v>
      </c>
      <c r="I165" s="120">
        <f>+BS!I29</f>
        <v>5088.8500000000004</v>
      </c>
      <c r="J165" s="120">
        <f>+BS!J29</f>
        <v>10153.290000000001</v>
      </c>
      <c r="K165" s="120">
        <f>+BS!K29</f>
        <v>12679.69</v>
      </c>
      <c r="L165" s="120">
        <f>+BS!L29</f>
        <v>6952.77</v>
      </c>
      <c r="M165" s="353">
        <f>+M236</f>
        <v>29895.58120096377</v>
      </c>
      <c r="N165" s="353">
        <f t="shared" ref="N165:P165" si="68">+N236</f>
        <v>40449.066797908941</v>
      </c>
      <c r="O165" s="353">
        <f t="shared" si="68"/>
        <v>19633.56540257013</v>
      </c>
      <c r="P165" s="353">
        <f t="shared" si="68"/>
        <v>48099.790618208121</v>
      </c>
    </row>
    <row r="166" spans="2:20" ht="15.6" outlineLevel="1" x14ac:dyDescent="0.3">
      <c r="B166" s="69"/>
      <c r="C166" s="83" t="s">
        <v>483</v>
      </c>
      <c r="D166" s="82" t="s">
        <v>473</v>
      </c>
      <c r="E166" s="120">
        <f>+BS!E27+BS!E30</f>
        <v>81928.36</v>
      </c>
      <c r="F166" s="120">
        <f>+BS!F27+BS!F30</f>
        <v>122538.85</v>
      </c>
      <c r="G166" s="120">
        <f>+BS!G27+BS!G30</f>
        <v>144101.5</v>
      </c>
      <c r="H166" s="120">
        <f>+BS!H27+BS!H30</f>
        <v>196525.31</v>
      </c>
      <c r="I166" s="120">
        <f>+BS!I27+BS!I30</f>
        <v>180581.86</v>
      </c>
      <c r="J166" s="120">
        <f>+BS!J27+BS!J30</f>
        <v>172112.84</v>
      </c>
      <c r="K166" s="120">
        <f>+BS!K27+BS!K30</f>
        <v>221297.45</v>
      </c>
      <c r="L166" s="120">
        <f>+BS!L27+BS!L30</f>
        <v>315964.53000000003</v>
      </c>
      <c r="M166" s="120">
        <f>+L166*(1-M110)</f>
        <v>347560.98300000007</v>
      </c>
      <c r="N166" s="120">
        <f>+M166*(1-N110)</f>
        <v>382317.08130000008</v>
      </c>
      <c r="O166" s="120">
        <f>+N166*(1-O110)</f>
        <v>416725.61861700012</v>
      </c>
      <c r="P166" s="120">
        <f>+O166*(1-P110)</f>
        <v>450063.66810636013</v>
      </c>
    </row>
    <row r="167" spans="2:20" ht="15.6" outlineLevel="1" x14ac:dyDescent="0.3">
      <c r="B167" s="69"/>
      <c r="C167" s="83" t="s">
        <v>405</v>
      </c>
      <c r="D167" s="82" t="s">
        <v>473</v>
      </c>
      <c r="E167" s="120">
        <f>+BS!E28</f>
        <v>1587.02</v>
      </c>
      <c r="F167" s="120">
        <f>+BS!F28</f>
        <v>2263.15</v>
      </c>
      <c r="G167" s="120">
        <f>+BS!G28</f>
        <v>3624.67</v>
      </c>
      <c r="H167" s="120">
        <f>+BS!H28</f>
        <v>2594.16</v>
      </c>
      <c r="I167" s="120">
        <f>+BS!I28</f>
        <v>2189.7800000000002</v>
      </c>
      <c r="J167" s="120">
        <f>+BS!J28</f>
        <v>3329.23</v>
      </c>
      <c r="K167" s="120">
        <f>+BS!K28</f>
        <v>5199.04</v>
      </c>
      <c r="L167" s="120">
        <f>+BS!L28</f>
        <v>6425.23</v>
      </c>
      <c r="M167" s="120">
        <f>+M77*L126</f>
        <v>7123.1163000000006</v>
      </c>
      <c r="N167" s="120">
        <f>+N77*M126</f>
        <v>8129.2631910987429</v>
      </c>
      <c r="O167" s="120">
        <f>+O77*N126</f>
        <v>10191.511532757688</v>
      </c>
      <c r="P167" s="120">
        <f>+P77*O126</f>
        <v>11301.980010597581</v>
      </c>
    </row>
    <row r="168" spans="2:20" ht="15.6" outlineLevel="1" x14ac:dyDescent="0.3">
      <c r="B168" s="69"/>
      <c r="C168" s="83" t="s">
        <v>484</v>
      </c>
      <c r="D168" s="82" t="s">
        <v>473</v>
      </c>
      <c r="E168" s="120">
        <f>+BS!E25</f>
        <v>1631.5</v>
      </c>
      <c r="F168" s="120">
        <f>+BS!F25</f>
        <v>1832.27</v>
      </c>
      <c r="G168" s="120">
        <f>+BS!G25</f>
        <v>2114.41</v>
      </c>
      <c r="H168" s="120">
        <f>+BS!H25</f>
        <v>2861.28</v>
      </c>
      <c r="I168" s="120">
        <f>+BS!I25</f>
        <v>3164.18</v>
      </c>
      <c r="J168" s="120">
        <f>+BS!J25</f>
        <v>4080.63</v>
      </c>
      <c r="K168" s="120">
        <f>+BS!K25</f>
        <v>5910.67</v>
      </c>
      <c r="L168" s="120">
        <f>+BS!L25</f>
        <v>6247.98</v>
      </c>
      <c r="M168" s="120">
        <f>+M78*L135</f>
        <v>7887.2041499999996</v>
      </c>
      <c r="N168" s="120">
        <f>+N78*M135</f>
        <v>7321.0594397460673</v>
      </c>
      <c r="O168" s="120">
        <f>+O78*N135</f>
        <v>8412.954323029744</v>
      </c>
      <c r="P168" s="120">
        <f>+P78*O135</f>
        <v>8780.5315311369432</v>
      </c>
    </row>
    <row r="169" spans="2:20" ht="15.6" outlineLevel="1" x14ac:dyDescent="0.3">
      <c r="B169" s="69"/>
      <c r="C169" s="92" t="s">
        <v>406</v>
      </c>
      <c r="D169" s="99" t="s">
        <v>473</v>
      </c>
      <c r="E169" s="131">
        <f t="shared" ref="E169:M169" si="69">SUM(E165:E168)</f>
        <v>86678.07</v>
      </c>
      <c r="F169" s="131">
        <f t="shared" si="69"/>
        <v>133341.44999999998</v>
      </c>
      <c r="G169" s="131">
        <f t="shared" si="69"/>
        <v>157124.75000000003</v>
      </c>
      <c r="H169" s="131">
        <f t="shared" si="69"/>
        <v>209171.41</v>
      </c>
      <c r="I169" s="131">
        <f t="shared" si="69"/>
        <v>191024.66999999998</v>
      </c>
      <c r="J169" s="131">
        <f t="shared" si="69"/>
        <v>189675.99000000002</v>
      </c>
      <c r="K169" s="131">
        <f t="shared" si="69"/>
        <v>245086.85000000003</v>
      </c>
      <c r="L169" s="131">
        <f t="shared" si="69"/>
        <v>335590.51</v>
      </c>
      <c r="M169" s="131">
        <f t="shared" si="69"/>
        <v>392466.88465096382</v>
      </c>
      <c r="N169" s="131">
        <f t="shared" ref="N169:P169" si="70">SUM(N165:N168)</f>
        <v>438216.47072875383</v>
      </c>
      <c r="O169" s="131">
        <f t="shared" si="70"/>
        <v>454963.64987535763</v>
      </c>
      <c r="P169" s="131">
        <f t="shared" si="70"/>
        <v>518245.97026630276</v>
      </c>
    </row>
    <row r="170" spans="2:20" ht="15.6" outlineLevel="1" x14ac:dyDescent="0.3">
      <c r="B170" s="69"/>
      <c r="C170" s="83"/>
      <c r="D170" s="82"/>
      <c r="E170" s="118"/>
      <c r="F170" s="118"/>
      <c r="G170" s="118"/>
      <c r="H170" s="118"/>
      <c r="I170" s="118"/>
      <c r="J170" s="118"/>
      <c r="K170" s="118"/>
      <c r="L170" s="118"/>
      <c r="M170" s="118"/>
      <c r="N170" s="118"/>
      <c r="O170" s="118"/>
      <c r="P170" s="118"/>
    </row>
    <row r="171" spans="2:20" ht="15.6" outlineLevel="1" x14ac:dyDescent="0.3">
      <c r="B171" s="69"/>
      <c r="C171" s="76" t="s">
        <v>411</v>
      </c>
      <c r="D171" s="82" t="s">
        <v>473</v>
      </c>
      <c r="E171" s="134">
        <f t="shared" ref="E171:P171" si="71">+E169+E162</f>
        <v>152097.35999999999</v>
      </c>
      <c r="F171" s="134">
        <f t="shared" si="71"/>
        <v>158920.18</v>
      </c>
      <c r="G171" s="134">
        <f t="shared" si="71"/>
        <v>250268.42000000007</v>
      </c>
      <c r="H171" s="134">
        <f t="shared" si="71"/>
        <v>421010.78</v>
      </c>
      <c r="I171" s="134">
        <f t="shared" si="71"/>
        <v>430511.52999999997</v>
      </c>
      <c r="J171" s="134">
        <f t="shared" si="71"/>
        <v>459625.98</v>
      </c>
      <c r="K171" s="134">
        <f t="shared" si="71"/>
        <v>591765.16999999993</v>
      </c>
      <c r="L171" s="134">
        <f t="shared" si="71"/>
        <v>822245.16999999993</v>
      </c>
      <c r="M171" s="134">
        <f t="shared" si="71"/>
        <v>963500.63134164026</v>
      </c>
      <c r="N171" s="134">
        <f t="shared" si="71"/>
        <v>1057294.8975213128</v>
      </c>
      <c r="O171" s="134">
        <f t="shared" si="71"/>
        <v>1100836.7387650178</v>
      </c>
      <c r="P171" s="134">
        <f t="shared" si="71"/>
        <v>1213662.2550914271</v>
      </c>
    </row>
    <row r="172" spans="2:20" ht="15.6" outlineLevel="1" x14ac:dyDescent="0.3">
      <c r="B172" s="69"/>
      <c r="C172" s="83"/>
      <c r="D172" s="82"/>
      <c r="E172" s="118"/>
      <c r="F172" s="118"/>
      <c r="G172" s="118"/>
      <c r="H172" s="118"/>
      <c r="I172" s="118"/>
      <c r="J172" s="118"/>
      <c r="K172" s="118"/>
      <c r="L172" s="118"/>
      <c r="M172" s="118"/>
      <c r="N172" s="118"/>
      <c r="O172" s="118"/>
      <c r="P172" s="118"/>
    </row>
    <row r="173" spans="2:20" ht="15.6" outlineLevel="1" x14ac:dyDescent="0.3">
      <c r="B173" s="87" t="s">
        <v>412</v>
      </c>
      <c r="C173" s="87"/>
      <c r="D173" s="87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</row>
    <row r="174" spans="2:20" ht="15.6" outlineLevel="1" x14ac:dyDescent="0.3">
      <c r="B174" s="69"/>
      <c r="C174" s="70" t="s">
        <v>486</v>
      </c>
      <c r="D174" s="82"/>
      <c r="E174" s="118"/>
      <c r="F174" s="118"/>
      <c r="G174" s="118"/>
      <c r="H174" s="118"/>
      <c r="I174" s="118"/>
      <c r="J174" s="118"/>
      <c r="K174" s="118"/>
      <c r="L174" s="118"/>
      <c r="M174" s="118"/>
      <c r="N174" s="118"/>
      <c r="O174" s="118"/>
      <c r="P174" s="118"/>
    </row>
    <row r="175" spans="2:20" ht="15.6" outlineLevel="1" x14ac:dyDescent="0.3">
      <c r="B175" s="69"/>
      <c r="C175" s="106" t="s">
        <v>125</v>
      </c>
      <c r="D175" s="82" t="s">
        <v>473</v>
      </c>
      <c r="E175" s="128">
        <f>+BS!E39</f>
        <v>3614.68</v>
      </c>
      <c r="F175" s="128">
        <f>+BS!F39</f>
        <v>3844.07</v>
      </c>
      <c r="G175" s="128">
        <f>+BS!G39</f>
        <v>3844.07</v>
      </c>
      <c r="H175" s="128">
        <f>+BS!H39</f>
        <v>3847.96</v>
      </c>
      <c r="I175" s="128">
        <f>+BS!I39</f>
        <v>3849.1</v>
      </c>
      <c r="J175" s="128">
        <f>+BS!J39</f>
        <v>3852.55</v>
      </c>
      <c r="K175" s="128">
        <f>+BS!K39</f>
        <v>3855.47</v>
      </c>
      <c r="L175" s="128">
        <f>+BS!L39</f>
        <v>3859.79</v>
      </c>
      <c r="M175" s="128">
        <f>+L175+M224</f>
        <v>3859.79</v>
      </c>
      <c r="N175" s="128">
        <f t="shared" ref="N175:P175" si="72">+M175+N224</f>
        <v>3859.79</v>
      </c>
      <c r="O175" s="128">
        <f t="shared" si="72"/>
        <v>3859.79</v>
      </c>
      <c r="P175" s="128">
        <f t="shared" si="72"/>
        <v>3859.79</v>
      </c>
    </row>
    <row r="176" spans="2:20" ht="15.6" outlineLevel="1" x14ac:dyDescent="0.3">
      <c r="B176" s="69"/>
      <c r="C176" s="106" t="s">
        <v>126</v>
      </c>
      <c r="D176" s="82" t="s">
        <v>473</v>
      </c>
      <c r="E176" s="383">
        <f>+BS!E40</f>
        <v>34177.08</v>
      </c>
      <c r="F176" s="383">
        <f>+BS!F40</f>
        <v>66929.48</v>
      </c>
      <c r="G176" s="383">
        <f>+BS!G40</f>
        <v>65614.03</v>
      </c>
      <c r="H176" s="383">
        <f>+BS!H40</f>
        <v>54931.44</v>
      </c>
      <c r="I176" s="383">
        <f>+BS!I40</f>
        <v>-2740.51</v>
      </c>
      <c r="J176" s="383">
        <f>+BS!J40</f>
        <v>-63733.17</v>
      </c>
      <c r="K176" s="383">
        <f>+BS!K40</f>
        <v>-66320.63</v>
      </c>
      <c r="L176" s="383">
        <f>+BS!L40</f>
        <v>16104.53</v>
      </c>
      <c r="M176" s="383">
        <f>+M232+M202</f>
        <v>76293.098767563817</v>
      </c>
      <c r="N176" s="383">
        <f t="shared" ref="N176:P176" si="73">+N232+N202</f>
        <v>88154.211144136876</v>
      </c>
      <c r="O176" s="383">
        <f t="shared" si="73"/>
        <v>34601.388803753434</v>
      </c>
      <c r="P176" s="383">
        <f t="shared" si="73"/>
        <v>71662.830708243651</v>
      </c>
    </row>
    <row r="177" spans="2:20" ht="15.6" outlineLevel="1" x14ac:dyDescent="0.3">
      <c r="B177" s="69"/>
      <c r="C177" s="194" t="s">
        <v>487</v>
      </c>
      <c r="D177" s="195" t="s">
        <v>473</v>
      </c>
      <c r="E177" s="196">
        <f>+SUM(E175:E176)</f>
        <v>37791.760000000002</v>
      </c>
      <c r="F177" s="196">
        <f t="shared" ref="F177:P177" si="74">+SUM(F175:F176)</f>
        <v>70773.55</v>
      </c>
      <c r="G177" s="196">
        <f t="shared" si="74"/>
        <v>69458.100000000006</v>
      </c>
      <c r="H177" s="196">
        <f t="shared" si="74"/>
        <v>58779.4</v>
      </c>
      <c r="I177" s="196">
        <f t="shared" si="74"/>
        <v>1108.5899999999997</v>
      </c>
      <c r="J177" s="196">
        <f t="shared" si="74"/>
        <v>-59880.619999999995</v>
      </c>
      <c r="K177" s="196">
        <f t="shared" si="74"/>
        <v>-62465.16</v>
      </c>
      <c r="L177" s="196">
        <f t="shared" si="74"/>
        <v>19964.32</v>
      </c>
      <c r="M177" s="196">
        <f t="shared" si="74"/>
        <v>80152.888767563811</v>
      </c>
      <c r="N177" s="196">
        <f t="shared" si="74"/>
        <v>92014.00114413687</v>
      </c>
      <c r="O177" s="196">
        <f t="shared" si="74"/>
        <v>38461.178803753435</v>
      </c>
      <c r="P177" s="196">
        <f t="shared" si="74"/>
        <v>75522.620708243645</v>
      </c>
    </row>
    <row r="178" spans="2:20" ht="15.6" outlineLevel="1" x14ac:dyDescent="0.3">
      <c r="B178" s="69"/>
      <c r="C178" s="70"/>
      <c r="D178" s="82"/>
      <c r="E178" s="118"/>
      <c r="F178" s="400"/>
      <c r="G178" s="400"/>
      <c r="H178" s="400"/>
      <c r="I178" s="118"/>
      <c r="J178" s="118"/>
      <c r="K178" s="118"/>
      <c r="L178" s="118"/>
      <c r="M178" s="118"/>
      <c r="N178" s="118"/>
      <c r="O178" s="118"/>
      <c r="P178" s="118"/>
    </row>
    <row r="179" spans="2:20" ht="15.6" outlineLevel="1" x14ac:dyDescent="0.3">
      <c r="B179" s="69"/>
      <c r="C179" s="70" t="s">
        <v>488</v>
      </c>
      <c r="D179" s="82"/>
      <c r="E179" s="400"/>
      <c r="F179" s="400"/>
      <c r="G179" s="400"/>
      <c r="H179" s="400"/>
      <c r="I179" s="118"/>
      <c r="J179" s="118"/>
      <c r="K179" s="118"/>
      <c r="L179" s="118"/>
      <c r="M179" s="118"/>
      <c r="N179" s="118"/>
      <c r="O179" s="118"/>
      <c r="P179" s="118"/>
    </row>
    <row r="180" spans="2:20" ht="15.6" outlineLevel="1" x14ac:dyDescent="0.3">
      <c r="B180" s="69"/>
      <c r="C180" s="76" t="s">
        <v>416</v>
      </c>
      <c r="D180" s="82"/>
      <c r="E180" s="118"/>
      <c r="F180" s="118"/>
      <c r="G180" s="118"/>
      <c r="H180" s="118"/>
      <c r="I180" s="118"/>
      <c r="J180" s="118"/>
      <c r="K180" s="118"/>
      <c r="L180" s="118"/>
      <c r="M180" s="118"/>
      <c r="N180" s="118"/>
      <c r="O180" s="118"/>
      <c r="P180" s="118"/>
    </row>
    <row r="181" spans="2:20" ht="15.6" outlineLevel="1" x14ac:dyDescent="0.3">
      <c r="B181" s="69"/>
      <c r="C181" s="83" t="s">
        <v>697</v>
      </c>
      <c r="D181" s="82" t="s">
        <v>473</v>
      </c>
      <c r="E181" s="120">
        <f>+BS!E50+BS!E61</f>
        <v>1891</v>
      </c>
      <c r="F181" s="120">
        <f>+BS!F50+BS!F61</f>
        <v>3001.3900000000003</v>
      </c>
      <c r="G181" s="120">
        <f>+BS!G50+BS!G61</f>
        <v>4396.5199999999995</v>
      </c>
      <c r="H181" s="120">
        <f>+BS!H50+BS!H61</f>
        <v>19597.52</v>
      </c>
      <c r="I181" s="120">
        <f>+BS!I50+BS!I61</f>
        <v>16083.58</v>
      </c>
      <c r="J181" s="120">
        <f>+BS!J50+BS!J61</f>
        <v>7602.76</v>
      </c>
      <c r="K181" s="120">
        <f>+BS!K50+BS!K61</f>
        <v>2896.5</v>
      </c>
      <c r="L181" s="120">
        <f>+BS!L50+BS!L61</f>
        <v>5889.72</v>
      </c>
      <c r="M181" s="120">
        <f>-M87*L135</f>
        <v>6309.76332</v>
      </c>
      <c r="N181" s="120">
        <f>-N87*M135</f>
        <v>10981.5891596191</v>
      </c>
      <c r="O181" s="120">
        <f>-O87*N135</f>
        <v>15296.280587326808</v>
      </c>
      <c r="P181" s="120">
        <f>-P87*O135</f>
        <v>26341.594593410828</v>
      </c>
    </row>
    <row r="182" spans="2:20" ht="15.6" outlineLevel="1" x14ac:dyDescent="0.3">
      <c r="B182" s="69"/>
      <c r="C182" s="83" t="s">
        <v>490</v>
      </c>
      <c r="D182" s="82" t="s">
        <v>473</v>
      </c>
      <c r="E182" s="120">
        <f>+BS!E48+BS!E58</f>
        <v>0</v>
      </c>
      <c r="F182" s="120">
        <f>+BS!F48+BS!F58</f>
        <v>0</v>
      </c>
      <c r="G182" s="120">
        <f>+BS!G48+BS!G58</f>
        <v>0</v>
      </c>
      <c r="H182" s="120">
        <f>+BS!H48+BS!H58</f>
        <v>220335.28</v>
      </c>
      <c r="I182" s="120">
        <f>+BS!I48+BS!I58</f>
        <v>273540.31</v>
      </c>
      <c r="J182" s="120">
        <f>+BS!J48+BS!J58</f>
        <v>329811.01</v>
      </c>
      <c r="K182" s="120">
        <f>+BS!K48+BS!K58</f>
        <v>426018.76</v>
      </c>
      <c r="L182" s="120">
        <f>+BS!L48+BS!L58</f>
        <v>493883.13</v>
      </c>
      <c r="M182" s="120">
        <f>+L182-M227+M228</f>
        <v>520570.61278966418</v>
      </c>
      <c r="N182" s="120">
        <f t="shared" ref="N182:P182" si="75">+M182-N227+N228</f>
        <v>550722.61157928605</v>
      </c>
      <c r="O182" s="120">
        <f t="shared" si="75"/>
        <v>581734.829893913</v>
      </c>
      <c r="P182" s="120">
        <f t="shared" si="75"/>
        <v>614523.86427540879</v>
      </c>
    </row>
    <row r="183" spans="2:20" ht="15.6" outlineLevel="1" x14ac:dyDescent="0.3">
      <c r="B183" s="69"/>
      <c r="C183" s="83" t="s">
        <v>417</v>
      </c>
      <c r="D183" s="82" t="s">
        <v>473</v>
      </c>
      <c r="E183" s="120">
        <f>+BS!E47+BS!E57</f>
        <v>23957.08</v>
      </c>
      <c r="F183" s="120">
        <v>0</v>
      </c>
      <c r="G183" s="120">
        <f>+BS!G47+BS!G57</f>
        <v>21936.69</v>
      </c>
      <c r="H183" s="120">
        <f>+BS!H47+BS!H57</f>
        <v>3465.87</v>
      </c>
      <c r="I183" s="120">
        <f>+BS!I47+BS!I57</f>
        <v>25056.23</v>
      </c>
      <c r="J183" s="120">
        <f>+BS!J47+BS!J57</f>
        <v>38967.360000000001</v>
      </c>
      <c r="K183" s="120">
        <f>+BS!K47+BS!K57</f>
        <v>22523.37</v>
      </c>
      <c r="L183" s="120">
        <f>+BS!L47+BS!L57</f>
        <v>18917.07</v>
      </c>
      <c r="M183" s="120">
        <f>+L183+M226+M229</f>
        <v>18260.849999999999</v>
      </c>
      <c r="N183" s="120">
        <f t="shared" ref="N183:P183" si="76">+M183+N226+N229</f>
        <v>17552.129999999997</v>
      </c>
      <c r="O183" s="120">
        <f t="shared" si="76"/>
        <v>16786.719999999998</v>
      </c>
      <c r="P183" s="120">
        <f t="shared" si="76"/>
        <v>15960.079999999998</v>
      </c>
    </row>
    <row r="184" spans="2:20" ht="15.6" outlineLevel="1" x14ac:dyDescent="0.3">
      <c r="B184" s="69"/>
      <c r="C184" s="83" t="s">
        <v>491</v>
      </c>
      <c r="D184" s="82" t="s">
        <v>473</v>
      </c>
      <c r="E184" s="120">
        <f>+BS!E51+BS!E62</f>
        <v>2064.83</v>
      </c>
      <c r="F184" s="120">
        <f>+BS!F51+BS!F62</f>
        <v>3822.76</v>
      </c>
      <c r="G184" s="120">
        <f>+BS!G51+BS!G62</f>
        <v>677.67</v>
      </c>
      <c r="H184" s="120">
        <f>+BS!H51+BS!H62</f>
        <v>30.76</v>
      </c>
      <c r="I184" s="120">
        <f>+BS!I51+BS!I62</f>
        <v>5553.7</v>
      </c>
      <c r="J184" s="120">
        <f>+BS!J51+BS!J62</f>
        <v>5927.64</v>
      </c>
      <c r="K184" s="120">
        <f>+BS!K51+BS!K62</f>
        <v>13395.300000000001</v>
      </c>
      <c r="L184" s="120">
        <f>+BS!L51+BS!L62</f>
        <v>22331.879999999997</v>
      </c>
      <c r="M184" s="120">
        <f>+L184-M206</f>
        <v>47468.827236136975</v>
      </c>
      <c r="N184" s="120">
        <f>+M184-N206</f>
        <v>70620.634281820909</v>
      </c>
      <c r="O184" s="120">
        <f t="shared" ref="O184:P184" si="77">+N184-O206</f>
        <v>93082.417088341012</v>
      </c>
      <c r="P184" s="120">
        <f t="shared" si="77"/>
        <v>114308.80184050251</v>
      </c>
      <c r="Q184" s="120"/>
    </row>
    <row r="185" spans="2:20" ht="15.6" outlineLevel="1" x14ac:dyDescent="0.3">
      <c r="B185" s="69"/>
      <c r="C185" s="83" t="s">
        <v>698</v>
      </c>
      <c r="D185" s="82" t="s">
        <v>473</v>
      </c>
      <c r="E185" s="120">
        <f>+BS!E53+BS!E64</f>
        <v>21837.730000000003</v>
      </c>
      <c r="F185" s="120">
        <f>+BS!F53+BS!F64</f>
        <v>26016.989999999998</v>
      </c>
      <c r="G185" s="120">
        <f>+BS!G53+BS!G64</f>
        <v>51882.74</v>
      </c>
      <c r="H185" s="120">
        <f>+BS!H53+BS!H64</f>
        <v>2682.36</v>
      </c>
      <c r="I185" s="120">
        <f>+BS!I53+BS!I64</f>
        <v>2206.3000000000002</v>
      </c>
      <c r="J185" s="120">
        <f>+BS!J53+BS!J64</f>
        <v>1730.27</v>
      </c>
      <c r="K185" s="120">
        <f>+BS!K53+BS!K64</f>
        <v>1254.23</v>
      </c>
      <c r="L185" s="120">
        <f>+BS!L53+BS!L64</f>
        <v>778.19</v>
      </c>
      <c r="M185" s="120">
        <f>-M79*L135</f>
        <v>525.81361000000004</v>
      </c>
      <c r="N185" s="120">
        <f>-N79*M135</f>
        <v>610.0882866455056</v>
      </c>
      <c r="O185" s="120">
        <f>-O79*N135</f>
        <v>764.81402936634038</v>
      </c>
      <c r="P185" s="120">
        <f>-P79*O135</f>
        <v>878.05315311369429</v>
      </c>
    </row>
    <row r="186" spans="2:20" ht="15.6" outlineLevel="1" x14ac:dyDescent="0.3">
      <c r="B186" s="69"/>
      <c r="C186" s="92" t="s">
        <v>418</v>
      </c>
      <c r="D186" s="99" t="s">
        <v>473</v>
      </c>
      <c r="E186" s="131">
        <f t="shared" ref="E186:P186" si="78">SUM(E181:E185)</f>
        <v>49750.640000000007</v>
      </c>
      <c r="F186" s="131">
        <f t="shared" si="78"/>
        <v>32841.14</v>
      </c>
      <c r="G186" s="131">
        <f t="shared" si="78"/>
        <v>78893.62</v>
      </c>
      <c r="H186" s="131">
        <f t="shared" si="78"/>
        <v>246111.78999999998</v>
      </c>
      <c r="I186" s="131">
        <f t="shared" si="78"/>
        <v>322440.12</v>
      </c>
      <c r="J186" s="131">
        <f t="shared" si="78"/>
        <v>384039.04000000004</v>
      </c>
      <c r="K186" s="131">
        <f t="shared" si="78"/>
        <v>466088.16</v>
      </c>
      <c r="L186" s="131">
        <f t="shared" si="78"/>
        <v>541799.98999999987</v>
      </c>
      <c r="M186" s="131">
        <f t="shared" si="78"/>
        <v>593135.86695580115</v>
      </c>
      <c r="N186" s="131">
        <f t="shared" si="78"/>
        <v>650487.05330737145</v>
      </c>
      <c r="O186" s="131">
        <f t="shared" si="78"/>
        <v>707665.06159894716</v>
      </c>
      <c r="P186" s="131">
        <f t="shared" si="78"/>
        <v>772012.39386243583</v>
      </c>
      <c r="T186" s="343"/>
    </row>
    <row r="187" spans="2:20" ht="15.6" outlineLevel="1" x14ac:dyDescent="0.3">
      <c r="B187" s="69"/>
      <c r="C187" s="76"/>
      <c r="D187" s="82"/>
      <c r="E187" s="335"/>
      <c r="F187" s="335"/>
      <c r="G187" s="335"/>
      <c r="H187" s="335"/>
      <c r="I187" s="335"/>
      <c r="J187" s="335"/>
      <c r="K187" s="335"/>
      <c r="L187" s="411"/>
      <c r="M187" s="132"/>
      <c r="N187" s="132"/>
      <c r="O187" s="132"/>
      <c r="P187" s="132"/>
      <c r="T187" s="344"/>
    </row>
    <row r="188" spans="2:20" ht="15.6" outlineLevel="1" x14ac:dyDescent="0.3">
      <c r="B188" s="69"/>
      <c r="C188" s="70" t="s">
        <v>413</v>
      </c>
      <c r="D188" s="82"/>
      <c r="E188" s="118"/>
      <c r="F188" s="118"/>
      <c r="G188" s="118"/>
      <c r="H188" s="118"/>
      <c r="I188" s="118"/>
      <c r="J188" s="118"/>
      <c r="K188" s="118"/>
      <c r="L188" s="118"/>
      <c r="M188" s="118"/>
      <c r="N188" s="118"/>
      <c r="O188" s="118"/>
      <c r="P188" s="118"/>
    </row>
    <row r="189" spans="2:20" ht="15.6" outlineLevel="1" x14ac:dyDescent="0.3">
      <c r="B189" s="69"/>
      <c r="C189" s="83" t="s">
        <v>414</v>
      </c>
      <c r="D189" s="82" t="s">
        <v>473</v>
      </c>
      <c r="E189" s="200">
        <f>+BS!E59</f>
        <v>7746.1</v>
      </c>
      <c r="F189" s="200">
        <f>+BS!F59</f>
        <v>10002.01</v>
      </c>
      <c r="G189" s="200">
        <f>+BS!G59</f>
        <v>14528.08</v>
      </c>
      <c r="H189" s="200">
        <f>+BS!H59</f>
        <v>15675.82</v>
      </c>
      <c r="I189" s="200">
        <f>+BS!I59</f>
        <v>15513.289999999999</v>
      </c>
      <c r="J189" s="200">
        <f>+BS!J59</f>
        <v>31518.2</v>
      </c>
      <c r="K189" s="200">
        <f>+BS!K59</f>
        <v>32156.87</v>
      </c>
      <c r="L189" s="200">
        <f>+BS!L59</f>
        <v>31576.15</v>
      </c>
      <c r="M189" s="353">
        <f>-M86*L135</f>
        <v>42065.088799999998</v>
      </c>
      <c r="N189" s="353">
        <f>-N86*M135</f>
        <v>54907.945798095498</v>
      </c>
      <c r="O189" s="353">
        <f>-O86*N135</f>
        <v>68833.262642970629</v>
      </c>
      <c r="P189" s="353">
        <f>-P86*O135</f>
        <v>96585.846842506377</v>
      </c>
    </row>
    <row r="190" spans="2:20" ht="15.6" outlineLevel="1" x14ac:dyDescent="0.3">
      <c r="B190" s="69"/>
      <c r="C190" s="83" t="s">
        <v>699</v>
      </c>
      <c r="D190" s="91" t="s">
        <v>473</v>
      </c>
      <c r="E190" s="120">
        <f>+BS!E49+BS!E52+BS!E60+BS!E63</f>
        <v>56808.86</v>
      </c>
      <c r="F190" s="120">
        <f>+BS!F49+BS!F52+BS!F60+BS!F63</f>
        <v>45303.48</v>
      </c>
      <c r="G190" s="120">
        <f>+BS!G49+BS!G52+BS!G60+BS!G63</f>
        <v>87388.62000000001</v>
      </c>
      <c r="H190" s="120">
        <f>+BS!H49+BS!H52+BS!H60+BS!H63</f>
        <v>100443.77</v>
      </c>
      <c r="I190" s="120">
        <f>+BS!I49+BS!I52+BS!I60+BS!I63</f>
        <v>91449.530000000013</v>
      </c>
      <c r="J190" s="120">
        <f>+BS!J49+BS!J52+BS!J60+BS!J63</f>
        <v>103949.36000000002</v>
      </c>
      <c r="K190" s="120">
        <f>+BS!K49+BS!K52+BS!K60+BS!K63</f>
        <v>155985.29999999999</v>
      </c>
      <c r="L190" s="120">
        <f>+BS!L49+BS!L52+BS!L60+BS!L63</f>
        <v>228904.71</v>
      </c>
      <c r="M190" s="120">
        <f>+M90*M22</f>
        <v>248146.78681827532</v>
      </c>
      <c r="N190" s="120">
        <f>+N90*N22</f>
        <v>259885.89727170885</v>
      </c>
      <c r="O190" s="120">
        <f>+O90*O22</f>
        <v>285877.23571934667</v>
      </c>
      <c r="P190" s="120">
        <f>+P90*P22</f>
        <v>269541.39367824118</v>
      </c>
    </row>
    <row r="191" spans="2:20" ht="15.6" outlineLevel="1" x14ac:dyDescent="0.3">
      <c r="B191" s="69"/>
      <c r="C191" s="92" t="s">
        <v>415</v>
      </c>
      <c r="D191" s="82" t="s">
        <v>473</v>
      </c>
      <c r="E191" s="129">
        <f t="shared" ref="E191:P191" si="79">SUM(E189:E190)</f>
        <v>64554.96</v>
      </c>
      <c r="F191" s="129">
        <f t="shared" si="79"/>
        <v>55305.490000000005</v>
      </c>
      <c r="G191" s="129">
        <f t="shared" si="79"/>
        <v>101916.70000000001</v>
      </c>
      <c r="H191" s="129">
        <f t="shared" si="79"/>
        <v>116119.59</v>
      </c>
      <c r="I191" s="129">
        <f t="shared" si="79"/>
        <v>106962.82</v>
      </c>
      <c r="J191" s="129">
        <f t="shared" si="79"/>
        <v>135467.56000000003</v>
      </c>
      <c r="K191" s="129">
        <f t="shared" si="79"/>
        <v>188142.16999999998</v>
      </c>
      <c r="L191" s="129">
        <f t="shared" si="79"/>
        <v>260480.86</v>
      </c>
      <c r="M191" s="129">
        <f t="shared" si="79"/>
        <v>290211.87561827531</v>
      </c>
      <c r="N191" s="129">
        <f t="shared" si="79"/>
        <v>314793.84306980437</v>
      </c>
      <c r="O191" s="129">
        <f t="shared" si="79"/>
        <v>354710.49836231733</v>
      </c>
      <c r="P191" s="129">
        <f t="shared" si="79"/>
        <v>366127.24052074755</v>
      </c>
    </row>
    <row r="192" spans="2:20" ht="15.6" outlineLevel="1" x14ac:dyDescent="0.3">
      <c r="B192" s="69"/>
      <c r="C192" s="76"/>
      <c r="D192" s="82"/>
      <c r="E192" s="118"/>
      <c r="F192" s="118"/>
      <c r="G192" s="118"/>
      <c r="H192" s="118"/>
      <c r="I192" s="118"/>
      <c r="J192" s="118"/>
      <c r="K192" s="118"/>
      <c r="L192" s="118"/>
      <c r="M192" s="118"/>
      <c r="N192" s="118"/>
      <c r="O192" s="118"/>
      <c r="P192" s="118"/>
    </row>
    <row r="193" spans="2:20" ht="15.6" outlineLevel="1" x14ac:dyDescent="0.3">
      <c r="B193" s="69"/>
      <c r="C193" s="76" t="s">
        <v>419</v>
      </c>
      <c r="D193" s="82" t="s">
        <v>473</v>
      </c>
      <c r="E193" s="134">
        <f t="shared" ref="E193:P193" si="80">+E186+E191</f>
        <v>114305.60000000001</v>
      </c>
      <c r="F193" s="134">
        <f t="shared" si="80"/>
        <v>88146.63</v>
      </c>
      <c r="G193" s="134">
        <f t="shared" si="80"/>
        <v>180810.32</v>
      </c>
      <c r="H193" s="134">
        <f t="shared" si="80"/>
        <v>362231.38</v>
      </c>
      <c r="I193" s="134">
        <f t="shared" si="80"/>
        <v>429402.94</v>
      </c>
      <c r="J193" s="134">
        <f t="shared" si="80"/>
        <v>519506.60000000009</v>
      </c>
      <c r="K193" s="134">
        <f t="shared" si="80"/>
        <v>654230.32999999996</v>
      </c>
      <c r="L193" s="134">
        <f t="shared" si="80"/>
        <v>802280.84999999986</v>
      </c>
      <c r="M193" s="134">
        <f t="shared" si="80"/>
        <v>883347.7425740764</v>
      </c>
      <c r="N193" s="134">
        <f t="shared" si="80"/>
        <v>965280.89637717581</v>
      </c>
      <c r="O193" s="134">
        <f t="shared" si="80"/>
        <v>1062375.5599612645</v>
      </c>
      <c r="P193" s="134">
        <f t="shared" si="80"/>
        <v>1138139.6343831834</v>
      </c>
    </row>
    <row r="194" spans="2:20" ht="15.6" outlineLevel="1" x14ac:dyDescent="0.3">
      <c r="B194" s="69"/>
      <c r="C194" s="76"/>
      <c r="D194" s="82"/>
      <c r="E194" s="118"/>
      <c r="F194" s="118"/>
      <c r="G194" s="118"/>
      <c r="H194" s="118"/>
      <c r="I194" s="118"/>
      <c r="J194" s="118"/>
      <c r="K194" s="118"/>
      <c r="L194" s="118"/>
      <c r="M194" s="118"/>
      <c r="N194" s="118"/>
      <c r="O194" s="118"/>
      <c r="P194" s="118"/>
    </row>
    <row r="195" spans="2:20" ht="15.6" outlineLevel="1" x14ac:dyDescent="0.3">
      <c r="B195" s="69"/>
      <c r="C195" s="76" t="s">
        <v>420</v>
      </c>
      <c r="D195" s="82" t="s">
        <v>473</v>
      </c>
      <c r="E195" s="134">
        <f t="shared" ref="E195:P195" si="81">+E193+E177</f>
        <v>152097.36000000002</v>
      </c>
      <c r="F195" s="134">
        <f t="shared" si="81"/>
        <v>158920.18</v>
      </c>
      <c r="G195" s="134">
        <f t="shared" si="81"/>
        <v>250268.42</v>
      </c>
      <c r="H195" s="134">
        <f t="shared" si="81"/>
        <v>421010.78</v>
      </c>
      <c r="I195" s="134">
        <f t="shared" si="81"/>
        <v>430511.53</v>
      </c>
      <c r="J195" s="134">
        <f t="shared" si="81"/>
        <v>459625.9800000001</v>
      </c>
      <c r="K195" s="134">
        <f t="shared" si="81"/>
        <v>591765.16999999993</v>
      </c>
      <c r="L195" s="134">
        <f t="shared" si="81"/>
        <v>822245.16999999981</v>
      </c>
      <c r="M195" s="134">
        <f t="shared" si="81"/>
        <v>963500.63134164026</v>
      </c>
      <c r="N195" s="134">
        <f t="shared" si="81"/>
        <v>1057294.8975213126</v>
      </c>
      <c r="O195" s="134">
        <f t="shared" si="81"/>
        <v>1100836.7387650178</v>
      </c>
      <c r="P195" s="134">
        <f t="shared" si="81"/>
        <v>1213662.2550914271</v>
      </c>
    </row>
    <row r="196" spans="2:20" ht="15.6" outlineLevel="1" x14ac:dyDescent="0.3">
      <c r="B196" s="69"/>
      <c r="C196" s="83"/>
      <c r="D196" s="82"/>
      <c r="E196" s="126"/>
      <c r="F196" s="126"/>
      <c r="G196" s="126"/>
      <c r="H196" s="126"/>
      <c r="I196" s="126"/>
      <c r="J196" s="126"/>
      <c r="K196" s="126"/>
      <c r="L196" s="126"/>
      <c r="M196" s="126"/>
      <c r="N196" s="126"/>
      <c r="O196" s="126"/>
      <c r="P196" s="126"/>
    </row>
    <row r="197" spans="2:20" ht="15.6" outlineLevel="1" x14ac:dyDescent="0.3">
      <c r="B197" s="69"/>
      <c r="C197" s="71" t="s">
        <v>421</v>
      </c>
      <c r="D197" s="82"/>
      <c r="E197" s="419">
        <f>+E171-E195</f>
        <v>0</v>
      </c>
      <c r="F197" s="419">
        <f t="shared" ref="F197:P197" si="82">+F171-F195</f>
        <v>0</v>
      </c>
      <c r="G197" s="419">
        <f t="shared" si="82"/>
        <v>0</v>
      </c>
      <c r="H197" s="419">
        <f t="shared" si="82"/>
        <v>0</v>
      </c>
      <c r="I197" s="419">
        <f t="shared" si="82"/>
        <v>0</v>
      </c>
      <c r="J197" s="419">
        <f t="shared" si="82"/>
        <v>0</v>
      </c>
      <c r="K197" s="419">
        <f t="shared" si="82"/>
        <v>0</v>
      </c>
      <c r="L197" s="419">
        <f t="shared" si="82"/>
        <v>0</v>
      </c>
      <c r="M197" s="419">
        <f t="shared" si="82"/>
        <v>0</v>
      </c>
      <c r="N197" s="419">
        <f t="shared" si="82"/>
        <v>0</v>
      </c>
      <c r="O197" s="419">
        <f t="shared" si="82"/>
        <v>0</v>
      </c>
      <c r="P197" s="419">
        <f t="shared" si="82"/>
        <v>0</v>
      </c>
      <c r="S197" s="356"/>
      <c r="T197" s="356"/>
    </row>
    <row r="198" spans="2:20" ht="15.6" x14ac:dyDescent="0.3">
      <c r="B198" s="69"/>
      <c r="C198" s="83"/>
      <c r="D198" s="82"/>
      <c r="E198" s="122"/>
      <c r="F198" s="122"/>
      <c r="G198" s="122"/>
      <c r="H198" s="122"/>
      <c r="I198" s="192"/>
      <c r="J198" s="122"/>
      <c r="K198" s="118"/>
      <c r="L198" s="118"/>
      <c r="M198" s="118"/>
      <c r="N198" s="118"/>
      <c r="O198" s="118"/>
    </row>
    <row r="199" spans="2:20" ht="15.6" x14ac:dyDescent="0.3">
      <c r="B199" s="103"/>
      <c r="C199" s="103"/>
      <c r="D199" s="104"/>
      <c r="E199" s="436" t="s">
        <v>359</v>
      </c>
      <c r="F199" s="436"/>
      <c r="G199" s="436"/>
      <c r="H199" s="436"/>
      <c r="I199" s="436"/>
      <c r="J199" s="436"/>
      <c r="K199" s="436"/>
      <c r="L199" s="437"/>
      <c r="M199" s="436" t="s">
        <v>360</v>
      </c>
      <c r="N199" s="436"/>
      <c r="O199" s="436"/>
      <c r="P199" s="436"/>
      <c r="S199" s="356"/>
      <c r="T199" s="356"/>
    </row>
    <row r="200" spans="2:20" ht="15.6" x14ac:dyDescent="0.3">
      <c r="B200" s="101" t="s">
        <v>422</v>
      </c>
      <c r="C200" s="101"/>
      <c r="D200" s="105" t="str">
        <f>$D$20</f>
        <v>Units:</v>
      </c>
      <c r="E200" s="110">
        <f t="shared" ref="E200:J200" si="83">EOMONTH(F200,-12)</f>
        <v>42825</v>
      </c>
      <c r="F200" s="110">
        <f t="shared" si="83"/>
        <v>43190</v>
      </c>
      <c r="G200" s="110">
        <f t="shared" si="83"/>
        <v>43555</v>
      </c>
      <c r="H200" s="110">
        <f t="shared" si="83"/>
        <v>43921</v>
      </c>
      <c r="I200" s="110">
        <f t="shared" si="83"/>
        <v>44286</v>
      </c>
      <c r="J200" s="110">
        <f t="shared" si="83"/>
        <v>44651</v>
      </c>
      <c r="K200" s="110">
        <f>EOMONTH(L200,-12)</f>
        <v>45016</v>
      </c>
      <c r="L200" s="111">
        <f>Hist_Year</f>
        <v>45382</v>
      </c>
      <c r="M200" s="110">
        <f>EOMONTH(L200,12)</f>
        <v>45747</v>
      </c>
      <c r="N200" s="110">
        <f>EOMONTH(M200,12)</f>
        <v>46112</v>
      </c>
      <c r="O200" s="110">
        <f>EOMONTH(N200,12)</f>
        <v>46477</v>
      </c>
      <c r="P200" s="110">
        <f>EOMONTH(O200,12)</f>
        <v>46843</v>
      </c>
    </row>
    <row r="201" spans="2:20" ht="15.6" x14ac:dyDescent="0.3">
      <c r="B201" s="87" t="s">
        <v>423</v>
      </c>
      <c r="C201" s="87"/>
      <c r="D201" s="87"/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</row>
    <row r="202" spans="2:20" ht="15.6" outlineLevel="1" x14ac:dyDescent="0.3">
      <c r="B202" s="69"/>
      <c r="C202" s="70" t="s">
        <v>398</v>
      </c>
      <c r="D202" s="82" t="s">
        <v>473</v>
      </c>
      <c r="E202" s="202">
        <f t="shared" ref="E202:P202" si="84">+E146</f>
        <v>16588.530000000035</v>
      </c>
      <c r="F202" s="202">
        <f t="shared" si="84"/>
        <v>22435.889999999963</v>
      </c>
      <c r="G202" s="202">
        <f t="shared" si="84"/>
        <v>1565.9199999999764</v>
      </c>
      <c r="H202" s="202">
        <f t="shared" si="84"/>
        <v>-2367.3099999999722</v>
      </c>
      <c r="I202" s="202">
        <f t="shared" si="84"/>
        <v>-57509.45</v>
      </c>
      <c r="J202" s="202">
        <f t="shared" si="84"/>
        <v>-61635.219999999994</v>
      </c>
      <c r="K202" s="202">
        <f t="shared" si="84"/>
        <v>-3070.3299999999244</v>
      </c>
      <c r="L202" s="202">
        <f t="shared" si="84"/>
        <v>81778.78</v>
      </c>
      <c r="M202" s="202">
        <f t="shared" si="84"/>
        <v>76111.379166559316</v>
      </c>
      <c r="N202" s="202">
        <f t="shared" si="84"/>
        <v>87906.641085220777</v>
      </c>
      <c r="O202" s="202">
        <f t="shared" si="84"/>
        <v>34388.097758529795</v>
      </c>
      <c r="P202" s="202">
        <f t="shared" si="84"/>
        <v>71608.807492003514</v>
      </c>
    </row>
    <row r="203" spans="2:20" ht="15.6" outlineLevel="1" x14ac:dyDescent="0.3">
      <c r="B203" s="69"/>
      <c r="C203" s="70" t="s">
        <v>424</v>
      </c>
      <c r="D203" s="69"/>
      <c r="E203" s="137"/>
      <c r="F203" s="137"/>
      <c r="G203" s="137"/>
      <c r="H203" s="137"/>
      <c r="I203" s="137"/>
      <c r="J203" s="137"/>
      <c r="K203" s="137"/>
      <c r="L203" s="137"/>
      <c r="M203" s="137"/>
      <c r="N203" s="137"/>
      <c r="O203" s="137"/>
      <c r="P203" s="137"/>
    </row>
    <row r="204" spans="2:20" ht="15.6" outlineLevel="1" x14ac:dyDescent="0.3">
      <c r="B204" s="69"/>
      <c r="C204" s="83" t="s">
        <v>492</v>
      </c>
      <c r="D204" s="82" t="s">
        <v>473</v>
      </c>
      <c r="E204" s="120">
        <f t="shared" ref="E204:M204" si="85">-E138</f>
        <v>4572.53</v>
      </c>
      <c r="F204" s="120">
        <f t="shared" si="85"/>
        <v>4368.7700000000004</v>
      </c>
      <c r="G204" s="120">
        <f t="shared" si="85"/>
        <v>7595.8</v>
      </c>
      <c r="H204" s="120">
        <f t="shared" si="85"/>
        <v>39739.29</v>
      </c>
      <c r="I204" s="120">
        <f t="shared" si="85"/>
        <v>46994.46</v>
      </c>
      <c r="J204" s="120">
        <f t="shared" si="85"/>
        <v>50686</v>
      </c>
      <c r="K204" s="120">
        <f t="shared" si="85"/>
        <v>51029.69</v>
      </c>
      <c r="L204" s="120">
        <f t="shared" si="85"/>
        <v>64257.29</v>
      </c>
      <c r="M204" s="120">
        <f t="shared" si="85"/>
        <v>79206.125616557081</v>
      </c>
      <c r="N204" s="120">
        <f t="shared" ref="N204:P204" si="86">-N138</f>
        <v>93620.176947994143</v>
      </c>
      <c r="O204" s="120">
        <f t="shared" si="86"/>
        <v>102179.05439827155</v>
      </c>
      <c r="P204" s="120">
        <f t="shared" si="86"/>
        <v>116811.98821611784</v>
      </c>
    </row>
    <row r="205" spans="2:20" ht="15.6" outlineLevel="1" x14ac:dyDescent="0.3">
      <c r="B205" s="69"/>
      <c r="C205" s="83" t="s">
        <v>425</v>
      </c>
      <c r="D205" s="82" t="s">
        <v>473</v>
      </c>
      <c r="E205" s="120">
        <f>+SUM(CF!C11:C28)-'P&amp;L'!B27</f>
        <v>-3434.7299999999996</v>
      </c>
      <c r="F205" s="120">
        <f>+SUM(CF!D11:D28)-'P&amp;L'!C27</f>
        <v>-5474.59</v>
      </c>
      <c r="G205" s="120">
        <f>+SUM(CF!E11:E28)-'P&amp;L'!D27</f>
        <v>1465.6500000000005</v>
      </c>
      <c r="H205" s="120">
        <f>+SUM(CF!F11:F28)-'P&amp;L'!E27</f>
        <v>20549.43</v>
      </c>
      <c r="I205" s="120">
        <f>+SUM(CF!G11:G28)-'P&amp;L'!F27</f>
        <v>5549.88</v>
      </c>
      <c r="J205" s="120">
        <f>+SUM(CF!H11:H28)-'P&amp;L'!G27</f>
        <v>26651.75</v>
      </c>
      <c r="K205" s="120">
        <f>+SUM(CF!I11:I28)-'P&amp;L'!H27</f>
        <v>51950.790000000008</v>
      </c>
      <c r="L205" s="120">
        <f>+SUM(CF!J11:J28)-'P&amp;L'!I27</f>
        <v>30024.799999999996</v>
      </c>
      <c r="M205" s="354">
        <f>+M104</f>
        <v>69000</v>
      </c>
      <c r="N205" s="354">
        <f t="shared" ref="N205:P205" si="87">+N104</f>
        <v>44900</v>
      </c>
      <c r="O205" s="354">
        <f t="shared" si="87"/>
        <v>43800</v>
      </c>
      <c r="P205" s="354">
        <f t="shared" si="87"/>
        <v>78200</v>
      </c>
      <c r="T205" s="355"/>
    </row>
    <row r="206" spans="2:20" ht="15.6" outlineLevel="1" x14ac:dyDescent="0.3">
      <c r="B206" s="69"/>
      <c r="C206" s="83" t="s">
        <v>426</v>
      </c>
      <c r="D206" s="82" t="s">
        <v>473</v>
      </c>
      <c r="E206" s="120" t="str">
        <f>+'P&amp;L'!B27</f>
        <v>(59.99)</v>
      </c>
      <c r="F206" s="120">
        <f>+'P&amp;L'!C27</f>
        <v>2153.21</v>
      </c>
      <c r="G206" s="120">
        <f>+'P&amp;L'!D27</f>
        <v>-3061.49</v>
      </c>
      <c r="H206" s="120" t="str">
        <f>+'P&amp;L'!E27</f>
        <v>(311.21)</v>
      </c>
      <c r="I206" s="120" t="str">
        <f>+'P&amp;L'!F27</f>
        <v>(37.75)</v>
      </c>
      <c r="J206" s="120" t="str">
        <f>+'P&amp;L'!G27</f>
        <v>77.49</v>
      </c>
      <c r="K206" s="120">
        <f>+'P&amp;L'!H27</f>
        <v>0</v>
      </c>
      <c r="L206" s="120">
        <f>+'P&amp;L'!I27</f>
        <v>-1242.44</v>
      </c>
      <c r="M206" s="120">
        <f>+M92*M142</f>
        <v>-25136.947236136981</v>
      </c>
      <c r="N206" s="120">
        <f>+N92*N142</f>
        <v>-23151.807045683927</v>
      </c>
      <c r="O206" s="120">
        <f>+O92*O142</f>
        <v>-22461.782806520099</v>
      </c>
      <c r="P206" s="120">
        <f>+P92*P142</f>
        <v>-21226.384752161495</v>
      </c>
      <c r="T206" s="355"/>
    </row>
    <row r="207" spans="2:20" ht="15.6" outlineLevel="1" x14ac:dyDescent="0.3">
      <c r="B207" s="69"/>
      <c r="C207" s="70" t="s">
        <v>427</v>
      </c>
      <c r="D207" s="69"/>
      <c r="E207" s="118"/>
      <c r="F207" s="118"/>
      <c r="G207" s="118"/>
      <c r="H207" s="118"/>
      <c r="I207" s="118"/>
      <c r="J207" s="118"/>
      <c r="K207" s="118"/>
      <c r="L207" s="118"/>
      <c r="M207" s="118"/>
      <c r="N207" s="118"/>
      <c r="O207" s="118"/>
      <c r="P207" s="118"/>
      <c r="T207" s="355"/>
    </row>
    <row r="208" spans="2:20" ht="15.6" outlineLevel="1" x14ac:dyDescent="0.3">
      <c r="B208" s="69"/>
      <c r="C208" s="83" t="s">
        <v>405</v>
      </c>
      <c r="D208" s="82" t="s">
        <v>473</v>
      </c>
      <c r="E208" s="138" t="str">
        <f>+CF!C35</f>
        <v>(21.45)</v>
      </c>
      <c r="F208" s="138" t="str">
        <f>+CF!D35</f>
        <v>(674.37)</v>
      </c>
      <c r="G208" s="138">
        <f>+CF!E35</f>
        <v>-1406.8</v>
      </c>
      <c r="H208" s="138">
        <f>+CF!F35</f>
        <v>1011.08</v>
      </c>
      <c r="I208" s="138" t="str">
        <f>+CF!G35</f>
        <v>392.63</v>
      </c>
      <c r="J208" s="138">
        <f>+CF!H35</f>
        <v>-1195.3900000000001</v>
      </c>
      <c r="K208" s="138">
        <f>+CF!I35</f>
        <v>-2045.11</v>
      </c>
      <c r="L208" s="138">
        <f>+CF!J35</f>
        <v>-1197.3399999999999</v>
      </c>
      <c r="M208" s="138">
        <f>-(M167-L167)</f>
        <v>-697.88630000000103</v>
      </c>
      <c r="N208" s="138">
        <f t="shared" ref="N208:P208" si="88">-(N167-M167)</f>
        <v>-1006.1468910987423</v>
      </c>
      <c r="O208" s="138">
        <f t="shared" si="88"/>
        <v>-2062.2483416589448</v>
      </c>
      <c r="P208" s="138">
        <f t="shared" si="88"/>
        <v>-1110.4684778398932</v>
      </c>
      <c r="T208" s="355"/>
    </row>
    <row r="209" spans="2:19" ht="15.6" outlineLevel="1" x14ac:dyDescent="0.3">
      <c r="B209" s="69"/>
      <c r="C209" s="83" t="s">
        <v>496</v>
      </c>
      <c r="D209" s="82" t="s">
        <v>473</v>
      </c>
      <c r="E209" s="138" t="str">
        <f>+CF!C32</f>
        <v>(868.68)</v>
      </c>
      <c r="F209" s="138" t="str">
        <f>+CF!D32</f>
        <v>(200.77)</v>
      </c>
      <c r="G209" s="138" t="str">
        <f>+CF!E32</f>
        <v>(282.14)</v>
      </c>
      <c r="H209" s="138" t="str">
        <f>+CF!F32</f>
        <v>(746.87)</v>
      </c>
      <c r="I209" s="138" t="str">
        <f>+CF!G32</f>
        <v>(302.90)</v>
      </c>
      <c r="J209" s="138" t="str">
        <f>+CF!H32</f>
        <v>(916.45)</v>
      </c>
      <c r="K209" s="138">
        <f>+CF!I32</f>
        <v>-1830.04</v>
      </c>
      <c r="L209" s="138" t="str">
        <f>+CF!J32</f>
        <v>(337.31)</v>
      </c>
      <c r="M209" s="138">
        <f>-(M168-L168)</f>
        <v>-1639.22415</v>
      </c>
      <c r="N209" s="138">
        <f>-(N168-M168)</f>
        <v>566.14471025393232</v>
      </c>
      <c r="O209" s="138">
        <f>-(O168-N168)</f>
        <v>-1091.8948832836768</v>
      </c>
      <c r="P209" s="138">
        <f>-(P168-O168)</f>
        <v>-367.57720810719911</v>
      </c>
    </row>
    <row r="210" spans="2:19" ht="15.6" outlineLevel="1" x14ac:dyDescent="0.3">
      <c r="B210" s="69"/>
      <c r="C210" s="83" t="s">
        <v>497</v>
      </c>
      <c r="D210" s="82" t="s">
        <v>473</v>
      </c>
      <c r="E210" s="138">
        <f>+CF!C31</f>
        <v>-2432.46</v>
      </c>
      <c r="F210" s="138">
        <f>+CF!D31</f>
        <v>-7775.66</v>
      </c>
      <c r="G210" s="138">
        <f>+CF!E31</f>
        <v>-9254</v>
      </c>
      <c r="H210" s="138">
        <f>+CF!F31</f>
        <v>-5350.98</v>
      </c>
      <c r="I210" s="138">
        <f>+CF!G31</f>
        <v>-7554.77</v>
      </c>
      <c r="J210" s="138">
        <f>+CF!H31</f>
        <v>-4666.1000000000004</v>
      </c>
      <c r="K210" s="138">
        <f>+CF!I31</f>
        <v>-5089.59</v>
      </c>
      <c r="L210" s="138">
        <f>+CF!J31</f>
        <v>-25341.79</v>
      </c>
      <c r="M210" s="120">
        <f>-(M160-L160)</f>
        <v>-17357.956000000006</v>
      </c>
      <c r="N210" s="120">
        <f t="shared" ref="N210:P210" si="89">-(N160-M160)</f>
        <v>-7929.0430353267584</v>
      </c>
      <c r="O210" s="120">
        <f>-(O160-N160)</f>
        <v>12805.963343097974</v>
      </c>
      <c r="P210" s="120">
        <f t="shared" si="89"/>
        <v>7612.6355703566078</v>
      </c>
    </row>
    <row r="211" spans="2:19" ht="15.6" outlineLevel="1" x14ac:dyDescent="0.3">
      <c r="B211" s="69"/>
      <c r="C211" s="83" t="s">
        <v>629</v>
      </c>
      <c r="D211" s="82" t="s">
        <v>473</v>
      </c>
      <c r="E211" s="120">
        <f>+CF!C33</f>
        <v>13338.75</v>
      </c>
      <c r="F211" s="120">
        <f>+CF!D33</f>
        <v>14258.370000000003</v>
      </c>
      <c r="G211" s="120">
        <f>+CF!E33</f>
        <v>-13145.499999999998</v>
      </c>
      <c r="H211" s="120">
        <f>+CF!F33</f>
        <v>55188.259999999995</v>
      </c>
      <c r="I211" s="120">
        <f>+CF!G33</f>
        <v>527.50999999999658</v>
      </c>
      <c r="J211" s="120">
        <f>+CF!H33</f>
        <v>23350.32</v>
      </c>
      <c r="K211" s="120">
        <f>+CF!I33</f>
        <v>45473.48</v>
      </c>
      <c r="L211" s="120">
        <f>+CF!J33</f>
        <v>67861.48000000001</v>
      </c>
      <c r="M211" s="120">
        <f>+M189-L189+M190-L190</f>
        <v>29731.015618275327</v>
      </c>
      <c r="N211" s="120">
        <f t="shared" ref="N211:P211" si="90">+N189-M189+N190-M190</f>
        <v>24581.967451529024</v>
      </c>
      <c r="O211" s="120">
        <f t="shared" si="90"/>
        <v>39916.655292512936</v>
      </c>
      <c r="P211" s="120">
        <f t="shared" si="90"/>
        <v>11416.742158430279</v>
      </c>
    </row>
    <row r="212" spans="2:19" ht="15.6" outlineLevel="1" x14ac:dyDescent="0.3">
      <c r="B212" s="69"/>
      <c r="C212" s="83" t="s">
        <v>630</v>
      </c>
      <c r="D212" s="82" t="s">
        <v>473</v>
      </c>
      <c r="E212" s="120">
        <f>+CF!C34</f>
        <v>4000</v>
      </c>
      <c r="F212" s="120">
        <f>+CF!D34</f>
        <v>5289.6499999999978</v>
      </c>
      <c r="G212" s="120">
        <f>+CF!E34</f>
        <v>27260.879999999997</v>
      </c>
      <c r="H212" s="120">
        <f>+CF!F34</f>
        <v>-33999.379999999997</v>
      </c>
      <c r="I212" s="120">
        <f>+CF!G34</f>
        <v>-3989.9999999999964</v>
      </c>
      <c r="J212" s="120">
        <f>+CF!H34</f>
        <v>-8956.85</v>
      </c>
      <c r="K212" s="120">
        <f>+CF!I34</f>
        <v>-5182.3000000000011</v>
      </c>
      <c r="L212" s="120">
        <f>+CF!J34</f>
        <v>2517.1800000000003</v>
      </c>
      <c r="M212" s="120">
        <f>+M181-L181</f>
        <v>420.04331999999977</v>
      </c>
      <c r="N212" s="120">
        <f t="shared" ref="N212:P212" si="91">+N181-M181</f>
        <v>4671.8258396190995</v>
      </c>
      <c r="O212" s="120">
        <f t="shared" si="91"/>
        <v>4314.6914277077085</v>
      </c>
      <c r="P212" s="120">
        <f t="shared" si="91"/>
        <v>11045.31400608402</v>
      </c>
    </row>
    <row r="213" spans="2:19" ht="15.6" outlineLevel="1" x14ac:dyDescent="0.3">
      <c r="B213" s="69"/>
      <c r="C213" s="83" t="s">
        <v>704</v>
      </c>
      <c r="D213" s="82" t="s">
        <v>473</v>
      </c>
      <c r="E213" s="120">
        <f>+CF!C36</f>
        <v>6025.1999999999734</v>
      </c>
      <c r="F213" s="120">
        <f>+CF!D36</f>
        <v>3035.0200000000314</v>
      </c>
      <c r="G213" s="120">
        <f>+CF!E36</f>
        <v>19789.210000000025</v>
      </c>
      <c r="H213" s="120">
        <f>+CF!F36</f>
        <v>-5125.2900000000154</v>
      </c>
      <c r="I213" s="120">
        <f>+CF!G36</f>
        <v>-286.52000000001931</v>
      </c>
      <c r="J213" s="120">
        <f>+CF!H36</f>
        <v>-3718.78999999997</v>
      </c>
      <c r="K213" s="120">
        <f>+CF!I36</f>
        <v>-4257.8700000001008</v>
      </c>
      <c r="L213" s="120">
        <f>+CF!J36</f>
        <v>-7038.8100000000295</v>
      </c>
      <c r="M213" s="120">
        <f>+M185-L185</f>
        <v>-252.37639000000001</v>
      </c>
      <c r="N213" s="120">
        <f t="shared" ref="N213:P213" si="92">+N185-M185</f>
        <v>84.274676645505565</v>
      </c>
      <c r="O213" s="120">
        <f t="shared" si="92"/>
        <v>154.72574272083477</v>
      </c>
      <c r="P213" s="120">
        <f t="shared" si="92"/>
        <v>113.23912374735391</v>
      </c>
    </row>
    <row r="214" spans="2:19" ht="15.6" outlineLevel="1" x14ac:dyDescent="0.3">
      <c r="B214" s="69"/>
      <c r="C214" s="96" t="s">
        <v>428</v>
      </c>
      <c r="D214" s="99" t="s">
        <v>473</v>
      </c>
      <c r="E214" s="129">
        <f>SUM(E208:E213)+SUM(E204:E206)+E202</f>
        <v>38657.820000000007</v>
      </c>
      <c r="F214" s="129">
        <f t="shared" ref="F214:L214" si="93">SUM(F208:F213)+SUM(F204:F206)+F202</f>
        <v>38290.659999999996</v>
      </c>
      <c r="G214" s="129">
        <f t="shared" si="93"/>
        <v>30809.670000000006</v>
      </c>
      <c r="H214" s="129">
        <f t="shared" si="93"/>
        <v>69645.100000000006</v>
      </c>
      <c r="I214" s="129">
        <f t="shared" si="93"/>
        <v>-16268.890000000021</v>
      </c>
      <c r="J214" s="129">
        <f t="shared" si="93"/>
        <v>20515.720000000038</v>
      </c>
      <c r="K214" s="129">
        <f t="shared" si="93"/>
        <v>126978.71999999999</v>
      </c>
      <c r="L214" s="129">
        <f t="shared" si="93"/>
        <v>211619.14999999997</v>
      </c>
      <c r="M214" s="129">
        <f>SUM(M208:M212)+SUM(M204:M206)+M202</f>
        <v>209636.55003525474</v>
      </c>
      <c r="N214" s="129">
        <f>SUM(N208:N212)+SUM(N204:N206)+N202</f>
        <v>224159.75906250754</v>
      </c>
      <c r="O214" s="129">
        <f>SUM(O208:O212)+SUM(O204:O206)+O202</f>
        <v>211788.53618865725</v>
      </c>
      <c r="P214" s="129">
        <f>SUM(P208:P212)+SUM(P204:P206)+P202</f>
        <v>273991.05700488365</v>
      </c>
      <c r="S214" s="352"/>
    </row>
    <row r="215" spans="2:19" ht="15.6" outlineLevel="1" x14ac:dyDescent="0.3">
      <c r="B215" s="69"/>
      <c r="C215" s="83"/>
      <c r="D215" s="82"/>
      <c r="E215" s="118"/>
      <c r="F215" s="347">
        <f>+SUM(F208:F213)/(F126-E126)</f>
        <v>0.32202746612622096</v>
      </c>
      <c r="G215" s="347">
        <f t="shared" ref="G215:P215" si="94">+SUM(G208:G213)/(G126-F126)</f>
        <v>0.39708355178763599</v>
      </c>
      <c r="H215" s="347">
        <f t="shared" si="94"/>
        <v>0.1569406999065609</v>
      </c>
      <c r="I215" s="347">
        <f t="shared" si="94"/>
        <v>5.2298623363698886E-2</v>
      </c>
      <c r="J215" s="347">
        <f t="shared" si="94"/>
        <v>4.3840246727140333E-2</v>
      </c>
      <c r="K215" s="347">
        <f t="shared" si="94"/>
        <v>9.2621622258804839E-2</v>
      </c>
      <c r="L215" s="347">
        <f t="shared" si="94"/>
        <v>0.23974808702033806</v>
      </c>
      <c r="M215" s="347">
        <f t="shared" si="94"/>
        <v>0.10141278762122559</v>
      </c>
      <c r="N215" s="347">
        <f t="shared" si="94"/>
        <v>0.10168039575075545</v>
      </c>
      <c r="O215" s="347">
        <f t="shared" si="94"/>
        <v>0.48662248104703076</v>
      </c>
      <c r="P215" s="347">
        <f t="shared" si="94"/>
        <v>0.16765525839825382</v>
      </c>
    </row>
    <row r="216" spans="2:19" ht="15.6" outlineLevel="1" x14ac:dyDescent="0.3">
      <c r="B216" s="87" t="s">
        <v>429</v>
      </c>
      <c r="C216" s="87"/>
      <c r="D216" s="87"/>
      <c r="E216" s="135"/>
      <c r="F216" s="135"/>
      <c r="G216" s="135"/>
      <c r="H216" s="135"/>
      <c r="I216" s="135"/>
      <c r="J216" s="135"/>
      <c r="K216" s="135"/>
      <c r="L216" s="135"/>
      <c r="M216" s="135"/>
      <c r="N216" s="135"/>
      <c r="O216" s="135"/>
      <c r="P216" s="135"/>
    </row>
    <row r="217" spans="2:19" ht="15.6" outlineLevel="1" x14ac:dyDescent="0.3">
      <c r="B217" s="69"/>
      <c r="C217" s="83" t="s">
        <v>430</v>
      </c>
      <c r="D217" s="82" t="s">
        <v>473</v>
      </c>
      <c r="E217" s="120">
        <f>+CF!C50</f>
        <v>-2372.38</v>
      </c>
      <c r="F217" s="120">
        <f>+CF!D50</f>
        <v>-12202.15</v>
      </c>
      <c r="G217" s="120">
        <f>+CF!E50</f>
        <v>-17115.62</v>
      </c>
      <c r="H217" s="120">
        <f>+CF!F50</f>
        <v>-10883.06</v>
      </c>
      <c r="I217" s="120">
        <f>+CF!G50</f>
        <v>-4368.87</v>
      </c>
      <c r="J217" s="120">
        <f>+CF!H50</f>
        <v>-3468.81</v>
      </c>
      <c r="K217" s="120">
        <f>+CF!I50</f>
        <v>-5698.04</v>
      </c>
      <c r="L217" s="120">
        <f>+CF!J50</f>
        <v>-11026.45</v>
      </c>
      <c r="M217" s="120">
        <f>-M109*M22/Units</f>
        <v>-12890.742172377939</v>
      </c>
      <c r="N217" s="120">
        <f>-N109*N22/Units</f>
        <v>-15556.550188799476</v>
      </c>
      <c r="O217" s="120">
        <f>-O109*O22/Units</f>
        <v>-16335.842041105527</v>
      </c>
      <c r="P217" s="120">
        <f>-P109*P22/Units</f>
        <v>-16846.337104890074</v>
      </c>
    </row>
    <row r="218" spans="2:19" ht="15.6" outlineLevel="1" x14ac:dyDescent="0.3">
      <c r="B218" s="69"/>
      <c r="C218" s="83" t="s">
        <v>498</v>
      </c>
      <c r="D218" s="82" t="s">
        <v>473</v>
      </c>
      <c r="E218" s="120">
        <f>+CF!C43+CF!C45+CF!C44+CF!C46+CF!C47</f>
        <v>-34138.490000000013</v>
      </c>
      <c r="F218" s="120">
        <f>+CF!D43+CF!D45+CF!D44+CF!D46+CF!D47</f>
        <v>-29395.609999999997</v>
      </c>
      <c r="G218" s="120">
        <f>+CF!E43+CF!E45+CF!E44+CF!E46+CF!E47</f>
        <v>-8298.9600000000009</v>
      </c>
      <c r="H218" s="120">
        <f>+CF!F43+CF!F45+CF!F44+CF!F46+CF!F47</f>
        <v>-35064.300000000017</v>
      </c>
      <c r="I218" s="120">
        <f>+CF!G43+CF!G45+CF!G44+CF!G46+CF!G47</f>
        <v>17340.880000000019</v>
      </c>
      <c r="J218" s="120">
        <f>+CF!H43+CF!H45+CF!H44+CF!H46+CF!H47</f>
        <v>12420.239999999962</v>
      </c>
      <c r="K218" s="120">
        <f>+CF!I43+CF!I45+CF!I44+CF!I46+CF!I47</f>
        <v>-41681.449999999983</v>
      </c>
      <c r="L218" s="120">
        <f>+CF!J43+CF!J45+CF!J44+CF!J46+CF!J47</f>
        <v>-103815.00999999997</v>
      </c>
      <c r="M218" s="120">
        <f>+M110*L126</f>
        <v>-71231.163</v>
      </c>
      <c r="N218" s="120">
        <f>+N110*M126</f>
        <v>-81292.631910987431</v>
      </c>
      <c r="O218" s="120">
        <f>+O110*N126</f>
        <v>-91723.603794819181</v>
      </c>
      <c r="P218" s="120">
        <f>+P110*O126</f>
        <v>-90415.840084780648</v>
      </c>
    </row>
    <row r="219" spans="2:19" ht="15.6" outlineLevel="1" x14ac:dyDescent="0.3">
      <c r="B219" s="69"/>
      <c r="C219" s="83" t="s">
        <v>431</v>
      </c>
      <c r="D219" s="82" t="s">
        <v>473</v>
      </c>
      <c r="E219" s="120">
        <v>0</v>
      </c>
      <c r="F219" s="120">
        <v>0</v>
      </c>
      <c r="G219" s="120">
        <v>0</v>
      </c>
      <c r="H219" s="120">
        <v>0</v>
      </c>
      <c r="I219" s="120">
        <v>0</v>
      </c>
      <c r="J219" s="120">
        <v>0</v>
      </c>
      <c r="K219" s="120">
        <v>0</v>
      </c>
      <c r="L219" s="120">
        <v>0</v>
      </c>
      <c r="M219" s="120">
        <v>0</v>
      </c>
      <c r="N219" s="120">
        <v>0</v>
      </c>
      <c r="O219" s="120">
        <v>0</v>
      </c>
      <c r="P219" s="120">
        <v>0</v>
      </c>
    </row>
    <row r="220" spans="2:19" ht="15.6" outlineLevel="1" x14ac:dyDescent="0.3">
      <c r="B220" s="69"/>
      <c r="C220" s="83" t="s">
        <v>499</v>
      </c>
      <c r="D220" s="91" t="s">
        <v>473</v>
      </c>
      <c r="E220" s="136">
        <f>+SUM(CF!C48,CF!C49,CF!C51)</f>
        <v>6132.3</v>
      </c>
      <c r="F220" s="136">
        <f>+SUM(CF!D48,CF!D49,CF!D51)</f>
        <v>0</v>
      </c>
      <c r="G220" s="136">
        <f>+SUM(CF!E48,CF!E49,CF!E51)</f>
        <v>0</v>
      </c>
      <c r="H220" s="136">
        <f>+SUM(CF!F48,CF!F49,CF!F51)</f>
        <v>0</v>
      </c>
      <c r="I220" s="136">
        <f>+SUM(CF!G48,CF!G49,CF!G51)</f>
        <v>18833.68</v>
      </c>
      <c r="J220" s="136">
        <f>+SUM(CF!H48,CF!H49,CF!H51)</f>
        <v>6006.43</v>
      </c>
      <c r="K220" s="136">
        <f>+SUM(CF!I48,CF!I49,CF!I51)</f>
        <v>6740.71</v>
      </c>
      <c r="L220" s="136">
        <f>+SUM(CF!J48,CF!J49,CF!J51)</f>
        <v>-3299.4700000000003</v>
      </c>
      <c r="M220" s="120">
        <f>+M111*L126</f>
        <v>7123.1163000000006</v>
      </c>
      <c r="N220" s="120">
        <f t="shared" ref="N220:P220" si="95">+N111*M126</f>
        <v>8129.2631910987429</v>
      </c>
      <c r="O220" s="120">
        <f t="shared" si="95"/>
        <v>10191.511532757688</v>
      </c>
      <c r="P220" s="120">
        <f t="shared" si="95"/>
        <v>11301.980010597581</v>
      </c>
      <c r="S220" s="356"/>
    </row>
    <row r="221" spans="2:19" ht="15.6" outlineLevel="1" x14ac:dyDescent="0.3">
      <c r="B221" s="69"/>
      <c r="C221" s="96" t="s">
        <v>432</v>
      </c>
      <c r="D221" s="82" t="s">
        <v>473</v>
      </c>
      <c r="E221" s="133">
        <f>SUM(E217:E220)</f>
        <v>-30378.570000000011</v>
      </c>
      <c r="F221" s="133">
        <f t="shared" ref="F221:P221" si="96">SUM(F217:F220)</f>
        <v>-41597.759999999995</v>
      </c>
      <c r="G221" s="133">
        <f t="shared" si="96"/>
        <v>-25414.58</v>
      </c>
      <c r="H221" s="133">
        <f t="shared" si="96"/>
        <v>-45947.360000000015</v>
      </c>
      <c r="I221" s="133">
        <f t="shared" si="96"/>
        <v>31805.690000000021</v>
      </c>
      <c r="J221" s="133">
        <f t="shared" si="96"/>
        <v>14957.859999999962</v>
      </c>
      <c r="K221" s="133">
        <f t="shared" si="96"/>
        <v>-40638.779999999984</v>
      </c>
      <c r="L221" s="133">
        <f t="shared" si="96"/>
        <v>-118140.92999999996</v>
      </c>
      <c r="M221" s="129">
        <f t="shared" si="96"/>
        <v>-76998.788872377947</v>
      </c>
      <c r="N221" s="129">
        <f t="shared" si="96"/>
        <v>-88719.918908688167</v>
      </c>
      <c r="O221" s="129">
        <f t="shared" si="96"/>
        <v>-97867.934303167014</v>
      </c>
      <c r="P221" s="129">
        <f t="shared" si="96"/>
        <v>-95960.197179073148</v>
      </c>
      <c r="S221" s="356"/>
    </row>
    <row r="222" spans="2:19" ht="15.6" outlineLevel="1" x14ac:dyDescent="0.3">
      <c r="B222" s="69"/>
      <c r="C222" s="70"/>
      <c r="D222" s="69"/>
      <c r="E222" s="138"/>
      <c r="F222" s="138"/>
      <c r="G222" s="138"/>
      <c r="H222" s="138"/>
      <c r="I222" s="138"/>
      <c r="J222" s="138"/>
      <c r="K222" s="138"/>
      <c r="L222" s="138"/>
      <c r="M222" s="138"/>
      <c r="N222" s="138"/>
      <c r="O222" s="138"/>
      <c r="P222" s="138"/>
      <c r="S222" s="356"/>
    </row>
    <row r="223" spans="2:19" ht="15.6" outlineLevel="1" x14ac:dyDescent="0.3">
      <c r="B223" s="87" t="s">
        <v>433</v>
      </c>
      <c r="C223" s="87"/>
      <c r="D223" s="87"/>
      <c r="E223" s="135"/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  <c r="S223" s="356"/>
    </row>
    <row r="224" spans="2:19" ht="15.6" outlineLevel="1" x14ac:dyDescent="0.3">
      <c r="B224" s="69"/>
      <c r="C224" s="97" t="s">
        <v>434</v>
      </c>
      <c r="D224" s="82" t="s">
        <v>473</v>
      </c>
      <c r="E224" s="120">
        <f>+CF!C62+CF!C63</f>
        <v>11.11</v>
      </c>
      <c r="F224" s="120">
        <f>+CF!D62+CF!D63</f>
        <v>25081.84</v>
      </c>
      <c r="G224" s="120">
        <f>+CF!E62+CF!E63</f>
        <v>0</v>
      </c>
      <c r="H224" s="120">
        <f>+CF!F62+CF!F63</f>
        <v>244.57999999999998</v>
      </c>
      <c r="I224" s="120">
        <f>+CF!G62+CF!G63</f>
        <v>92.69</v>
      </c>
      <c r="J224" s="120">
        <f>+CF!H62+CF!H63</f>
        <v>276.55</v>
      </c>
      <c r="K224" s="120">
        <f>+CF!I62+CF!I63</f>
        <v>223.66</v>
      </c>
      <c r="L224" s="120">
        <f>+CF!J62+CF!J63</f>
        <v>417.4</v>
      </c>
      <c r="M224" s="120">
        <f>+M268</f>
        <v>0</v>
      </c>
      <c r="N224" s="120">
        <f t="shared" ref="N224:P224" si="97">+N268</f>
        <v>0</v>
      </c>
      <c r="O224" s="120">
        <f t="shared" si="97"/>
        <v>0</v>
      </c>
      <c r="P224" s="120">
        <f t="shared" si="97"/>
        <v>0</v>
      </c>
    </row>
    <row r="225" spans="2:16" ht="15.6" outlineLevel="1" x14ac:dyDescent="0.3">
      <c r="B225" s="69"/>
      <c r="C225" s="97" t="s">
        <v>435</v>
      </c>
      <c r="D225" s="82" t="s">
        <v>473</v>
      </c>
      <c r="E225" s="120">
        <f>+CF!C60+CF!C61</f>
        <v>-6525.83</v>
      </c>
      <c r="F225" s="120">
        <f>+CF!D60+CF!D61</f>
        <v>-14800.640000000001</v>
      </c>
      <c r="G225" s="120">
        <f>+CF!E60+CF!E61</f>
        <v>-2780.4500000000003</v>
      </c>
      <c r="H225" s="120">
        <f>+CF!F60+CF!F61</f>
        <v>-2317.87</v>
      </c>
      <c r="I225" s="120">
        <f>+CF!G60+CF!G61</f>
        <v>0</v>
      </c>
      <c r="J225" s="120">
        <f>+CF!H60+CF!H61</f>
        <v>0</v>
      </c>
      <c r="K225" s="120">
        <f>+CF!I60+CF!I61</f>
        <v>0</v>
      </c>
      <c r="L225" s="120">
        <f>+CF!J60+CF!J61</f>
        <v>0</v>
      </c>
      <c r="M225" s="120">
        <f>-M113*M146</f>
        <v>0</v>
      </c>
      <c r="N225" s="120">
        <f t="shared" ref="N225:P225" si="98">-N113*N146</f>
        <v>0</v>
      </c>
      <c r="O225" s="120">
        <f t="shared" si="98"/>
        <v>0</v>
      </c>
      <c r="P225" s="120">
        <f t="shared" si="98"/>
        <v>0</v>
      </c>
    </row>
    <row r="226" spans="2:16" ht="15.6" outlineLevel="1" x14ac:dyDescent="0.3">
      <c r="B226" s="69"/>
      <c r="C226" s="97" t="s">
        <v>436</v>
      </c>
      <c r="D226" s="82" t="s">
        <v>473</v>
      </c>
      <c r="E226" s="138">
        <f>+CF!C57</f>
        <v>0</v>
      </c>
      <c r="F226" s="138">
        <f>+CF!D57</f>
        <v>0</v>
      </c>
      <c r="G226" s="138">
        <f>+CF!E57</f>
        <v>0</v>
      </c>
      <c r="H226" s="138">
        <f>+CF!F57</f>
        <v>420.61</v>
      </c>
      <c r="I226" s="138">
        <f>+CF!G57</f>
        <v>18342.13</v>
      </c>
      <c r="J226" s="138">
        <f>+CF!H57</f>
        <v>13713.320000000007</v>
      </c>
      <c r="K226" s="138">
        <f>+CF!I57</f>
        <v>0</v>
      </c>
      <c r="L226" s="138">
        <f>+CF!J57</f>
        <v>0</v>
      </c>
      <c r="M226" s="138">
        <f>+M273+M281</f>
        <v>0</v>
      </c>
      <c r="N226" s="138">
        <f t="shared" ref="N226:P226" si="99">+N273+N281</f>
        <v>0</v>
      </c>
      <c r="O226" s="138">
        <f t="shared" si="99"/>
        <v>0</v>
      </c>
      <c r="P226" s="138">
        <f t="shared" si="99"/>
        <v>0</v>
      </c>
    </row>
    <row r="227" spans="2:16" ht="15.6" outlineLevel="1" x14ac:dyDescent="0.3">
      <c r="B227" s="69"/>
      <c r="C227" s="97" t="s">
        <v>701</v>
      </c>
      <c r="D227" s="82" t="s">
        <v>473</v>
      </c>
      <c r="E227" s="120">
        <f>+CF!C55+CF!C58</f>
        <v>-6849.7800000000007</v>
      </c>
      <c r="F227" s="120">
        <f>+CF!D55+CF!D58</f>
        <v>-1879.04</v>
      </c>
      <c r="G227" s="120">
        <f>+CF!E55+CF!E58</f>
        <v>-2141.3199999999997</v>
      </c>
      <c r="H227" s="120">
        <f>+CF!F55+CF!F58</f>
        <v>-8707.56</v>
      </c>
      <c r="I227" s="120">
        <f>+CF!G55+CF!G58</f>
        <v>-19967.919999999998</v>
      </c>
      <c r="J227" s="120">
        <f>+CF!H55+CF!H58</f>
        <v>-24893.18</v>
      </c>
      <c r="K227" s="120">
        <f>+CF!I55+CF!I58</f>
        <v>-57864.04</v>
      </c>
      <c r="L227" s="120">
        <f>+CF!J55+CF!J58</f>
        <v>-65241.75</v>
      </c>
      <c r="M227" s="120">
        <f>+M88*M22</f>
        <v>-67953.966176290851</v>
      </c>
      <c r="N227" s="120">
        <f>+N88*N22</f>
        <v>-77288.601702706103</v>
      </c>
      <c r="O227" s="120">
        <f>+O88*O22</f>
        <v>-82598.101320339818</v>
      </c>
      <c r="P227" s="120">
        <f>+P88*P22</f>
        <v>-90790.526103954238</v>
      </c>
    </row>
    <row r="228" spans="2:16" ht="15.6" outlineLevel="1" x14ac:dyDescent="0.3">
      <c r="B228" s="69"/>
      <c r="C228" s="97" t="s">
        <v>500</v>
      </c>
      <c r="D228" s="82" t="s">
        <v>473</v>
      </c>
      <c r="E228" s="120" t="str">
        <f>+CF!C56</f>
        <v>(478.79)</v>
      </c>
      <c r="F228" s="120" t="str">
        <f>+CF!D56</f>
        <v>(533.41)</v>
      </c>
      <c r="G228" s="120" t="str">
        <f>+CF!E56</f>
        <v>(770.09)</v>
      </c>
      <c r="H228" s="120">
        <f>+CF!F56</f>
        <v>-13374.5</v>
      </c>
      <c r="I228" s="120">
        <f>+CF!G56</f>
        <v>-15928.23</v>
      </c>
      <c r="J228" s="120">
        <f>+CF!H56</f>
        <v>-19518.400000000001</v>
      </c>
      <c r="K228" s="120">
        <f>+CF!I56</f>
        <v>-26339.65</v>
      </c>
      <c r="L228" s="120">
        <f>+CF!J56</f>
        <v>-34353.32</v>
      </c>
      <c r="M228" s="120">
        <f>+M89*M22</f>
        <v>-41266.483386626678</v>
      </c>
      <c r="N228" s="120">
        <f>+N89*N22</f>
        <v>-47136.602913084178</v>
      </c>
      <c r="O228" s="120">
        <f>+O89*O22</f>
        <v>-51585.883005712865</v>
      </c>
      <c r="P228" s="120">
        <f>+P89*P22</f>
        <v>-58001.491722458399</v>
      </c>
    </row>
    <row r="229" spans="2:16" ht="15.6" outlineLevel="1" x14ac:dyDescent="0.3">
      <c r="B229" s="69"/>
      <c r="C229" s="97" t="s">
        <v>437</v>
      </c>
      <c r="D229" s="91" t="s">
        <v>473</v>
      </c>
      <c r="E229" s="120" t="str">
        <f>+CF!C59</f>
        <v>(168.77)</v>
      </c>
      <c r="F229" s="120" t="str">
        <f>+CF!D59</f>
        <v>(209.20)</v>
      </c>
      <c r="G229" s="120" t="str">
        <f>+CF!E59</f>
        <v>(292.65)</v>
      </c>
      <c r="H229" s="120" t="str">
        <f>+CF!F59</f>
        <v>(340.10)</v>
      </c>
      <c r="I229" s="120" t="str">
        <f>+CF!G59</f>
        <v>(292.04)</v>
      </c>
      <c r="J229" s="120" t="str">
        <f>+CF!H59</f>
        <v>(456.71)</v>
      </c>
      <c r="K229" s="120" t="str">
        <f>+CF!I59</f>
        <v>(344.57)</v>
      </c>
      <c r="L229" s="120" t="str">
        <f>+CF!J59</f>
        <v>(607.61)</v>
      </c>
      <c r="M229" s="120">
        <f>+M280</f>
        <v>-656.22</v>
      </c>
      <c r="N229" s="120">
        <f t="shared" ref="N229:P229" si="100">+N280</f>
        <v>-708.72</v>
      </c>
      <c r="O229" s="120">
        <f t="shared" si="100"/>
        <v>-765.41</v>
      </c>
      <c r="P229" s="120">
        <f t="shared" si="100"/>
        <v>-826.64</v>
      </c>
    </row>
    <row r="230" spans="2:16" ht="15.6" outlineLevel="1" x14ac:dyDescent="0.3">
      <c r="B230" s="69"/>
      <c r="C230" s="96" t="s">
        <v>438</v>
      </c>
      <c r="D230" s="82" t="s">
        <v>473</v>
      </c>
      <c r="E230" s="129">
        <f>SUM(E224:E229)</f>
        <v>-13364.5</v>
      </c>
      <c r="F230" s="129">
        <f t="shared" ref="F230:K230" si="101">SUM(F224:F229)</f>
        <v>8402.16</v>
      </c>
      <c r="G230" s="129">
        <f t="shared" si="101"/>
        <v>-4921.7700000000004</v>
      </c>
      <c r="H230" s="129">
        <f t="shared" si="101"/>
        <v>-23734.739999999998</v>
      </c>
      <c r="I230" s="129">
        <f t="shared" si="101"/>
        <v>-17461.329999999998</v>
      </c>
      <c r="J230" s="129">
        <f t="shared" si="101"/>
        <v>-30421.709999999995</v>
      </c>
      <c r="K230" s="129">
        <f t="shared" si="101"/>
        <v>-83980.03</v>
      </c>
      <c r="L230" s="129">
        <f>SUM(L224:L229)</f>
        <v>-99177.67</v>
      </c>
      <c r="M230" s="129">
        <f t="shared" ref="M230:P230" si="102">SUM(M224:M229)</f>
        <v>-109876.66956291752</v>
      </c>
      <c r="N230" s="129">
        <f t="shared" si="102"/>
        <v>-125133.92461579028</v>
      </c>
      <c r="O230" s="129">
        <f t="shared" si="102"/>
        <v>-134949.39432605269</v>
      </c>
      <c r="P230" s="129">
        <f t="shared" si="102"/>
        <v>-149618.65782641264</v>
      </c>
    </row>
    <row r="231" spans="2:16" ht="15.6" outlineLevel="1" x14ac:dyDescent="0.3">
      <c r="B231" s="69"/>
      <c r="C231" s="70"/>
      <c r="D231" s="69"/>
      <c r="E231" s="407"/>
      <c r="F231" s="407"/>
      <c r="G231" s="407"/>
      <c r="H231" s="407"/>
      <c r="I231" s="407"/>
      <c r="J231" s="407"/>
      <c r="K231" s="407"/>
      <c r="L231" s="407"/>
      <c r="M231" s="138"/>
      <c r="N231" s="138"/>
      <c r="O231" s="138"/>
      <c r="P231" s="138"/>
    </row>
    <row r="232" spans="2:16" ht="15.6" outlineLevel="1" x14ac:dyDescent="0.3">
      <c r="B232" s="69"/>
      <c r="C232" s="69" t="s">
        <v>439</v>
      </c>
      <c r="D232" s="82" t="s">
        <v>473</v>
      </c>
      <c r="E232" s="120" t="str">
        <f>+CF!C68</f>
        <v>47.44</v>
      </c>
      <c r="F232" s="120" t="str">
        <f>+CF!D68</f>
        <v>80.93</v>
      </c>
      <c r="G232" s="120" t="str">
        <f>+CF!E68</f>
        <v>103.67</v>
      </c>
      <c r="H232" s="120" t="str">
        <f>+CF!F68</f>
        <v>(56.51)</v>
      </c>
      <c r="I232" s="120" t="str">
        <f>+CF!G68</f>
        <v>(177.28)</v>
      </c>
      <c r="J232" s="120" t="str">
        <f>+CF!H68</f>
        <v>12.57</v>
      </c>
      <c r="K232" s="120" t="str">
        <f>+CF!I68</f>
        <v>166.49</v>
      </c>
      <c r="L232" s="120" t="str">
        <f>+CF!J68</f>
        <v>(27.47)</v>
      </c>
      <c r="M232" s="120">
        <f>+M118*M126</f>
        <v>181.71960100449448</v>
      </c>
      <c r="N232" s="120">
        <f>+N118*N126</f>
        <v>247.57005891609617</v>
      </c>
      <c r="O232" s="120">
        <f>+O118*O126</f>
        <v>213.29104522363878</v>
      </c>
      <c r="P232" s="120">
        <f>+P118*P126</f>
        <v>54.023216240134737</v>
      </c>
    </row>
    <row r="233" spans="2:16" ht="15.6" outlineLevel="1" x14ac:dyDescent="0.3">
      <c r="B233" s="69"/>
      <c r="C233" s="70"/>
      <c r="D233" s="69"/>
      <c r="E233" s="138"/>
      <c r="F233" s="138"/>
      <c r="G233" s="138"/>
      <c r="H233" s="138"/>
      <c r="I233" s="138"/>
      <c r="J233" s="138"/>
      <c r="K233" s="138"/>
      <c r="L233" s="138"/>
      <c r="M233" s="138"/>
      <c r="N233" s="138"/>
      <c r="O233" s="138"/>
      <c r="P233" s="138"/>
    </row>
    <row r="234" spans="2:16" ht="15.6" outlineLevel="1" x14ac:dyDescent="0.3">
      <c r="B234" s="69"/>
      <c r="C234" s="81" t="s">
        <v>440</v>
      </c>
      <c r="D234" s="82" t="s">
        <v>473</v>
      </c>
      <c r="E234" s="139">
        <f>+E214+E221+E230+E232</f>
        <v>-5037.810000000004</v>
      </c>
      <c r="F234" s="139">
        <f>+F214+F221+F230+F232</f>
        <v>5175.9900000000016</v>
      </c>
      <c r="G234" s="139">
        <f t="shared" ref="G234:L234" si="103">+G214+G221+G230+G232</f>
        <v>576.99000000000331</v>
      </c>
      <c r="H234" s="139">
        <f t="shared" si="103"/>
        <v>-93.510000000007267</v>
      </c>
      <c r="I234" s="139">
        <f t="shared" si="103"/>
        <v>-2101.809999999999</v>
      </c>
      <c r="J234" s="139">
        <f t="shared" si="103"/>
        <v>5064.440000000006</v>
      </c>
      <c r="K234" s="139">
        <f t="shared" si="103"/>
        <v>2526.4000000000033</v>
      </c>
      <c r="L234" s="139">
        <f t="shared" si="103"/>
        <v>-5726.9199999999973</v>
      </c>
      <c r="M234" s="139">
        <f t="shared" ref="M234:P234" si="104">+M214+M221+M230+M232</f>
        <v>22942.811200963763</v>
      </c>
      <c r="N234" s="139">
        <f t="shared" si="104"/>
        <v>10553.485596945173</v>
      </c>
      <c r="O234" s="139">
        <f t="shared" si="104"/>
        <v>-20815.501395338812</v>
      </c>
      <c r="P234" s="139">
        <f t="shared" si="104"/>
        <v>28466.225215637995</v>
      </c>
    </row>
    <row r="235" spans="2:16" ht="15.6" outlineLevel="1" x14ac:dyDescent="0.3">
      <c r="B235" s="69"/>
      <c r="C235" s="95" t="s">
        <v>441</v>
      </c>
      <c r="D235" s="91" t="s">
        <v>473</v>
      </c>
      <c r="E235" s="207">
        <v>6569</v>
      </c>
      <c r="F235" s="140">
        <f>+E236</f>
        <v>1531.189999999996</v>
      </c>
      <c r="G235" s="140">
        <f t="shared" ref="G235:L235" si="105">+F236</f>
        <v>6707.1799999999976</v>
      </c>
      <c r="H235" s="140">
        <f t="shared" si="105"/>
        <v>7284.170000000001</v>
      </c>
      <c r="I235" s="140">
        <f t="shared" si="105"/>
        <v>7190.6599999999935</v>
      </c>
      <c r="J235" s="140">
        <f t="shared" si="105"/>
        <v>5088.8499999999949</v>
      </c>
      <c r="K235" s="140">
        <f t="shared" si="105"/>
        <v>10153.290000000001</v>
      </c>
      <c r="L235" s="140">
        <f t="shared" si="105"/>
        <v>12679.690000000004</v>
      </c>
      <c r="M235" s="140">
        <f t="shared" ref="M235:P235" si="106">+L236</f>
        <v>6952.7700000000068</v>
      </c>
      <c r="N235" s="140">
        <f t="shared" si="106"/>
        <v>29895.58120096377</v>
      </c>
      <c r="O235" s="140">
        <f t="shared" si="106"/>
        <v>40449.066797908941</v>
      </c>
      <c r="P235" s="140">
        <f t="shared" si="106"/>
        <v>19633.56540257013</v>
      </c>
    </row>
    <row r="236" spans="2:16" ht="15.6" outlineLevel="1" x14ac:dyDescent="0.3">
      <c r="B236" s="69"/>
      <c r="C236" s="70" t="s">
        <v>442</v>
      </c>
      <c r="D236" s="82" t="s">
        <v>473</v>
      </c>
      <c r="E236" s="348">
        <f>SUM(E234:E235)</f>
        <v>1531.189999999996</v>
      </c>
      <c r="F236" s="348">
        <f t="shared" ref="F236:L236" si="107">SUM(F234:F235)</f>
        <v>6707.1799999999976</v>
      </c>
      <c r="G236" s="348">
        <f t="shared" si="107"/>
        <v>7284.170000000001</v>
      </c>
      <c r="H236" s="348">
        <f t="shared" si="107"/>
        <v>7190.6599999999935</v>
      </c>
      <c r="I236" s="348">
        <f t="shared" si="107"/>
        <v>5088.8499999999949</v>
      </c>
      <c r="J236" s="348">
        <f t="shared" si="107"/>
        <v>10153.290000000001</v>
      </c>
      <c r="K236" s="348">
        <f t="shared" si="107"/>
        <v>12679.690000000004</v>
      </c>
      <c r="L236" s="348">
        <f t="shared" si="107"/>
        <v>6952.7700000000068</v>
      </c>
      <c r="M236" s="348">
        <f t="shared" ref="M236:P236" si="108">SUM(M234:M235)</f>
        <v>29895.58120096377</v>
      </c>
      <c r="N236" s="348">
        <f>SUM(N234:N235)</f>
        <v>40449.066797908941</v>
      </c>
      <c r="O236" s="348">
        <f t="shared" si="108"/>
        <v>19633.56540257013</v>
      </c>
      <c r="P236" s="348">
        <f t="shared" si="108"/>
        <v>48099.790618208121</v>
      </c>
    </row>
    <row r="237" spans="2:16" ht="15.6" outlineLevel="1" x14ac:dyDescent="0.3">
      <c r="B237" s="69"/>
      <c r="C237" s="70"/>
      <c r="D237" s="82"/>
      <c r="E237" s="348"/>
      <c r="F237" s="348"/>
      <c r="G237" s="348"/>
      <c r="H237" s="348"/>
      <c r="I237" s="348"/>
      <c r="J237" s="348"/>
      <c r="K237" s="348"/>
      <c r="L237" s="348"/>
      <c r="M237" s="348"/>
      <c r="N237" s="348"/>
      <c r="O237" s="348"/>
      <c r="P237" s="348"/>
    </row>
    <row r="238" spans="2:16" ht="15.6" outlineLevel="1" x14ac:dyDescent="0.3">
      <c r="B238" s="69"/>
      <c r="C238" s="70" t="s">
        <v>724</v>
      </c>
      <c r="D238" s="201"/>
      <c r="E238" s="419">
        <f t="shared" ref="E238:P238" si="109">+E165-E236</f>
        <v>4.0927261579781771E-12</v>
      </c>
      <c r="F238" s="419">
        <f t="shared" si="109"/>
        <v>0</v>
      </c>
      <c r="G238" s="419">
        <f t="shared" si="109"/>
        <v>0</v>
      </c>
      <c r="H238" s="419">
        <f t="shared" si="109"/>
        <v>0</v>
      </c>
      <c r="I238" s="419">
        <f t="shared" si="109"/>
        <v>0</v>
      </c>
      <c r="J238" s="419">
        <f t="shared" si="109"/>
        <v>0</v>
      </c>
      <c r="K238" s="419">
        <f t="shared" si="109"/>
        <v>0</v>
      </c>
      <c r="L238" s="419">
        <f t="shared" si="109"/>
        <v>0</v>
      </c>
      <c r="M238" s="419">
        <f t="shared" si="109"/>
        <v>0</v>
      </c>
      <c r="N238" s="419">
        <f t="shared" si="109"/>
        <v>0</v>
      </c>
      <c r="O238" s="419">
        <f t="shared" si="109"/>
        <v>0</v>
      </c>
      <c r="P238" s="419">
        <f t="shared" si="109"/>
        <v>0</v>
      </c>
    </row>
    <row r="239" spans="2:16" ht="15.6" x14ac:dyDescent="0.3">
      <c r="B239" s="69"/>
      <c r="C239" s="83"/>
      <c r="D239" s="82"/>
      <c r="E239" s="407"/>
      <c r="F239" s="407"/>
      <c r="G239" s="407"/>
      <c r="H239" s="407"/>
      <c r="I239" s="407"/>
      <c r="J239" s="407"/>
      <c r="K239" s="407"/>
      <c r="L239" s="407"/>
      <c r="M239" s="118"/>
      <c r="N239" s="118"/>
      <c r="O239" s="118"/>
    </row>
    <row r="240" spans="2:16" ht="15.6" x14ac:dyDescent="0.3">
      <c r="B240" s="103"/>
      <c r="C240" s="103"/>
      <c r="D240" s="104"/>
      <c r="E240" s="436" t="s">
        <v>359</v>
      </c>
      <c r="F240" s="436"/>
      <c r="G240" s="436"/>
      <c r="H240" s="436"/>
      <c r="I240" s="436"/>
      <c r="J240" s="436"/>
      <c r="K240" s="436"/>
      <c r="L240" s="437"/>
      <c r="M240" s="436" t="s">
        <v>360</v>
      </c>
      <c r="N240" s="436"/>
      <c r="O240" s="436"/>
      <c r="P240" s="436"/>
    </row>
    <row r="241" spans="2:16" ht="15.6" x14ac:dyDescent="0.3">
      <c r="B241" s="101" t="s">
        <v>443</v>
      </c>
      <c r="C241" s="101"/>
      <c r="D241" s="105" t="str">
        <f>$D$20</f>
        <v>Units:</v>
      </c>
      <c r="E241" s="110">
        <f t="shared" ref="E241:J241" si="110">EOMONTH(F241,-12)</f>
        <v>42825</v>
      </c>
      <c r="F241" s="110">
        <f t="shared" si="110"/>
        <v>43190</v>
      </c>
      <c r="G241" s="110">
        <f t="shared" si="110"/>
        <v>43555</v>
      </c>
      <c r="H241" s="110">
        <f t="shared" si="110"/>
        <v>43921</v>
      </c>
      <c r="I241" s="110">
        <f t="shared" si="110"/>
        <v>44286</v>
      </c>
      <c r="J241" s="110">
        <f t="shared" si="110"/>
        <v>44651</v>
      </c>
      <c r="K241" s="110">
        <f>EOMONTH(L241,-12)</f>
        <v>45016</v>
      </c>
      <c r="L241" s="111">
        <f>Hist_Year</f>
        <v>45382</v>
      </c>
      <c r="M241" s="110">
        <f>EOMONTH(L241,12)</f>
        <v>45747</v>
      </c>
      <c r="N241" s="110">
        <f>EOMONTH(M241,12)</f>
        <v>46112</v>
      </c>
      <c r="O241" s="110">
        <f>EOMONTH(N241,12)</f>
        <v>46477</v>
      </c>
      <c r="P241" s="110">
        <f>EOMONTH(O241,12)</f>
        <v>46843</v>
      </c>
    </row>
    <row r="242" spans="2:16" outlineLevel="1" x14ac:dyDescent="0.3"/>
    <row r="243" spans="2:16" ht="15.6" outlineLevel="1" x14ac:dyDescent="0.3">
      <c r="B243" s="69"/>
      <c r="C243" s="69" t="s">
        <v>444</v>
      </c>
      <c r="D243" s="82" t="s">
        <v>367</v>
      </c>
      <c r="E243" s="358">
        <v>0.06</v>
      </c>
      <c r="F243" s="358">
        <v>6.25E-2</v>
      </c>
      <c r="G243" s="358">
        <v>5.1499999999999997E-2</v>
      </c>
      <c r="H243" s="358">
        <v>0.04</v>
      </c>
      <c r="I243" s="358">
        <v>0.04</v>
      </c>
      <c r="J243" s="358">
        <v>5.3699999999999991E-2</v>
      </c>
      <c r="K243" s="358">
        <v>6.5000000000000002E-2</v>
      </c>
      <c r="L243" s="412">
        <v>6.5000000000000002E-2</v>
      </c>
      <c r="M243" s="379">
        <v>6.25E-2</v>
      </c>
      <c r="N243" s="379">
        <v>6.5000000000000002E-2</v>
      </c>
      <c r="O243" s="379">
        <v>6.25E-2</v>
      </c>
      <c r="P243" s="379">
        <v>6.25E-2</v>
      </c>
    </row>
    <row r="244" spans="2:16" ht="15.6" outlineLevel="1" x14ac:dyDescent="0.3">
      <c r="B244" s="69"/>
      <c r="C244" s="69" t="s">
        <v>445</v>
      </c>
      <c r="D244" s="82" t="s">
        <v>367</v>
      </c>
      <c r="E244" s="363">
        <v>6.5000000000000002E-2</v>
      </c>
      <c r="F244" s="416">
        <f>IFERROR(-F256/E183*Num_Per,0)</f>
        <v>-0.14184324633886933</v>
      </c>
      <c r="G244" s="416">
        <f t="shared" ref="G244:L244" si="111">IFERROR(-G256/F183*Num_Per,0)</f>
        <v>0</v>
      </c>
      <c r="H244" s="362">
        <f t="shared" si="111"/>
        <v>-0.2331349898275446</v>
      </c>
      <c r="I244" s="362">
        <f t="shared" si="111"/>
        <v>-1.5069693900809902</v>
      </c>
      <c r="J244" s="362">
        <f t="shared" si="111"/>
        <v>-0.16210539255107412</v>
      </c>
      <c r="K244" s="362">
        <f t="shared" si="111"/>
        <v>-0.12773921558966272</v>
      </c>
      <c r="L244" s="362">
        <f t="shared" si="111"/>
        <v>-0.3076986259161042</v>
      </c>
      <c r="M244" s="362">
        <f>+M243+M245</f>
        <v>-0.33750000000000002</v>
      </c>
      <c r="N244" s="362">
        <f t="shared" ref="N244:O244" si="112">+N243+N245</f>
        <v>-0.138953157210501</v>
      </c>
      <c r="O244" s="362">
        <f t="shared" si="112"/>
        <v>-0.11749999999999999</v>
      </c>
      <c r="P244" s="362">
        <f t="shared" ref="P244" si="113">+P243+P245</f>
        <v>-3.7500000000000006E-2</v>
      </c>
    </row>
    <row r="245" spans="2:16" ht="18" outlineLevel="1" x14ac:dyDescent="0.35">
      <c r="B245" s="69"/>
      <c r="C245" s="69" t="s">
        <v>446</v>
      </c>
      <c r="D245" s="82" t="s">
        <v>367</v>
      </c>
      <c r="E245" s="364">
        <f>+E244-E243</f>
        <v>5.0000000000000044E-3</v>
      </c>
      <c r="F245" s="364">
        <f t="shared" ref="F245:L245" si="114">+F244-F243</f>
        <v>-0.20434324633886933</v>
      </c>
      <c r="G245" s="364">
        <f t="shared" si="114"/>
        <v>-5.1499999999999997E-2</v>
      </c>
      <c r="H245" s="364">
        <f t="shared" si="114"/>
        <v>-0.27313498982754458</v>
      </c>
      <c r="I245" s="364">
        <f t="shared" si="114"/>
        <v>-1.5469693900809902</v>
      </c>
      <c r="J245" s="364">
        <f t="shared" si="114"/>
        <v>-0.21580539255107412</v>
      </c>
      <c r="K245" s="364">
        <f t="shared" si="114"/>
        <v>-0.19273921558966273</v>
      </c>
      <c r="L245" s="364">
        <f t="shared" si="114"/>
        <v>-0.3726986259161042</v>
      </c>
      <c r="M245" s="380">
        <v>-0.4</v>
      </c>
      <c r="N245" s="380">
        <v>-0.203953157210501</v>
      </c>
      <c r="O245" s="380">
        <v>-0.18</v>
      </c>
      <c r="P245" s="380">
        <v>-0.1</v>
      </c>
    </row>
    <row r="246" spans="2:16" ht="15.6" outlineLevel="1" x14ac:dyDescent="0.3">
      <c r="B246" s="69"/>
      <c r="C246" s="69"/>
      <c r="D246" s="71"/>
      <c r="E246" s="122"/>
      <c r="F246" s="122"/>
      <c r="G246" s="122"/>
      <c r="H246" s="122"/>
      <c r="I246" s="122"/>
      <c r="J246" s="122"/>
      <c r="K246" s="138"/>
      <c r="L246" s="138"/>
      <c r="M246" s="138"/>
      <c r="N246" s="138"/>
      <c r="O246" s="138"/>
    </row>
    <row r="247" spans="2:16" ht="15.6" outlineLevel="1" x14ac:dyDescent="0.3">
      <c r="B247" s="69"/>
      <c r="C247" s="69" t="s">
        <v>447</v>
      </c>
      <c r="D247" s="82" t="s">
        <v>367</v>
      </c>
      <c r="E247" s="122"/>
      <c r="F247" s="122"/>
      <c r="G247" s="122"/>
      <c r="H247" s="122"/>
      <c r="I247" s="122"/>
      <c r="J247" s="122"/>
      <c r="K247" s="138"/>
      <c r="L247" s="138"/>
      <c r="M247" s="334">
        <f>+M243+M248</f>
        <v>7.4499999999999997E-2</v>
      </c>
      <c r="N247" s="334">
        <f t="shared" ref="N247:P247" si="115">+N243+N248</f>
        <v>7.6999999999999999E-2</v>
      </c>
      <c r="O247" s="334">
        <f t="shared" si="115"/>
        <v>7.4499999999999997E-2</v>
      </c>
      <c r="P247" s="334">
        <f t="shared" si="115"/>
        <v>7.4499999999999997E-2</v>
      </c>
    </row>
    <row r="248" spans="2:16" ht="15.6" outlineLevel="1" x14ac:dyDescent="0.3">
      <c r="B248" s="69"/>
      <c r="C248" s="69" t="s">
        <v>446</v>
      </c>
      <c r="D248" s="82" t="s">
        <v>367</v>
      </c>
      <c r="E248" s="122"/>
      <c r="F248" s="122"/>
      <c r="G248" s="122"/>
      <c r="H248" s="122"/>
      <c r="I248" s="122"/>
      <c r="J248" s="122"/>
      <c r="K248" s="138"/>
      <c r="L248" s="138"/>
      <c r="M248" s="119">
        <v>1.2E-2</v>
      </c>
      <c r="N248" s="119">
        <f>M248</f>
        <v>1.2E-2</v>
      </c>
      <c r="O248" s="119">
        <f t="shared" ref="O248:P248" si="116">N248</f>
        <v>1.2E-2</v>
      </c>
      <c r="P248" s="119">
        <f t="shared" si="116"/>
        <v>1.2E-2</v>
      </c>
    </row>
    <row r="249" spans="2:16" ht="15.6" outlineLevel="1" x14ac:dyDescent="0.3">
      <c r="B249" s="69"/>
      <c r="C249" s="69"/>
      <c r="D249" s="71"/>
      <c r="E249" s="122"/>
      <c r="F249" s="122"/>
      <c r="G249" s="122"/>
      <c r="H249" s="122"/>
      <c r="I249" s="122"/>
      <c r="J249" s="122"/>
      <c r="K249" s="138"/>
      <c r="L249" s="138"/>
      <c r="M249" s="138"/>
      <c r="N249" s="138"/>
      <c r="O249" s="138"/>
    </row>
    <row r="250" spans="2:16" ht="15.6" outlineLevel="1" x14ac:dyDescent="0.3">
      <c r="B250" s="69"/>
      <c r="C250" s="69" t="s">
        <v>669</v>
      </c>
      <c r="D250" s="82" t="s">
        <v>367</v>
      </c>
      <c r="E250" s="334">
        <f t="shared" ref="E250:L250" si="117">+E255/E125</f>
        <v>0.55778194583497032</v>
      </c>
      <c r="F250" s="334">
        <f t="shared" si="117"/>
        <v>0.48560921618493208</v>
      </c>
      <c r="G250" s="334">
        <f t="shared" si="117"/>
        <v>0.38499001206403755</v>
      </c>
      <c r="H250" s="334">
        <f t="shared" si="117"/>
        <v>0.23173162775340292</v>
      </c>
      <c r="I250" s="334">
        <f t="shared" si="117"/>
        <v>0.23567356243804027</v>
      </c>
      <c r="J250" s="334">
        <f t="shared" si="117"/>
        <v>0.27830561826245392</v>
      </c>
      <c r="K250" s="334">
        <f t="shared" si="117"/>
        <v>0.33730509106493889</v>
      </c>
      <c r="L250" s="410">
        <f t="shared" si="117"/>
        <v>0.50533066359638323</v>
      </c>
      <c r="M250" s="117">
        <f>INDEX(M251:M253,MATCH(Scenario,$C$24:$C$26,0))</f>
        <v>0.48</v>
      </c>
      <c r="N250" s="117">
        <f>INDEX(N251:N253,MATCH(Scenario,$C$24:$C$26,0))</f>
        <v>0.45</v>
      </c>
      <c r="O250" s="117">
        <f>INDEX(O251:O253,MATCH(Scenario,$C$24:$C$26,0))</f>
        <v>0.42</v>
      </c>
      <c r="P250" s="117">
        <f>INDEX(P251:P253,MATCH(Scenario,$C$24:$C$26,0))</f>
        <v>0.4</v>
      </c>
    </row>
    <row r="251" spans="2:16" ht="15.6" outlineLevel="1" x14ac:dyDescent="0.3">
      <c r="B251" s="69"/>
      <c r="C251" s="84" t="str">
        <f>$C$24</f>
        <v>Base</v>
      </c>
      <c r="D251" s="82" t="s">
        <v>367</v>
      </c>
      <c r="E251" s="118"/>
      <c r="F251" s="118"/>
      <c r="G251" s="118"/>
      <c r="H251" s="118"/>
      <c r="I251" s="118"/>
      <c r="J251" s="118"/>
      <c r="K251" s="118"/>
      <c r="L251" s="118"/>
      <c r="M251" s="119">
        <v>0.48</v>
      </c>
      <c r="N251" s="119">
        <v>0.45</v>
      </c>
      <c r="O251" s="119">
        <v>0.42</v>
      </c>
      <c r="P251" s="119">
        <v>0.4</v>
      </c>
    </row>
    <row r="252" spans="2:16" ht="15.6" outlineLevel="1" x14ac:dyDescent="0.3">
      <c r="B252" s="69"/>
      <c r="C252" s="84" t="str">
        <f>$C$25</f>
        <v>Optimistic Case</v>
      </c>
      <c r="D252" s="82" t="s">
        <v>367</v>
      </c>
      <c r="E252" s="118"/>
      <c r="F252" s="118"/>
      <c r="G252" s="118"/>
      <c r="H252" s="118"/>
      <c r="I252" s="118"/>
      <c r="J252" s="118"/>
      <c r="K252" s="118"/>
      <c r="L252" s="118"/>
      <c r="M252" s="119">
        <v>0.55000000000000004</v>
      </c>
      <c r="N252" s="119">
        <v>0.52</v>
      </c>
      <c r="O252" s="119">
        <v>0.49</v>
      </c>
      <c r="P252" s="119">
        <v>0.46</v>
      </c>
    </row>
    <row r="253" spans="2:16" ht="15.6" outlineLevel="1" x14ac:dyDescent="0.3">
      <c r="B253" s="69"/>
      <c r="C253" s="84" t="str">
        <f>$C$26</f>
        <v>Conservative Case</v>
      </c>
      <c r="D253" s="82" t="s">
        <v>367</v>
      </c>
      <c r="E253" s="118"/>
      <c r="F253" s="118"/>
      <c r="G253" s="118"/>
      <c r="H253" s="118"/>
      <c r="I253" s="118"/>
      <c r="J253" s="118"/>
      <c r="K253" s="118"/>
      <c r="L253" s="118"/>
      <c r="M253" s="119">
        <v>0.4</v>
      </c>
      <c r="N253" s="119">
        <v>0.38</v>
      </c>
      <c r="O253" s="119">
        <v>0.35</v>
      </c>
      <c r="P253" s="119">
        <v>0.32</v>
      </c>
    </row>
    <row r="254" spans="2:16" ht="15.6" outlineLevel="1" x14ac:dyDescent="0.3">
      <c r="B254" s="69"/>
      <c r="C254" s="69"/>
      <c r="D254" s="71"/>
      <c r="E254" s="122"/>
      <c r="F254" s="122"/>
      <c r="G254" s="122"/>
      <c r="H254" s="122"/>
      <c r="I254" s="122"/>
      <c r="J254" s="122"/>
      <c r="K254" s="138"/>
      <c r="L254" s="138"/>
      <c r="M254" s="138"/>
      <c r="N254" s="138"/>
      <c r="O254" s="138"/>
      <c r="P254" s="138"/>
    </row>
    <row r="255" spans="2:16" ht="15.6" outlineLevel="1" x14ac:dyDescent="0.3">
      <c r="B255" s="69"/>
      <c r="C255" s="83" t="s">
        <v>448</v>
      </c>
      <c r="D255" s="82" t="s">
        <v>473</v>
      </c>
      <c r="E255" s="120">
        <f>+'P&amp;L'!B36</f>
        <v>4401.29</v>
      </c>
      <c r="F255" s="120">
        <f>+'P&amp;L'!C36</f>
        <v>4598.0200000000004</v>
      </c>
      <c r="G255" s="120">
        <f>+'P&amp;L'!D36</f>
        <v>5099.57</v>
      </c>
      <c r="H255" s="120">
        <f>+'P&amp;L'!E36</f>
        <v>3558.2599999999998</v>
      </c>
      <c r="I255" s="120">
        <f>+'P&amp;L'!F36</f>
        <v>2443.85</v>
      </c>
      <c r="J255" s="120">
        <f>+'P&amp;L'!G36</f>
        <v>2019.38</v>
      </c>
      <c r="K255" s="120">
        <f>+'P&amp;L'!H36</f>
        <v>4840.21</v>
      </c>
      <c r="L255" s="120">
        <f>+'P&amp;L'!I36</f>
        <v>11758.14</v>
      </c>
      <c r="M255" s="120">
        <f>+M250*M125</f>
        <v>12613.30541029364</v>
      </c>
      <c r="N255" s="120">
        <f>+N250*N125</f>
        <v>21341.549597928279</v>
      </c>
      <c r="O255" s="120">
        <f>+O250*O125</f>
        <v>19433.9293001634</v>
      </c>
      <c r="P255" s="120">
        <f>+P250*P125</f>
        <v>18546.513520388333</v>
      </c>
    </row>
    <row r="256" spans="2:16" ht="15.6" outlineLevel="1" x14ac:dyDescent="0.3">
      <c r="B256" s="69"/>
      <c r="C256" s="83" t="s">
        <v>668</v>
      </c>
      <c r="D256" s="91" t="s">
        <v>473</v>
      </c>
      <c r="E256" s="120">
        <f>+'P&amp;L'!B39</f>
        <v>3307.8</v>
      </c>
      <c r="F256" s="120">
        <f>+'P&amp;L'!C39</f>
        <v>3398.15</v>
      </c>
      <c r="G256" s="120">
        <f>+'P&amp;L'!D39</f>
        <v>5089.63</v>
      </c>
      <c r="H256" s="120">
        <f>+'P&amp;L'!E39</f>
        <v>5114.2099999999991</v>
      </c>
      <c r="I256" s="120">
        <f>+'P&amp;L'!F39</f>
        <v>5222.9600000000009</v>
      </c>
      <c r="J256" s="120">
        <f>+'P&amp;L'!G39</f>
        <v>4061.75</v>
      </c>
      <c r="K256" s="120">
        <f>+'P&amp;L'!H39</f>
        <v>4977.66</v>
      </c>
      <c r="L256" s="120">
        <f>+'P&amp;L'!I39</f>
        <v>6930.4100000000035</v>
      </c>
      <c r="M256" s="120">
        <f>(-M244*M279-M247*M272)/Num_Per</f>
        <v>6384.511125</v>
      </c>
      <c r="N256" s="120">
        <f>(-N244*N279-N247*N272)/Num_Per</f>
        <v>2537.4027608473771</v>
      </c>
      <c r="O256" s="120">
        <f>(-O244*O279-O247*O272)/Num_Per</f>
        <v>2062.3752749999994</v>
      </c>
      <c r="P256" s="120">
        <f>(-P244*P279-P247*P272)/Num_Per</f>
        <v>629.50199999999995</v>
      </c>
    </row>
    <row r="257" spans="2:20" ht="15.6" outlineLevel="1" x14ac:dyDescent="0.3">
      <c r="B257" s="69"/>
      <c r="C257" s="96" t="s">
        <v>449</v>
      </c>
      <c r="D257" s="82" t="s">
        <v>473</v>
      </c>
      <c r="E257" s="129">
        <f>+E255-E256</f>
        <v>1093.4899999999998</v>
      </c>
      <c r="F257" s="129">
        <f t="shared" ref="F257:P257" si="118">+F255-F256</f>
        <v>1199.8700000000003</v>
      </c>
      <c r="G257" s="129">
        <f t="shared" si="118"/>
        <v>9.9399999999995998</v>
      </c>
      <c r="H257" s="129">
        <f t="shared" si="118"/>
        <v>-1555.9499999999994</v>
      </c>
      <c r="I257" s="129">
        <f t="shared" si="118"/>
        <v>-2779.110000000001</v>
      </c>
      <c r="J257" s="129">
        <f t="shared" si="118"/>
        <v>-2042.37</v>
      </c>
      <c r="K257" s="129">
        <f t="shared" si="118"/>
        <v>-137.44999999999982</v>
      </c>
      <c r="L257" s="129">
        <f t="shared" si="118"/>
        <v>4827.7299999999959</v>
      </c>
      <c r="M257" s="129">
        <f t="shared" si="118"/>
        <v>6228.7942852936403</v>
      </c>
      <c r="N257" s="129">
        <f t="shared" si="118"/>
        <v>18804.146837080902</v>
      </c>
      <c r="O257" s="129">
        <f t="shared" si="118"/>
        <v>17371.554025163401</v>
      </c>
      <c r="P257" s="129">
        <f t="shared" si="118"/>
        <v>17917.011520388332</v>
      </c>
    </row>
    <row r="258" spans="2:20" ht="15.6" outlineLevel="1" x14ac:dyDescent="0.3">
      <c r="B258" s="69"/>
      <c r="C258" s="69"/>
      <c r="D258" s="71"/>
      <c r="E258" s="122"/>
      <c r="F258" s="122"/>
      <c r="G258" s="122"/>
      <c r="H258" s="122"/>
      <c r="I258" s="122"/>
      <c r="J258" s="122"/>
      <c r="K258" s="138"/>
      <c r="L258" s="138"/>
      <c r="M258" s="138"/>
      <c r="N258" s="138"/>
      <c r="O258" s="138"/>
    </row>
    <row r="259" spans="2:20" ht="15.6" outlineLevel="1" x14ac:dyDescent="0.3">
      <c r="B259" s="69"/>
      <c r="C259" s="69" t="s">
        <v>450</v>
      </c>
      <c r="D259" s="82" t="s">
        <v>451</v>
      </c>
      <c r="E259" s="120">
        <f>+OS!C21</f>
        <v>43.531999999999996</v>
      </c>
      <c r="F259" s="120">
        <f>+OS!D21</f>
        <v>52.142000000000003</v>
      </c>
      <c r="G259" s="120">
        <f>+OS!E21</f>
        <v>64.742999999999995</v>
      </c>
      <c r="H259" s="120">
        <f>+OS!F21</f>
        <v>75.025999999999996</v>
      </c>
      <c r="I259" s="120">
        <f>+OS!G21</f>
        <v>30.693000000000001</v>
      </c>
      <c r="J259" s="120">
        <f>+OS!H21</f>
        <v>49.802999999999997</v>
      </c>
      <c r="K259" s="120">
        <f>+OS!I21</f>
        <v>85.59</v>
      </c>
      <c r="L259" s="120">
        <f>+OS!J21</f>
        <v>106.42</v>
      </c>
      <c r="M259" s="120">
        <f>+M22/M260</f>
        <v>100.70892322170265</v>
      </c>
      <c r="N259" s="120">
        <f>+N22/N260</f>
        <v>110.92014394865936</v>
      </c>
      <c r="O259" s="120">
        <f>+O22/O260</f>
        <v>120.11648559636416</v>
      </c>
      <c r="P259" s="120">
        <f>+P22/P260</f>
        <v>128.35304460868628</v>
      </c>
    </row>
    <row r="260" spans="2:20" ht="15.6" outlineLevel="1" x14ac:dyDescent="0.3">
      <c r="B260" s="69"/>
      <c r="C260" s="69" t="s">
        <v>452</v>
      </c>
      <c r="D260" s="82" t="s">
        <v>453</v>
      </c>
      <c r="E260" s="141">
        <f t="shared" ref="E260:L260" si="119">+E22/E259</f>
        <v>1253.8592299917302</v>
      </c>
      <c r="F260" s="141">
        <f t="shared" si="119"/>
        <v>1218.0200222469409</v>
      </c>
      <c r="G260" s="141">
        <f t="shared" si="119"/>
        <v>1251.3476360378729</v>
      </c>
      <c r="H260" s="141">
        <f t="shared" si="119"/>
        <v>1283.5550342547917</v>
      </c>
      <c r="I260" s="141">
        <f t="shared" si="119"/>
        <v>1481.4778614016225</v>
      </c>
      <c r="J260" s="141">
        <f t="shared" si="119"/>
        <v>1413.5694636869266</v>
      </c>
      <c r="K260" s="141">
        <f t="shared" si="119"/>
        <v>1336.6047435448065</v>
      </c>
      <c r="L260" s="141">
        <f t="shared" si="119"/>
        <v>1308.9644803608344</v>
      </c>
      <c r="M260" s="381">
        <v>1600</v>
      </c>
      <c r="N260" s="381">
        <v>1650</v>
      </c>
      <c r="O260" s="381">
        <v>1700</v>
      </c>
      <c r="P260" s="381">
        <v>1750</v>
      </c>
    </row>
    <row r="261" spans="2:20" ht="15.6" outlineLevel="1" x14ac:dyDescent="0.3">
      <c r="B261" s="69"/>
      <c r="C261" s="69"/>
      <c r="D261" s="82"/>
      <c r="E261" s="122"/>
      <c r="F261" s="122"/>
      <c r="G261" s="122"/>
      <c r="H261" s="122"/>
      <c r="I261" s="122"/>
      <c r="J261" s="122"/>
      <c r="K261" s="138"/>
      <c r="L261" s="138"/>
      <c r="M261" s="138"/>
      <c r="N261" s="138"/>
      <c r="O261" s="138"/>
    </row>
    <row r="262" spans="2:20" ht="15.6" outlineLevel="1" x14ac:dyDescent="0.3">
      <c r="B262" s="69"/>
      <c r="C262" s="69" t="s">
        <v>454</v>
      </c>
      <c r="D262" s="82" t="s">
        <v>474</v>
      </c>
      <c r="E262" s="381">
        <v>800</v>
      </c>
      <c r="F262" s="381">
        <v>810</v>
      </c>
      <c r="G262" s="381">
        <v>820</v>
      </c>
      <c r="H262" s="381">
        <v>830</v>
      </c>
      <c r="I262" s="381">
        <v>840</v>
      </c>
      <c r="J262" s="381">
        <v>830</v>
      </c>
      <c r="K262" s="381">
        <v>828</v>
      </c>
      <c r="L262" s="381">
        <v>825</v>
      </c>
      <c r="M262" s="381">
        <v>820</v>
      </c>
      <c r="N262" s="381">
        <v>820</v>
      </c>
      <c r="O262" s="381">
        <v>820</v>
      </c>
      <c r="P262" s="381">
        <v>820</v>
      </c>
    </row>
    <row r="263" spans="2:20" ht="15.6" outlineLevel="1" x14ac:dyDescent="0.3">
      <c r="B263" s="69"/>
      <c r="C263" s="69" t="s">
        <v>455</v>
      </c>
      <c r="D263" s="82" t="s">
        <v>473</v>
      </c>
      <c r="E263" s="361">
        <f>+E262*E259</f>
        <v>34825.599999999999</v>
      </c>
      <c r="F263" s="361">
        <f t="shared" ref="F263:K263" si="120">+F262*F259</f>
        <v>42235.020000000004</v>
      </c>
      <c r="G263" s="361">
        <f t="shared" si="120"/>
        <v>53089.259999999995</v>
      </c>
      <c r="H263" s="361">
        <f>+H262*H259</f>
        <v>62271.579999999994</v>
      </c>
      <c r="I263" s="361">
        <f t="shared" si="120"/>
        <v>25782.120000000003</v>
      </c>
      <c r="J263" s="361">
        <f t="shared" si="120"/>
        <v>41336.49</v>
      </c>
      <c r="K263" s="361">
        <f t="shared" si="120"/>
        <v>70868.52</v>
      </c>
      <c r="L263" s="361">
        <f>+L262*L259</f>
        <v>87796.5</v>
      </c>
      <c r="M263" s="361">
        <f t="shared" ref="M263" si="121">+M262*M259</f>
        <v>82581.317041796166</v>
      </c>
      <c r="N263" s="361">
        <f t="shared" ref="N263" si="122">+N262*N259</f>
        <v>90954.518037900678</v>
      </c>
      <c r="O263" s="361">
        <f>+O262*O259</f>
        <v>98495.518189018607</v>
      </c>
      <c r="P263" s="361">
        <f t="shared" ref="P263" si="123">+P262*P259</f>
        <v>105249.49657912274</v>
      </c>
    </row>
    <row r="264" spans="2:20" ht="15.6" outlineLevel="1" x14ac:dyDescent="0.3">
      <c r="B264" s="69"/>
      <c r="C264" s="70" t="s">
        <v>456</v>
      </c>
      <c r="D264" s="370" t="s">
        <v>473</v>
      </c>
      <c r="E264" s="371">
        <f>+E263+E277</f>
        <v>47825.599999999999</v>
      </c>
      <c r="F264" s="371">
        <f t="shared" ref="F264:L264" si="124">+F263+F277</f>
        <v>60235.020000000004</v>
      </c>
      <c r="G264" s="371">
        <f t="shared" si="124"/>
        <v>70089.259999999995</v>
      </c>
      <c r="H264" s="371">
        <f t="shared" si="124"/>
        <v>87271.579999999987</v>
      </c>
      <c r="I264" s="371">
        <f t="shared" si="124"/>
        <v>60782.12</v>
      </c>
      <c r="J264" s="371">
        <f t="shared" si="124"/>
        <v>91336.489999999991</v>
      </c>
      <c r="K264" s="371">
        <f t="shared" si="124"/>
        <v>115868.52</v>
      </c>
      <c r="L264" s="371">
        <f t="shared" si="124"/>
        <v>137796.5</v>
      </c>
      <c r="M264" s="133">
        <f>+L277+L236+M214+M221+M225+M232+M280</f>
        <v>189116.03076388131</v>
      </c>
      <c r="N264" s="133">
        <f t="shared" ref="N264:P264" si="125">+M277+M236+N214+N221+N225+N232+N280</f>
        <v>214874.2714136992</v>
      </c>
      <c r="O264" s="133">
        <f t="shared" si="125"/>
        <v>203817.54972862281</v>
      </c>
      <c r="P264" s="133">
        <f t="shared" si="125"/>
        <v>246891.80844462075</v>
      </c>
    </row>
    <row r="265" spans="2:20" ht="15.6" outlineLevel="1" x14ac:dyDescent="0.3">
      <c r="B265" s="69"/>
      <c r="C265" s="69"/>
      <c r="D265" s="82"/>
      <c r="E265" s="122"/>
      <c r="F265" s="122"/>
      <c r="G265" s="122"/>
      <c r="H265" s="122"/>
      <c r="I265" s="122"/>
      <c r="J265" s="122"/>
      <c r="K265" s="138"/>
      <c r="L265" s="138"/>
      <c r="M265" s="138"/>
      <c r="N265" s="138"/>
      <c r="O265" s="138"/>
    </row>
    <row r="266" spans="2:20" ht="15.6" outlineLevel="1" x14ac:dyDescent="0.3">
      <c r="B266" s="69"/>
      <c r="C266" s="69" t="s">
        <v>457</v>
      </c>
      <c r="D266" s="82" t="s">
        <v>473</v>
      </c>
      <c r="E266" s="120"/>
      <c r="F266" s="120"/>
      <c r="G266" s="120"/>
      <c r="H266" s="120"/>
      <c r="I266" s="120"/>
      <c r="J266" s="120"/>
      <c r="K266" s="120"/>
      <c r="L266" s="120"/>
      <c r="M266" s="120">
        <f>+MAX(M263-M264,0)</f>
        <v>0</v>
      </c>
      <c r="N266" s="120">
        <f t="shared" ref="N266:P266" si="126">+MAX(N263-N264,0)</f>
        <v>0</v>
      </c>
      <c r="O266" s="120">
        <f t="shared" si="126"/>
        <v>0</v>
      </c>
      <c r="P266" s="120">
        <f t="shared" si="126"/>
        <v>0</v>
      </c>
    </row>
    <row r="267" spans="2:20" ht="15.6" outlineLevel="1" x14ac:dyDescent="0.3">
      <c r="B267" s="69"/>
      <c r="C267" s="69" t="s">
        <v>458</v>
      </c>
      <c r="D267" s="82" t="s">
        <v>473</v>
      </c>
      <c r="E267" s="120"/>
      <c r="F267" s="120"/>
      <c r="G267" s="120"/>
      <c r="H267" s="120"/>
      <c r="I267" s="120"/>
      <c r="J267" s="120"/>
      <c r="K267" s="120"/>
      <c r="L267" s="120"/>
      <c r="M267" s="120">
        <f>+M266*Debt_Funding_Pct</f>
        <v>0</v>
      </c>
      <c r="N267" s="120">
        <f>+N266*Debt_Funding_Pct</f>
        <v>0</v>
      </c>
      <c r="O267" s="120">
        <f>+O266*Debt_Funding_Pct</f>
        <v>0</v>
      </c>
      <c r="P267" s="120">
        <f>+P266*Debt_Funding_Pct</f>
        <v>0</v>
      </c>
    </row>
    <row r="268" spans="2:20" ht="15.6" outlineLevel="1" x14ac:dyDescent="0.3">
      <c r="B268" s="69"/>
      <c r="C268" s="69" t="s">
        <v>459</v>
      </c>
      <c r="D268" s="82" t="s">
        <v>473</v>
      </c>
      <c r="E268" s="120"/>
      <c r="F268" s="120"/>
      <c r="G268" s="120"/>
      <c r="H268" s="120"/>
      <c r="I268" s="120"/>
      <c r="J268" s="120"/>
      <c r="K268" s="120"/>
      <c r="L268" s="120"/>
      <c r="M268" s="120">
        <f>+M266*(1-Debt_Funding_Pct)</f>
        <v>0</v>
      </c>
      <c r="N268" s="120">
        <f>+N266*(1-Debt_Funding_Pct)</f>
        <v>0</v>
      </c>
      <c r="O268" s="120">
        <f>+O266*(1-Debt_Funding_Pct)</f>
        <v>0</v>
      </c>
      <c r="P268" s="120">
        <f>+P266*(1-Debt_Funding_Pct)</f>
        <v>0</v>
      </c>
      <c r="S268" s="120"/>
      <c r="T268" s="120"/>
    </row>
    <row r="269" spans="2:20" ht="15.6" outlineLevel="1" x14ac:dyDescent="0.3">
      <c r="B269" s="69"/>
      <c r="C269" s="69"/>
      <c r="D269" s="82"/>
      <c r="E269" s="122"/>
      <c r="F269" s="122"/>
      <c r="G269" s="122"/>
      <c r="H269" s="122"/>
      <c r="I269" s="122"/>
      <c r="J269" s="122"/>
      <c r="K269" s="138"/>
      <c r="L269" s="138"/>
      <c r="M269" s="138"/>
      <c r="N269" s="138"/>
      <c r="O269" s="138"/>
    </row>
    <row r="270" spans="2:20" ht="15.6" outlineLevel="1" x14ac:dyDescent="0.3">
      <c r="B270" s="69"/>
      <c r="C270" s="69" t="s">
        <v>460</v>
      </c>
      <c r="D270" s="82" t="s">
        <v>473</v>
      </c>
      <c r="E270" s="120"/>
      <c r="F270" s="120"/>
      <c r="G270" s="120"/>
      <c r="H270" s="120"/>
      <c r="I270" s="120"/>
      <c r="J270" s="120"/>
      <c r="K270" s="120"/>
      <c r="L270" s="120"/>
      <c r="M270" s="120">
        <f>+MAX(0,+M214+M221+M225+M226+M280)</f>
        <v>131981.54116287679</v>
      </c>
      <c r="N270" s="120">
        <f>+MAX(0,+N214+N221+N225+N226+N280)</f>
        <v>134731.12015381936</v>
      </c>
      <c r="O270" s="120">
        <f>+MAX(0,+O214+O221+O225+O226+O280)</f>
        <v>113155.19188549023</v>
      </c>
      <c r="P270" s="120">
        <f>+MAX(0,+P214+P221+P225+P226+P280)</f>
        <v>177204.21982581049</v>
      </c>
    </row>
    <row r="271" spans="2:20" ht="15.6" outlineLevel="1" x14ac:dyDescent="0.3">
      <c r="B271" s="69"/>
      <c r="C271" s="69"/>
      <c r="D271" s="82"/>
      <c r="E271" s="122"/>
      <c r="F271" s="122"/>
      <c r="G271" s="122"/>
      <c r="H271" s="122"/>
      <c r="I271" s="122"/>
      <c r="J271" s="122"/>
      <c r="K271" s="138"/>
      <c r="L271" s="138"/>
      <c r="M271" s="138"/>
      <c r="N271" s="138"/>
      <c r="O271" s="138"/>
    </row>
    <row r="272" spans="2:20" ht="15.6" outlineLevel="1" x14ac:dyDescent="0.3">
      <c r="B272" s="69"/>
      <c r="C272" s="69" t="s">
        <v>461</v>
      </c>
      <c r="D272" s="82" t="s">
        <v>473</v>
      </c>
      <c r="E272" s="120"/>
      <c r="F272" s="120"/>
      <c r="G272" s="120"/>
      <c r="H272" s="120"/>
      <c r="I272" s="120"/>
      <c r="J272" s="120"/>
      <c r="K272" s="120"/>
      <c r="L272" s="120"/>
      <c r="M272" s="120">
        <f>+L275</f>
        <v>0</v>
      </c>
      <c r="N272" s="120">
        <f t="shared" ref="N272:P272" si="127">+M275</f>
        <v>0</v>
      </c>
      <c r="O272" s="120">
        <f t="shared" si="127"/>
        <v>0</v>
      </c>
      <c r="P272" s="120">
        <f t="shared" si="127"/>
        <v>0</v>
      </c>
    </row>
    <row r="273" spans="2:16" ht="15.6" outlineLevel="1" x14ac:dyDescent="0.3">
      <c r="B273" s="69"/>
      <c r="C273" s="83" t="s">
        <v>462</v>
      </c>
      <c r="D273" s="82" t="s">
        <v>473</v>
      </c>
      <c r="E273" s="120"/>
      <c r="F273" s="120"/>
      <c r="G273" s="120"/>
      <c r="H273" s="120"/>
      <c r="I273" s="120"/>
      <c r="J273" s="120"/>
      <c r="K273" s="120"/>
      <c r="L273" s="120"/>
      <c r="M273" s="120">
        <f>+MIN(L277,M267)</f>
        <v>0</v>
      </c>
      <c r="N273" s="120">
        <f>+MIN(M277,N267)</f>
        <v>0</v>
      </c>
      <c r="O273" s="120">
        <f t="shared" ref="O273:P273" si="128">+MIN(N277,O267)</f>
        <v>0</v>
      </c>
      <c r="P273" s="120">
        <f t="shared" si="128"/>
        <v>0</v>
      </c>
    </row>
    <row r="274" spans="2:16" ht="15.6" outlineLevel="1" x14ac:dyDescent="0.3">
      <c r="B274" s="69"/>
      <c r="C274" s="95" t="s">
        <v>463</v>
      </c>
      <c r="D274" s="91" t="s">
        <v>473</v>
      </c>
      <c r="E274" s="120"/>
      <c r="F274" s="120"/>
      <c r="G274" s="120"/>
      <c r="H274" s="120"/>
      <c r="I274" s="120"/>
      <c r="J274" s="120"/>
      <c r="K274" s="120"/>
      <c r="L274" s="120"/>
      <c r="M274" s="120">
        <f>IF(M273=0,-MIN(L275,M270))</f>
        <v>0</v>
      </c>
      <c r="N274" s="120">
        <f t="shared" ref="N274:P274" si="129">IF(N273=0,-MIN(M275,N270))</f>
        <v>0</v>
      </c>
      <c r="O274" s="120">
        <f t="shared" si="129"/>
        <v>0</v>
      </c>
      <c r="P274" s="120">
        <f t="shared" si="129"/>
        <v>0</v>
      </c>
    </row>
    <row r="275" spans="2:16" ht="15.6" outlineLevel="1" x14ac:dyDescent="0.3">
      <c r="B275" s="69"/>
      <c r="C275" s="70" t="s">
        <v>464</v>
      </c>
      <c r="D275" s="82" t="s">
        <v>473</v>
      </c>
      <c r="E275" s="142">
        <v>0</v>
      </c>
      <c r="F275" s="142">
        <v>0</v>
      </c>
      <c r="G275" s="142">
        <v>0</v>
      </c>
      <c r="H275" s="142">
        <v>0</v>
      </c>
      <c r="I275" s="142">
        <v>0</v>
      </c>
      <c r="J275" s="142">
        <v>0</v>
      </c>
      <c r="K275" s="142">
        <v>0</v>
      </c>
      <c r="L275" s="142">
        <v>0</v>
      </c>
      <c r="M275" s="131">
        <f>SUM(M272:M274)</f>
        <v>0</v>
      </c>
      <c r="N275" s="131">
        <f t="shared" ref="N275:P275" si="130">SUM(N272:N274)</f>
        <v>0</v>
      </c>
      <c r="O275" s="131">
        <f t="shared" si="130"/>
        <v>0</v>
      </c>
      <c r="P275" s="131">
        <f t="shared" si="130"/>
        <v>0</v>
      </c>
    </row>
    <row r="276" spans="2:16" ht="15.6" outlineLevel="1" x14ac:dyDescent="0.3">
      <c r="B276" s="69"/>
      <c r="C276" s="70"/>
      <c r="D276" s="82"/>
      <c r="E276" s="122"/>
      <c r="F276" s="122"/>
      <c r="G276" s="122"/>
      <c r="H276" s="122"/>
      <c r="I276" s="122"/>
      <c r="J276" s="122"/>
      <c r="K276" s="138"/>
      <c r="L276" s="138"/>
      <c r="M276" s="138"/>
      <c r="N276" s="138"/>
      <c r="O276" s="138"/>
    </row>
    <row r="277" spans="2:16" ht="15.6" outlineLevel="1" x14ac:dyDescent="0.3">
      <c r="B277" s="69"/>
      <c r="C277" s="81" t="s">
        <v>465</v>
      </c>
      <c r="D277" s="98" t="s">
        <v>473</v>
      </c>
      <c r="E277" s="368">
        <v>13000</v>
      </c>
      <c r="F277" s="368">
        <v>18000</v>
      </c>
      <c r="G277" s="368">
        <v>17000</v>
      </c>
      <c r="H277" s="368">
        <v>25000</v>
      </c>
      <c r="I277" s="368">
        <v>35000</v>
      </c>
      <c r="J277" s="368">
        <v>50000</v>
      </c>
      <c r="K277" s="368">
        <v>45000</v>
      </c>
      <c r="L277" s="368">
        <v>50000</v>
      </c>
      <c r="M277" s="138">
        <f>+L277-M273-M274</f>
        <v>50000</v>
      </c>
      <c r="N277" s="138">
        <f t="shared" ref="N277:P277" si="131">+M277-N273-N274</f>
        <v>50000</v>
      </c>
      <c r="O277" s="138">
        <f t="shared" si="131"/>
        <v>50000</v>
      </c>
      <c r="P277" s="138">
        <f t="shared" si="131"/>
        <v>50000</v>
      </c>
    </row>
    <row r="278" spans="2:16" ht="15.6" outlineLevel="1" x14ac:dyDescent="0.3">
      <c r="B278" s="69"/>
      <c r="C278" s="69"/>
      <c r="D278" s="71"/>
      <c r="E278" s="122"/>
      <c r="F278" s="122"/>
      <c r="G278" s="122"/>
      <c r="H278" s="122"/>
      <c r="I278" s="122"/>
      <c r="J278" s="122"/>
      <c r="K278" s="138"/>
      <c r="L278" s="138"/>
      <c r="M278" s="138"/>
      <c r="N278" s="138"/>
      <c r="O278" s="138"/>
    </row>
    <row r="279" spans="2:16" ht="15.6" outlineLevel="1" x14ac:dyDescent="0.3">
      <c r="B279" s="69"/>
      <c r="C279" s="69" t="s">
        <v>466</v>
      </c>
      <c r="D279" s="82" t="s">
        <v>473</v>
      </c>
      <c r="E279" s="120"/>
      <c r="F279" s="120"/>
      <c r="G279" s="120"/>
      <c r="H279" s="120"/>
      <c r="I279" s="120"/>
      <c r="J279" s="120"/>
      <c r="K279" s="120"/>
      <c r="L279" s="120"/>
      <c r="M279" s="120">
        <f>+L282</f>
        <v>18917.07</v>
      </c>
      <c r="N279" s="120">
        <f t="shared" ref="N279:O279" si="132">+M282</f>
        <v>18260.849999999999</v>
      </c>
      <c r="O279" s="120">
        <f t="shared" si="132"/>
        <v>17552.129999999997</v>
      </c>
      <c r="P279" s="120">
        <f>+O282</f>
        <v>16786.719999999998</v>
      </c>
    </row>
    <row r="280" spans="2:16" ht="15.6" outlineLevel="1" x14ac:dyDescent="0.3">
      <c r="B280" s="69"/>
      <c r="C280" s="83" t="s">
        <v>437</v>
      </c>
      <c r="D280" s="82" t="s">
        <v>473</v>
      </c>
      <c r="E280" s="120"/>
      <c r="F280" s="120"/>
      <c r="G280" s="120"/>
      <c r="H280" s="120"/>
      <c r="I280" s="120"/>
      <c r="J280" s="120"/>
      <c r="K280" s="120"/>
      <c r="L280" s="120"/>
      <c r="M280" s="381">
        <v>-656.22</v>
      </c>
      <c r="N280" s="381">
        <v>-708.72</v>
      </c>
      <c r="O280" s="381">
        <v>-765.41</v>
      </c>
      <c r="P280" s="381">
        <v>-826.64</v>
      </c>
    </row>
    <row r="281" spans="2:16" ht="15.6" outlineLevel="1" x14ac:dyDescent="0.3">
      <c r="B281" s="69"/>
      <c r="C281" s="83" t="s">
        <v>467</v>
      </c>
      <c r="D281" s="82" t="s">
        <v>473</v>
      </c>
      <c r="E281" s="120"/>
      <c r="F281" s="120"/>
      <c r="G281" s="120"/>
      <c r="H281" s="120"/>
      <c r="I281" s="120"/>
      <c r="J281" s="120"/>
      <c r="K281" s="120"/>
      <c r="L281" s="120"/>
      <c r="M281" s="120">
        <f>+M267-M273</f>
        <v>0</v>
      </c>
      <c r="N281" s="120">
        <f t="shared" ref="N281:O281" si="133">+N267-N273</f>
        <v>0</v>
      </c>
      <c r="O281" s="120">
        <f t="shared" si="133"/>
        <v>0</v>
      </c>
      <c r="P281" s="120">
        <f>+P267-P273</f>
        <v>0</v>
      </c>
    </row>
    <row r="282" spans="2:16" ht="15.6" outlineLevel="1" x14ac:dyDescent="0.3">
      <c r="B282" s="69"/>
      <c r="C282" s="96" t="s">
        <v>468</v>
      </c>
      <c r="D282" s="99" t="s">
        <v>473</v>
      </c>
      <c r="E282" s="433">
        <f t="shared" ref="E282:L282" si="134">+E183</f>
        <v>23957.08</v>
      </c>
      <c r="F282" s="433">
        <f t="shared" si="134"/>
        <v>0</v>
      </c>
      <c r="G282" s="433">
        <f t="shared" si="134"/>
        <v>21936.69</v>
      </c>
      <c r="H282" s="433">
        <f t="shared" si="134"/>
        <v>3465.87</v>
      </c>
      <c r="I282" s="433">
        <f t="shared" si="134"/>
        <v>25056.23</v>
      </c>
      <c r="J282" s="433">
        <f t="shared" si="134"/>
        <v>38967.360000000001</v>
      </c>
      <c r="K282" s="433">
        <f t="shared" si="134"/>
        <v>22523.37</v>
      </c>
      <c r="L282" s="433">
        <f t="shared" si="134"/>
        <v>18917.07</v>
      </c>
      <c r="M282" s="433">
        <f>SUM(M279:M281)</f>
        <v>18260.849999999999</v>
      </c>
      <c r="N282" s="433">
        <f t="shared" ref="N282:P282" si="135">SUM(N279:N281)</f>
        <v>17552.129999999997</v>
      </c>
      <c r="O282" s="433">
        <f t="shared" si="135"/>
        <v>16786.719999999998</v>
      </c>
      <c r="P282" s="433">
        <f t="shared" si="135"/>
        <v>15960.079999999998</v>
      </c>
    </row>
    <row r="283" spans="2:16" ht="15.6" x14ac:dyDescent="0.3">
      <c r="B283" s="69"/>
      <c r="C283" s="69"/>
      <c r="D283" s="71"/>
      <c r="E283" s="122"/>
      <c r="F283" s="122"/>
      <c r="G283" s="122"/>
      <c r="H283" s="122"/>
      <c r="I283" s="122"/>
      <c r="J283" s="122"/>
      <c r="K283" s="138"/>
      <c r="L283" s="138"/>
      <c r="M283" s="138"/>
      <c r="N283" s="138"/>
      <c r="O283" s="138"/>
    </row>
  </sheetData>
  <mergeCells count="12">
    <mergeCell ref="M199:P199"/>
    <mergeCell ref="E199:L199"/>
    <mergeCell ref="M240:P240"/>
    <mergeCell ref="E240:L240"/>
    <mergeCell ref="M153:P153"/>
    <mergeCell ref="E153:L153"/>
    <mergeCell ref="E120:L120"/>
    <mergeCell ref="M120:P120"/>
    <mergeCell ref="E19:L19"/>
    <mergeCell ref="M19:P19"/>
    <mergeCell ref="J8:K8"/>
    <mergeCell ref="J9:K9"/>
  </mergeCells>
  <conditionalFormatting sqref="R124:R282">
    <cfRule type="containsText" dxfId="3" priority="1" operator="containsText" text="Yes">
      <formula>NOT(ISERROR(SEARCH("Yes",R124)))</formula>
    </cfRule>
    <cfRule type="containsText" dxfId="2" priority="2" operator="containsText" text="Blank">
      <formula>NOT(ISERROR(SEARCH("Blank",R124)))</formula>
    </cfRule>
    <cfRule type="containsText" dxfId="1" priority="3" operator="containsText" text="False">
      <formula>NOT(ISERROR(SEARCH("False",R124)))</formula>
    </cfRule>
    <cfRule type="containsText" dxfId="0" priority="4" operator="containsText" text="Yes">
      <formula>NOT(ISERROR(SEARCH("Yes",R124)))</formula>
    </cfRule>
  </conditionalFormatting>
  <dataValidations count="3">
    <dataValidation type="list" allowBlank="1" showInputMessage="1" showErrorMessage="1" sqref="D11" xr:uid="{36BC5B62-E3D6-43E7-A3DB-008A3076043C}">
      <formula1>$C$24:$C$26</formula1>
    </dataValidation>
    <dataValidation type="list" allowBlank="1" showInputMessage="1" showErrorMessage="1" sqref="D12" xr:uid="{1263C383-6AB5-48B5-8B1D-D92909EEDAFE}">
      <formula1>"100%,60%,40%,0%"</formula1>
    </dataValidation>
    <dataValidation type="list" allowBlank="1" showInputMessage="1" showErrorMessage="1" sqref="R124:R282" xr:uid="{4F91493E-3C34-49A7-B9C2-8BCE1AC33B0D}">
      <formula1>"Yes, False, Blank"</formula1>
    </dataValidation>
  </dataValidations>
  <pageMargins left="0.7" right="0.7" top="0.75" bottom="0.75" header="0.3" footer="0.3"/>
  <pageSetup scale="15" pageOrder="overThenDown" orientation="landscape" r:id="rId1"/>
  <rowBreaks count="5" manualBreakCount="5">
    <brk id="49" max="25" man="1"/>
    <brk id="119" max="25" man="1"/>
    <brk id="152" max="25" man="1"/>
    <brk id="198" max="25" man="1"/>
    <brk id="239" max="30" man="1"/>
  </rowBreaks>
  <ignoredErrors>
    <ignoredError sqref="F160:L160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B63A-BDE9-43F5-B98B-2AFBC0305121}">
  <sheetPr>
    <tabColor rgb="FF9EE0F4"/>
  </sheetPr>
  <dimension ref="B2:Q62"/>
  <sheetViews>
    <sheetView showGridLines="0" tabSelected="1" zoomScale="68" zoomScaleNormal="264" workbookViewId="0">
      <selection activeCell="B2" sqref="B2:C3"/>
    </sheetView>
  </sheetViews>
  <sheetFormatPr defaultRowHeight="14.4" outlineLevelRow="1" outlineLevelCol="1" x14ac:dyDescent="0.3"/>
  <cols>
    <col min="1" max="2" width="2.6640625" customWidth="1"/>
    <col min="3" max="3" width="46" bestFit="1" customWidth="1"/>
    <col min="4" max="4" width="18.6640625" style="420" customWidth="1"/>
    <col min="5" max="11" width="16.77734375" customWidth="1" outlineLevel="1"/>
    <col min="12" max="12" width="16.77734375" customWidth="1"/>
    <col min="13" max="16" width="16.77734375" customWidth="1" outlineLevel="1"/>
    <col min="17" max="17" width="14.21875" customWidth="1"/>
  </cols>
  <sheetData>
    <row r="2" spans="2:17" ht="18" x14ac:dyDescent="0.35">
      <c r="B2" s="418" t="str">
        <f>Company_Name&amp;" - Key Matrics and Ratio Analysis"</f>
        <v xml:space="preserve"> InterGlobe Aviation Limited - Key Matrics and Ratio Analysis</v>
      </c>
    </row>
    <row r="3" spans="2:17" x14ac:dyDescent="0.3">
      <c r="B3" t="str">
        <f>+'3-FInancial Statements'!B3</f>
        <v>(₹ in Millions Except Per Share and Per Unit Data)</v>
      </c>
    </row>
    <row r="4" spans="2:17" ht="15.6" x14ac:dyDescent="0.3">
      <c r="B4" s="69"/>
      <c r="C4" s="69"/>
      <c r="D4" s="82"/>
      <c r="E4" s="122"/>
      <c r="F4" s="122"/>
      <c r="G4" s="122"/>
      <c r="H4" s="122"/>
      <c r="I4" s="122"/>
      <c r="J4" s="122"/>
      <c r="K4" s="138"/>
      <c r="L4" s="138"/>
      <c r="M4" s="138"/>
      <c r="N4" s="138"/>
      <c r="O4" s="138"/>
      <c r="P4" s="107"/>
      <c r="Q4" s="67"/>
    </row>
    <row r="5" spans="2:17" ht="15.6" x14ac:dyDescent="0.3">
      <c r="B5" s="103"/>
      <c r="C5" s="103"/>
      <c r="D5" s="421"/>
      <c r="E5" s="436" t="s">
        <v>359</v>
      </c>
      <c r="F5" s="436"/>
      <c r="G5" s="436"/>
      <c r="H5" s="436"/>
      <c r="I5" s="436"/>
      <c r="J5" s="436"/>
      <c r="K5" s="436"/>
      <c r="L5" s="437"/>
      <c r="M5" s="436" t="s">
        <v>360</v>
      </c>
      <c r="N5" s="436"/>
      <c r="O5" s="436"/>
      <c r="P5" s="436"/>
      <c r="Q5" s="440" t="s">
        <v>725</v>
      </c>
    </row>
    <row r="6" spans="2:17" ht="15.6" x14ac:dyDescent="0.3">
      <c r="B6" s="101" t="s">
        <v>469</v>
      </c>
      <c r="C6" s="101"/>
      <c r="D6" s="105" t="str">
        <f>'3-FInancial Statements'!$D$20</f>
        <v>Units:</v>
      </c>
      <c r="E6" s="110">
        <f t="shared" ref="E6:J6" si="0">EOMONTH(F6,-12)</f>
        <v>42825</v>
      </c>
      <c r="F6" s="110">
        <f t="shared" si="0"/>
        <v>43190</v>
      </c>
      <c r="G6" s="110">
        <f t="shared" si="0"/>
        <v>43555</v>
      </c>
      <c r="H6" s="110">
        <f t="shared" si="0"/>
        <v>43921</v>
      </c>
      <c r="I6" s="110">
        <f t="shared" si="0"/>
        <v>44286</v>
      </c>
      <c r="J6" s="110">
        <f t="shared" si="0"/>
        <v>44651</v>
      </c>
      <c r="K6" s="110">
        <f>EOMONTH(L6,-12)</f>
        <v>45016</v>
      </c>
      <c r="L6" s="111">
        <f>Hist_Year</f>
        <v>45382</v>
      </c>
      <c r="M6" s="110">
        <f>EOMONTH(L6,12)</f>
        <v>45747</v>
      </c>
      <c r="N6" s="110">
        <f>EOMONTH(M6,12)</f>
        <v>46112</v>
      </c>
      <c r="O6" s="110">
        <f>EOMONTH(N6,12)</f>
        <v>46477</v>
      </c>
      <c r="P6" s="110">
        <f>EOMONTH(O6,12)</f>
        <v>46843</v>
      </c>
      <c r="Q6" s="440"/>
    </row>
    <row r="7" spans="2:17" ht="15.6" outlineLevel="1" x14ac:dyDescent="0.3">
      <c r="B7" s="96"/>
      <c r="C7" s="100"/>
      <c r="D7" s="9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67"/>
    </row>
    <row r="8" spans="2:17" ht="15.6" outlineLevel="1" x14ac:dyDescent="0.3">
      <c r="B8" s="87" t="s">
        <v>763</v>
      </c>
      <c r="C8" s="87"/>
      <c r="D8" s="87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</row>
    <row r="9" spans="2:17" ht="15.6" outlineLevel="1" x14ac:dyDescent="0.3">
      <c r="B9" s="70"/>
      <c r="C9" s="70"/>
      <c r="D9" s="70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67"/>
    </row>
    <row r="10" spans="2:17" ht="15.6" outlineLevel="1" x14ac:dyDescent="0.3">
      <c r="C10" s="70" t="s">
        <v>748</v>
      </c>
      <c r="D10" s="82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67"/>
    </row>
    <row r="11" spans="2:17" ht="15.6" outlineLevel="1" x14ac:dyDescent="0.3">
      <c r="B11" s="70"/>
      <c r="C11" s="426" t="s">
        <v>749</v>
      </c>
      <c r="D11" s="82" t="s">
        <v>754</v>
      </c>
      <c r="E11" s="120">
        <f>+'3-FInancial Statements'!E33</f>
        <v>46288</v>
      </c>
      <c r="F11" s="120">
        <f>+'3-FInancial Statements'!F33</f>
        <v>55524</v>
      </c>
      <c r="G11" s="120">
        <f>+'3-FInancial Statements'!G33</f>
        <v>69787</v>
      </c>
      <c r="H11" s="120">
        <f>+'3-FInancial Statements'!H33</f>
        <v>82600</v>
      </c>
      <c r="I11" s="120">
        <f>+'3-FInancial Statements'!I33</f>
        <v>31595</v>
      </c>
      <c r="J11" s="120">
        <f>+'3-FInancial Statements'!J33</f>
        <v>51700</v>
      </c>
      <c r="K11" s="120">
        <f>+'3-FInancial Statements'!K33</f>
        <v>93900</v>
      </c>
      <c r="L11" s="120">
        <f>+'3-FInancial Statements'!L33</f>
        <v>119700</v>
      </c>
      <c r="M11" s="120">
        <f>+'3-FInancial Statements'!M33</f>
        <v>143822.79601440407</v>
      </c>
      <c r="N11" s="120">
        <f>+'3-FInancial Statements'!N33</f>
        <v>163493.86475559499</v>
      </c>
      <c r="O11" s="120">
        <f>+'3-FInancial Statements'!O33</f>
        <v>177652.28219702258</v>
      </c>
      <c r="P11" s="120">
        <f>+'3-FInancial Statements'!P33</f>
        <v>192497.47865187726</v>
      </c>
      <c r="Q11" s="67"/>
    </row>
    <row r="12" spans="2:17" ht="15.6" outlineLevel="1" x14ac:dyDescent="0.3">
      <c r="B12" s="70"/>
      <c r="C12" s="426" t="s">
        <v>750</v>
      </c>
      <c r="D12" s="82" t="s">
        <v>754</v>
      </c>
      <c r="E12" s="120">
        <f>+'3-FInancial Statements'!E22</f>
        <v>54583</v>
      </c>
      <c r="F12" s="120">
        <f>+'3-FInancial Statements'!F22</f>
        <v>63510</v>
      </c>
      <c r="G12" s="120">
        <f>+'3-FInancial Statements'!G22</f>
        <v>81016</v>
      </c>
      <c r="H12" s="120">
        <f>+'3-FInancial Statements'!H22</f>
        <v>96300</v>
      </c>
      <c r="I12" s="120">
        <f>+'3-FInancial Statements'!I22</f>
        <v>45471</v>
      </c>
      <c r="J12" s="120">
        <f>+'3-FInancial Statements'!J22</f>
        <v>70400</v>
      </c>
      <c r="K12" s="120">
        <f>+'3-FInancial Statements'!K22</f>
        <v>114400</v>
      </c>
      <c r="L12" s="120">
        <f>+'3-FInancial Statements'!L22</f>
        <v>139300</v>
      </c>
      <c r="M12" s="120">
        <f>+'3-FInancial Statements'!M22</f>
        <v>161134.27715472423</v>
      </c>
      <c r="N12" s="120">
        <f>+'3-FInancial Statements'!N22</f>
        <v>183018.23751528794</v>
      </c>
      <c r="O12" s="120">
        <f>+'3-FInancial Statements'!O22</f>
        <v>204198.02551381907</v>
      </c>
      <c r="P12" s="120">
        <f>+'3-FInancial Statements'!P22</f>
        <v>224617.828065201</v>
      </c>
      <c r="Q12" s="67"/>
    </row>
    <row r="13" spans="2:17" ht="15.6" outlineLevel="1" x14ac:dyDescent="0.3">
      <c r="B13" s="69"/>
      <c r="C13" s="426" t="s">
        <v>752</v>
      </c>
      <c r="D13" s="82" t="s">
        <v>385</v>
      </c>
      <c r="E13" s="120">
        <f>+'3-FInancial Statements'!E126/'3-FInancial Statements'!E22</f>
        <v>3.5486451825660006</v>
      </c>
      <c r="F13" s="120">
        <f>+'3-FInancial Statements'!F126/'3-FInancial Statements'!F22</f>
        <v>3.7738534089119824</v>
      </c>
      <c r="G13" s="120">
        <f>+'3-FInancial Statements'!G126/'3-FInancial Statements'!G22</f>
        <v>3.6809235212797464</v>
      </c>
      <c r="H13" s="120">
        <f>+'3-FInancial Statements'!H126/'3-FInancial Statements'!H22</f>
        <v>3.8724309449636558</v>
      </c>
      <c r="I13" s="120">
        <f>+'3-FInancial Statements'!I126/'3-FInancial Statements'!I22</f>
        <v>3.4478227881506895</v>
      </c>
      <c r="J13" s="120">
        <f>+'3-FInancial Statements'!J126/'3-FInancial Statements'!J22</f>
        <v>3.7864382102272729</v>
      </c>
      <c r="K13" s="120">
        <f>+'3-FInancial Statements'!K126/'3-FInancial Statements'!K22</f>
        <v>4.884739335664336</v>
      </c>
      <c r="L13" s="120">
        <f>+'3-FInancial Statements'!L126/'3-FInancial Statements'!L22</f>
        <v>5.1135077530509694</v>
      </c>
      <c r="M13" s="120">
        <f>+'3-FInancial Statements'!M126/'3-FInancial Statements'!M22</f>
        <v>5.0450241467201096</v>
      </c>
      <c r="N13" s="120">
        <f>+'3-FInancial Statements'!N126/'3-FInancial Statements'!N22</f>
        <v>5.5685770287818261</v>
      </c>
      <c r="O13" s="120">
        <f>+'3-FInancial Statements'!O126/'3-FInancial Statements'!O22</f>
        <v>5.5348135625497124</v>
      </c>
      <c r="P13" s="120">
        <f>+'3-FInancial Statements'!P126/'3-FInancial Statements'!P22</f>
        <v>5.7940261618359292</v>
      </c>
      <c r="Q13" s="67"/>
    </row>
    <row r="14" spans="2:17" ht="15.6" outlineLevel="1" x14ac:dyDescent="0.3">
      <c r="B14" s="69"/>
      <c r="C14" s="426" t="s">
        <v>753</v>
      </c>
      <c r="D14" s="422" t="s">
        <v>473</v>
      </c>
      <c r="E14" s="120">
        <f>+'3-FInancial Statements'!E43/'3-FInancial Statements'!E259</f>
        <v>181.26206009372416</v>
      </c>
      <c r="F14" s="120">
        <f>+'3-FInancial Statements'!F43/'3-FInancial Statements'!F259</f>
        <v>181.591806988608</v>
      </c>
      <c r="G14" s="120">
        <f>+'3-FInancial Statements'!G43/'3-FInancial Statements'!G259</f>
        <v>204.59323787899851</v>
      </c>
      <c r="H14" s="120">
        <f>+'3-FInancial Statements'!H43/'3-FInancial Statements'!H259</f>
        <v>204.66358329112575</v>
      </c>
      <c r="I14" s="120">
        <f>+'3-FInancial Statements'!I43/'3-FInancial Statements'!I259</f>
        <v>337.85032417815131</v>
      </c>
      <c r="J14" s="120">
        <f>+'3-FInancial Statements'!J43/'3-FInancial Statements'!J259</f>
        <v>145.69363291367989</v>
      </c>
      <c r="K14" s="120">
        <f>+'3-FInancial Statements'!K43/'3-FInancial Statements'!K259</f>
        <v>167.65568407524242</v>
      </c>
      <c r="L14" s="120">
        <f>+'3-FInancial Statements'!L43/'3-FInancial Statements'!L259</f>
        <v>218.64508551024241</v>
      </c>
      <c r="M14" s="120">
        <f>+'3-FInancial Statements'!M43/'3-FInancial Statements'!M259</f>
        <v>260.92742096874696</v>
      </c>
      <c r="N14" s="120">
        <f>+'3-FInancial Statements'!N43/'3-FInancial Statements'!N259</f>
        <v>259.50934134586242</v>
      </c>
      <c r="O14" s="120">
        <f>+'3-FInancial Statements'!O43/'3-FInancial Statements'!O259</f>
        <v>258.45065340718799</v>
      </c>
      <c r="P14" s="120">
        <f>+'3-FInancial Statements'!P43/'3-FInancial Statements'!P259</f>
        <v>299.84343074494205</v>
      </c>
      <c r="Q14" s="67"/>
    </row>
    <row r="15" spans="2:17" ht="15.6" outlineLevel="1" x14ac:dyDescent="0.3">
      <c r="B15" s="69"/>
      <c r="C15" s="426" t="s">
        <v>751</v>
      </c>
      <c r="D15" s="420" t="s">
        <v>367</v>
      </c>
      <c r="E15" s="428">
        <f>+'3-FInancial Statements'!E28</f>
        <v>0.85</v>
      </c>
      <c r="F15" s="428">
        <f>+'3-FInancial Statements'!F28</f>
        <v>0.87</v>
      </c>
      <c r="G15" s="428">
        <f>+'3-FInancial Statements'!G28</f>
        <v>0.86</v>
      </c>
      <c r="H15" s="428">
        <f>+'3-FInancial Statements'!H28</f>
        <v>0.86</v>
      </c>
      <c r="I15" s="428">
        <f>+'3-FInancial Statements'!I28</f>
        <v>0.69</v>
      </c>
      <c r="J15" s="428">
        <f>+'3-FInancial Statements'!J28</f>
        <v>0.73</v>
      </c>
      <c r="K15" s="428">
        <f>+'3-FInancial Statements'!K28</f>
        <v>0.82</v>
      </c>
      <c r="L15" s="428">
        <f>+'3-FInancial Statements'!L28</f>
        <v>0.86</v>
      </c>
      <c r="M15" s="428">
        <f>+'3-FInancial Statements'!M28</f>
        <v>0.89256487541941598</v>
      </c>
      <c r="N15" s="428">
        <f>+'3-FInancial Statements'!N28</f>
        <v>0.89332007003912905</v>
      </c>
      <c r="O15" s="428">
        <f>+'3-FInancial Statements'!O28</f>
        <v>0.87</v>
      </c>
      <c r="P15" s="428">
        <f>+'3-FInancial Statements'!P28</f>
        <v>0.85699999999999998</v>
      </c>
      <c r="Q15" s="67"/>
    </row>
    <row r="16" spans="2:17" ht="15.6" outlineLevel="1" x14ac:dyDescent="0.3">
      <c r="B16" s="69"/>
      <c r="C16" s="69"/>
      <c r="D16" s="8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67"/>
    </row>
    <row r="17" spans="2:17" ht="15.6" outlineLevel="1" x14ac:dyDescent="0.3">
      <c r="C17" s="70" t="s">
        <v>755</v>
      </c>
      <c r="D17" s="8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67"/>
    </row>
    <row r="18" spans="2:17" ht="15.6" outlineLevel="1" x14ac:dyDescent="0.3">
      <c r="B18" s="69"/>
      <c r="C18" s="426" t="s">
        <v>756</v>
      </c>
      <c r="D18" s="82" t="s">
        <v>385</v>
      </c>
      <c r="E18" s="120">
        <f>-'3-FInancial Statements'!E135/'3-FInancial Statements'!E22</f>
        <v>3.0114746349596024</v>
      </c>
      <c r="F18" s="120">
        <f>-'3-FInancial Statements'!F135/'3-FInancial Statements'!F22</f>
        <v>3.159055109431586</v>
      </c>
      <c r="G18" s="120">
        <f>-'3-FInancial Statements'!G135/'3-FInancial Statements'!G22</f>
        <v>3.5426162733287248</v>
      </c>
      <c r="H18" s="120">
        <f>-'3-FInancial Statements'!H135/'3-FInancial Statements'!H22</f>
        <v>3.2918413291796469</v>
      </c>
      <c r="I18" s="120">
        <f>-'3-FInancial Statements'!I135/'3-FInancial Statements'!I22</f>
        <v>3.2105636559565438</v>
      </c>
      <c r="J18" s="120">
        <f>-'3-FInancial Statements'!J135/'3-FInancial Statements'!J22</f>
        <v>3.6058623579545452</v>
      </c>
      <c r="K18" s="120">
        <f>-'3-FInancial Statements'!K135/'3-FInancial Statements'!K22</f>
        <v>4.1916387237762232</v>
      </c>
      <c r="L18" s="120">
        <f>-'3-FInancial Statements'!L135/'3-FInancial Statements'!L22</f>
        <v>3.7746849246231156</v>
      </c>
      <c r="M18" s="120">
        <f>-'3-FInancial Statements'!M135/'3-FInancial Statements'!M22</f>
        <v>3.7862104663161587</v>
      </c>
      <c r="N18" s="120">
        <f>-'3-FInancial Statements'!N135/'3-FInancial Statements'!N22</f>
        <v>4.1788951732335073</v>
      </c>
      <c r="O18" s="120">
        <f>-'3-FInancial Statements'!O135/'3-FInancial Statements'!O22</f>
        <v>4.3000080480909064</v>
      </c>
      <c r="P18" s="120">
        <f>-'3-FInancial Statements'!P135/'3-FInancial Statements'!P22</f>
        <v>4.5123478910711299</v>
      </c>
      <c r="Q18" s="67"/>
    </row>
    <row r="19" spans="2:17" ht="15.6" outlineLevel="1" x14ac:dyDescent="0.3">
      <c r="B19" s="69"/>
      <c r="C19" s="426" t="s">
        <v>762</v>
      </c>
      <c r="D19" s="82" t="s">
        <v>385</v>
      </c>
      <c r="E19" s="120">
        <f>+(-'3-FInancial Statements'!E135+'3-FInancial Statements'!E129)/'3-FInancial Statements'!E22</f>
        <v>1.8496636315336272</v>
      </c>
      <c r="F19" s="120">
        <f>+(-'3-FInancial Statements'!F135+'3-FInancial Statements'!F129)/'3-FInancial Statements'!F22</f>
        <v>1.9371788694693752</v>
      </c>
      <c r="G19" s="120">
        <f>+(-'3-FInancial Statements'!G135+'3-FInancial Statements'!G129)/'3-FInancial Statements'!G22</f>
        <v>2.0684885701589808</v>
      </c>
      <c r="H19" s="120">
        <f>+(-'3-FInancial Statements'!H135+'3-FInancial Statements'!H129)/'3-FInancial Statements'!H22</f>
        <v>1.99861246105919</v>
      </c>
      <c r="I19" s="120">
        <f>+(-'3-FInancial Statements'!I135+'3-FInancial Statements'!I129)/'3-FInancial Statements'!I22</f>
        <v>2.3679877284423041</v>
      </c>
      <c r="J19" s="120">
        <f>+(-'3-FInancial Statements'!J135+'3-FInancial Statements'!J129)/'3-FInancial Statements'!J22</f>
        <v>2.2286981534090904</v>
      </c>
      <c r="K19" s="120">
        <f>+(-'3-FInancial Statements'!K135+'3-FInancial Statements'!K129)/'3-FInancial Statements'!K22</f>
        <v>2.1246791958041955</v>
      </c>
      <c r="L19" s="120">
        <f>+(-'3-FInancial Statements'!L135+'3-FInancial Statements'!L129)/'3-FInancial Statements'!L22</f>
        <v>2.058634816941852</v>
      </c>
      <c r="M19" s="120">
        <f>+(-'3-FInancial Statements'!M135+'3-FInancial Statements'!M129)/'3-FInancial Statements'!M22</f>
        <v>1.8017540693626781</v>
      </c>
      <c r="N19" s="120">
        <f>+(-'3-FInancial Statements'!N135+'3-FInancial Statements'!N129)/'3-FInancial Statements'!N22</f>
        <v>1.8522420065642065</v>
      </c>
      <c r="O19" s="120">
        <f>+(-'3-FInancial Statements'!O135+'3-FInancial Statements'!O129)/'3-FInancial Statements'!O22</f>
        <v>1.8892242787498001</v>
      </c>
      <c r="P19" s="120">
        <f>+(-'3-FInancial Statements'!P135+'3-FInancial Statements'!P129)/'3-FInancial Statements'!P22</f>
        <v>2.0796731701343072</v>
      </c>
      <c r="Q19" s="67"/>
    </row>
    <row r="20" spans="2:17" ht="15.6" outlineLevel="1" x14ac:dyDescent="0.3">
      <c r="B20" s="69"/>
      <c r="C20" s="426" t="s">
        <v>757</v>
      </c>
      <c r="D20" s="82" t="s">
        <v>385</v>
      </c>
      <c r="E20" s="120">
        <f>-'3-FInancial Statements'!E61</f>
        <v>1.161811003425975</v>
      </c>
      <c r="F20" s="120">
        <f>-'3-FInancial Statements'!F61</f>
        <v>1.2218762399622107</v>
      </c>
      <c r="G20" s="120">
        <f>-'3-FInancial Statements'!G61</f>
        <v>1.4741277031697442</v>
      </c>
      <c r="H20" s="120">
        <f>-'3-FInancial Statements'!H61</f>
        <v>1.2932288681204569</v>
      </c>
      <c r="I20" s="120">
        <f>-'3-FInancial Statements'!I61</f>
        <v>0.84257592751423982</v>
      </c>
      <c r="J20" s="120">
        <f>-'3-FInancial Statements'!J61</f>
        <v>1.3771642045454546</v>
      </c>
      <c r="K20" s="120">
        <f>-'3-FInancial Statements'!K61</f>
        <v>2.0669595279720281</v>
      </c>
      <c r="L20" s="120">
        <f>-'3-FInancial Statements'!L61</f>
        <v>1.7160501076812635</v>
      </c>
      <c r="M20" s="120">
        <f>-'3-FInancial Statements'!M61</f>
        <v>1.9844563969534805</v>
      </c>
      <c r="N20" s="120">
        <f>-'3-FInancial Statements'!N61</f>
        <v>2.3266531666693009</v>
      </c>
      <c r="O20" s="120">
        <f>-'3-FInancial Statements'!O61</f>
        <v>2.4107837693411063</v>
      </c>
      <c r="P20" s="120">
        <f>-'3-FInancial Statements'!P61</f>
        <v>2.4326747209368227</v>
      </c>
      <c r="Q20" s="67"/>
    </row>
    <row r="21" spans="2:17" ht="15.6" outlineLevel="1" x14ac:dyDescent="0.3">
      <c r="B21" s="69"/>
      <c r="C21" s="426" t="s">
        <v>764</v>
      </c>
      <c r="D21" s="420" t="s">
        <v>367</v>
      </c>
      <c r="E21" s="428">
        <f>+E18/E13</f>
        <v>0.8486265828306977</v>
      </c>
      <c r="F21" s="428">
        <f t="shared" ref="F21:P21" si="1">+F18/F13</f>
        <v>0.83709004222884076</v>
      </c>
      <c r="G21" s="428">
        <f t="shared" si="1"/>
        <v>0.96242593817789068</v>
      </c>
      <c r="H21" s="428">
        <f t="shared" si="1"/>
        <v>0.85007102152741987</v>
      </c>
      <c r="I21" s="428">
        <f t="shared" si="1"/>
        <v>0.93118581006844481</v>
      </c>
      <c r="J21" s="428">
        <f t="shared" si="1"/>
        <v>0.95230983783520162</v>
      </c>
      <c r="K21" s="428">
        <f t="shared" si="1"/>
        <v>0.85810898714130679</v>
      </c>
      <c r="L21" s="428">
        <f t="shared" si="1"/>
        <v>0.73817917306783265</v>
      </c>
      <c r="M21" s="428">
        <f t="shared" si="1"/>
        <v>0.75048411191008157</v>
      </c>
      <c r="N21" s="428">
        <f t="shared" si="1"/>
        <v>0.75044219584903116</v>
      </c>
      <c r="O21" s="428">
        <f t="shared" si="1"/>
        <v>0.77690205812642221</v>
      </c>
      <c r="P21" s="428">
        <f t="shared" si="1"/>
        <v>0.77879315091689549</v>
      </c>
      <c r="Q21" s="67"/>
    </row>
    <row r="22" spans="2:17" ht="15.6" outlineLevel="1" x14ac:dyDescent="0.3">
      <c r="B22" s="69"/>
      <c r="C22" s="69"/>
      <c r="D22" s="8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67"/>
    </row>
    <row r="23" spans="2:17" ht="15.6" outlineLevel="1" x14ac:dyDescent="0.3">
      <c r="B23" s="87" t="s">
        <v>768</v>
      </c>
      <c r="C23" s="87"/>
      <c r="D23" s="87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</row>
    <row r="24" spans="2:17" ht="15.6" outlineLevel="1" x14ac:dyDescent="0.3">
      <c r="B24" s="70"/>
      <c r="C24" s="70"/>
      <c r="D24" s="70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67"/>
    </row>
    <row r="25" spans="2:17" ht="15.6" outlineLevel="1" x14ac:dyDescent="0.3">
      <c r="B25" s="69"/>
      <c r="C25" s="426" t="s">
        <v>758</v>
      </c>
      <c r="D25" s="82" t="s">
        <v>473</v>
      </c>
      <c r="E25" s="120">
        <f>+'3-FInancial Statements'!E137+'3-FInancial Statements'!E142</f>
        <v>29320.380000000034</v>
      </c>
      <c r="F25" s="120">
        <f>+'3-FInancial Statements'!F137+'3-FInancial Statements'!F142</f>
        <v>39045.839999999967</v>
      </c>
      <c r="G25" s="120">
        <f>+'3-FInancial Statements'!G137+'3-FInancial Statements'!G142</f>
        <v>11205.099999999977</v>
      </c>
      <c r="H25" s="120">
        <f>+'3-FInancial Statements'!H137+'3-FInancial Statements'!H142</f>
        <v>42266.280000000028</v>
      </c>
      <c r="I25" s="120">
        <f>+'3-FInancial Statements'!I137+'3-FInancial Statements'!I142</f>
        <v>-5408.4599999999973</v>
      </c>
      <c r="J25" s="120">
        <f>+'3-FInancial Statements'!J137+'3-FInancial Statements'!J142</f>
        <v>-6805.8599999999933</v>
      </c>
      <c r="K25" s="120">
        <f>+'3-FInancial Statements'!K137+'3-FInancial Statements'!K142</f>
        <v>52951.060000000078</v>
      </c>
      <c r="L25" s="120">
        <f>+'3-FInancial Statements'!L137+'3-FInancial Statements'!L142</f>
        <v>151734.89000000001</v>
      </c>
      <c r="M25" s="120">
        <f>+'3-FInancial Statements'!M137+'3-FInancial Statements'!M142</f>
        <v>164165.80594723491</v>
      </c>
      <c r="N25" s="120">
        <f>+'3-FInancial Statements'!N137+'3-FInancial Statements'!N142</f>
        <v>212242.92928091215</v>
      </c>
      <c r="O25" s="120">
        <f>+'3-FInancial Statements'!O137+'3-FInancial Statements'!O142</f>
        <v>207221.28233302353</v>
      </c>
      <c r="P25" s="120">
        <f>+'3-FInancial Statements'!P137+'3-FInancial Statements'!P142</f>
        <v>240718.04556385957</v>
      </c>
      <c r="Q25" s="67"/>
    </row>
    <row r="26" spans="2:17" ht="15.6" outlineLevel="1" x14ac:dyDescent="0.3">
      <c r="B26" s="69"/>
      <c r="C26" s="426" t="s">
        <v>761</v>
      </c>
      <c r="D26" s="82" t="s">
        <v>367</v>
      </c>
      <c r="E26" s="427" t="s">
        <v>41</v>
      </c>
      <c r="F26" s="428">
        <f>+'3-FInancial Statements'!F126/'3-FInancial Statements'!E126-1</f>
        <v>0.2373915889717737</v>
      </c>
      <c r="G26" s="428">
        <f>+'3-FInancial Statements'!G126/'3-FInancial Statements'!F126-1</f>
        <v>0.24422937946222123</v>
      </c>
      <c r="H26" s="428">
        <f>+'3-FInancial Statements'!H126/'3-FInancial Statements'!G126-1</f>
        <v>0.25049620456739619</v>
      </c>
      <c r="I26" s="428">
        <f>+'3-FInancial Statements'!I126/'3-FInancial Statements'!H126-1</f>
        <v>-0.5795934516998642</v>
      </c>
      <c r="J26" s="428">
        <f>+'3-FInancial Statements'!J126/'3-FInancial Statements'!I126-1</f>
        <v>0.70029427345201856</v>
      </c>
      <c r="K26" s="428">
        <f>+'3-FInancial Statements'!K126/'3-FInancial Statements'!J126-1</f>
        <v>1.0963504432779594</v>
      </c>
      <c r="L26" s="428">
        <f>+'3-FInancial Statements'!L126/'3-FInancial Statements'!K126-1</f>
        <v>0.27468424298037664</v>
      </c>
      <c r="M26" s="428">
        <f>+'3-FInancial Statements'!M126/'3-FInancial Statements'!L126-1</f>
        <v>0.14125094252620074</v>
      </c>
      <c r="N26" s="428">
        <f>+'3-FInancial Statements'!N126/'3-FInancial Statements'!M126-1</f>
        <v>0.25368207341558757</v>
      </c>
      <c r="O26" s="428">
        <f>+'3-FInancial Statements'!O126/'3-FInancial Statements'!N126-1</f>
        <v>0.10896013552755268</v>
      </c>
      <c r="P26" s="428">
        <f>+'3-FInancial Statements'!P126/'3-FInancial Statements'!O126-1</f>
        <v>0.15151643429223061</v>
      </c>
      <c r="Q26" s="67"/>
    </row>
    <row r="27" spans="2:17" ht="15.6" outlineLevel="1" x14ac:dyDescent="0.3">
      <c r="B27" s="69"/>
      <c r="C27" s="426" t="s">
        <v>726</v>
      </c>
      <c r="D27" s="82" t="s">
        <v>367</v>
      </c>
      <c r="E27" s="427" t="s">
        <v>41</v>
      </c>
      <c r="F27" s="427">
        <f>+IFERROR('3-FInancial Statements'!F126/'3-FInancial Statements'!E126-1,0)</f>
        <v>0.2373915889717737</v>
      </c>
      <c r="G27" s="427">
        <f>+IFERROR('3-FInancial Statements'!G126/'3-FInancial Statements'!F126-1,0)</f>
        <v>0.24422937946222123</v>
      </c>
      <c r="H27" s="427">
        <f>+IFERROR('3-FInancial Statements'!H126/'3-FInancial Statements'!G126-1,0)</f>
        <v>0.25049620456739619</v>
      </c>
      <c r="I27" s="427">
        <f>+IFERROR('3-FInancial Statements'!I126/'3-FInancial Statements'!H126-1,0)</f>
        <v>-0.5795934516998642</v>
      </c>
      <c r="J27" s="427">
        <f>+IFERROR('3-FInancial Statements'!J126/'3-FInancial Statements'!I126-1,0)</f>
        <v>0.70029427345201856</v>
      </c>
      <c r="K27" s="427">
        <f>+IFERROR('3-FInancial Statements'!K126/'3-FInancial Statements'!J126-1,0)</f>
        <v>1.0963504432779594</v>
      </c>
      <c r="L27" s="427">
        <f>+IFERROR('3-FInancial Statements'!L126/'3-FInancial Statements'!K126-1,0)</f>
        <v>0.27468424298037664</v>
      </c>
      <c r="M27" s="427">
        <f>+IFERROR('3-FInancial Statements'!M126/'3-FInancial Statements'!L126-1,0)</f>
        <v>0.14125094252620074</v>
      </c>
      <c r="N27" s="427">
        <f>+IFERROR('3-FInancial Statements'!N126/'3-FInancial Statements'!M126-1,0)</f>
        <v>0.25368207341558757</v>
      </c>
      <c r="O27" s="427">
        <f>+IFERROR('3-FInancial Statements'!O126/'3-FInancial Statements'!N126-1,0)</f>
        <v>0.10896013552755268</v>
      </c>
      <c r="P27" s="427">
        <f>+IFERROR('3-FInancial Statements'!P126/'3-FInancial Statements'!O126-1,0)</f>
        <v>0.15151643429223061</v>
      </c>
      <c r="Q27" s="67"/>
    </row>
    <row r="28" spans="2:17" ht="15.6" outlineLevel="1" x14ac:dyDescent="0.3">
      <c r="B28" s="69"/>
      <c r="C28" s="426" t="s">
        <v>727</v>
      </c>
      <c r="D28" s="82" t="s">
        <v>367</v>
      </c>
      <c r="E28" s="427" t="s">
        <v>41</v>
      </c>
      <c r="F28" s="427">
        <f>+IFERROR('3-FInancial Statements'!F140/'3-FInancial Statements'!E140-1,0)</f>
        <v>0.40121545912068779</v>
      </c>
      <c r="G28" s="427">
        <f>+IFERROR('3-FInancial Statements'!G140/'3-FInancial Statements'!F140-1,0)</f>
        <v>-0.89591681188751005</v>
      </c>
      <c r="H28" s="427">
        <f>+IFERROR('3-FInancial Statements'!H140/'3-FInancial Statements'!G140-1,0)</f>
        <v>3.4805059152744668</v>
      </c>
      <c r="I28" s="427">
        <f>+IFERROR('3-FInancial Statements'!I140/'3-FInancial Statements'!H140-1,0)</f>
        <v>-3.2388815130825876</v>
      </c>
      <c r="J28" s="427">
        <f>+IFERROR('3-FInancial Statements'!J140/'3-FInancial Statements'!I140-1,0)</f>
        <v>4.8815322301106967E-2</v>
      </c>
      <c r="K28" s="427">
        <f>+IFERROR('3-FInancial Statements'!K140/'3-FInancial Statements'!J140-1,0)</f>
        <v>-1.7442308391176384</v>
      </c>
      <c r="L28" s="427">
        <f>+IFERROR('3-FInancial Statements'!L140/'3-FInancial Statements'!K140-1,0)</f>
        <v>3.3254181908508498</v>
      </c>
      <c r="M28" s="427">
        <f>+IFERROR('3-FInancial Statements'!M140/'3-FInancial Statements'!L140-1,0)</f>
        <v>1.1380632689379722E-2</v>
      </c>
      <c r="N28" s="427">
        <f>+IFERROR('3-FInancial Statements'!N140/'3-FInancial Statements'!M140-1,0)</f>
        <v>0.29996334327572471</v>
      </c>
      <c r="O28" s="427">
        <f>+IFERROR('3-FInancial Statements'!O140/'3-FInancial Statements'!N140-1,0)</f>
        <v>-6.6894957979894198E-2</v>
      </c>
      <c r="P28" s="427">
        <f>+IFERROR('3-FInancial Statements'!P140/'3-FInancial Statements'!O140-1,0)</f>
        <v>0.14076548520989407</v>
      </c>
      <c r="Q28" s="67"/>
    </row>
    <row r="29" spans="2:17" ht="15.6" outlineLevel="1" x14ac:dyDescent="0.3">
      <c r="B29" s="69"/>
      <c r="C29" s="426" t="s">
        <v>728</v>
      </c>
      <c r="D29" s="82" t="s">
        <v>367</v>
      </c>
      <c r="E29" s="427" t="s">
        <v>41</v>
      </c>
      <c r="F29" s="428">
        <f>+IFERROR('3-FInancial Statements'!F146/'3-FInancial Statements'!E146-1,0)</f>
        <v>0.35249416313560733</v>
      </c>
      <c r="G29" s="428">
        <f>+IFERROR('3-FInancial Statements'!G146/'3-FInancial Statements'!F146-1,0)</f>
        <v>-0.93020468543926815</v>
      </c>
      <c r="H29" s="428">
        <f>+IFERROR('3-FInancial Statements'!H146/'3-FInancial Statements'!G146-1,0)</f>
        <v>-2.5117694390518084</v>
      </c>
      <c r="I29" s="428">
        <f>+IFERROR('3-FInancial Statements'!I146/'3-FInancial Statements'!H146-1,0)</f>
        <v>23.293163970920865</v>
      </c>
      <c r="J29" s="428">
        <f>+IFERROR('3-FInancial Statements'!J146/'3-FInancial Statements'!I146-1,0)</f>
        <v>7.174073130589842E-2</v>
      </c>
      <c r="K29" s="428">
        <f>+IFERROR('3-FInancial Statements'!K146/'3-FInancial Statements'!J146-1,0)</f>
        <v>-0.95018546214323685</v>
      </c>
      <c r="L29" s="428">
        <f>+IFERROR('3-FInancial Statements'!L146/'3-FInancial Statements'!K146-1,0)</f>
        <v>-27.635176023424847</v>
      </c>
      <c r="M29" s="428">
        <f>+IFERROR('3-FInancial Statements'!M146/'3-FInancial Statements'!L146-1,0)</f>
        <v>-6.9301606522384929E-2</v>
      </c>
      <c r="N29" s="428">
        <f>+IFERROR('3-FInancial Statements'!N146/'3-FInancial Statements'!M146-1,0)</f>
        <v>0.15497369838548258</v>
      </c>
      <c r="O29" s="428">
        <f>+IFERROR('3-FInancial Statements'!O146/'3-FInancial Statements'!N146-1,0)</f>
        <v>-0.60881115085272819</v>
      </c>
      <c r="P29" s="428">
        <f>+IFERROR('3-FInancial Statements'!P146/'3-FInancial Statements'!O146-1,0)</f>
        <v>1.082371871652636</v>
      </c>
      <c r="Q29" s="67"/>
    </row>
    <row r="30" spans="2:17" ht="15.6" outlineLevel="1" x14ac:dyDescent="0.3">
      <c r="B30" s="69"/>
      <c r="C30" s="426" t="s">
        <v>729</v>
      </c>
      <c r="D30" s="82" t="s">
        <v>367</v>
      </c>
      <c r="E30" s="427" t="s">
        <v>41</v>
      </c>
      <c r="F30" s="428">
        <f>+IFERROR('3-FInancial Statements'!F151/'3-FInancial Statements'!E151-1,0)</f>
        <v>1.1326713120427883</v>
      </c>
      <c r="G30" s="428">
        <f>+IFERROR('3-FInancial Statements'!G151/'3-FInancial Statements'!F151-1,0)</f>
        <v>-0.81213988043760266</v>
      </c>
      <c r="H30" s="428">
        <f>+IFERROR('3-FInancial Statements'!H151/'3-FInancial Statements'!G151-1,0)</f>
        <v>-0.16721244693334092</v>
      </c>
      <c r="I30" s="428">
        <f>+IFERROR('3-FInancial Statements'!I151/'3-FInancial Statements'!H151-1,0)</f>
        <v>-1</v>
      </c>
      <c r="J30" s="428">
        <f>+IFERROR('3-FInancial Statements'!J151/'3-FInancial Statements'!I151-1,0)</f>
        <v>0</v>
      </c>
      <c r="K30" s="428">
        <f>+IFERROR('3-FInancial Statements'!K151/'3-FInancial Statements'!J151-1,0)</f>
        <v>0</v>
      </c>
      <c r="L30" s="428">
        <f>+IFERROR('3-FInancial Statements'!L151/'3-FInancial Statements'!K151-1,0)</f>
        <v>0</v>
      </c>
      <c r="M30" s="428">
        <f>+IFERROR('3-FInancial Statements'!M151/'3-FInancial Statements'!L151-1,0)</f>
        <v>0</v>
      </c>
      <c r="N30" s="428">
        <f>+IFERROR('3-FInancial Statements'!N151/'3-FInancial Statements'!M151-1,0)</f>
        <v>0</v>
      </c>
      <c r="O30" s="428">
        <f>+IFERROR('3-FInancial Statements'!O151/'3-FInancial Statements'!N151-1,0)</f>
        <v>0</v>
      </c>
      <c r="P30" s="428">
        <f>+IFERROR('3-FInancial Statements'!P151/'3-FInancial Statements'!O151-1,0)</f>
        <v>0</v>
      </c>
      <c r="Q30" s="67"/>
    </row>
    <row r="31" spans="2:17" ht="15.6" outlineLevel="1" x14ac:dyDescent="0.3">
      <c r="B31" s="69"/>
      <c r="C31" s="426"/>
      <c r="D31" s="82"/>
      <c r="E31" s="427"/>
      <c r="F31" s="428"/>
      <c r="G31" s="428"/>
      <c r="H31" s="428"/>
      <c r="I31" s="428"/>
      <c r="J31" s="428"/>
      <c r="K31" s="428"/>
      <c r="L31" s="428"/>
      <c r="M31" s="428"/>
      <c r="N31" s="428"/>
      <c r="O31" s="428"/>
      <c r="P31" s="428"/>
      <c r="Q31" s="67"/>
    </row>
    <row r="32" spans="2:17" ht="15.6" outlineLevel="1" x14ac:dyDescent="0.3">
      <c r="B32" s="69"/>
      <c r="C32" s="426" t="s">
        <v>759</v>
      </c>
      <c r="D32" s="82" t="s">
        <v>367</v>
      </c>
      <c r="E32" s="428">
        <f>+'Key Matrics &amp; Ratio Analysis'!E25/'3-FInancial Statements'!E126</f>
        <v>0.15137341716930233</v>
      </c>
      <c r="F32" s="428">
        <f>+'Key Matrics &amp; Ratio Analysis'!F25/'3-FInancial Statements'!F126</f>
        <v>0.16290995777115921</v>
      </c>
      <c r="G32" s="428">
        <f>+'Key Matrics &amp; Ratio Analysis'!G25/'3-FInancial Statements'!G126</f>
        <v>3.7574061822109373E-2</v>
      </c>
      <c r="H32" s="428">
        <f>+'Key Matrics &amp; Ratio Analysis'!H25/'3-FInancial Statements'!H126</f>
        <v>0.11334022140696375</v>
      </c>
      <c r="I32" s="428">
        <f>+'Key Matrics &amp; Ratio Analysis'!I25/'3-FInancial Statements'!I126</f>
        <v>-3.4498020901802838E-2</v>
      </c>
      <c r="J32" s="428">
        <f>+'Key Matrics &amp; Ratio Analysis'!J25/'3-FInancial Statements'!J126</f>
        <v>-2.5531685018958746E-2</v>
      </c>
      <c r="K32" s="428">
        <f>+'Key Matrics &amp; Ratio Analysis'!K25/'3-FInancial Statements'!K126</f>
        <v>9.4756113740707276E-2</v>
      </c>
      <c r="L32" s="428">
        <f>+'Key Matrics &amp; Ratio Analysis'!L25/'3-FInancial Statements'!L126</f>
        <v>0.21301756648280473</v>
      </c>
      <c r="M32" s="428">
        <f>+'Key Matrics &amp; Ratio Analysis'!M25/'3-FInancial Statements'!M126</f>
        <v>0.20194426246033059</v>
      </c>
      <c r="N32" s="428">
        <f>+'Key Matrics &amp; Ratio Analysis'!N25/'3-FInancial Statements'!N126</f>
        <v>0.20825461326194666</v>
      </c>
      <c r="O32" s="428">
        <f>+'Key Matrics &amp; Ratio Analysis'!O25/'3-FInancial Statements'!O126</f>
        <v>0.18334953887612382</v>
      </c>
      <c r="P32" s="428">
        <f>+'Key Matrics &amp; Ratio Analysis'!P25/'3-FInancial Statements'!P126</f>
        <v>0.1849626219887866</v>
      </c>
      <c r="Q32" s="67"/>
    </row>
    <row r="33" spans="2:17" ht="15.6" outlineLevel="1" x14ac:dyDescent="0.3">
      <c r="B33" s="69"/>
      <c r="C33" s="426" t="s">
        <v>760</v>
      </c>
      <c r="D33" s="420" t="s">
        <v>367</v>
      </c>
      <c r="E33" s="428">
        <f>+'3-FInancial Statements'!E140/'3-FInancial Statements'!E126</f>
        <v>0.1277666463426913</v>
      </c>
      <c r="F33" s="428">
        <f>+'3-FInancial Statements'!F140/'3-FInancial Statements'!F126</f>
        <v>0.14468225063995371</v>
      </c>
      <c r="G33" s="428">
        <f>+'3-FInancial Statements'!G140/'3-FInancial Statements'!G126</f>
        <v>1.2103065687458279E-2</v>
      </c>
      <c r="H33" s="428">
        <f>+'3-FInancial Statements'!H140/'3-FInancial Statements'!H126</f>
        <v>4.3365071567228103E-2</v>
      </c>
      <c r="I33" s="428">
        <f>+'3-FInancial Statements'!I140/'3-FInancial Statements'!I126</f>
        <v>-0.2309413529307269</v>
      </c>
      <c r="J33" s="428">
        <f>+'3-FInancial Statements'!J140/'3-FInancial Statements'!J126</f>
        <v>-0.14245465228494708</v>
      </c>
      <c r="K33" s="428">
        <f>+'3-FInancial Statements'!K140/'3-FInancial Statements'!K126</f>
        <v>5.0573197695162414E-2</v>
      </c>
      <c r="L33" s="428">
        <f>+'3-FInancial Statements'!L140/'3-FInancial Statements'!L126</f>
        <v>0.17161130725887488</v>
      </c>
      <c r="M33" s="428">
        <f>+'3-FInancial Statements'!M140/'3-FInancial Statements'!M126</f>
        <v>0.15208254910873625</v>
      </c>
      <c r="N33" s="428">
        <f>+'3-FInancial Statements'!N140/'3-FInancial Statements'!N126</f>
        <v>0.15769687003233596</v>
      </c>
      <c r="O33" s="428">
        <f>+'3-FInancial Statements'!O140/'3-FInancial Statements'!O126</f>
        <v>0.13268984143236234</v>
      </c>
      <c r="P33" s="428">
        <f>+'3-FInancial Statements'!P140/'3-FInancial Statements'!P126</f>
        <v>0.13145100394250972</v>
      </c>
      <c r="Q33" s="67"/>
    </row>
    <row r="34" spans="2:17" ht="15.6" outlineLevel="1" x14ac:dyDescent="0.3">
      <c r="B34" s="69"/>
      <c r="C34" s="426" t="s">
        <v>730</v>
      </c>
      <c r="D34" s="420" t="s">
        <v>367</v>
      </c>
      <c r="E34" s="428">
        <f>+'3-FInancial Statements'!E143/'3-FInancial Statements'!E126</f>
        <v>0.11068934416200274</v>
      </c>
      <c r="F34" s="428">
        <f>+'3-FInancial Statements'!F143/'3-FInancial Statements'!F126</f>
        <v>0.1305042364648184</v>
      </c>
      <c r="G34" s="428">
        <f>+'3-FInancial Statements'!G143/'3-FInancial Statements'!G126</f>
        <v>-4.9639905879576415E-3</v>
      </c>
      <c r="H34" s="428">
        <f>+'3-FInancial Statements'!H143/'3-FInancial Statements'!H126</f>
        <v>-6.937825794664715E-3</v>
      </c>
      <c r="I34" s="428">
        <f>+'3-FInancial Statements'!I143/'3-FInancial Statements'!I126</f>
        <v>-0.36756836746962779</v>
      </c>
      <c r="J34" s="428">
        <f>+'3-FInancial Statements'!J143/'3-FInancial Statements'!J126</f>
        <v>-0.23091385692621222</v>
      </c>
      <c r="K34" s="428">
        <f>+'3-FInancial Statements'!K143/'3-FInancial Statements'!K126</f>
        <v>-5.4692420296133578E-3</v>
      </c>
      <c r="L34" s="428">
        <f>+'3-FInancial Statements'!L143/'3-FInancial Statements'!L126</f>
        <v>0.11307858331612528</v>
      </c>
      <c r="M34" s="428">
        <f>+'3-FInancial Statements'!M143/'3-FInancial Statements'!M126</f>
        <v>9.6657184493319004E-2</v>
      </c>
      <c r="N34" s="428">
        <f>+'3-FInancial Statements'!N143/'3-FInancial Statements'!N126</f>
        <v>0.11390395742471328</v>
      </c>
      <c r="O34" s="428">
        <f>+'3-FInancial Statements'!O143/'3-FInancial Statements'!O126</f>
        <v>9.1116647315948512E-2</v>
      </c>
      <c r="P34" s="428">
        <f>+'3-FInancial Statements'!P143/'3-FInancial Statements'!P126</f>
        <v>9.4723080911751203E-2</v>
      </c>
      <c r="Q34" s="67"/>
    </row>
    <row r="35" spans="2:17" ht="15.6" outlineLevel="1" x14ac:dyDescent="0.3">
      <c r="B35" s="69"/>
      <c r="C35" s="426" t="s">
        <v>731</v>
      </c>
      <c r="D35" s="420" t="s">
        <v>367</v>
      </c>
      <c r="E35" s="428">
        <f>+'3-FInancial Statements'!E146/'3-FInancial Statements'!E126</f>
        <v>8.5642221278015129E-2</v>
      </c>
      <c r="F35" s="428">
        <f>+'3-FInancial Statements'!F146/'3-FInancial Statements'!F126</f>
        <v>9.3608688978348786E-2</v>
      </c>
      <c r="G35" s="428">
        <f>+'3-FInancial Statements'!G146/'3-FInancial Statements'!G126</f>
        <v>5.2509995348972117E-3</v>
      </c>
      <c r="H35" s="428">
        <f>+'3-FInancial Statements'!H146/'3-FInancial Statements'!H126</f>
        <v>-6.3481205239476011E-3</v>
      </c>
      <c r="I35" s="428">
        <f>+'3-FInancial Statements'!I146/'3-FInancial Statements'!I126</f>
        <v>-0.36682571529625552</v>
      </c>
      <c r="J35" s="428">
        <f>+'3-FInancial Statements'!J146/'3-FInancial Statements'!J126</f>
        <v>-0.23122001086038033</v>
      </c>
      <c r="K35" s="428">
        <f>+'3-FInancial Statements'!K146/'3-FInancial Statements'!K126</f>
        <v>-5.4943666604879713E-3</v>
      </c>
      <c r="L35" s="428">
        <f>+'3-FInancial Statements'!L146/'3-FInancial Statements'!L126</f>
        <v>0.11480758779693095</v>
      </c>
      <c r="M35" s="428">
        <f>+'3-FInancial Statements'!M146/'3-FInancial Statements'!M126</f>
        <v>9.3626417766740036E-2</v>
      </c>
      <c r="N35" s="428">
        <f>+'3-FInancial Statements'!N146/'3-FInancial Statements'!N126</f>
        <v>8.6254762900154824E-2</v>
      </c>
      <c r="O35" s="428">
        <f>+'3-FInancial Statements'!O146/'3-FInancial Statements'!O126</f>
        <v>3.0426613501603212E-2</v>
      </c>
      <c r="P35" s="428">
        <f>+'3-FInancial Statements'!P146/'3-FInancial Statements'!P126</f>
        <v>5.502268332308103E-2</v>
      </c>
      <c r="Q35" s="67"/>
    </row>
    <row r="36" spans="2:17" ht="15.6" outlineLevel="1" x14ac:dyDescent="0.3">
      <c r="B36" s="69"/>
      <c r="C36" s="69"/>
      <c r="D36" s="82"/>
      <c r="E36" s="428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67"/>
    </row>
    <row r="37" spans="2:17" ht="15.6" outlineLevel="1" x14ac:dyDescent="0.3">
      <c r="B37" s="69"/>
      <c r="C37" s="426" t="s">
        <v>732</v>
      </c>
      <c r="D37" s="420" t="s">
        <v>367</v>
      </c>
      <c r="E37" s="428">
        <f>+'3-FInancial Statements'!E140/('3-FInancial Statements'!E177+'3-FInancial Statements'!E186)</f>
        <v>0.2826955852249885</v>
      </c>
      <c r="F37" s="428">
        <f>+'3-FInancial Statements'!F140/('3-FInancial Statements'!F177+'3-FInancial Statements'!F186)</f>
        <v>0.33467329777273824</v>
      </c>
      <c r="G37" s="428">
        <f>+'3-FInancial Statements'!G140/('3-FInancial Statements'!G177+'3-FInancial Statements'!G186)</f>
        <v>2.4329343805383426E-2</v>
      </c>
      <c r="H37" s="428">
        <f>+'3-FInancial Statements'!H140/('3-FInancial Statements'!H177+'3-FInancial Statements'!H186)</f>
        <v>5.304020099760845E-2</v>
      </c>
      <c r="I37" s="428">
        <f>+'3-FInancial Statements'!I140/('3-FInancial Statements'!I177+'3-FInancial Statements'!I186)</f>
        <v>-0.11190293418261502</v>
      </c>
      <c r="J37" s="428">
        <f>+'3-FInancial Statements'!J140/('3-FInancial Statements'!J177+'3-FInancial Statements'!J186)</f>
        <v>-0.11714475903479535</v>
      </c>
      <c r="K37" s="428">
        <f>+'3-FInancial Statements'!K140/('3-FInancial Statements'!K177+'3-FInancial Statements'!K186)</f>
        <v>7.0018358715930651E-2</v>
      </c>
      <c r="L37" s="428">
        <f>+'3-FInancial Statements'!L140/('3-FInancial Statements'!L177+'3-FInancial Statements'!L186)</f>
        <v>0.21760145282280402</v>
      </c>
      <c r="M37" s="428">
        <f>+'3-FInancial Statements'!M140/('3-FInancial Statements'!M177+'3-FInancial Statements'!M186)</f>
        <v>0.18362389954809888</v>
      </c>
      <c r="N37" s="428">
        <f>+'3-FInancial Statements'!N140/('3-FInancial Statements'!N177+'3-FInancial Statements'!N186)</f>
        <v>0.21645349322790813</v>
      </c>
      <c r="O37" s="428">
        <f>+'3-FInancial Statements'!O140/('3-FInancial Statements'!O177+'3-FInancial Statements'!O186)</f>
        <v>0.20099252033657519</v>
      </c>
      <c r="P37" s="428">
        <f>+'3-FInancial Statements'!P140/('3-FInancial Statements'!P177+'3-FInancial Statements'!P186)</f>
        <v>0.20185101299689986</v>
      </c>
      <c r="Q37" s="67"/>
    </row>
    <row r="38" spans="2:17" ht="15.6" outlineLevel="1" x14ac:dyDescent="0.3">
      <c r="B38" s="69"/>
      <c r="C38" s="426" t="s">
        <v>765</v>
      </c>
      <c r="D38" s="420" t="s">
        <v>367</v>
      </c>
      <c r="E38" s="428">
        <f>+IFERROR('3-FInancial Statements'!E151/'3-FInancial Statements'!E149,0)</f>
        <v>0.3933941102677565</v>
      </c>
      <c r="F38" s="428">
        <f>+IFERROR('3-FInancial Statements'!F151/'3-FInancial Statements'!F149,0)</f>
        <v>0.65968588721018095</v>
      </c>
      <c r="G38" s="428">
        <f>+IFERROR('3-FInancial Statements'!G151/'3-FInancial Statements'!G149,0)</f>
        <v>1.7756015632982796</v>
      </c>
      <c r="H38" s="428">
        <f>+IFERROR('3-FInancial Statements'!H151/'3-FInancial Statements'!H149,0)</f>
        <v>-0.97911553619932623</v>
      </c>
      <c r="I38" s="428">
        <f>+IFERROR('3-FInancial Statements'!I151/'3-FInancial Statements'!I149,0)</f>
        <v>0</v>
      </c>
      <c r="J38" s="428">
        <f>+IFERROR('3-FInancial Statements'!J151/'3-FInancial Statements'!J149,0)</f>
        <v>0</v>
      </c>
      <c r="K38" s="428">
        <f>+IFERROR('3-FInancial Statements'!K151/'3-FInancial Statements'!K149,0)</f>
        <v>0</v>
      </c>
      <c r="L38" s="430">
        <f>+IFERROR('3-FInancial Statements'!L151/'3-FInancial Statements'!L149,0)</f>
        <v>0</v>
      </c>
      <c r="M38" s="430">
        <f>+IFERROR('3-FInancial Statements'!M151/'3-FInancial Statements'!M149,0)</f>
        <v>0</v>
      </c>
      <c r="N38" s="430">
        <f>+IFERROR('3-FInancial Statements'!N151/'3-FInancial Statements'!N149,0)</f>
        <v>0</v>
      </c>
      <c r="O38" s="430">
        <f>+IFERROR('3-FInancial Statements'!O151/'3-FInancial Statements'!O149,0)</f>
        <v>0</v>
      </c>
      <c r="P38" s="430">
        <f>+IFERROR('3-FInancial Statements'!P151/'3-FInancial Statements'!P149,0)</f>
        <v>0</v>
      </c>
      <c r="Q38" s="67"/>
    </row>
    <row r="39" spans="2:17" ht="15.6" outlineLevel="1" x14ac:dyDescent="0.3">
      <c r="B39" s="69"/>
      <c r="C39" s="426" t="s">
        <v>733</v>
      </c>
      <c r="D39" s="420" t="s">
        <v>367</v>
      </c>
      <c r="E39" s="428">
        <f>+IFERROR(IF('3-FInancial Statements'!E149&gt;'3-FInancial Statements'!E151,1-'Key Matrics &amp; Ratio Analysis'!E38,0),0)</f>
        <v>0.6066058897322435</v>
      </c>
      <c r="F39" s="428">
        <f>+IFERROR(IF('3-FInancial Statements'!F149&gt;'3-FInancial Statements'!F151,1-'Key Matrics &amp; Ratio Analysis'!F38,0),0)</f>
        <v>0.34031411278981905</v>
      </c>
      <c r="G39" s="428">
        <f>+IFERROR(IF('3-FInancial Statements'!G149&gt;'3-FInancial Statements'!G151,1-'Key Matrics &amp; Ratio Analysis'!G38,0),0)</f>
        <v>0</v>
      </c>
      <c r="H39" s="428">
        <f>+IFERROR(IF('3-FInancial Statements'!H149&gt;'3-FInancial Statements'!H151,1-'Key Matrics &amp; Ratio Analysis'!H38,0),0)</f>
        <v>0</v>
      </c>
      <c r="I39" s="428">
        <f>+IFERROR(IF('3-FInancial Statements'!I149&gt;'3-FInancial Statements'!I151,1-'Key Matrics &amp; Ratio Analysis'!I38,0),0)</f>
        <v>0</v>
      </c>
      <c r="J39" s="428">
        <f>+IFERROR(IF('3-FInancial Statements'!J149&gt;'3-FInancial Statements'!J151,1-'Key Matrics &amp; Ratio Analysis'!J38,0),0)</f>
        <v>0</v>
      </c>
      <c r="K39" s="428">
        <f>+IFERROR(IF('3-FInancial Statements'!K149&gt;'3-FInancial Statements'!K151,1-'Key Matrics &amp; Ratio Analysis'!K38,0),0)</f>
        <v>0</v>
      </c>
      <c r="L39" s="428">
        <f>+IFERROR(IF('3-FInancial Statements'!L149&gt;'3-FInancial Statements'!L151,1-'Key Matrics &amp; Ratio Analysis'!L38,0),0)</f>
        <v>1</v>
      </c>
      <c r="M39" s="428">
        <f>+IFERROR(IF('3-FInancial Statements'!M149&gt;'3-FInancial Statements'!M151,1-'Key Matrics &amp; Ratio Analysis'!M38,0),0)</f>
        <v>1</v>
      </c>
      <c r="N39" s="428">
        <f>+IFERROR(IF('3-FInancial Statements'!N149&gt;'3-FInancial Statements'!N151,1-'Key Matrics &amp; Ratio Analysis'!N38,0),0)</f>
        <v>1</v>
      </c>
      <c r="O39" s="428">
        <f>+IFERROR(IF('3-FInancial Statements'!O149&gt;'3-FInancial Statements'!O151,1-'Key Matrics &amp; Ratio Analysis'!O38,0),0)</f>
        <v>1</v>
      </c>
      <c r="P39" s="428">
        <f>+IFERROR(IF('3-FInancial Statements'!P149&gt;'3-FInancial Statements'!P151,1-'Key Matrics &amp; Ratio Analysis'!P38,0),0)</f>
        <v>1</v>
      </c>
      <c r="Q39" s="67"/>
    </row>
    <row r="40" spans="2:17" ht="15.6" outlineLevel="1" x14ac:dyDescent="0.3">
      <c r="B40" s="69"/>
      <c r="C40" s="426" t="s">
        <v>734</v>
      </c>
      <c r="D40" s="420" t="s">
        <v>367</v>
      </c>
      <c r="E40" s="428">
        <f>+IFERROR('3-FInancial Statements'!E146/'3-FInancial Statements'!E177,0)</f>
        <v>0.43894568551451518</v>
      </c>
      <c r="F40" s="428">
        <f>+IFERROR('3-FInancial Statements'!F146/'3-FInancial Statements'!F177,0)</f>
        <v>0.31700953251603126</v>
      </c>
      <c r="G40" s="428">
        <f>+IFERROR('3-FInancial Statements'!G146/'3-FInancial Statements'!G177,0)</f>
        <v>2.254481478761982E-2</v>
      </c>
      <c r="H40" s="428">
        <f>+IFERROR('3-FInancial Statements'!H146/'3-FInancial Statements'!H177,0)</f>
        <v>-4.0274483917834683E-2</v>
      </c>
      <c r="I40" s="428">
        <f>+IFERROR('3-FInancial Statements'!I146/'3-FInancial Statements'!I177,0)</f>
        <v>-51.876212125312342</v>
      </c>
      <c r="J40" s="428">
        <f>+IFERROR('3-FInancial Statements'!J146/'3-FInancial Statements'!J177,0)</f>
        <v>1.0293016338174188</v>
      </c>
      <c r="K40" s="428">
        <f>+IFERROR('3-FInancial Statements'!K146/'3-FInancial Statements'!K177,0)</f>
        <v>4.9152679669753896E-2</v>
      </c>
      <c r="L40" s="428">
        <f>+IFERROR('3-FInancial Statements'!L146/'3-FInancial Statements'!L177,0)</f>
        <v>4.0962467041201505</v>
      </c>
      <c r="M40" s="428">
        <f>+IFERROR('3-FInancial Statements'!M146/'3-FInancial Statements'!M177,0)</f>
        <v>0.949577492924497</v>
      </c>
      <c r="N40" s="428">
        <f>+IFERROR('3-FInancial Statements'!N146/'3-FInancial Statements'!N177,0)</f>
        <v>0.95536157532719346</v>
      </c>
      <c r="O40" s="428">
        <f>+IFERROR('3-FInancial Statements'!O146/'3-FInancial Statements'!O177,0)</f>
        <v>0.8940989025321775</v>
      </c>
      <c r="P40" s="428">
        <f>+IFERROR('3-FInancial Statements'!P146/'3-FInancial Statements'!P177,0)</f>
        <v>0.94817694116627871</v>
      </c>
      <c r="Q40" s="67"/>
    </row>
    <row r="41" spans="2:17" ht="15.6" outlineLevel="1" x14ac:dyDescent="0.3">
      <c r="B41" s="69"/>
      <c r="C41" s="426" t="s">
        <v>735</v>
      </c>
      <c r="D41" s="420" t="s">
        <v>367</v>
      </c>
      <c r="E41" s="428">
        <f>+IFERROR(E40*E39,0)</f>
        <v>0.26626703810566205</v>
      </c>
      <c r="F41" s="428">
        <f t="shared" ref="F41:P41" si="2">+IFERROR(F40*F39,0)</f>
        <v>0.10788281780410847</v>
      </c>
      <c r="G41" s="428">
        <f t="shared" si="2"/>
        <v>0</v>
      </c>
      <c r="H41" s="428">
        <f t="shared" si="2"/>
        <v>0</v>
      </c>
      <c r="I41" s="428">
        <f t="shared" si="2"/>
        <v>0</v>
      </c>
      <c r="J41" s="428">
        <f t="shared" si="2"/>
        <v>0</v>
      </c>
      <c r="K41" s="428">
        <f t="shared" si="2"/>
        <v>0</v>
      </c>
      <c r="L41" s="428">
        <f t="shared" si="2"/>
        <v>4.0962467041201505</v>
      </c>
      <c r="M41" s="428">
        <f t="shared" si="2"/>
        <v>0.949577492924497</v>
      </c>
      <c r="N41" s="428">
        <f t="shared" si="2"/>
        <v>0.95536157532719346</v>
      </c>
      <c r="O41" s="428">
        <f t="shared" si="2"/>
        <v>0.8940989025321775</v>
      </c>
      <c r="P41" s="428">
        <f t="shared" si="2"/>
        <v>0.94817694116627871</v>
      </c>
      <c r="Q41" s="67"/>
    </row>
    <row r="42" spans="2:17" ht="15.6" outlineLevel="1" x14ac:dyDescent="0.3">
      <c r="B42" s="69"/>
      <c r="C42" s="426" t="s">
        <v>736</v>
      </c>
      <c r="D42" s="431" t="s">
        <v>470</v>
      </c>
      <c r="E42" s="429">
        <f>+IFERROR('3-FInancial Statements'!E140/(-SUM('3-FInancial Statements'!E141:E142)),0)</f>
        <v>7.4816645504565065</v>
      </c>
      <c r="F42" s="429">
        <f>+IFERROR('3-FInancial Statements'!F140/(-SUM('3-FInancial Statements'!F141:F142)),0)</f>
        <v>10.204690787634437</v>
      </c>
      <c r="G42" s="429">
        <f>+IFERROR('3-FInancial Statements'!G140/(-SUM('3-FInancial Statements'!G141:G142)),0)</f>
        <v>0.70914781624597001</v>
      </c>
      <c r="H42" s="429">
        <f>+IFERROR('3-FInancial Statements'!H140/(-SUM('3-FInancial Statements'!H141:H142)),0)</f>
        <v>0.86207900223416367</v>
      </c>
      <c r="I42" s="429">
        <f>+IFERROR('3-FInancial Statements'!I140/(-SUM('3-FInancial Statements'!I141:I142)),0)</f>
        <v>-1.6903051985006414</v>
      </c>
      <c r="J42" s="429">
        <f>+IFERROR('3-FInancial Statements'!J140/(-SUM('3-FInancial Statements'!J141:J142)),0)</f>
        <v>-1.6103994249400444</v>
      </c>
      <c r="K42" s="429">
        <f>+IFERROR('3-FInancial Statements'!K140/(-SUM('3-FInancial Statements'!K141:K142)),0)</f>
        <v>0.90240892337177347</v>
      </c>
      <c r="L42" s="429">
        <f>+IFERROR('3-FInancial Statements'!L140/(-SUM('3-FInancial Statements'!L141:L142)),0)</f>
        <v>2.931886570437531</v>
      </c>
      <c r="M42" s="429">
        <f>+IFERROR('3-FInancial Statements'!M140/(-SUM('3-FInancial Statements'!M141:M142)),0)</f>
        <v>2.7439160782071359</v>
      </c>
      <c r="N42" s="429">
        <f>+IFERROR('3-FInancial Statements'!N140/(-SUM('3-FInancial Statements'!N141:N142)),0)</f>
        <v>3.6009678425656242</v>
      </c>
      <c r="O42" s="429">
        <f>+IFERROR('3-FInancial Statements'!O140/(-SUM('3-FInancial Statements'!O141:O142)),0)</f>
        <v>3.1917163030774698</v>
      </c>
      <c r="P42" s="429">
        <f>+IFERROR('3-FInancial Statements'!P140/(-SUM('3-FInancial Statements'!P141:P142)),0)</f>
        <v>3.5790481218451569</v>
      </c>
      <c r="Q42" s="67"/>
    </row>
    <row r="43" spans="2:17" ht="15.6" outlineLevel="1" x14ac:dyDescent="0.3">
      <c r="B43" s="69"/>
      <c r="C43" s="69"/>
      <c r="D43" s="8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67"/>
    </row>
    <row r="44" spans="2:17" ht="15.6" outlineLevel="1" x14ac:dyDescent="0.3">
      <c r="B44" s="69"/>
      <c r="C44" s="426" t="s">
        <v>737</v>
      </c>
      <c r="D44" s="431" t="s">
        <v>470</v>
      </c>
      <c r="E44" s="429">
        <f>+IFERROR('3-FInancial Statements'!E$126/'3-FInancial Statements'!E167,0)</f>
        <v>122.04994265982786</v>
      </c>
      <c r="F44" s="429">
        <f>+IFERROR('3-FInancial Statements'!F$126/'3-FInancial Statements'!F167,0)</f>
        <v>105.90435013145394</v>
      </c>
      <c r="G44" s="429">
        <f>+IFERROR('3-FInancial Statements'!G$126/'3-FInancial Statements'!G167,0)</f>
        <v>82.273337986630494</v>
      </c>
      <c r="H44" s="429">
        <f>+IFERROR('3-FInancial Statements'!H$126/'3-FInancial Statements'!H167,0)</f>
        <v>143.75177321367997</v>
      </c>
      <c r="I44" s="429">
        <f>+IFERROR('3-FInancial Statements'!I$126/'3-FInancial Statements'!I167,0)</f>
        <v>71.594383910712494</v>
      </c>
      <c r="J44" s="429">
        <f>+IFERROR('3-FInancial Statements'!J$126/'3-FInancial Statements'!J167,0)</f>
        <v>80.068138878959999</v>
      </c>
      <c r="K44" s="429">
        <f>+IFERROR('3-FInancial Statements'!K$126/'3-FInancial Statements'!K167,0)</f>
        <v>107.48410860466549</v>
      </c>
      <c r="L44" s="429">
        <f>+IFERROR('3-FInancial Statements'!L$126/'3-FInancial Statements'!L167,0)</f>
        <v>110.86165475788417</v>
      </c>
      <c r="M44" s="429">
        <f>+IFERROR('3-FInancial Statements'!M$126/'3-FInancial Statements'!M167,0)</f>
        <v>114.12509425262006</v>
      </c>
      <c r="N44" s="429">
        <f>+IFERROR('3-FInancial Statements'!N$126/'3-FInancial Statements'!N167,0)</f>
        <v>125.36820734155874</v>
      </c>
      <c r="O44" s="429">
        <f>+IFERROR('3-FInancial Statements'!O$126/'3-FInancial Statements'!O167,0)</f>
        <v>110.89601355275525</v>
      </c>
      <c r="P44" s="429">
        <f>+IFERROR('3-FInancial Statements'!P$126/'3-FInancial Statements'!P167,0)</f>
        <v>115.15164342922306</v>
      </c>
      <c r="Q44" s="67"/>
    </row>
    <row r="45" spans="2:17" ht="15.6" outlineLevel="1" x14ac:dyDescent="0.3">
      <c r="B45" s="69"/>
      <c r="C45" s="426" t="s">
        <v>738</v>
      </c>
      <c r="D45" s="431" t="s">
        <v>470</v>
      </c>
      <c r="E45" s="429">
        <f>+IFERROR('3-FInancial Statements'!E$126/'3-FInancial Statements'!E189,0)</f>
        <v>25.005577000038731</v>
      </c>
      <c r="F45" s="429">
        <f>+IFERROR('3-FInancial Statements'!F$126/'3-FInancial Statements'!F189,0)</f>
        <v>23.96292645178319</v>
      </c>
      <c r="G45" s="429">
        <f>+IFERROR('3-FInancial Statements'!G$126/'3-FInancial Statements'!G189,0)</f>
        <v>20.526711031326919</v>
      </c>
      <c r="H45" s="429">
        <f>+IFERROR('3-FInancial Statements'!H$126/'3-FInancial Statements'!H189,0)</f>
        <v>23.789192527089494</v>
      </c>
      <c r="I45" s="429">
        <f>+IFERROR('3-FInancial Statements'!I$126/'3-FInancial Statements'!I189,0)</f>
        <v>10.105912414452384</v>
      </c>
      <c r="J45" s="429">
        <f>+IFERROR('3-FInancial Statements'!J$126/'3-FInancial Statements'!J189,0)</f>
        <v>8.4575023319859639</v>
      </c>
      <c r="K45" s="429">
        <f>+IFERROR('3-FInancial Statements'!K$126/'3-FInancial Statements'!K189,0)</f>
        <v>17.377754115994499</v>
      </c>
      <c r="L45" s="429">
        <f>+IFERROR('3-FInancial Statements'!L$126/'3-FInancial Statements'!L189,0)</f>
        <v>22.558533260071286</v>
      </c>
      <c r="M45" s="429">
        <f>+IFERROR('3-FInancial Statements'!M$126/'3-FInancial Statements'!M189,0)</f>
        <v>19.325439272812716</v>
      </c>
      <c r="N45" s="429">
        <f>+IFERROR('3-FInancial Statements'!N$126/'3-FInancial Statements'!N189,0)</f>
        <v>18.561086896664023</v>
      </c>
      <c r="O45" s="429">
        <f>+IFERROR('3-FInancial Statements'!O$126/'3-FInancial Statements'!O189,0)</f>
        <v>16.419358282084509</v>
      </c>
      <c r="P45" s="429">
        <f>+IFERROR('3-FInancial Statements'!P$126/'3-FInancial Statements'!P189,0)</f>
        <v>13.474454226680642</v>
      </c>
      <c r="Q45" s="67"/>
    </row>
    <row r="46" spans="2:17" ht="15.6" outlineLevel="1" x14ac:dyDescent="0.3">
      <c r="B46" s="69"/>
      <c r="C46" s="426" t="s">
        <v>739</v>
      </c>
      <c r="D46" s="431" t="s">
        <v>470</v>
      </c>
      <c r="E46" s="429">
        <f>+IFERROR('3-FInancial Statements'!E$126/'3-FInancial Statements'!E168,0)</f>
        <v>118.72246399019308</v>
      </c>
      <c r="F46" s="429">
        <f>+IFERROR('3-FInancial Statements'!F$126/'3-FInancial Statements'!F168,0)</f>
        <v>130.80901286382465</v>
      </c>
      <c r="G46" s="429">
        <f>+IFERROR('3-FInancial Statements'!G$126/'3-FInancial Statements'!G168,0)</f>
        <v>141.03872948009135</v>
      </c>
      <c r="H46" s="429">
        <f>+IFERROR('3-FInancial Statements'!H$126/'3-FInancial Statements'!H168,0)</f>
        <v>130.33156489403345</v>
      </c>
      <c r="I46" s="429">
        <f>+IFERROR('3-FInancial Statements'!I$126/'3-FInancial Statements'!I168,0)</f>
        <v>49.547102250820124</v>
      </c>
      <c r="J46" s="429">
        <f>+IFERROR('3-FInancial Statements'!J$126/'3-FInancial Statements'!J168,0)</f>
        <v>65.324533221585881</v>
      </c>
      <c r="K46" s="429">
        <f>+IFERROR('3-FInancial Statements'!K$126/'3-FInancial Statements'!K168,0)</f>
        <v>94.543288662706601</v>
      </c>
      <c r="L46" s="429">
        <f>+IFERROR('3-FInancial Statements'!L$126/'3-FInancial Statements'!L168,0)</f>
        <v>114.00670776795062</v>
      </c>
      <c r="M46" s="429">
        <f>+IFERROR('3-FInancial Statements'!M$126/'3-FInancial Statements'!M168,0)</f>
        <v>103.06900945500115</v>
      </c>
      <c r="N46" s="429">
        <f>+IFERROR('3-FInancial Statements'!N$126/'3-FInancial Statements'!N168,0)</f>
        <v>139.20815172498015</v>
      </c>
      <c r="O46" s="429">
        <f>+IFERROR('3-FInancial Statements'!O$126/'3-FInancial Statements'!O168,0)</f>
        <v>134.34020412614598</v>
      </c>
      <c r="P46" s="429">
        <f>+IFERROR('3-FInancial Statements'!P$126/'3-FInancial Statements'!P168,0)</f>
        <v>148.21899649348708</v>
      </c>
      <c r="Q46" s="67"/>
    </row>
    <row r="47" spans="2:17" ht="15.6" outlineLevel="1" x14ac:dyDescent="0.3">
      <c r="B47" s="69"/>
      <c r="C47" s="426" t="s">
        <v>740</v>
      </c>
      <c r="D47" s="431" t="s">
        <v>470</v>
      </c>
      <c r="E47" s="429">
        <f>+IFERROR('3-FInancial Statements'!E$126/SUM('3-FInancial Statements'!E158:E159),0)</f>
        <v>5.136751474893007</v>
      </c>
      <c r="F47" s="429">
        <f>+IFERROR('3-FInancial Statements'!F$126/SUM('3-FInancial Statements'!F158:F159),0)</f>
        <v>5.2512749289247393</v>
      </c>
      <c r="G47" s="429">
        <f>+IFERROR('3-FInancial Statements'!G$126/SUM('3-FInancial Statements'!G158:G159),0)</f>
        <v>5.2747819344011413</v>
      </c>
      <c r="H47" s="429">
        <f>+IFERROR('3-FInancial Statements'!H$126/SUM('3-FInancial Statements'!H158:H159),0)</f>
        <v>2.2098702712305918</v>
      </c>
      <c r="I47" s="429">
        <f>+IFERROR('3-FInancial Statements'!I$126/SUM('3-FInancial Statements'!I158:I159),0)</f>
        <v>0.83172528780226229</v>
      </c>
      <c r="J47" s="429">
        <f>+IFERROR('3-FInancial Statements'!J$126/SUM('3-FInancial Statements'!J158:J159),0)</f>
        <v>1.2467144954224039</v>
      </c>
      <c r="K47" s="429">
        <f>+IFERROR('3-FInancial Statements'!K$126/SUM('3-FInancial Statements'!K158:K159),0)</f>
        <v>2.0211985359775784</v>
      </c>
      <c r="L47" s="429">
        <f>+IFERROR('3-FInancial Statements'!L$126/SUM('3-FInancial Statements'!L158:L159),0)</f>
        <v>1.9728693213803168</v>
      </c>
      <c r="M47" s="429">
        <f>+IFERROR('3-FInancial Statements'!M$126/SUM('3-FInancial Statements'!M158:M159),0)</f>
        <v>1.8990288467328926</v>
      </c>
      <c r="N47" s="429">
        <f>+IFERROR('3-FInancial Statements'!N$126/SUM('3-FInancial Statements'!N158:N159),0)</f>
        <v>2.1767878157215499</v>
      </c>
      <c r="O47" s="429">
        <f>+IFERROR('3-FInancial Statements'!O$126/SUM('3-FInancial Statements'!O158:O159),0)</f>
        <v>2.2257148106778013</v>
      </c>
      <c r="P47" s="429">
        <f>+IFERROR('3-FInancial Statements'!P$126/SUM('3-FInancial Statements'!P158:P159),0)</f>
        <v>2.3036530983222185</v>
      </c>
      <c r="Q47" s="67"/>
    </row>
    <row r="48" spans="2:17" ht="15.6" outlineLevel="1" x14ac:dyDescent="0.3">
      <c r="B48" s="69"/>
      <c r="C48" s="426" t="s">
        <v>741</v>
      </c>
      <c r="D48" s="431" t="s">
        <v>470</v>
      </c>
      <c r="E48" s="429">
        <f>+IFERROR('3-FInancial Statements'!E$126/SUM('3-FInancial Statements'!E177,'3-FInancial Statements'!E162),0)</f>
        <v>1.8766953732182754</v>
      </c>
      <c r="F48" s="429">
        <f>+IFERROR('3-FInancial Statements'!F$126/SUM('3-FInancial Statements'!F177,'3-FInancial Statements'!F162),0)</f>
        <v>2.4875117641222388</v>
      </c>
      <c r="G48" s="429">
        <f>+IFERROR('3-FInancial Statements'!G$126/SUM('3-FInancial Statements'!G177,'3-FInancial Statements'!G162),0)</f>
        <v>1.8340126309818146</v>
      </c>
      <c r="H48" s="429">
        <f>+IFERROR('3-FInancial Statements'!H$126/SUM('3-FInancial Statements'!H177,'3-FInancial Statements'!H162),0)</f>
        <v>1.3780089976759557</v>
      </c>
      <c r="I48" s="429">
        <f>+IFERROR('3-FInancial Statements'!I$126/SUM('3-FInancial Statements'!I177,'3-FInancial Statements'!I162),0)</f>
        <v>0.65161643746795717</v>
      </c>
      <c r="J48" s="429">
        <f>+IFERROR('3-FInancial Statements'!J$126/SUM('3-FInancial Statements'!J177,'3-FInancial Statements'!J162),0)</f>
        <v>1.268939160430671</v>
      </c>
      <c r="K48" s="429">
        <f>+IFERROR('3-FInancial Statements'!K$126/SUM('3-FInancial Statements'!K177,'3-FInancial Statements'!K162),0)</f>
        <v>1.9661798208077355</v>
      </c>
      <c r="L48" s="429">
        <f>+IFERROR('3-FInancial Statements'!L$126/SUM('3-FInancial Statements'!L177,'3-FInancial Statements'!L162),0)</f>
        <v>1.4060105485980807</v>
      </c>
      <c r="M48" s="429">
        <f>+IFERROR('3-FInancial Statements'!M$126/SUM('3-FInancial Statements'!M177,'3-FInancial Statements'!M162),0)</f>
        <v>1.2483768475036618</v>
      </c>
      <c r="N48" s="429">
        <f>+IFERROR('3-FInancial Statements'!N$126/SUM('3-FInancial Statements'!N177,'3-FInancial Statements'!N162),0)</f>
        <v>1.4332189645626456</v>
      </c>
      <c r="O48" s="429">
        <f>+IFERROR('3-FInancial Statements'!O$126/SUM('3-FInancial Statements'!O177,'3-FInancial Statements'!O162),0)</f>
        <v>1.6515291640577239</v>
      </c>
      <c r="P48" s="429">
        <f>+IFERROR('3-FInancial Statements'!P$126/SUM('3-FInancial Statements'!P177,'3-FInancial Statements'!P162),0)</f>
        <v>1.6881254310601266</v>
      </c>
      <c r="Q48" s="67"/>
    </row>
    <row r="49" spans="2:17" ht="15.6" outlineLevel="1" x14ac:dyDescent="0.3">
      <c r="B49" s="69"/>
      <c r="C49" s="69"/>
      <c r="D49" s="82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67"/>
    </row>
    <row r="50" spans="2:17" ht="15.6" outlineLevel="1" x14ac:dyDescent="0.3">
      <c r="B50" s="69"/>
      <c r="C50" s="426" t="s">
        <v>742</v>
      </c>
      <c r="D50" s="82" t="s">
        <v>767</v>
      </c>
      <c r="E50" s="432">
        <f>+IFERROR(365/E44,0)</f>
        <v>2.9905790371185317</v>
      </c>
      <c r="F50" s="432">
        <f t="shared" ref="F50:P50" si="3">+IFERROR(365/F44,0)</f>
        <v>3.4465062062789977</v>
      </c>
      <c r="G50" s="432">
        <f t="shared" si="3"/>
        <v>4.4364311565833505</v>
      </c>
      <c r="H50" s="432">
        <f t="shared" si="3"/>
        <v>2.5390991139806349</v>
      </c>
      <c r="I50" s="432">
        <f t="shared" si="3"/>
        <v>5.0981652479222737</v>
      </c>
      <c r="J50" s="432">
        <f t="shared" si="3"/>
        <v>4.5586172616273126</v>
      </c>
      <c r="K50" s="432">
        <f t="shared" si="3"/>
        <v>3.3958508354243975</v>
      </c>
      <c r="L50" s="432">
        <f t="shared" si="3"/>
        <v>3.2923917724044456</v>
      </c>
      <c r="M50" s="432">
        <f t="shared" si="3"/>
        <v>3.1982448942566406</v>
      </c>
      <c r="N50" s="432">
        <f t="shared" si="3"/>
        <v>2.9114239386511902</v>
      </c>
      <c r="O50" s="432">
        <f t="shared" si="3"/>
        <v>3.2913716941354512</v>
      </c>
      <c r="P50" s="432">
        <f t="shared" si="3"/>
        <v>3.1697333110520827</v>
      </c>
      <c r="Q50" s="67"/>
    </row>
    <row r="51" spans="2:17" ht="15.6" outlineLevel="1" x14ac:dyDescent="0.3">
      <c r="B51" s="69"/>
      <c r="C51" s="426" t="s">
        <v>743</v>
      </c>
      <c r="D51" s="82" t="s">
        <v>767</v>
      </c>
      <c r="E51" s="432">
        <f t="shared" ref="E51:P51" si="4">+IFERROR(365/E45,0)</f>
        <v>14.596743758379768</v>
      </c>
      <c r="F51" s="432">
        <f t="shared" si="4"/>
        <v>15.231862466148774</v>
      </c>
      <c r="G51" s="432">
        <f t="shared" si="4"/>
        <v>17.781708888625843</v>
      </c>
      <c r="H51" s="432">
        <f t="shared" si="4"/>
        <v>15.343101687220495</v>
      </c>
      <c r="I51" s="432">
        <f t="shared" si="4"/>
        <v>36.117471142735859</v>
      </c>
      <c r="J51" s="432">
        <f t="shared" si="4"/>
        <v>43.156949377310056</v>
      </c>
      <c r="K51" s="432">
        <f t="shared" si="4"/>
        <v>21.003864916241028</v>
      </c>
      <c r="L51" s="432">
        <f t="shared" si="4"/>
        <v>16.180129966430567</v>
      </c>
      <c r="M51" s="432">
        <f t="shared" si="4"/>
        <v>18.887022170486279</v>
      </c>
      <c r="N51" s="432">
        <f t="shared" si="4"/>
        <v>19.664796680931509</v>
      </c>
      <c r="O51" s="432">
        <f t="shared" si="4"/>
        <v>22.229857813521178</v>
      </c>
      <c r="P51" s="432">
        <f t="shared" si="4"/>
        <v>27.08829566375066</v>
      </c>
      <c r="Q51" s="67"/>
    </row>
    <row r="52" spans="2:17" ht="15.6" outlineLevel="1" x14ac:dyDescent="0.3">
      <c r="B52" s="69"/>
      <c r="C52" s="426" t="s">
        <v>744</v>
      </c>
      <c r="D52" s="82" t="s">
        <v>767</v>
      </c>
      <c r="E52" s="432">
        <f t="shared" ref="E52:P52" si="5">+IFERROR(365/E46,0)</f>
        <v>3.0743971084541371</v>
      </c>
      <c r="F52" s="432">
        <f t="shared" si="5"/>
        <v>2.7903276082357862</v>
      </c>
      <c r="G52" s="432">
        <f t="shared" si="5"/>
        <v>2.5879416338015329</v>
      </c>
      <c r="H52" s="432">
        <f t="shared" si="5"/>
        <v>2.8005495084538006</v>
      </c>
      <c r="I52" s="432">
        <f t="shared" si="5"/>
        <v>7.3667274859441125</v>
      </c>
      <c r="J52" s="432">
        <f t="shared" si="5"/>
        <v>5.5874873037652133</v>
      </c>
      <c r="K52" s="432">
        <f t="shared" si="5"/>
        <v>3.8606653646476898</v>
      </c>
      <c r="L52" s="432">
        <f t="shared" si="5"/>
        <v>3.2015660055978583</v>
      </c>
      <c r="M52" s="432">
        <f t="shared" si="5"/>
        <v>3.5413166569661771</v>
      </c>
      <c r="N52" s="432">
        <f t="shared" si="5"/>
        <v>2.6219728907908681</v>
      </c>
      <c r="O52" s="432">
        <f t="shared" si="5"/>
        <v>2.7169826216525887</v>
      </c>
      <c r="P52" s="432">
        <f t="shared" si="5"/>
        <v>2.4625723330682416</v>
      </c>
      <c r="Q52" s="67"/>
    </row>
    <row r="53" spans="2:17" ht="15.6" outlineLevel="1" x14ac:dyDescent="0.3">
      <c r="B53" s="69"/>
      <c r="C53" s="426" t="s">
        <v>745</v>
      </c>
      <c r="D53" s="82" t="s">
        <v>767</v>
      </c>
      <c r="E53" s="432">
        <f>+IFERROR(SUM(E52,E50)-E51,0)</f>
        <v>-8.5317676128070996</v>
      </c>
      <c r="F53" s="432">
        <f t="shared" ref="F53:P53" si="6">+IFERROR(SUM(F52,F50)-F51,0)</f>
        <v>-8.9950286516339908</v>
      </c>
      <c r="G53" s="432">
        <f t="shared" si="6"/>
        <v>-10.757336098240959</v>
      </c>
      <c r="H53" s="432">
        <f t="shared" si="6"/>
        <v>-10.00345306478606</v>
      </c>
      <c r="I53" s="432">
        <f t="shared" si="6"/>
        <v>-23.652578408869473</v>
      </c>
      <c r="J53" s="432">
        <f t="shared" si="6"/>
        <v>-33.010844811917529</v>
      </c>
      <c r="K53" s="432">
        <f t="shared" si="6"/>
        <v>-13.74734871616894</v>
      </c>
      <c r="L53" s="432">
        <f t="shared" si="6"/>
        <v>-9.6861721884282623</v>
      </c>
      <c r="M53" s="432">
        <f t="shared" si="6"/>
        <v>-12.147460619263462</v>
      </c>
      <c r="N53" s="432">
        <f t="shared" si="6"/>
        <v>-14.131399851489451</v>
      </c>
      <c r="O53" s="432">
        <f t="shared" si="6"/>
        <v>-16.221503497733138</v>
      </c>
      <c r="P53" s="432">
        <f t="shared" si="6"/>
        <v>-21.455990019630335</v>
      </c>
      <c r="Q53" s="67"/>
    </row>
    <row r="54" spans="2:17" ht="15.6" outlineLevel="1" x14ac:dyDescent="0.3">
      <c r="B54" s="69"/>
      <c r="C54" s="69"/>
      <c r="D54" s="82"/>
      <c r="E54" s="122"/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67"/>
    </row>
    <row r="55" spans="2:17" ht="15.6" outlineLevel="1" x14ac:dyDescent="0.3">
      <c r="B55" s="69"/>
      <c r="C55" s="426" t="s">
        <v>769</v>
      </c>
      <c r="D55" s="420" t="s">
        <v>367</v>
      </c>
      <c r="E55" s="428">
        <f>+IFERROR('3-FInancial Statements'!E$214/'3-FInancial Statements'!E126,0)</f>
        <v>0.19958016620916214</v>
      </c>
      <c r="F55" s="428">
        <f>+IFERROR('3-FInancial Statements'!F$214/'3-FInancial Statements'!F126,0)</f>
        <v>0.1597591396069292</v>
      </c>
      <c r="G55" s="428">
        <f>+IFERROR('3-FInancial Statements'!G$214/'3-FInancial Statements'!G126,0)</f>
        <v>0.10331406638930409</v>
      </c>
      <c r="H55" s="428">
        <f>+IFERROR('3-FInancial Statements'!H$214/'3-FInancial Statements'!H126,0)</f>
        <v>0.18675859465063227</v>
      </c>
      <c r="I55" s="428">
        <f>+IFERROR('3-FInancial Statements'!I$214/'3-FInancial Statements'!I126,0)</f>
        <v>-0.10377159251785761</v>
      </c>
      <c r="J55" s="428">
        <f>+IFERROR('3-FInancial Statements'!J$214/'3-FInancial Statements'!J126,0)</f>
        <v>7.6963220074634769E-2</v>
      </c>
      <c r="K55" s="428">
        <f>+IFERROR('3-FInancial Statements'!K$214/'3-FInancial Statements'!K126,0)</f>
        <v>0.22722887955348586</v>
      </c>
      <c r="L55" s="428">
        <f>+IFERROR('3-FInancial Statements'!L$214/'3-FInancial Statements'!L126,0)</f>
        <v>0.29708787711356049</v>
      </c>
      <c r="M55" s="428">
        <f>+IFERROR('3-FInancial Statements'!M$214/'3-FInancial Statements'!M126,0)</f>
        <v>0.25787890625167526</v>
      </c>
      <c r="N55" s="428">
        <f>+IFERROR('3-FInancial Statements'!N$214/'3-FInancial Statements'!N126,0)</f>
        <v>0.21994751057486453</v>
      </c>
      <c r="O55" s="428">
        <f>+IFERROR('3-FInancial Statements'!O$214/'3-FInancial Statements'!O126,0)</f>
        <v>0.18739064835548153</v>
      </c>
      <c r="P55" s="428">
        <f>+IFERROR('3-FInancial Statements'!P$214/'3-FInancial Statements'!P126,0)</f>
        <v>0.2105288956895344</v>
      </c>
      <c r="Q55" s="67"/>
    </row>
    <row r="56" spans="2:17" ht="15.6" outlineLevel="1" x14ac:dyDescent="0.3">
      <c r="B56" s="69"/>
      <c r="C56" s="426" t="s">
        <v>746</v>
      </c>
      <c r="D56" s="420" t="s">
        <v>367</v>
      </c>
      <c r="E56" s="428">
        <f>+IFERROR('3-FInancial Statements'!E$214/'3-FInancial Statements'!E171,0)</f>
        <v>0.25416496381002279</v>
      </c>
      <c r="F56" s="428">
        <f>+IFERROR('3-FInancial Statements'!F$214/'3-FInancial Statements'!F171,0)</f>
        <v>0.2409427172810904</v>
      </c>
      <c r="G56" s="428">
        <f>+IFERROR('3-FInancial Statements'!G$214/'3-FInancial Statements'!G171,0)</f>
        <v>0.12310650300984838</v>
      </c>
      <c r="H56" s="428">
        <f>+IFERROR('3-FInancial Statements'!H$214/'3-FInancial Statements'!H171,0)</f>
        <v>0.16542355518782678</v>
      </c>
      <c r="I56" s="428">
        <f>+IFERROR('3-FInancial Statements'!I$214/'3-FInancial Statements'!I171,0)</f>
        <v>-3.7789673136048231E-2</v>
      </c>
      <c r="J56" s="428">
        <f>+IFERROR('3-FInancial Statements'!J$214/'3-FInancial Statements'!J171,0)</f>
        <v>4.4635683996801137E-2</v>
      </c>
      <c r="K56" s="428">
        <f>+IFERROR('3-FInancial Statements'!K$214/'3-FInancial Statements'!K171,0)</f>
        <v>0.21457619751429441</v>
      </c>
      <c r="L56" s="428">
        <f>+IFERROR('3-FInancial Statements'!L$214/'3-FInancial Statements'!L171,0)</f>
        <v>0.25736745890523138</v>
      </c>
      <c r="M56" s="428">
        <f>+IFERROR('3-FInancial Statements'!M$214/'3-FInancial Statements'!M171,0)</f>
        <v>0.21757801003549249</v>
      </c>
      <c r="N56" s="428">
        <f>+IFERROR('3-FInancial Statements'!N$214/'3-FInancial Statements'!N171,0)</f>
        <v>0.21201252326859826</v>
      </c>
      <c r="O56" s="428">
        <f>+IFERROR('3-FInancial Statements'!O$214/'3-FInancial Statements'!O171,0)</f>
        <v>0.19238868828656086</v>
      </c>
      <c r="P56" s="428">
        <f>+IFERROR('3-FInancial Statements'!P$214/'3-FInancial Statements'!P171,0)</f>
        <v>0.22575560528101243</v>
      </c>
      <c r="Q56" s="67"/>
    </row>
    <row r="57" spans="2:17" ht="15.6" outlineLevel="1" x14ac:dyDescent="0.3">
      <c r="B57" s="69"/>
      <c r="C57" s="426" t="s">
        <v>747</v>
      </c>
      <c r="D57" s="420" t="s">
        <v>367</v>
      </c>
      <c r="E57" s="428">
        <f>+IFERROR('3-FInancial Statements'!E$214/SUM('3-FInancial Statements'!E183),0)</f>
        <v>1.6136282051067996</v>
      </c>
      <c r="F57" s="428">
        <f>+IFERROR('3-FInancial Statements'!F$214/SUM('3-FInancial Statements'!F183),0)</f>
        <v>0</v>
      </c>
      <c r="G57" s="428">
        <f>+IFERROR('3-FInancial Statements'!G$214/SUM('3-FInancial Statements'!G183),0)</f>
        <v>1.4044812594789828</v>
      </c>
      <c r="H57" s="428">
        <f>+IFERROR('3-FInancial Statements'!H$214/SUM('3-FInancial Statements'!H183),0)</f>
        <v>20.094550574603204</v>
      </c>
      <c r="I57" s="428">
        <f>+IFERROR('3-FInancial Statements'!I$214/SUM('3-FInancial Statements'!I183),0)</f>
        <v>-0.64929520522441009</v>
      </c>
      <c r="J57" s="428">
        <f>+IFERROR('3-FInancial Statements'!J$214/SUM('3-FInancial Statements'!J183),0)</f>
        <v>0.52648472978410743</v>
      </c>
      <c r="K57" s="428">
        <f>+IFERROR('3-FInancial Statements'!K$214/SUM('3-FInancial Statements'!K183),0)</f>
        <v>5.637643034767887</v>
      </c>
      <c r="L57" s="428">
        <f>+IFERROR('3-FInancial Statements'!L$214/SUM('3-FInancial Statements'!L183),0)</f>
        <v>11.18667690080969</v>
      </c>
      <c r="M57" s="428">
        <f>+IFERROR('3-FInancial Statements'!M$214/SUM('3-FInancial Statements'!M183),0)</f>
        <v>11.480109087761782</v>
      </c>
      <c r="N57" s="428">
        <f>+IFERROR('3-FInancial Statements'!N$214/SUM('3-FInancial Statements'!N183),0)</f>
        <v>12.771085848982862</v>
      </c>
      <c r="O57" s="428">
        <f>+IFERROR('3-FInancial Statements'!O$214/SUM('3-FInancial Statements'!O183),0)</f>
        <v>12.616433477692919</v>
      </c>
      <c r="P57" s="428">
        <f>+IFERROR('3-FInancial Statements'!P$214/SUM('3-FInancial Statements'!P183),0)</f>
        <v>17.167273409963087</v>
      </c>
      <c r="Q57" s="67"/>
    </row>
    <row r="58" spans="2:17" ht="15.6" x14ac:dyDescent="0.3">
      <c r="B58" s="69"/>
      <c r="C58" s="69"/>
      <c r="D58" s="82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67"/>
    </row>
    <row r="59" spans="2:17" ht="15.6" x14ac:dyDescent="0.3">
      <c r="B59" s="69"/>
      <c r="C59" s="69"/>
      <c r="D59" s="82"/>
      <c r="E59" s="122"/>
      <c r="F59" s="122"/>
      <c r="G59" s="122"/>
      <c r="H59" s="122"/>
      <c r="I59" s="122"/>
      <c r="J59" s="122"/>
      <c r="K59" s="122"/>
      <c r="L59" s="122"/>
      <c r="M59" s="122"/>
      <c r="N59" s="122"/>
      <c r="O59" s="122"/>
      <c r="P59" s="122"/>
      <c r="Q59" s="67"/>
    </row>
    <row r="60" spans="2:17" ht="15.6" x14ac:dyDescent="0.3">
      <c r="B60" s="69"/>
      <c r="C60" s="69"/>
      <c r="D60" s="82"/>
      <c r="E60" s="122"/>
      <c r="F60" s="122"/>
      <c r="G60" s="122"/>
      <c r="H60" s="122"/>
      <c r="I60" s="122"/>
      <c r="J60" s="122"/>
      <c r="K60" s="122"/>
      <c r="L60" s="122"/>
      <c r="M60" s="122"/>
      <c r="N60" s="122"/>
      <c r="O60" s="122"/>
      <c r="P60" s="122"/>
      <c r="Q60" s="67"/>
    </row>
    <row r="61" spans="2:17" ht="15.6" x14ac:dyDescent="0.3">
      <c r="B61" s="69"/>
      <c r="C61" s="69"/>
      <c r="D61" s="82"/>
      <c r="E61" s="122"/>
      <c r="F61" s="122"/>
      <c r="G61" s="122"/>
      <c r="H61" s="122"/>
      <c r="I61" s="122"/>
      <c r="J61" s="122"/>
      <c r="K61" s="122"/>
      <c r="L61" s="122"/>
      <c r="M61" s="122"/>
      <c r="N61" s="122"/>
      <c r="O61" s="122"/>
      <c r="P61" s="122"/>
      <c r="Q61" s="67"/>
    </row>
    <row r="62" spans="2:17" ht="15.6" x14ac:dyDescent="0.3">
      <c r="B62" s="69"/>
      <c r="C62" s="69"/>
      <c r="D62" s="82"/>
      <c r="E62" s="122"/>
      <c r="F62" s="122"/>
      <c r="G62" s="122"/>
      <c r="H62" s="122"/>
      <c r="I62" s="122"/>
      <c r="J62" s="122"/>
      <c r="K62" s="122"/>
      <c r="L62" s="122"/>
      <c r="M62" s="122"/>
      <c r="N62" s="122"/>
      <c r="O62" s="122"/>
      <c r="P62" s="122"/>
      <c r="Q62" s="67"/>
    </row>
  </sheetData>
  <mergeCells count="3">
    <mergeCell ref="E5:L5"/>
    <mergeCell ref="M5:P5"/>
    <mergeCell ref="Q5:Q6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low="1" first="1" last="1" negative="1" xr2:uid="{61ACB54F-395C-4A04-BA5F-16F2480FABF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'Key Matrics &amp; Ratio Analysis'!E25:P25</xm:f>
              <xm:sqref>Q25</xm:sqref>
            </x14:sparkline>
            <x14:sparkline>
              <xm:f>'Key Matrics &amp; Ratio Analysis'!E26:P26</xm:f>
              <xm:sqref>Q26</xm:sqref>
            </x14:sparkline>
            <x14:sparkline>
              <xm:f>'Key Matrics &amp; Ratio Analysis'!E27:P27</xm:f>
              <xm:sqref>Q27</xm:sqref>
            </x14:sparkline>
            <x14:sparkline>
              <xm:f>'Key Matrics &amp; Ratio Analysis'!E28:P28</xm:f>
              <xm:sqref>Q28</xm:sqref>
            </x14:sparkline>
            <x14:sparkline>
              <xm:f>'Key Matrics &amp; Ratio Analysis'!E29:P29</xm:f>
              <xm:sqref>Q29</xm:sqref>
            </x14:sparkline>
            <x14:sparkline>
              <xm:f>'Key Matrics &amp; Ratio Analysis'!E30:P30</xm:f>
              <xm:sqref>Q30</xm:sqref>
            </x14:sparkline>
          </x14:sparklines>
        </x14:sparklineGroup>
        <x14:sparklineGroup displayEmptyCellsAs="gap" markers="1" high="1" low="1" first="1" last="1" negative="1" xr2:uid="{313478EA-F7A1-4582-A940-88C8E72A619E}">
          <x14:colorSeries rgb="FF1F4E78"/>
          <x14:colorNegative rgb="FFD00000"/>
          <x14:colorAxis rgb="FF000000"/>
          <x14:colorMarkers rgb="FFC00000"/>
          <x14:colorFirst rgb="FFD00000"/>
          <x14:colorLast rgb="FFD00000"/>
          <x14:colorHigh rgb="FFC00000"/>
          <x14:colorLow rgb="FFD00000"/>
          <x14:sparklines>
            <x14:sparkline>
              <xm:f>'Key Matrics &amp; Ratio Analysis'!E11:P11</xm:f>
              <xm:sqref>Q11</xm:sqref>
            </x14:sparkline>
            <x14:sparkline>
              <xm:f>'Key Matrics &amp; Ratio Analysis'!E12:P12</xm:f>
              <xm:sqref>Q12</xm:sqref>
            </x14:sparkline>
            <x14:sparkline>
              <xm:f>'Key Matrics &amp; Ratio Analysis'!E13:P13</xm:f>
              <xm:sqref>Q13</xm:sqref>
            </x14:sparkline>
            <x14:sparkline>
              <xm:f>'Key Matrics &amp; Ratio Analysis'!E14:P14</xm:f>
              <xm:sqref>Q14</xm:sqref>
            </x14:sparkline>
            <x14:sparkline>
              <xm:f>'Key Matrics &amp; Ratio Analysis'!E15:P15</xm:f>
              <xm:sqref>Q15</xm:sqref>
            </x14:sparkline>
            <x14:sparkline>
              <xm:f>'Key Matrics &amp; Ratio Analysis'!E16:P16</xm:f>
              <xm:sqref>Q16</xm:sqref>
            </x14:sparkline>
            <x14:sparkline>
              <xm:f>'Key Matrics &amp; Ratio Analysis'!E17:P17</xm:f>
              <xm:sqref>Q17</xm:sqref>
            </x14:sparkline>
            <x14:sparkline>
              <xm:f>'Key Matrics &amp; Ratio Analysis'!E18:P18</xm:f>
              <xm:sqref>Q18</xm:sqref>
            </x14:sparkline>
            <x14:sparkline>
              <xm:f>'Key Matrics &amp; Ratio Analysis'!E19:P19</xm:f>
              <xm:sqref>Q19</xm:sqref>
            </x14:sparkline>
            <x14:sparkline>
              <xm:f>'Key Matrics &amp; Ratio Analysis'!E20:P20</xm:f>
              <xm:sqref>Q20</xm:sqref>
            </x14:sparkline>
            <x14:sparkline>
              <xm:f>'Key Matrics &amp; Ratio Analysis'!E21:P21</xm:f>
              <xm:sqref>Q21</xm:sqref>
            </x14:sparkline>
          </x14:sparklines>
        </x14:sparklineGroup>
        <x14:sparklineGroup displayEmptyCellsAs="gap" markers="1" high="1" low="1" first="1" last="1" negative="1" xr2:uid="{A425F6F8-BA47-48FB-97D4-E28A6362111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'Key Matrics &amp; Ratio Analysis'!E32:P32</xm:f>
              <xm:sqref>Q32</xm:sqref>
            </x14:sparkline>
            <x14:sparkline>
              <xm:f>'Key Matrics &amp; Ratio Analysis'!E33:P33</xm:f>
              <xm:sqref>Q33</xm:sqref>
            </x14:sparkline>
            <x14:sparkline>
              <xm:f>'Key Matrics &amp; Ratio Analysis'!E34:P34</xm:f>
              <xm:sqref>Q34</xm:sqref>
            </x14:sparkline>
            <x14:sparkline>
              <xm:f>'Key Matrics &amp; Ratio Analysis'!E35:P35</xm:f>
              <xm:sqref>Q35</xm:sqref>
            </x14:sparkline>
          </x14:sparklines>
        </x14:sparklineGroup>
        <x14:sparklineGroup displayEmptyCellsAs="gap" markers="1" high="1" low="1" first="1" last="1" negative="1" xr2:uid="{CEDB1B98-0531-4018-99A1-B7B5485DED5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'Key Matrics &amp; Ratio Analysis'!E37:P37</xm:f>
              <xm:sqref>Q37</xm:sqref>
            </x14:sparkline>
            <x14:sparkline>
              <xm:f>'Key Matrics &amp; Ratio Analysis'!E38:P38</xm:f>
              <xm:sqref>Q38</xm:sqref>
            </x14:sparkline>
            <x14:sparkline>
              <xm:f>'Key Matrics &amp; Ratio Analysis'!E39:P39</xm:f>
              <xm:sqref>Q39</xm:sqref>
            </x14:sparkline>
            <x14:sparkline>
              <xm:f>'Key Matrics &amp; Ratio Analysis'!E40:P40</xm:f>
              <xm:sqref>Q40</xm:sqref>
            </x14:sparkline>
            <x14:sparkline>
              <xm:f>'Key Matrics &amp; Ratio Analysis'!E41:P41</xm:f>
              <xm:sqref>Q41</xm:sqref>
            </x14:sparkline>
            <x14:sparkline>
              <xm:f>'Key Matrics &amp; Ratio Analysis'!E42:P42</xm:f>
              <xm:sqref>Q42</xm:sqref>
            </x14:sparkline>
          </x14:sparklines>
        </x14:sparklineGroup>
        <x14:sparklineGroup displayEmptyCellsAs="gap" markers="1" high="1" low="1" first="1" last="1" negative="1" xr2:uid="{03CD24BD-0EF4-47F5-8D8C-7C72EE8E061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'Key Matrics &amp; Ratio Analysis'!E44:P44</xm:f>
              <xm:sqref>Q44</xm:sqref>
            </x14:sparkline>
            <x14:sparkline>
              <xm:f>'Key Matrics &amp; Ratio Analysis'!E45:P45</xm:f>
              <xm:sqref>Q45</xm:sqref>
            </x14:sparkline>
            <x14:sparkline>
              <xm:f>'Key Matrics &amp; Ratio Analysis'!E46:P46</xm:f>
              <xm:sqref>Q46</xm:sqref>
            </x14:sparkline>
            <x14:sparkline>
              <xm:f>'Key Matrics &amp; Ratio Analysis'!E47:P47</xm:f>
              <xm:sqref>Q47</xm:sqref>
            </x14:sparkline>
            <x14:sparkline>
              <xm:f>'Key Matrics &amp; Ratio Analysis'!E48:P48</xm:f>
              <xm:sqref>Q48</xm:sqref>
            </x14:sparkline>
          </x14:sparklines>
        </x14:sparklineGroup>
        <x14:sparklineGroup displayEmptyCellsAs="gap" markers="1" high="1" low="1" first="1" last="1" negative="1" xr2:uid="{A9C74C05-89E9-430C-8664-41C7E84175D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'Key Matrics &amp; Ratio Analysis'!E50:P50</xm:f>
              <xm:sqref>Q50</xm:sqref>
            </x14:sparkline>
            <x14:sparkline>
              <xm:f>'Key Matrics &amp; Ratio Analysis'!E51:P51</xm:f>
              <xm:sqref>Q51</xm:sqref>
            </x14:sparkline>
            <x14:sparkline>
              <xm:f>'Key Matrics &amp; Ratio Analysis'!E52:P52</xm:f>
              <xm:sqref>Q52</xm:sqref>
            </x14:sparkline>
            <x14:sparkline>
              <xm:f>'Key Matrics &amp; Ratio Analysis'!E53:P53</xm:f>
              <xm:sqref>Q53</xm:sqref>
            </x14:sparkline>
          </x14:sparklines>
        </x14:sparklineGroup>
        <x14:sparklineGroup displayEmptyCellsAs="gap" markers="1" high="1" low="1" first="1" last="1" negative="1" xr2:uid="{CE3EA51C-BDF2-44FF-A54C-EAB82FF9D84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'Key Matrics &amp; Ratio Analysis'!E55:P55</xm:f>
              <xm:sqref>Q55</xm:sqref>
            </x14:sparkline>
            <x14:sparkline>
              <xm:f>'Key Matrics &amp; Ratio Analysis'!E56:P56</xm:f>
              <xm:sqref>Q56</xm:sqref>
            </x14:sparkline>
            <x14:sparkline>
              <xm:f>'Key Matrics &amp; Ratio Analysis'!E57:P57</xm:f>
              <xm:sqref>Q57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9E613-1378-4B7D-9DAE-A61AB6B988CB}">
  <sheetPr codeName="Sheet2">
    <tabColor theme="2" tint="-9.9978637043366805E-2"/>
  </sheetPr>
  <dimension ref="A1:N39"/>
  <sheetViews>
    <sheetView showGridLines="0" topLeftCell="A11" zoomScale="94" workbookViewId="0">
      <selection activeCell="B36" sqref="B36"/>
    </sheetView>
  </sheetViews>
  <sheetFormatPr defaultRowHeight="14.4" x14ac:dyDescent="0.3"/>
  <cols>
    <col min="1" max="1" width="55.5546875" customWidth="1"/>
    <col min="2" max="2" width="21" customWidth="1"/>
    <col min="3" max="3" width="18.77734375" customWidth="1"/>
    <col min="4" max="4" width="19.77734375" customWidth="1"/>
    <col min="5" max="5" width="20.21875" customWidth="1"/>
    <col min="6" max="7" width="16.33203125" bestFit="1" customWidth="1"/>
    <col min="8" max="8" width="20.33203125" customWidth="1"/>
    <col min="9" max="9" width="16.77734375" customWidth="1"/>
  </cols>
  <sheetData>
    <row r="1" spans="1:14" x14ac:dyDescent="0.3">
      <c r="A1" s="1"/>
      <c r="B1" s="3" t="s">
        <v>476</v>
      </c>
      <c r="C1" s="2"/>
      <c r="D1" s="3"/>
      <c r="E1" s="2"/>
      <c r="F1" s="3"/>
      <c r="G1" s="2"/>
      <c r="H1" s="3"/>
      <c r="I1" s="2"/>
    </row>
    <row r="2" spans="1:14" ht="23.4" x14ac:dyDescent="0.45">
      <c r="A2" s="4" t="s">
        <v>0</v>
      </c>
      <c r="B2" s="5"/>
      <c r="C2" s="5"/>
      <c r="D2" s="5"/>
      <c r="E2" s="5"/>
      <c r="F2" s="5"/>
      <c r="G2" s="5"/>
      <c r="H2" s="5"/>
      <c r="I2" s="5"/>
    </row>
    <row r="3" spans="1:14" x14ac:dyDescent="0.3">
      <c r="A3" s="5"/>
      <c r="B3" s="5"/>
      <c r="C3" s="5"/>
      <c r="D3" s="5"/>
      <c r="E3" s="5"/>
      <c r="F3" s="5"/>
      <c r="G3" s="5"/>
      <c r="H3" s="5"/>
      <c r="I3" s="5"/>
    </row>
    <row r="4" spans="1:14" x14ac:dyDescent="0.3">
      <c r="A4" s="6" t="s">
        <v>1</v>
      </c>
      <c r="B4" s="8"/>
      <c r="C4" s="7"/>
      <c r="D4" s="8"/>
      <c r="E4" s="7"/>
      <c r="F4" s="8"/>
      <c r="G4" s="7"/>
      <c r="H4" s="8"/>
      <c r="I4" s="228"/>
    </row>
    <row r="5" spans="1:14" x14ac:dyDescent="0.3">
      <c r="A5" s="9" t="s">
        <v>2</v>
      </c>
      <c r="B5" s="11"/>
      <c r="C5" s="10"/>
      <c r="D5" s="11"/>
      <c r="E5" s="10"/>
      <c r="F5" s="11"/>
      <c r="G5" s="10"/>
      <c r="H5" s="11"/>
      <c r="I5" s="229"/>
    </row>
    <row r="6" spans="1:14" x14ac:dyDescent="0.3">
      <c r="A6" s="12" t="s">
        <v>3</v>
      </c>
      <c r="B6" s="14">
        <f t="shared" ref="B6:H6" si="0">C6-1</f>
        <v>2017</v>
      </c>
      <c r="C6" s="14">
        <f t="shared" si="0"/>
        <v>2018</v>
      </c>
      <c r="D6" s="14">
        <f t="shared" si="0"/>
        <v>2019</v>
      </c>
      <c r="E6" s="14">
        <f t="shared" si="0"/>
        <v>2020</v>
      </c>
      <c r="F6" s="14">
        <f t="shared" si="0"/>
        <v>2021</v>
      </c>
      <c r="G6" s="14">
        <f t="shared" si="0"/>
        <v>2022</v>
      </c>
      <c r="H6" s="14">
        <f t="shared" si="0"/>
        <v>2023</v>
      </c>
      <c r="I6" s="230">
        <v>2024</v>
      </c>
      <c r="J6" s="303">
        <f>+I6+1</f>
        <v>2025</v>
      </c>
      <c r="K6" s="303">
        <f t="shared" ref="K6:N6" si="1">+J6+1</f>
        <v>2026</v>
      </c>
      <c r="L6" s="303">
        <f t="shared" si="1"/>
        <v>2027</v>
      </c>
      <c r="M6" s="303">
        <f t="shared" si="1"/>
        <v>2028</v>
      </c>
      <c r="N6" s="303">
        <f t="shared" si="1"/>
        <v>2029</v>
      </c>
    </row>
    <row r="7" spans="1:14" x14ac:dyDescent="0.3">
      <c r="A7" s="15" t="s">
        <v>4</v>
      </c>
      <c r="B7" s="17"/>
      <c r="C7" s="16"/>
      <c r="D7" s="17"/>
      <c r="E7" s="16"/>
      <c r="F7" s="17"/>
      <c r="G7" s="16"/>
      <c r="H7" s="17"/>
      <c r="I7" s="231" t="s">
        <v>5</v>
      </c>
    </row>
    <row r="8" spans="1:14" x14ac:dyDescent="0.3">
      <c r="A8" s="18" t="s">
        <v>6</v>
      </c>
      <c r="B8" s="63">
        <v>185805</v>
      </c>
      <c r="C8" s="149">
        <v>230208.87</v>
      </c>
      <c r="D8" s="63">
        <v>284967.71999999997</v>
      </c>
      <c r="E8" s="149">
        <v>357560.01</v>
      </c>
      <c r="F8" s="63">
        <v>146406.31</v>
      </c>
      <c r="G8" s="149">
        <v>259309.27</v>
      </c>
      <c r="H8" s="63">
        <v>544464.53</v>
      </c>
      <c r="I8" s="232">
        <v>689043.42</v>
      </c>
    </row>
    <row r="9" spans="1:14" x14ac:dyDescent="0.3">
      <c r="A9" s="21" t="s">
        <v>7</v>
      </c>
      <c r="B9" s="173">
        <v>7890.7</v>
      </c>
      <c r="C9" s="174">
        <v>9468.56</v>
      </c>
      <c r="D9" s="173">
        <v>13245.98</v>
      </c>
      <c r="E9" s="174">
        <v>15355.09</v>
      </c>
      <c r="F9" s="173">
        <v>10369.64</v>
      </c>
      <c r="G9" s="174">
        <v>7255.98</v>
      </c>
      <c r="H9" s="173">
        <v>14349.65</v>
      </c>
      <c r="I9" s="233">
        <v>23268.21</v>
      </c>
    </row>
    <row r="10" spans="1:14" x14ac:dyDescent="0.3">
      <c r="A10" s="22" t="s">
        <v>8</v>
      </c>
      <c r="B10" s="175">
        <v>193695.7</v>
      </c>
      <c r="C10" s="176">
        <v>239677.43</v>
      </c>
      <c r="D10" s="175">
        <v>298213.7</v>
      </c>
      <c r="E10" s="176">
        <v>372915.1</v>
      </c>
      <c r="F10" s="175">
        <v>156775.95000000001</v>
      </c>
      <c r="G10" s="176">
        <v>266565.25</v>
      </c>
      <c r="H10" s="175">
        <v>558814.18000000005</v>
      </c>
      <c r="I10" s="234">
        <v>712311.63</v>
      </c>
    </row>
    <row r="11" spans="1:14" x14ac:dyDescent="0.3">
      <c r="A11" s="15" t="s">
        <v>9</v>
      </c>
      <c r="B11" s="148"/>
      <c r="C11" s="37"/>
      <c r="D11" s="148"/>
      <c r="E11" s="37"/>
      <c r="F11" s="148"/>
      <c r="G11" s="37"/>
      <c r="H11" s="148"/>
      <c r="I11" s="233" t="s">
        <v>5</v>
      </c>
    </row>
    <row r="12" spans="1:14" x14ac:dyDescent="0.3">
      <c r="A12" s="18" t="s">
        <v>10</v>
      </c>
      <c r="B12" s="197">
        <v>63415.13</v>
      </c>
      <c r="C12" s="149">
        <v>77601.36</v>
      </c>
      <c r="D12" s="63">
        <v>119427.93</v>
      </c>
      <c r="E12" s="149">
        <v>124537.94</v>
      </c>
      <c r="F12" s="63">
        <v>38312.769999999997</v>
      </c>
      <c r="G12" s="149">
        <v>96952.36</v>
      </c>
      <c r="H12" s="63">
        <v>236460.17</v>
      </c>
      <c r="I12" s="399">
        <v>239045.78</v>
      </c>
    </row>
    <row r="13" spans="1:14" x14ac:dyDescent="0.3">
      <c r="A13" s="23" t="s">
        <v>11</v>
      </c>
      <c r="B13" s="199">
        <v>31253.73</v>
      </c>
      <c r="C13" s="37">
        <v>36101.99</v>
      </c>
      <c r="D13" s="148">
        <v>38610.32</v>
      </c>
      <c r="E13" s="37">
        <v>4966.57</v>
      </c>
      <c r="F13" s="148">
        <v>2804.57</v>
      </c>
      <c r="G13" s="37">
        <v>3116.84</v>
      </c>
      <c r="H13" s="148">
        <v>3258.4</v>
      </c>
      <c r="I13" s="233">
        <v>10751.95</v>
      </c>
    </row>
    <row r="14" spans="1:14" x14ac:dyDescent="0.3">
      <c r="A14" s="18" t="s">
        <v>12</v>
      </c>
      <c r="B14" s="63"/>
      <c r="C14" s="149"/>
      <c r="D14" s="63">
        <v>36820.050000000003</v>
      </c>
      <c r="E14" s="149">
        <v>58672.37</v>
      </c>
      <c r="F14" s="63">
        <v>41912.6</v>
      </c>
      <c r="G14" s="149">
        <v>60897.84</v>
      </c>
      <c r="H14" s="63">
        <v>80449.600000000006</v>
      </c>
      <c r="I14" s="232">
        <v>99316.24</v>
      </c>
    </row>
    <row r="15" spans="1:14" x14ac:dyDescent="0.3">
      <c r="A15" s="23" t="s">
        <v>13</v>
      </c>
      <c r="B15" s="199"/>
      <c r="C15" s="37"/>
      <c r="D15" s="148">
        <v>24489.34</v>
      </c>
      <c r="E15" s="37">
        <v>29116.84</v>
      </c>
      <c r="F15" s="148">
        <v>16128.84</v>
      </c>
      <c r="G15" s="37">
        <v>22868.37</v>
      </c>
      <c r="H15" s="148">
        <v>36468</v>
      </c>
      <c r="I15" s="233">
        <v>46239.43</v>
      </c>
    </row>
    <row r="16" spans="1:14" x14ac:dyDescent="0.3">
      <c r="A16" s="18" t="s">
        <v>14</v>
      </c>
      <c r="B16" s="197">
        <v>1238.32</v>
      </c>
      <c r="C16" s="149">
        <v>1238.76</v>
      </c>
      <c r="D16" s="63">
        <v>1397.95</v>
      </c>
      <c r="E16" s="149">
        <v>1809.08</v>
      </c>
      <c r="F16" s="63" t="s">
        <v>15</v>
      </c>
      <c r="G16" s="149">
        <v>1181.42</v>
      </c>
      <c r="H16" s="63">
        <v>2872.44</v>
      </c>
      <c r="I16" s="232">
        <v>3368.61</v>
      </c>
    </row>
    <row r="17" spans="1:13" x14ac:dyDescent="0.3">
      <c r="A17" s="23" t="s">
        <v>16</v>
      </c>
      <c r="B17" s="199" t="s">
        <v>24</v>
      </c>
      <c r="C17" s="37" t="s">
        <v>23</v>
      </c>
      <c r="D17" s="148" t="s">
        <v>22</v>
      </c>
      <c r="E17" s="37" t="s">
        <v>21</v>
      </c>
      <c r="F17" s="148" t="s">
        <v>20</v>
      </c>
      <c r="G17" s="37" t="s">
        <v>19</v>
      </c>
      <c r="H17" s="148" t="s">
        <v>18</v>
      </c>
      <c r="I17" s="233" t="s">
        <v>17</v>
      </c>
    </row>
    <row r="18" spans="1:13" x14ac:dyDescent="0.3">
      <c r="A18" s="18" t="s">
        <v>25</v>
      </c>
      <c r="B18" s="197">
        <v>20481.900000000001</v>
      </c>
      <c r="C18" s="149">
        <v>24550.22</v>
      </c>
      <c r="D18" s="63">
        <v>32105.57</v>
      </c>
      <c r="E18" s="149">
        <v>47099.59</v>
      </c>
      <c r="F18" s="63">
        <v>32954.92</v>
      </c>
      <c r="G18" s="149">
        <v>34864.43</v>
      </c>
      <c r="H18" s="63">
        <v>47947.519999999997</v>
      </c>
      <c r="I18" s="232">
        <v>64618.559999999998</v>
      </c>
    </row>
    <row r="19" spans="1:13" x14ac:dyDescent="0.3">
      <c r="A19" s="23" t="s">
        <v>26</v>
      </c>
      <c r="B19" s="148">
        <v>3307.8</v>
      </c>
      <c r="C19" s="37">
        <v>3398.15</v>
      </c>
      <c r="D19" s="148">
        <v>5089.63</v>
      </c>
      <c r="E19" s="37">
        <v>18758.71</v>
      </c>
      <c r="F19" s="148">
        <v>21419.83</v>
      </c>
      <c r="G19" s="37">
        <v>23580.15</v>
      </c>
      <c r="H19" s="148">
        <v>31317.31</v>
      </c>
      <c r="I19" s="233">
        <v>41693.54</v>
      </c>
    </row>
    <row r="20" spans="1:13" x14ac:dyDescent="0.3">
      <c r="A20" s="18" t="s">
        <v>27</v>
      </c>
      <c r="B20" s="63">
        <v>4572.53</v>
      </c>
      <c r="C20" s="149">
        <v>4368.7700000000004</v>
      </c>
      <c r="D20" s="63">
        <v>7595.8</v>
      </c>
      <c r="E20" s="149">
        <v>39739.29</v>
      </c>
      <c r="F20" s="63">
        <v>46994.46</v>
      </c>
      <c r="G20" s="149">
        <v>50686</v>
      </c>
      <c r="H20" s="63">
        <v>51029.69</v>
      </c>
      <c r="I20" s="232">
        <v>64257.29</v>
      </c>
    </row>
    <row r="21" spans="1:13" x14ac:dyDescent="0.3">
      <c r="A21" s="23" t="s">
        <v>28</v>
      </c>
      <c r="B21" s="148"/>
      <c r="C21" s="37"/>
      <c r="D21" s="148">
        <v>4674.87</v>
      </c>
      <c r="E21" s="37">
        <v>15461.89</v>
      </c>
      <c r="F21" s="148">
        <v>-5230.26</v>
      </c>
      <c r="G21" s="37">
        <v>9408.3799999999992</v>
      </c>
      <c r="H21" s="148">
        <v>29597.73</v>
      </c>
      <c r="I21" s="233">
        <v>7173.97</v>
      </c>
    </row>
    <row r="22" spans="1:13" x14ac:dyDescent="0.3">
      <c r="A22" s="24" t="s">
        <v>29</v>
      </c>
      <c r="B22" s="177">
        <v>47986.239999999998</v>
      </c>
      <c r="C22" s="178">
        <v>61139.26</v>
      </c>
      <c r="D22" s="177">
        <v>29482.57</v>
      </c>
      <c r="E22" s="178">
        <v>35340.04</v>
      </c>
      <c r="F22" s="177">
        <v>19104.099999999999</v>
      </c>
      <c r="G22" s="178">
        <v>24563.07</v>
      </c>
      <c r="H22" s="177">
        <v>42469.61</v>
      </c>
      <c r="I22" s="232">
        <v>55299.07</v>
      </c>
    </row>
    <row r="23" spans="1:13" x14ac:dyDescent="0.3">
      <c r="A23" s="25" t="s">
        <v>30</v>
      </c>
      <c r="B23" s="179">
        <v>172252.71</v>
      </c>
      <c r="C23" s="180">
        <v>208411.16</v>
      </c>
      <c r="D23" s="179">
        <v>299687.48</v>
      </c>
      <c r="E23" s="180">
        <v>375471.79</v>
      </c>
      <c r="F23" s="179">
        <v>214956.65</v>
      </c>
      <c r="G23" s="180">
        <v>328102.09000000003</v>
      </c>
      <c r="H23" s="179">
        <v>561858.03</v>
      </c>
      <c r="I23" s="233">
        <v>631818.54</v>
      </c>
    </row>
    <row r="24" spans="1:13" x14ac:dyDescent="0.3">
      <c r="A24" s="26" t="s">
        <v>31</v>
      </c>
      <c r="B24" s="155">
        <v>21442.99</v>
      </c>
      <c r="C24" s="153">
        <v>31266.27</v>
      </c>
      <c r="D24" s="155">
        <v>-1473.78</v>
      </c>
      <c r="E24" s="153">
        <v>-2556.69</v>
      </c>
      <c r="F24" s="155">
        <v>-58180.7</v>
      </c>
      <c r="G24" s="153">
        <v>-61536.84</v>
      </c>
      <c r="H24" s="155">
        <v>-3043.85</v>
      </c>
      <c r="I24" s="234">
        <v>80493.09</v>
      </c>
    </row>
    <row r="25" spans="1:13" x14ac:dyDescent="0.3">
      <c r="A25" s="23" t="s">
        <v>32</v>
      </c>
      <c r="B25" s="148"/>
      <c r="C25" s="37"/>
      <c r="D25" s="148"/>
      <c r="E25" s="37"/>
      <c r="F25" s="148"/>
      <c r="G25" s="37"/>
      <c r="H25" s="148"/>
      <c r="I25" s="233" t="s">
        <v>5</v>
      </c>
    </row>
    <row r="26" spans="1:13" x14ac:dyDescent="0.3">
      <c r="A26" s="18" t="s">
        <v>33</v>
      </c>
      <c r="B26" s="63">
        <v>4911.51</v>
      </c>
      <c r="C26" s="149">
        <v>6689.82</v>
      </c>
      <c r="D26" s="63" t="s">
        <v>39</v>
      </c>
      <c r="E26" s="149" t="s">
        <v>38</v>
      </c>
      <c r="F26" s="63" t="s">
        <v>37</v>
      </c>
      <c r="G26" s="149" t="s">
        <v>36</v>
      </c>
      <c r="H26" s="63" t="s">
        <v>35</v>
      </c>
      <c r="I26" s="232" t="s">
        <v>34</v>
      </c>
    </row>
    <row r="27" spans="1:13" x14ac:dyDescent="0.3">
      <c r="A27" s="21" t="s">
        <v>40</v>
      </c>
      <c r="B27" s="173" t="s">
        <v>45</v>
      </c>
      <c r="C27" s="174">
        <v>2153.21</v>
      </c>
      <c r="D27" s="173">
        <v>-3061.49</v>
      </c>
      <c r="E27" s="174" t="s">
        <v>44</v>
      </c>
      <c r="F27" s="173" t="s">
        <v>43</v>
      </c>
      <c r="G27" s="174" t="s">
        <v>42</v>
      </c>
      <c r="H27" s="173"/>
      <c r="I27" s="233">
        <v>-1242.44</v>
      </c>
      <c r="J27" s="191"/>
      <c r="K27" s="191"/>
      <c r="L27" s="191"/>
      <c r="M27" s="191"/>
    </row>
    <row r="28" spans="1:13" ht="15" thickBot="1" x14ac:dyDescent="0.35">
      <c r="A28" s="28" t="s">
        <v>46</v>
      </c>
      <c r="B28" s="181">
        <v>4851.5200000000004</v>
      </c>
      <c r="C28" s="182">
        <v>8843.0300000000007</v>
      </c>
      <c r="D28" s="181">
        <v>-3046.25</v>
      </c>
      <c r="E28" s="182" t="s">
        <v>49</v>
      </c>
      <c r="F28" s="181" t="s">
        <v>48</v>
      </c>
      <c r="G28" s="182" t="s">
        <v>47</v>
      </c>
      <c r="H28" s="181" t="s">
        <v>35</v>
      </c>
      <c r="I28" s="232">
        <v>-1231.5899999999999</v>
      </c>
    </row>
    <row r="29" spans="1:13" x14ac:dyDescent="0.3">
      <c r="A29" s="29" t="s">
        <v>50</v>
      </c>
      <c r="B29" s="183">
        <v>16591.47</v>
      </c>
      <c r="C29" s="184">
        <v>22423.24</v>
      </c>
      <c r="D29" s="183">
        <v>1572.47</v>
      </c>
      <c r="E29" s="184">
        <v>-2336.7800000000002</v>
      </c>
      <c r="F29" s="183">
        <v>-58064.27</v>
      </c>
      <c r="G29" s="184">
        <v>-61618.45</v>
      </c>
      <c r="H29" s="185">
        <v>-3057.89</v>
      </c>
      <c r="I29" s="235">
        <v>81724.679999999993</v>
      </c>
    </row>
    <row r="31" spans="1:13" x14ac:dyDescent="0.3">
      <c r="A31" s="236" t="s">
        <v>478</v>
      </c>
      <c r="B31" s="237">
        <v>361468363</v>
      </c>
      <c r="C31" s="237">
        <v>384406838</v>
      </c>
      <c r="D31" s="237">
        <v>384406838</v>
      </c>
      <c r="E31" s="237">
        <v>384796279</v>
      </c>
      <c r="F31" s="237">
        <v>384910000</v>
      </c>
      <c r="G31" s="237">
        <v>385254729</v>
      </c>
      <c r="H31" s="237">
        <v>385547099</v>
      </c>
      <c r="I31" s="237">
        <v>385978689</v>
      </c>
    </row>
    <row r="33" spans="1:9" x14ac:dyDescent="0.3">
      <c r="A33" t="s">
        <v>662</v>
      </c>
      <c r="B33" s="191">
        <v>3913.27</v>
      </c>
      <c r="C33" s="191">
        <v>4008.05</v>
      </c>
      <c r="D33" s="191">
        <v>4344.1099999999997</v>
      </c>
      <c r="E33" s="191">
        <v>2571.6999999999998</v>
      </c>
      <c r="F33" s="191">
        <v>1269.28</v>
      </c>
      <c r="G33">
        <v>675.25</v>
      </c>
      <c r="H33" s="191">
        <v>2697.56</v>
      </c>
      <c r="I33" s="191">
        <v>8464.5499999999993</v>
      </c>
    </row>
    <row r="34" spans="1:9" x14ac:dyDescent="0.3">
      <c r="A34" t="s">
        <v>663</v>
      </c>
      <c r="B34">
        <v>488.02</v>
      </c>
      <c r="C34">
        <v>589.97</v>
      </c>
      <c r="D34">
        <v>755.46</v>
      </c>
      <c r="E34">
        <v>986.56</v>
      </c>
      <c r="F34" s="191">
        <v>1174.57</v>
      </c>
      <c r="G34" s="191">
        <v>1344.13</v>
      </c>
      <c r="H34" s="191">
        <v>1957.78</v>
      </c>
      <c r="I34" s="191">
        <v>3117.82</v>
      </c>
    </row>
    <row r="35" spans="1:9" x14ac:dyDescent="0.3">
      <c r="A35" t="s">
        <v>664</v>
      </c>
      <c r="H35">
        <v>184.87</v>
      </c>
      <c r="I35">
        <v>175.77</v>
      </c>
    </row>
    <row r="36" spans="1:9" x14ac:dyDescent="0.3">
      <c r="A36" s="359" t="s">
        <v>661</v>
      </c>
      <c r="B36" s="360">
        <f>SUM(B33:B35)</f>
        <v>4401.29</v>
      </c>
      <c r="C36" s="360">
        <f t="shared" ref="C36:I36" si="2">SUM(C33:C35)</f>
        <v>4598.0200000000004</v>
      </c>
      <c r="D36" s="360">
        <f t="shared" si="2"/>
        <v>5099.57</v>
      </c>
      <c r="E36" s="360">
        <f t="shared" si="2"/>
        <v>3558.2599999999998</v>
      </c>
      <c r="F36" s="360">
        <f t="shared" si="2"/>
        <v>2443.85</v>
      </c>
      <c r="G36" s="360">
        <f t="shared" si="2"/>
        <v>2019.38</v>
      </c>
      <c r="H36" s="360">
        <f t="shared" si="2"/>
        <v>4840.21</v>
      </c>
      <c r="I36" s="360">
        <f t="shared" si="2"/>
        <v>11758.14</v>
      </c>
    </row>
    <row r="38" spans="1:9" x14ac:dyDescent="0.3">
      <c r="A38" s="57" t="s">
        <v>665</v>
      </c>
      <c r="B38" s="57">
        <v>0</v>
      </c>
      <c r="C38" s="57">
        <v>0</v>
      </c>
      <c r="D38" s="57">
        <v>0</v>
      </c>
      <c r="E38" s="388">
        <v>13644.5</v>
      </c>
      <c r="F38" s="388">
        <v>16196.87</v>
      </c>
      <c r="G38" s="388">
        <v>19518.400000000001</v>
      </c>
      <c r="H38" s="388">
        <v>26339.65</v>
      </c>
      <c r="I38" s="388">
        <v>34763.129999999997</v>
      </c>
    </row>
    <row r="39" spans="1:9" x14ac:dyDescent="0.3">
      <c r="A39" s="359" t="s">
        <v>666</v>
      </c>
      <c r="B39" s="360">
        <v>3307.8</v>
      </c>
      <c r="C39" s="360">
        <v>3398.15</v>
      </c>
      <c r="D39" s="360">
        <v>5089.63</v>
      </c>
      <c r="E39" s="360">
        <v>5114.2099999999991</v>
      </c>
      <c r="F39" s="360">
        <v>5222.9600000000009</v>
      </c>
      <c r="G39" s="360">
        <v>4061.75</v>
      </c>
      <c r="H39" s="360">
        <v>4977.66</v>
      </c>
      <c r="I39" s="360">
        <v>6930.4100000000035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5D69-F780-47AF-8DB6-CAA14E5D2AA9}">
  <sheetPr codeName="Sheet3">
    <tabColor theme="2" tint="-9.9978637043366805E-2"/>
  </sheetPr>
  <dimension ref="A1:V66"/>
  <sheetViews>
    <sheetView showGridLines="0" topLeftCell="A61" zoomScale="94" zoomScaleNormal="92" workbookViewId="0">
      <selection activeCell="N122" sqref="N122"/>
    </sheetView>
  </sheetViews>
  <sheetFormatPr defaultRowHeight="14.4" x14ac:dyDescent="0.3"/>
  <cols>
    <col min="1" max="1" width="2.109375" customWidth="1"/>
    <col min="2" max="2" width="1.88671875" customWidth="1"/>
    <col min="3" max="3" width="3.109375" customWidth="1"/>
    <col min="4" max="4" width="51.5546875" customWidth="1"/>
    <col min="5" max="12" width="15.77734375" customWidth="1"/>
  </cols>
  <sheetData>
    <row r="1" spans="1:14" ht="23.4" x14ac:dyDescent="0.45">
      <c r="C1" s="4" t="s">
        <v>51</v>
      </c>
    </row>
    <row r="3" spans="1:14" x14ac:dyDescent="0.3">
      <c r="A3" s="9"/>
      <c r="B3" s="10"/>
      <c r="C3" s="10" t="s">
        <v>1</v>
      </c>
      <c r="D3" s="10"/>
      <c r="E3" s="17"/>
      <c r="F3" s="16"/>
      <c r="G3" s="16"/>
      <c r="H3" s="16"/>
      <c r="I3" s="16"/>
      <c r="J3" s="16"/>
      <c r="K3" s="16"/>
      <c r="L3" s="221"/>
    </row>
    <row r="4" spans="1:14" x14ac:dyDescent="0.3">
      <c r="A4" s="30"/>
      <c r="B4" s="31"/>
      <c r="C4" s="31" t="s">
        <v>52</v>
      </c>
      <c r="D4" s="31"/>
      <c r="E4" s="20"/>
      <c r="F4" s="19"/>
      <c r="G4" s="19"/>
      <c r="H4" s="19"/>
      <c r="I4" s="19"/>
      <c r="J4" s="19"/>
      <c r="K4" s="19"/>
      <c r="L4" s="212"/>
    </row>
    <row r="5" spans="1:14" x14ac:dyDescent="0.3">
      <c r="A5" s="12"/>
      <c r="B5" s="32"/>
      <c r="C5" s="32" t="s">
        <v>3</v>
      </c>
      <c r="D5" s="32"/>
      <c r="E5" s="13">
        <f t="shared" ref="E5:K5" si="0">F5-1</f>
        <v>2017</v>
      </c>
      <c r="F5" s="13">
        <f t="shared" si="0"/>
        <v>2018</v>
      </c>
      <c r="G5" s="13">
        <f t="shared" si="0"/>
        <v>2019</v>
      </c>
      <c r="H5" s="13">
        <f t="shared" si="0"/>
        <v>2020</v>
      </c>
      <c r="I5" s="13">
        <f t="shared" si="0"/>
        <v>2021</v>
      </c>
      <c r="J5" s="13">
        <f t="shared" si="0"/>
        <v>2022</v>
      </c>
      <c r="K5" s="13">
        <f t="shared" si="0"/>
        <v>2023</v>
      </c>
      <c r="L5" s="222">
        <v>2024</v>
      </c>
    </row>
    <row r="6" spans="1:14" x14ac:dyDescent="0.3">
      <c r="A6" s="15" t="s">
        <v>53</v>
      </c>
      <c r="B6" s="33"/>
      <c r="C6" s="33" t="s">
        <v>54</v>
      </c>
      <c r="D6" s="33"/>
      <c r="E6" s="17"/>
      <c r="F6" s="16"/>
      <c r="G6" s="16"/>
      <c r="H6" s="16"/>
      <c r="I6" s="16"/>
      <c r="J6" s="16"/>
      <c r="K6" s="16"/>
      <c r="L6" s="223" t="s">
        <v>5</v>
      </c>
    </row>
    <row r="7" spans="1:14" x14ac:dyDescent="0.3">
      <c r="A7" s="30"/>
      <c r="B7" s="34" t="s">
        <v>55</v>
      </c>
      <c r="C7" s="34"/>
      <c r="D7" s="31"/>
      <c r="E7" s="20"/>
      <c r="F7" s="19"/>
      <c r="G7" s="19"/>
      <c r="H7" s="19"/>
      <c r="I7" s="19"/>
      <c r="J7" s="19"/>
      <c r="K7" s="19"/>
      <c r="L7" s="212" t="s">
        <v>5</v>
      </c>
    </row>
    <row r="8" spans="1:14" x14ac:dyDescent="0.3">
      <c r="A8" s="9"/>
      <c r="B8" s="10" t="s">
        <v>56</v>
      </c>
      <c r="C8" s="10" t="s">
        <v>57</v>
      </c>
      <c r="D8" s="10"/>
      <c r="E8" s="148">
        <v>37474.720000000001</v>
      </c>
      <c r="F8" s="37">
        <v>45347.56</v>
      </c>
      <c r="G8" s="37">
        <v>56315.54</v>
      </c>
      <c r="H8" s="37">
        <v>24995.69</v>
      </c>
      <c r="I8" s="37">
        <v>7969.66</v>
      </c>
      <c r="J8" s="37">
        <v>8239.5300000000007</v>
      </c>
      <c r="K8" s="37">
        <v>11111.69</v>
      </c>
      <c r="L8" s="213">
        <v>19029.12</v>
      </c>
    </row>
    <row r="9" spans="1:14" x14ac:dyDescent="0.3">
      <c r="A9" s="30"/>
      <c r="B9" s="31" t="s">
        <v>58</v>
      </c>
      <c r="C9" s="31" t="s">
        <v>59</v>
      </c>
      <c r="D9" s="31"/>
      <c r="E9" s="63"/>
      <c r="F9" s="149"/>
      <c r="G9" s="149">
        <v>0</v>
      </c>
      <c r="H9" s="149">
        <v>142461.38</v>
      </c>
      <c r="I9" s="149">
        <v>179861.71</v>
      </c>
      <c r="J9" s="149">
        <v>204381.48</v>
      </c>
      <c r="K9" s="149">
        <v>265364.95</v>
      </c>
      <c r="L9" s="216">
        <v>342023.08</v>
      </c>
    </row>
    <row r="10" spans="1:14" x14ac:dyDescent="0.3">
      <c r="A10" s="9"/>
      <c r="B10" s="10" t="s">
        <v>60</v>
      </c>
      <c r="C10" s="10" t="s">
        <v>61</v>
      </c>
      <c r="D10" s="10"/>
      <c r="E10" s="189">
        <v>233.1</v>
      </c>
      <c r="F10" s="190">
        <v>294.2</v>
      </c>
      <c r="G10" s="190">
        <v>220.2</v>
      </c>
      <c r="H10" s="190">
        <v>1292.7</v>
      </c>
      <c r="I10" s="190">
        <v>663.5</v>
      </c>
      <c r="J10" s="190">
        <v>1193.18</v>
      </c>
      <c r="K10" s="190"/>
      <c r="L10" s="224">
        <v>1.43</v>
      </c>
    </row>
    <row r="11" spans="1:14" x14ac:dyDescent="0.3">
      <c r="A11" s="30"/>
      <c r="B11" s="31" t="s">
        <v>62</v>
      </c>
      <c r="C11" s="31" t="s">
        <v>63</v>
      </c>
      <c r="D11" s="31"/>
      <c r="E11" s="143">
        <v>463.69</v>
      </c>
      <c r="F11" s="144" t="s">
        <v>70</v>
      </c>
      <c r="G11" s="144" t="s">
        <v>69</v>
      </c>
      <c r="H11" s="144" t="s">
        <v>68</v>
      </c>
      <c r="I11" s="144" t="s">
        <v>67</v>
      </c>
      <c r="J11" s="144" t="s">
        <v>66</v>
      </c>
      <c r="K11" s="144" t="s">
        <v>65</v>
      </c>
      <c r="L11" s="225" t="s">
        <v>64</v>
      </c>
      <c r="N11" s="191"/>
    </row>
    <row r="12" spans="1:14" x14ac:dyDescent="0.3">
      <c r="A12" s="9"/>
      <c r="B12" s="10" t="s">
        <v>71</v>
      </c>
      <c r="C12" s="10" t="s">
        <v>72</v>
      </c>
      <c r="D12" s="10"/>
      <c r="E12" s="145">
        <v>18.829999999999998</v>
      </c>
      <c r="F12" s="146" t="s">
        <v>79</v>
      </c>
      <c r="G12" s="146" t="s">
        <v>78</v>
      </c>
      <c r="H12" s="146" t="s">
        <v>77</v>
      </c>
      <c r="I12" s="146" t="s">
        <v>76</v>
      </c>
      <c r="J12" s="146" t="s">
        <v>75</v>
      </c>
      <c r="K12" s="146" t="s">
        <v>74</v>
      </c>
      <c r="L12" s="226" t="s">
        <v>73</v>
      </c>
    </row>
    <row r="13" spans="1:14" x14ac:dyDescent="0.3">
      <c r="A13" s="30"/>
      <c r="B13" s="31" t="s">
        <v>80</v>
      </c>
      <c r="C13" s="31" t="s">
        <v>81</v>
      </c>
      <c r="D13" s="31"/>
      <c r="E13" s="63"/>
      <c r="F13" s="149"/>
      <c r="G13" s="149"/>
      <c r="H13" s="149"/>
      <c r="I13" s="149"/>
      <c r="J13" s="149"/>
      <c r="K13" s="149"/>
      <c r="L13" s="216" t="s">
        <v>5</v>
      </c>
    </row>
    <row r="14" spans="1:14" x14ac:dyDescent="0.3">
      <c r="A14" s="9"/>
      <c r="B14" s="10"/>
      <c r="C14" s="35" t="s">
        <v>82</v>
      </c>
      <c r="D14" s="35" t="s">
        <v>83</v>
      </c>
      <c r="E14" s="199" t="s">
        <v>90</v>
      </c>
      <c r="F14" s="37" t="s">
        <v>89</v>
      </c>
      <c r="G14" s="37" t="s">
        <v>88</v>
      </c>
      <c r="H14" s="37" t="s">
        <v>87</v>
      </c>
      <c r="I14" s="37" t="s">
        <v>86</v>
      </c>
      <c r="J14" s="37" t="s">
        <v>85</v>
      </c>
      <c r="K14" s="37" t="s">
        <v>84</v>
      </c>
      <c r="L14" s="213">
        <v>9748.39</v>
      </c>
      <c r="N14" s="191"/>
    </row>
    <row r="15" spans="1:14" x14ac:dyDescent="0.3">
      <c r="A15" s="30"/>
      <c r="B15" s="31"/>
      <c r="C15" s="36" t="s">
        <v>91</v>
      </c>
      <c r="D15" s="36" t="s">
        <v>92</v>
      </c>
      <c r="E15" s="197">
        <v>5440.26</v>
      </c>
      <c r="F15" s="149">
        <v>6831.34</v>
      </c>
      <c r="G15" s="149">
        <v>5843.97</v>
      </c>
      <c r="H15" s="149">
        <v>12759.54</v>
      </c>
      <c r="I15" s="149"/>
      <c r="J15" s="149"/>
      <c r="K15" s="149"/>
      <c r="L15" s="216"/>
    </row>
    <row r="16" spans="1:14" x14ac:dyDescent="0.3">
      <c r="A16" s="9"/>
      <c r="B16" s="10"/>
      <c r="C16" s="35" t="s">
        <v>93</v>
      </c>
      <c r="D16" s="35"/>
      <c r="E16" s="199">
        <v>10356.39</v>
      </c>
      <c r="F16" s="37">
        <v>8195.2199999999993</v>
      </c>
      <c r="G16" s="37">
        <v>1988.21</v>
      </c>
      <c r="H16" s="37" t="s">
        <v>94</v>
      </c>
      <c r="I16" s="37">
        <v>15822.91</v>
      </c>
      <c r="J16" s="37">
        <v>20911.22</v>
      </c>
      <c r="K16" s="37">
        <v>24499.66</v>
      </c>
      <c r="L16" s="213">
        <v>52962.16</v>
      </c>
    </row>
    <row r="17" spans="1:22" x14ac:dyDescent="0.3">
      <c r="A17" s="30"/>
      <c r="B17" s="31" t="s">
        <v>95</v>
      </c>
      <c r="C17" s="31" t="s">
        <v>96</v>
      </c>
      <c r="D17" s="31"/>
      <c r="E17" s="197"/>
      <c r="F17" s="149"/>
      <c r="G17" s="149" t="s">
        <v>97</v>
      </c>
      <c r="H17" s="149">
        <v>2992.82</v>
      </c>
      <c r="I17" s="149">
        <v>3026.93</v>
      </c>
      <c r="J17" s="149">
        <v>2949.44</v>
      </c>
      <c r="K17" s="149">
        <v>2949.44</v>
      </c>
      <c r="L17" s="216">
        <v>4191.88</v>
      </c>
    </row>
    <row r="18" spans="1:22" x14ac:dyDescent="0.3">
      <c r="A18" s="9"/>
      <c r="B18" s="10" t="s">
        <v>98</v>
      </c>
      <c r="C18" s="10" t="s">
        <v>99</v>
      </c>
      <c r="D18" s="10"/>
      <c r="E18" s="199" t="s">
        <v>106</v>
      </c>
      <c r="F18" s="37" t="s">
        <v>105</v>
      </c>
      <c r="G18" s="37" t="s">
        <v>104</v>
      </c>
      <c r="H18" s="37" t="s">
        <v>103</v>
      </c>
      <c r="I18" s="37" t="s">
        <v>102</v>
      </c>
      <c r="J18" s="37" t="s">
        <v>101</v>
      </c>
      <c r="K18" s="37">
        <v>10997.87</v>
      </c>
      <c r="L18" s="213" t="s">
        <v>100</v>
      </c>
      <c r="N18" s="191"/>
    </row>
    <row r="19" spans="1:22" x14ac:dyDescent="0.3">
      <c r="A19" s="30"/>
      <c r="B19" s="31" t="s">
        <v>107</v>
      </c>
      <c r="C19" s="31" t="s">
        <v>108</v>
      </c>
      <c r="D19" s="31"/>
      <c r="E19" s="197">
        <v>3686.2099999999718</v>
      </c>
      <c r="F19" s="149">
        <v>-48534.999999999971</v>
      </c>
      <c r="G19" s="149">
        <v>4409.0200000000386</v>
      </c>
      <c r="H19" s="149">
        <v>11498.450000000008</v>
      </c>
      <c r="I19" s="149">
        <v>14638.499999999995</v>
      </c>
      <c r="J19" s="149">
        <v>19386.329999999965</v>
      </c>
      <c r="K19" s="149">
        <v>15038.979999999916</v>
      </c>
      <c r="L19" s="216">
        <v>35261.279999999984</v>
      </c>
    </row>
    <row r="20" spans="1:22" x14ac:dyDescent="0.3">
      <c r="A20" s="38"/>
      <c r="B20" s="39"/>
      <c r="C20" s="40" t="s">
        <v>109</v>
      </c>
      <c r="D20" s="40"/>
      <c r="E20" s="165">
        <v>57633.440000000002</v>
      </c>
      <c r="F20" s="166">
        <v>64977.33</v>
      </c>
      <c r="G20" s="166">
        <v>69097.960000000006</v>
      </c>
      <c r="H20" s="166">
        <v>196446.18</v>
      </c>
      <c r="I20" s="166">
        <v>222372.36</v>
      </c>
      <c r="J20" s="166">
        <v>257337.19</v>
      </c>
      <c r="K20" s="166">
        <v>330211.05</v>
      </c>
      <c r="L20" s="218">
        <v>463714</v>
      </c>
    </row>
    <row r="21" spans="1:22" x14ac:dyDescent="0.3">
      <c r="A21" s="30"/>
      <c r="B21" s="34"/>
      <c r="C21" s="34"/>
      <c r="D21" s="31"/>
      <c r="E21" s="390"/>
      <c r="F21" s="391"/>
      <c r="G21" s="392"/>
      <c r="H21" s="393"/>
      <c r="I21" s="390"/>
      <c r="J21" s="394"/>
      <c r="K21" s="392"/>
      <c r="L21" s="395"/>
    </row>
    <row r="22" spans="1:22" x14ac:dyDescent="0.3">
      <c r="A22" s="30"/>
      <c r="B22" s="34"/>
      <c r="C22" s="34"/>
      <c r="D22" s="31"/>
      <c r="E22" s="63"/>
      <c r="F22" s="63"/>
      <c r="G22" s="63"/>
      <c r="H22" s="63"/>
      <c r="I22" s="63"/>
      <c r="J22" s="63"/>
      <c r="K22" s="63"/>
      <c r="L22" s="63"/>
    </row>
    <row r="23" spans="1:22" x14ac:dyDescent="0.3">
      <c r="A23" s="30"/>
      <c r="B23" s="34"/>
      <c r="C23" s="34"/>
      <c r="D23" s="31"/>
      <c r="E23" s="63"/>
      <c r="F23" s="149"/>
      <c r="G23" s="149"/>
      <c r="H23" s="149"/>
      <c r="I23" s="149"/>
      <c r="J23" s="149"/>
      <c r="K23" s="149"/>
      <c r="L23" s="149"/>
    </row>
    <row r="24" spans="1:22" x14ac:dyDescent="0.3">
      <c r="A24" s="30"/>
      <c r="B24" s="34" t="s">
        <v>110</v>
      </c>
      <c r="C24" s="34"/>
      <c r="D24" s="31"/>
      <c r="E24" s="63"/>
      <c r="F24" s="149"/>
      <c r="G24" s="149"/>
      <c r="H24" s="149"/>
      <c r="I24" s="149"/>
      <c r="J24" s="149"/>
      <c r="K24" s="149"/>
      <c r="L24" s="216"/>
    </row>
    <row r="25" spans="1:22" x14ac:dyDescent="0.3">
      <c r="A25" s="9"/>
      <c r="B25" s="10" t="s">
        <v>56</v>
      </c>
      <c r="C25" s="10" t="s">
        <v>111</v>
      </c>
      <c r="D25" s="10"/>
      <c r="E25" s="148">
        <v>1631.5</v>
      </c>
      <c r="F25" s="37">
        <v>1832.27</v>
      </c>
      <c r="G25" s="37">
        <v>2114.41</v>
      </c>
      <c r="H25" s="37">
        <v>2861.28</v>
      </c>
      <c r="I25" s="37">
        <v>3164.18</v>
      </c>
      <c r="J25" s="37">
        <v>4080.63</v>
      </c>
      <c r="K25" s="37">
        <v>5910.67</v>
      </c>
      <c r="L25" s="213">
        <v>6247.98</v>
      </c>
    </row>
    <row r="26" spans="1:22" x14ac:dyDescent="0.3">
      <c r="A26" s="30"/>
      <c r="B26" s="31" t="s">
        <v>58</v>
      </c>
      <c r="C26" s="31" t="s">
        <v>81</v>
      </c>
      <c r="D26" s="31"/>
      <c r="E26" s="63"/>
      <c r="F26" s="149"/>
      <c r="G26" s="149"/>
      <c r="H26" s="149"/>
      <c r="I26" s="149"/>
      <c r="J26" s="149"/>
      <c r="K26" s="149"/>
      <c r="L26" s="216" t="s">
        <v>5</v>
      </c>
      <c r="O26" s="191"/>
      <c r="P26" s="191"/>
      <c r="Q26" s="191"/>
      <c r="R26" s="191"/>
      <c r="S26" s="191"/>
      <c r="T26" s="191"/>
      <c r="U26" s="191"/>
      <c r="V26" s="191"/>
    </row>
    <row r="27" spans="1:22" x14ac:dyDescent="0.3">
      <c r="A27" s="9"/>
      <c r="B27" s="10"/>
      <c r="C27" s="10" t="s">
        <v>82</v>
      </c>
      <c r="D27" s="10" t="s">
        <v>83</v>
      </c>
      <c r="E27" s="148">
        <v>37134.1</v>
      </c>
      <c r="F27" s="37">
        <v>63439.12</v>
      </c>
      <c r="G27" s="37">
        <v>65165.7</v>
      </c>
      <c r="H27" s="37">
        <v>94991.67</v>
      </c>
      <c r="I27" s="37">
        <v>73394.06</v>
      </c>
      <c r="J27" s="37">
        <v>81064.72</v>
      </c>
      <c r="K27" s="37">
        <v>115580.29</v>
      </c>
      <c r="L27" s="213">
        <v>155711.23000000001</v>
      </c>
    </row>
    <row r="28" spans="1:22" x14ac:dyDescent="0.3">
      <c r="A28" s="30"/>
      <c r="B28" s="31"/>
      <c r="C28" s="31" t="s">
        <v>91</v>
      </c>
      <c r="D28" s="31" t="s">
        <v>112</v>
      </c>
      <c r="E28" s="63">
        <v>1587.02</v>
      </c>
      <c r="F28" s="149">
        <v>2263.15</v>
      </c>
      <c r="G28" s="149">
        <v>3624.67</v>
      </c>
      <c r="H28" s="149">
        <v>2594.16</v>
      </c>
      <c r="I28" s="149">
        <v>2189.7800000000002</v>
      </c>
      <c r="J28" s="149">
        <v>3329.23</v>
      </c>
      <c r="K28" s="149">
        <v>5199.04</v>
      </c>
      <c r="L28" s="216">
        <v>6425.23</v>
      </c>
    </row>
    <row r="29" spans="1:22" x14ac:dyDescent="0.3">
      <c r="A29" s="9"/>
      <c r="B29" s="10"/>
      <c r="C29" s="10" t="s">
        <v>113</v>
      </c>
      <c r="D29" s="10"/>
      <c r="E29" s="148">
        <v>1531.19</v>
      </c>
      <c r="F29" s="37">
        <v>6707.18</v>
      </c>
      <c r="G29" s="37">
        <v>7284.17</v>
      </c>
      <c r="H29" s="37">
        <v>7190.66</v>
      </c>
      <c r="I29" s="37">
        <v>5088.8500000000004</v>
      </c>
      <c r="J29" s="37">
        <v>10153.290000000001</v>
      </c>
      <c r="K29" s="37">
        <v>12679.69</v>
      </c>
      <c r="L29" s="213">
        <v>6952.77</v>
      </c>
    </row>
    <row r="30" spans="1:22" x14ac:dyDescent="0.3">
      <c r="A30" s="30"/>
      <c r="B30" s="31"/>
      <c r="C30" s="31" t="s">
        <v>114</v>
      </c>
      <c r="D30" s="31"/>
      <c r="E30" s="63">
        <v>44794.26</v>
      </c>
      <c r="F30" s="149">
        <v>59099.73</v>
      </c>
      <c r="G30" s="149">
        <v>78935.8</v>
      </c>
      <c r="H30" s="149">
        <v>101533.64</v>
      </c>
      <c r="I30" s="149">
        <v>107187.8</v>
      </c>
      <c r="J30" s="149">
        <v>91048.12</v>
      </c>
      <c r="K30" s="149">
        <v>105717.16</v>
      </c>
      <c r="L30" s="216">
        <v>160253.29999999999</v>
      </c>
    </row>
    <row r="31" spans="1:22" x14ac:dyDescent="0.3">
      <c r="A31" s="9"/>
      <c r="B31" s="10"/>
      <c r="C31" s="35" t="s">
        <v>115</v>
      </c>
      <c r="D31" s="35" t="s">
        <v>92</v>
      </c>
      <c r="E31" s="148" t="s">
        <v>116</v>
      </c>
      <c r="F31" s="37">
        <v>1914.95</v>
      </c>
      <c r="G31" s="37">
        <v>4669.6099999999997</v>
      </c>
      <c r="H31" s="37">
        <v>4551.2299999999996</v>
      </c>
      <c r="I31" s="37"/>
      <c r="J31" s="37"/>
      <c r="K31" s="37"/>
      <c r="L31" s="213"/>
    </row>
    <row r="32" spans="1:22" x14ac:dyDescent="0.3">
      <c r="A32" s="30"/>
      <c r="B32" s="31"/>
      <c r="C32" s="36" t="s">
        <v>117</v>
      </c>
      <c r="D32" s="36" t="s">
        <v>118</v>
      </c>
      <c r="E32" s="63">
        <v>4100.8599999999997</v>
      </c>
      <c r="F32" s="149">
        <v>4580.01</v>
      </c>
      <c r="G32" s="149">
        <v>7925.2</v>
      </c>
      <c r="H32" s="149">
        <v>6231.27</v>
      </c>
      <c r="I32" s="149">
        <v>7478.9</v>
      </c>
      <c r="J32" s="149">
        <v>3281.1</v>
      </c>
      <c r="K32" s="149">
        <v>10397.67</v>
      </c>
      <c r="L32" s="216">
        <v>17281.91</v>
      </c>
    </row>
    <row r="33" spans="1:12" x14ac:dyDescent="0.3">
      <c r="A33" s="9"/>
      <c r="B33" s="10" t="s">
        <v>60</v>
      </c>
      <c r="C33" s="10" t="s">
        <v>119</v>
      </c>
      <c r="D33" s="10"/>
      <c r="E33" s="148">
        <v>3645.23</v>
      </c>
      <c r="F33" s="37">
        <v>6479.22</v>
      </c>
      <c r="G33" s="37">
        <v>11450.9</v>
      </c>
      <c r="H33" s="37">
        <v>4610.6899999999996</v>
      </c>
      <c r="I33" s="37">
        <v>9635.6</v>
      </c>
      <c r="J33" s="37">
        <v>9331.7000000000007</v>
      </c>
      <c r="K33" s="37">
        <v>6002.62</v>
      </c>
      <c r="L33" s="213">
        <v>5658.75</v>
      </c>
    </row>
    <row r="34" spans="1:12" ht="15" thickBot="1" x14ac:dyDescent="0.35">
      <c r="A34" s="41"/>
      <c r="B34" s="42"/>
      <c r="C34" s="43" t="s">
        <v>120</v>
      </c>
      <c r="D34" s="43"/>
      <c r="E34" s="167">
        <v>94463.92</v>
      </c>
      <c r="F34" s="168">
        <v>146315.63</v>
      </c>
      <c r="G34" s="168">
        <v>181170.46</v>
      </c>
      <c r="H34" s="168">
        <v>224564.6</v>
      </c>
      <c r="I34" s="168">
        <v>208139.17</v>
      </c>
      <c r="J34" s="168">
        <v>202288.79</v>
      </c>
      <c r="K34" s="168">
        <v>261487.14</v>
      </c>
      <c r="L34" s="217">
        <v>358531.17</v>
      </c>
    </row>
    <row r="35" spans="1:12" x14ac:dyDescent="0.3">
      <c r="A35" s="44"/>
      <c r="B35" s="45"/>
      <c r="C35" s="45" t="s">
        <v>121</v>
      </c>
      <c r="D35" s="45"/>
      <c r="E35" s="169">
        <v>152097.35999999999</v>
      </c>
      <c r="F35" s="170">
        <v>211292.96</v>
      </c>
      <c r="G35" s="170">
        <v>250268.42</v>
      </c>
      <c r="H35" s="170">
        <v>421010.78</v>
      </c>
      <c r="I35" s="170">
        <v>430511.53</v>
      </c>
      <c r="J35" s="170">
        <v>459625.98</v>
      </c>
      <c r="K35" s="170">
        <v>591698.18999999994</v>
      </c>
      <c r="L35" s="219">
        <v>822245.17</v>
      </c>
    </row>
    <row r="36" spans="1:12" x14ac:dyDescent="0.3">
      <c r="A36" s="30"/>
      <c r="B36" s="31"/>
      <c r="C36" s="31"/>
      <c r="D36" s="31"/>
      <c r="E36" s="63"/>
      <c r="F36" s="149"/>
      <c r="G36" s="149"/>
      <c r="H36" s="149"/>
      <c r="I36" s="149"/>
      <c r="J36" s="149"/>
      <c r="K36" s="149"/>
      <c r="L36" s="216"/>
    </row>
    <row r="37" spans="1:12" x14ac:dyDescent="0.3">
      <c r="A37" s="15" t="s">
        <v>122</v>
      </c>
      <c r="B37" s="33"/>
      <c r="C37" s="33" t="s">
        <v>123</v>
      </c>
      <c r="D37" s="33"/>
      <c r="E37" s="148"/>
      <c r="F37" s="148"/>
      <c r="G37" s="148"/>
      <c r="H37" s="148"/>
      <c r="I37" s="148"/>
      <c r="J37" s="148"/>
      <c r="K37" s="148"/>
      <c r="L37" s="213"/>
    </row>
    <row r="38" spans="1:12" x14ac:dyDescent="0.3">
      <c r="A38" s="30"/>
      <c r="B38" s="34" t="s">
        <v>124</v>
      </c>
      <c r="C38" s="31"/>
      <c r="D38" s="31"/>
      <c r="E38" s="63"/>
      <c r="F38" s="149"/>
      <c r="G38" s="149"/>
      <c r="H38" s="149"/>
      <c r="I38" s="149"/>
      <c r="J38" s="149"/>
      <c r="K38" s="149"/>
      <c r="L38" s="216" t="s">
        <v>5</v>
      </c>
    </row>
    <row r="39" spans="1:12" x14ac:dyDescent="0.3">
      <c r="A39" s="9"/>
      <c r="B39" s="10" t="s">
        <v>56</v>
      </c>
      <c r="C39" s="10" t="s">
        <v>125</v>
      </c>
      <c r="D39" s="10"/>
      <c r="E39" s="148">
        <v>3614.68</v>
      </c>
      <c r="F39" s="37">
        <v>3844.07</v>
      </c>
      <c r="G39" s="37">
        <v>3844.07</v>
      </c>
      <c r="H39" s="37">
        <v>3847.96</v>
      </c>
      <c r="I39" s="37">
        <v>3849.1</v>
      </c>
      <c r="J39" s="37">
        <v>3852.55</v>
      </c>
      <c r="K39" s="37">
        <v>3855.47</v>
      </c>
      <c r="L39" s="213">
        <v>3859.79</v>
      </c>
    </row>
    <row r="40" spans="1:12" x14ac:dyDescent="0.3">
      <c r="A40" s="30"/>
      <c r="B40" s="31" t="s">
        <v>58</v>
      </c>
      <c r="C40" s="31" t="s">
        <v>126</v>
      </c>
      <c r="D40" s="31"/>
      <c r="E40" s="63">
        <v>34177.08</v>
      </c>
      <c r="F40" s="149">
        <v>66929.48</v>
      </c>
      <c r="G40" s="149">
        <v>65614.03</v>
      </c>
      <c r="H40" s="149">
        <v>54931.44</v>
      </c>
      <c r="I40" s="149">
        <v>-2740.51</v>
      </c>
      <c r="J40" s="149">
        <v>-63733.17</v>
      </c>
      <c r="K40" s="149">
        <v>-66320.63</v>
      </c>
      <c r="L40" s="216">
        <v>16104.53</v>
      </c>
    </row>
    <row r="41" spans="1:12" x14ac:dyDescent="0.3">
      <c r="A41" s="9"/>
      <c r="B41" s="10"/>
      <c r="C41" s="10" t="s">
        <v>127</v>
      </c>
      <c r="D41" s="10"/>
      <c r="E41" s="148">
        <v>37791.760000000002</v>
      </c>
      <c r="F41" s="37">
        <v>70773.55</v>
      </c>
      <c r="G41" s="37">
        <v>69458.100000000006</v>
      </c>
      <c r="H41" s="37">
        <v>58779.4</v>
      </c>
      <c r="I41" s="37">
        <v>1108.5899999999999</v>
      </c>
      <c r="J41" s="37">
        <v>-59880.62</v>
      </c>
      <c r="K41" s="37">
        <v>-62465.16</v>
      </c>
      <c r="L41" s="213">
        <v>19964.32</v>
      </c>
    </row>
    <row r="42" spans="1:12" x14ac:dyDescent="0.3">
      <c r="A42" s="30"/>
      <c r="B42" s="31" t="s">
        <v>60</v>
      </c>
      <c r="C42" s="31" t="s">
        <v>128</v>
      </c>
      <c r="D42" s="31"/>
      <c r="E42" s="63" t="s">
        <v>41</v>
      </c>
      <c r="F42" s="149"/>
      <c r="G42" s="149" t="s">
        <v>41</v>
      </c>
      <c r="H42" s="149" t="s">
        <v>41</v>
      </c>
      <c r="I42" s="149" t="s">
        <v>41</v>
      </c>
      <c r="J42" s="149" t="s">
        <v>41</v>
      </c>
      <c r="K42" s="149"/>
      <c r="L42" s="216" t="s">
        <v>41</v>
      </c>
    </row>
    <row r="43" spans="1:12" x14ac:dyDescent="0.3">
      <c r="A43" s="9"/>
      <c r="B43" s="10"/>
      <c r="C43" s="40" t="s">
        <v>129</v>
      </c>
      <c r="D43" s="40"/>
      <c r="E43" s="165">
        <v>37791.760000000002</v>
      </c>
      <c r="F43" s="166">
        <v>70773.55</v>
      </c>
      <c r="G43" s="166">
        <v>69458.100000000006</v>
      </c>
      <c r="H43" s="166">
        <v>58779.4</v>
      </c>
      <c r="I43" s="166">
        <v>1108.5899999999999</v>
      </c>
      <c r="J43" s="166">
        <v>-59880.62</v>
      </c>
      <c r="K43" s="166">
        <v>-62465.16</v>
      </c>
      <c r="L43" s="218">
        <v>19964.32</v>
      </c>
    </row>
    <row r="44" spans="1:12" x14ac:dyDescent="0.3">
      <c r="A44" s="30"/>
      <c r="B44" s="34" t="s">
        <v>130</v>
      </c>
      <c r="C44" s="31"/>
      <c r="D44" s="31"/>
      <c r="E44" s="63"/>
      <c r="F44" s="149"/>
      <c r="G44" s="149"/>
      <c r="H44" s="149"/>
      <c r="I44" s="149"/>
      <c r="J44" s="149"/>
      <c r="K44" s="149"/>
      <c r="L44" s="216" t="s">
        <v>5</v>
      </c>
    </row>
    <row r="45" spans="1:12" x14ac:dyDescent="0.3">
      <c r="A45" s="9"/>
      <c r="B45" s="10"/>
      <c r="C45" s="33" t="s">
        <v>131</v>
      </c>
      <c r="D45" s="10"/>
      <c r="E45" s="148"/>
      <c r="F45" s="37"/>
      <c r="G45" s="37"/>
      <c r="H45" s="37"/>
      <c r="I45" s="37"/>
      <c r="J45" s="37"/>
      <c r="K45" s="37"/>
      <c r="L45" s="213" t="s">
        <v>5</v>
      </c>
    </row>
    <row r="46" spans="1:12" x14ac:dyDescent="0.3">
      <c r="A46" s="30"/>
      <c r="B46" s="31" t="s">
        <v>56</v>
      </c>
      <c r="C46" s="31" t="s">
        <v>132</v>
      </c>
      <c r="D46" s="31"/>
      <c r="E46" s="63"/>
      <c r="F46" s="149"/>
      <c r="G46" s="149"/>
      <c r="H46" s="149"/>
      <c r="I46" s="149"/>
      <c r="J46" s="149"/>
      <c r="K46" s="149"/>
      <c r="L46" s="216" t="s">
        <v>5</v>
      </c>
    </row>
    <row r="47" spans="1:12" x14ac:dyDescent="0.3">
      <c r="A47" s="9"/>
      <c r="B47" s="10"/>
      <c r="C47" s="35" t="s">
        <v>82</v>
      </c>
      <c r="D47" s="35" t="s">
        <v>133</v>
      </c>
      <c r="E47" s="403">
        <v>23957.08</v>
      </c>
      <c r="F47" s="171"/>
      <c r="G47" s="37">
        <v>21936.69</v>
      </c>
      <c r="H47" s="37">
        <v>3465.87</v>
      </c>
      <c r="I47" s="37">
        <v>3816.28</v>
      </c>
      <c r="J47" s="37">
        <v>4161.71</v>
      </c>
      <c r="K47" s="37"/>
      <c r="L47" s="213"/>
    </row>
    <row r="48" spans="1:12" x14ac:dyDescent="0.3">
      <c r="A48" s="30"/>
      <c r="B48" s="31"/>
      <c r="C48" s="36" t="s">
        <v>91</v>
      </c>
      <c r="D48" s="36" t="s">
        <v>134</v>
      </c>
      <c r="E48" s="402"/>
      <c r="F48" s="172"/>
      <c r="G48" s="149">
        <v>0</v>
      </c>
      <c r="H48" s="149">
        <v>155791.01</v>
      </c>
      <c r="I48" s="149">
        <v>202805.34</v>
      </c>
      <c r="J48" s="149">
        <v>250586.59</v>
      </c>
      <c r="K48" s="149">
        <v>322246.09000000003</v>
      </c>
      <c r="L48" s="216">
        <v>378634.62</v>
      </c>
    </row>
    <row r="49" spans="1:12" x14ac:dyDescent="0.3">
      <c r="A49" s="9"/>
      <c r="B49" s="10"/>
      <c r="C49" s="35" t="s">
        <v>135</v>
      </c>
      <c r="D49" s="35" t="s">
        <v>136</v>
      </c>
      <c r="E49" s="199">
        <v>22685.34</v>
      </c>
      <c r="F49" s="171"/>
      <c r="G49" s="37">
        <v>33878.94</v>
      </c>
      <c r="H49" s="37">
        <v>30388.86</v>
      </c>
      <c r="I49" s="37">
        <v>26049.29</v>
      </c>
      <c r="J49" s="37">
        <v>33093</v>
      </c>
      <c r="K49" s="37">
        <v>78811.100000000006</v>
      </c>
      <c r="L49" s="213">
        <v>92342.67</v>
      </c>
    </row>
    <row r="50" spans="1:12" x14ac:dyDescent="0.3">
      <c r="A50" s="30"/>
      <c r="B50" s="31" t="s">
        <v>58</v>
      </c>
      <c r="C50" s="46" t="s">
        <v>137</v>
      </c>
      <c r="D50" s="46"/>
      <c r="E50" s="402">
        <v>1223.94</v>
      </c>
      <c r="F50" s="149">
        <v>1968.93</v>
      </c>
      <c r="G50" s="149">
        <v>2758.2</v>
      </c>
      <c r="H50" s="149">
        <v>5634.98</v>
      </c>
      <c r="I50" s="149"/>
      <c r="J50" s="149"/>
      <c r="K50" s="149"/>
      <c r="L50" s="216"/>
    </row>
    <row r="51" spans="1:12" x14ac:dyDescent="0.3">
      <c r="A51" s="9"/>
      <c r="B51" s="10" t="s">
        <v>60</v>
      </c>
      <c r="C51" s="10" t="s">
        <v>138</v>
      </c>
      <c r="D51" s="10"/>
      <c r="E51" s="403">
        <v>1618.06</v>
      </c>
      <c r="F51" s="37">
        <v>3695.25</v>
      </c>
      <c r="G51" s="37" t="s">
        <v>139</v>
      </c>
      <c r="H51" s="37">
        <v>0</v>
      </c>
      <c r="I51" s="37">
        <v>5522.94</v>
      </c>
      <c r="J51" s="37">
        <v>5896.88</v>
      </c>
      <c r="K51" s="37">
        <v>13364.54</v>
      </c>
      <c r="L51" s="213">
        <v>22301.119999999999</v>
      </c>
    </row>
    <row r="52" spans="1:12" x14ac:dyDescent="0.3">
      <c r="A52" s="30"/>
      <c r="B52" s="31" t="s">
        <v>62</v>
      </c>
      <c r="C52" s="31" t="s">
        <v>140</v>
      </c>
      <c r="D52" s="31"/>
      <c r="E52" s="197" t="s">
        <v>148</v>
      </c>
      <c r="F52" s="149" t="s">
        <v>147</v>
      </c>
      <c r="G52" s="149" t="s">
        <v>146</v>
      </c>
      <c r="H52" s="149" t="s">
        <v>145</v>
      </c>
      <c r="I52" s="149" t="s">
        <v>144</v>
      </c>
      <c r="J52" s="149" t="s">
        <v>143</v>
      </c>
      <c r="K52" s="149" t="s">
        <v>142</v>
      </c>
      <c r="L52" s="216" t="s">
        <v>141</v>
      </c>
    </row>
    <row r="53" spans="1:12" x14ac:dyDescent="0.3">
      <c r="A53" s="9"/>
      <c r="B53" s="10" t="s">
        <v>71</v>
      </c>
      <c r="C53" s="10" t="s">
        <v>149</v>
      </c>
      <c r="D53" s="10"/>
      <c r="E53" s="403">
        <v>16899.900000000001</v>
      </c>
      <c r="F53" s="37">
        <v>20578.189999999999</v>
      </c>
      <c r="G53" s="37">
        <v>41143.589999999997</v>
      </c>
      <c r="H53" s="37">
        <v>2206.31</v>
      </c>
      <c r="I53" s="37">
        <v>1730.27</v>
      </c>
      <c r="J53" s="37">
        <v>1254.23</v>
      </c>
      <c r="K53" s="37" t="s">
        <v>151</v>
      </c>
      <c r="L53" s="213" t="s">
        <v>150</v>
      </c>
    </row>
    <row r="54" spans="1:12" x14ac:dyDescent="0.3">
      <c r="A54" s="30"/>
      <c r="B54" s="31"/>
      <c r="C54" s="43" t="s">
        <v>152</v>
      </c>
      <c r="D54" s="43"/>
      <c r="E54" s="167">
        <v>66459.320000000007</v>
      </c>
      <c r="F54" s="168">
        <v>79289.08</v>
      </c>
      <c r="G54" s="168">
        <v>100706.76</v>
      </c>
      <c r="H54" s="168">
        <v>197856.8</v>
      </c>
      <c r="I54" s="168">
        <v>240166.02</v>
      </c>
      <c r="J54" s="168">
        <v>295335.2</v>
      </c>
      <c r="K54" s="168">
        <v>415651.89</v>
      </c>
      <c r="L54" s="217">
        <v>494297.67</v>
      </c>
    </row>
    <row r="55" spans="1:12" x14ac:dyDescent="0.3">
      <c r="A55" s="9"/>
      <c r="B55" s="33"/>
      <c r="C55" s="33" t="s">
        <v>153</v>
      </c>
      <c r="D55" s="10"/>
      <c r="E55" s="148"/>
      <c r="F55" s="37"/>
      <c r="G55" s="37"/>
      <c r="H55" s="37"/>
      <c r="I55" s="37"/>
      <c r="J55" s="37"/>
      <c r="K55" s="37"/>
      <c r="L55" s="213" t="s">
        <v>5</v>
      </c>
    </row>
    <row r="56" spans="1:12" x14ac:dyDescent="0.3">
      <c r="A56" s="30"/>
      <c r="B56" s="31" t="s">
        <v>56</v>
      </c>
      <c r="C56" s="31" t="s">
        <v>132</v>
      </c>
      <c r="D56" s="31"/>
      <c r="E56" s="63"/>
      <c r="F56" s="149"/>
      <c r="G56" s="149"/>
      <c r="H56" s="149"/>
      <c r="I56" s="149"/>
      <c r="J56" s="149"/>
      <c r="K56" s="149"/>
      <c r="L56" s="216" t="s">
        <v>5</v>
      </c>
    </row>
    <row r="57" spans="1:12" x14ac:dyDescent="0.3">
      <c r="A57" s="9"/>
      <c r="B57" s="10"/>
      <c r="C57" s="10" t="s">
        <v>82</v>
      </c>
      <c r="D57" s="10" t="s">
        <v>133</v>
      </c>
      <c r="E57" s="403"/>
      <c r="F57" s="37"/>
      <c r="G57" s="37"/>
      <c r="H57" s="37"/>
      <c r="I57" s="37">
        <v>21239.95</v>
      </c>
      <c r="J57" s="37">
        <v>34805.65</v>
      </c>
      <c r="K57" s="37">
        <v>22523.37</v>
      </c>
      <c r="L57" s="213">
        <v>18917.07</v>
      </c>
    </row>
    <row r="58" spans="1:12" x14ac:dyDescent="0.3">
      <c r="A58" s="30"/>
      <c r="B58" s="31"/>
      <c r="C58" s="31" t="s">
        <v>154</v>
      </c>
      <c r="D58" s="31"/>
      <c r="E58" s="402"/>
      <c r="F58" s="198"/>
      <c r="G58" s="198">
        <v>0</v>
      </c>
      <c r="H58" s="198">
        <v>64544.27</v>
      </c>
      <c r="I58" s="198">
        <v>70734.97</v>
      </c>
      <c r="J58" s="198">
        <v>79224.42</v>
      </c>
      <c r="K58" s="198">
        <v>103772.67</v>
      </c>
      <c r="L58" s="227">
        <v>115248.51</v>
      </c>
    </row>
    <row r="59" spans="1:12" x14ac:dyDescent="0.3">
      <c r="A59" s="9"/>
      <c r="B59" s="10"/>
      <c r="C59" s="10" t="s">
        <v>155</v>
      </c>
      <c r="D59" s="10"/>
      <c r="E59" s="403">
        <v>7746.1</v>
      </c>
      <c r="F59" s="37">
        <v>10002.01</v>
      </c>
      <c r="G59" s="37">
        <v>14528.08</v>
      </c>
      <c r="H59" s="37">
        <v>15675.82</v>
      </c>
      <c r="I59" s="37">
        <v>15513.289999999999</v>
      </c>
      <c r="J59" s="37">
        <v>31518.2</v>
      </c>
      <c r="K59" s="37">
        <v>32156.87</v>
      </c>
      <c r="L59" s="213">
        <v>31576.15</v>
      </c>
    </row>
    <row r="60" spans="1:12" x14ac:dyDescent="0.3">
      <c r="A60" s="30"/>
      <c r="B60" s="31"/>
      <c r="C60" s="31" t="s">
        <v>156</v>
      </c>
      <c r="D60" s="31"/>
      <c r="E60" s="197">
        <v>14322.67</v>
      </c>
      <c r="F60" s="149">
        <v>15472.83</v>
      </c>
      <c r="G60" s="149">
        <v>21230.48</v>
      </c>
      <c r="H60" s="149">
        <v>45897.39</v>
      </c>
      <c r="I60" s="149">
        <v>47234.6</v>
      </c>
      <c r="J60" s="149">
        <v>36928.589999999997</v>
      </c>
      <c r="K60" s="149">
        <v>25901.59</v>
      </c>
      <c r="L60" s="216">
        <v>70509.919999999998</v>
      </c>
    </row>
    <row r="61" spans="1:12" x14ac:dyDescent="0.3">
      <c r="A61" s="9"/>
      <c r="B61" s="10" t="s">
        <v>58</v>
      </c>
      <c r="C61" s="10" t="s">
        <v>137</v>
      </c>
      <c r="D61" s="10"/>
      <c r="E61" s="403" t="s">
        <v>157</v>
      </c>
      <c r="F61" s="37">
        <v>1032.46</v>
      </c>
      <c r="G61" s="37">
        <v>1638.32</v>
      </c>
      <c r="H61" s="37">
        <v>13962.54</v>
      </c>
      <c r="I61" s="37">
        <v>16083.58</v>
      </c>
      <c r="J61" s="37">
        <v>7602.76</v>
      </c>
      <c r="K61" s="37">
        <v>2896.5</v>
      </c>
      <c r="L61" s="213">
        <v>5889.72</v>
      </c>
    </row>
    <row r="62" spans="1:12" x14ac:dyDescent="0.3">
      <c r="A62" s="30"/>
      <c r="B62" s="31" t="s">
        <v>60</v>
      </c>
      <c r="C62" s="31" t="s">
        <v>158</v>
      </c>
      <c r="D62" s="31"/>
      <c r="E62" s="402" t="s">
        <v>162</v>
      </c>
      <c r="F62" s="149" t="s">
        <v>161</v>
      </c>
      <c r="G62" s="149" t="s">
        <v>160</v>
      </c>
      <c r="H62" s="149" t="s">
        <v>159</v>
      </c>
      <c r="I62" s="149" t="s">
        <v>159</v>
      </c>
      <c r="J62" s="149" t="s">
        <v>159</v>
      </c>
      <c r="K62" s="149" t="s">
        <v>159</v>
      </c>
      <c r="L62" s="216" t="s">
        <v>159</v>
      </c>
    </row>
    <row r="63" spans="1:12" x14ac:dyDescent="0.3">
      <c r="A63" s="9"/>
      <c r="B63" s="10" t="s">
        <v>62</v>
      </c>
      <c r="C63" s="10" t="s">
        <v>163</v>
      </c>
      <c r="D63" s="10"/>
      <c r="E63" s="199">
        <v>19725.849999999999</v>
      </c>
      <c r="F63" s="37">
        <v>29156.720000000001</v>
      </c>
      <c r="G63" s="37">
        <v>31934.02</v>
      </c>
      <c r="H63" s="37">
        <v>23787.75</v>
      </c>
      <c r="I63" s="37">
        <v>17923.740000000002</v>
      </c>
      <c r="J63" s="37">
        <v>33584.980000000003</v>
      </c>
      <c r="K63" s="37">
        <v>50820.639999999999</v>
      </c>
      <c r="L63" s="213">
        <v>65335.06</v>
      </c>
    </row>
    <row r="64" spans="1:12" x14ac:dyDescent="0.3">
      <c r="A64" s="30"/>
      <c r="B64" s="31" t="s">
        <v>71</v>
      </c>
      <c r="C64" s="31" t="s">
        <v>149</v>
      </c>
      <c r="D64" s="31"/>
      <c r="E64" s="402">
        <v>4937.83</v>
      </c>
      <c r="F64" s="149">
        <v>5438.8</v>
      </c>
      <c r="G64" s="149">
        <v>10739.15</v>
      </c>
      <c r="H64" s="149" t="s">
        <v>167</v>
      </c>
      <c r="I64" s="149" t="s">
        <v>166</v>
      </c>
      <c r="J64" s="149" t="s">
        <v>165</v>
      </c>
      <c r="K64" s="149" t="s">
        <v>165</v>
      </c>
      <c r="L64" s="216" t="s">
        <v>164</v>
      </c>
    </row>
    <row r="65" spans="1:12" ht="15" thickBot="1" x14ac:dyDescent="0.35">
      <c r="A65" s="9"/>
      <c r="B65" s="10"/>
      <c r="C65" s="40" t="s">
        <v>168</v>
      </c>
      <c r="D65" s="40"/>
      <c r="E65" s="165">
        <v>47846.28</v>
      </c>
      <c r="F65" s="166">
        <v>61230.33</v>
      </c>
      <c r="G65" s="166">
        <v>80103.56</v>
      </c>
      <c r="H65" s="166">
        <v>164374.57999999999</v>
      </c>
      <c r="I65" s="166">
        <v>189236.92</v>
      </c>
      <c r="J65" s="166">
        <v>224171.4</v>
      </c>
      <c r="K65" s="166">
        <v>238511.46</v>
      </c>
      <c r="L65" s="218">
        <v>307983.18</v>
      </c>
    </row>
    <row r="66" spans="1:12" x14ac:dyDescent="0.3">
      <c r="A66" s="47"/>
      <c r="B66" s="48"/>
      <c r="C66" s="45" t="s">
        <v>169</v>
      </c>
      <c r="D66" s="45"/>
      <c r="E66" s="169">
        <v>152097.35999999999</v>
      </c>
      <c r="F66" s="170">
        <v>211292.96</v>
      </c>
      <c r="G66" s="170">
        <v>250268.42</v>
      </c>
      <c r="H66" s="170">
        <v>421010.78</v>
      </c>
      <c r="I66" s="170">
        <v>430511.53</v>
      </c>
      <c r="J66" s="170">
        <v>459625.98</v>
      </c>
      <c r="K66" s="170">
        <v>591698.18999999994</v>
      </c>
      <c r="L66" s="219">
        <v>822245.17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02200-CDDE-4259-813A-BC6F51934F86}">
  <sheetPr codeName="Sheet4">
    <tabColor theme="2" tint="-9.9978637043366805E-2"/>
  </sheetPr>
  <dimension ref="A1:U76"/>
  <sheetViews>
    <sheetView showGridLines="0" topLeftCell="A41" zoomScale="81" zoomScaleNormal="100" workbookViewId="0">
      <selection activeCell="I90" sqref="I90"/>
    </sheetView>
  </sheetViews>
  <sheetFormatPr defaultRowHeight="14.4" x14ac:dyDescent="0.3"/>
  <cols>
    <col min="1" max="1" width="2.77734375" bestFit="1" customWidth="1"/>
    <col min="2" max="2" width="80.44140625" bestFit="1" customWidth="1"/>
    <col min="3" max="3" width="16.88671875" bestFit="1" customWidth="1"/>
    <col min="4" max="6" width="17" bestFit="1" customWidth="1"/>
    <col min="7" max="10" width="16.44140625" bestFit="1" customWidth="1"/>
    <col min="12" max="12" width="52.109375" bestFit="1" customWidth="1"/>
    <col min="13" max="13" width="5.21875" bestFit="1" customWidth="1"/>
    <col min="14" max="14" width="11.44140625" bestFit="1" customWidth="1"/>
    <col min="15" max="15" width="11.77734375" bestFit="1" customWidth="1"/>
    <col min="16" max="16" width="12.88671875" bestFit="1" customWidth="1"/>
    <col min="17" max="17" width="12.21875" bestFit="1" customWidth="1"/>
    <col min="18" max="18" width="11" bestFit="1" customWidth="1"/>
    <col min="19" max="19" width="11.77734375" bestFit="1" customWidth="1"/>
    <col min="20" max="21" width="12" bestFit="1" customWidth="1"/>
  </cols>
  <sheetData>
    <row r="1" spans="1:10" ht="25.8" x14ac:dyDescent="0.5">
      <c r="B1" s="49" t="s">
        <v>170</v>
      </c>
    </row>
    <row r="3" spans="1:10" x14ac:dyDescent="0.3">
      <c r="A3" s="30"/>
      <c r="B3" s="31" t="s">
        <v>171</v>
      </c>
      <c r="C3" s="19"/>
      <c r="D3" s="50"/>
      <c r="E3" s="20"/>
      <c r="F3" s="19"/>
      <c r="G3" s="19"/>
      <c r="H3" s="50"/>
      <c r="I3" s="20"/>
      <c r="J3" s="212"/>
    </row>
    <row r="4" spans="1:10" x14ac:dyDescent="0.3">
      <c r="A4" s="9"/>
      <c r="B4" s="10" t="s">
        <v>2</v>
      </c>
      <c r="C4" s="37"/>
      <c r="D4" s="37"/>
      <c r="E4" s="37"/>
      <c r="F4" s="37"/>
      <c r="G4" s="37"/>
      <c r="H4" s="37"/>
      <c r="I4" s="37"/>
      <c r="J4" s="213"/>
    </row>
    <row r="5" spans="1:10" x14ac:dyDescent="0.3">
      <c r="A5" s="30"/>
      <c r="B5" s="31"/>
      <c r="C5" s="149"/>
      <c r="D5" s="50"/>
      <c r="E5" s="20"/>
      <c r="F5" s="19"/>
      <c r="G5" s="19"/>
      <c r="H5" s="50"/>
      <c r="I5" s="20"/>
      <c r="J5" s="212"/>
    </row>
    <row r="6" spans="1:10" x14ac:dyDescent="0.3">
      <c r="A6" s="51"/>
      <c r="B6" s="52" t="s">
        <v>3</v>
      </c>
      <c r="C6" s="53">
        <v>2017</v>
      </c>
      <c r="D6" s="55">
        <v>2018</v>
      </c>
      <c r="E6" s="54">
        <v>2019</v>
      </c>
      <c r="F6" s="53">
        <v>2020</v>
      </c>
      <c r="G6" s="53">
        <v>2021</v>
      </c>
      <c r="H6" s="55">
        <v>2022</v>
      </c>
      <c r="I6" s="54">
        <v>2023</v>
      </c>
      <c r="J6" s="214">
        <v>2024</v>
      </c>
    </row>
    <row r="7" spans="1:10" x14ac:dyDescent="0.3">
      <c r="A7" s="26" t="s">
        <v>172</v>
      </c>
      <c r="B7" s="34" t="s">
        <v>173</v>
      </c>
      <c r="C7" s="27"/>
      <c r="D7" s="56"/>
      <c r="E7" s="20"/>
      <c r="F7" s="27"/>
      <c r="G7" s="27"/>
      <c r="H7" s="56"/>
      <c r="I7" s="20"/>
      <c r="J7" s="215" t="s">
        <v>5</v>
      </c>
    </row>
    <row r="8" spans="1:10" x14ac:dyDescent="0.3">
      <c r="A8" s="9"/>
      <c r="B8" s="10" t="s">
        <v>31</v>
      </c>
      <c r="C8" s="398">
        <v>16588.530000000035</v>
      </c>
      <c r="D8" s="147">
        <v>22435.889999999963</v>
      </c>
      <c r="E8" s="148">
        <v>1565.9199999999764</v>
      </c>
      <c r="F8" s="37">
        <v>-2367.3099999999722</v>
      </c>
      <c r="G8" s="37">
        <v>-57509.45</v>
      </c>
      <c r="H8" s="147">
        <v>-61635.219999999994</v>
      </c>
      <c r="I8" s="148">
        <v>-3070.3299999999244</v>
      </c>
      <c r="J8" s="213">
        <v>81778.78</v>
      </c>
    </row>
    <row r="9" spans="1:10" x14ac:dyDescent="0.3">
      <c r="A9" s="30"/>
      <c r="B9" s="58" t="s">
        <v>174</v>
      </c>
      <c r="C9" s="149"/>
      <c r="D9" s="150"/>
      <c r="E9" s="63"/>
      <c r="F9" s="149"/>
      <c r="G9" s="149"/>
      <c r="H9" s="150"/>
      <c r="I9" s="63"/>
      <c r="J9" s="216" t="s">
        <v>5</v>
      </c>
    </row>
    <row r="10" spans="1:10" x14ac:dyDescent="0.3">
      <c r="A10" s="9"/>
      <c r="B10" s="59" t="s">
        <v>27</v>
      </c>
      <c r="C10" s="405">
        <v>4572.53</v>
      </c>
      <c r="D10" s="147">
        <v>4368.7700000000004</v>
      </c>
      <c r="E10" s="148">
        <v>7595.8</v>
      </c>
      <c r="F10" s="37">
        <v>39739.29</v>
      </c>
      <c r="G10" s="151">
        <v>46994.46</v>
      </c>
      <c r="H10" s="147">
        <v>50686</v>
      </c>
      <c r="I10" s="148">
        <v>51029.69</v>
      </c>
      <c r="J10" s="213">
        <v>64257.29</v>
      </c>
    </row>
    <row r="11" spans="1:10" x14ac:dyDescent="0.3">
      <c r="A11" s="30"/>
      <c r="B11" s="60" t="s">
        <v>175</v>
      </c>
      <c r="C11" s="406"/>
      <c r="D11" s="150"/>
      <c r="E11" s="63" t="s">
        <v>41</v>
      </c>
      <c r="F11" s="149">
        <v>13644.5</v>
      </c>
      <c r="G11" s="152">
        <v>16196.87</v>
      </c>
      <c r="H11" s="150">
        <v>19518.400000000001</v>
      </c>
      <c r="I11" s="63">
        <v>26339.65</v>
      </c>
      <c r="J11" s="216">
        <v>34763.129999999997</v>
      </c>
    </row>
    <row r="12" spans="1:10" x14ac:dyDescent="0.3">
      <c r="A12" s="9"/>
      <c r="B12" s="59" t="s">
        <v>176</v>
      </c>
      <c r="C12" s="405" t="s">
        <v>178</v>
      </c>
      <c r="D12" s="147" t="s">
        <v>177</v>
      </c>
      <c r="E12" s="148">
        <v>3546.06</v>
      </c>
      <c r="F12" s="37">
        <v>13122.27</v>
      </c>
      <c r="G12" s="151">
        <v>-4663.58</v>
      </c>
      <c r="H12" s="147">
        <v>7886.01</v>
      </c>
      <c r="I12" s="148">
        <v>30035.37</v>
      </c>
      <c r="J12" s="213">
        <v>8261.51</v>
      </c>
    </row>
    <row r="13" spans="1:10" x14ac:dyDescent="0.3">
      <c r="A13" s="30"/>
      <c r="B13" s="60" t="s">
        <v>179</v>
      </c>
      <c r="C13" s="406">
        <v>1670.58</v>
      </c>
      <c r="D13" s="150">
        <v>2275.91</v>
      </c>
      <c r="E13" s="63">
        <v>3496.52</v>
      </c>
      <c r="F13" s="149">
        <v>4564.57</v>
      </c>
      <c r="G13" s="152">
        <v>4416.75</v>
      </c>
      <c r="H13" s="150">
        <v>3321.21</v>
      </c>
      <c r="I13" s="63">
        <v>4292.8900000000003</v>
      </c>
      <c r="J13" s="216">
        <v>6411.7</v>
      </c>
    </row>
    <row r="14" spans="1:10" x14ac:dyDescent="0.3">
      <c r="A14" s="9"/>
      <c r="B14" s="59" t="s">
        <v>180</v>
      </c>
      <c r="C14" s="405" t="s">
        <v>181</v>
      </c>
      <c r="D14" s="147">
        <v>-1712.97</v>
      </c>
      <c r="E14" s="148">
        <v>-2229.0700000000002</v>
      </c>
      <c r="F14" s="37">
        <v>-4595.12</v>
      </c>
      <c r="G14" s="151">
        <v>-3213.31</v>
      </c>
      <c r="H14" s="147">
        <v>-1891.31</v>
      </c>
      <c r="I14" s="148">
        <v>-4061.78</v>
      </c>
      <c r="J14" s="213">
        <v>-9071.61</v>
      </c>
    </row>
    <row r="15" spans="1:10" x14ac:dyDescent="0.3">
      <c r="A15" s="30"/>
      <c r="B15" s="60" t="s">
        <v>182</v>
      </c>
      <c r="C15" s="406">
        <v>-3913.27</v>
      </c>
      <c r="D15" s="150">
        <v>-4008.05</v>
      </c>
      <c r="E15" s="63">
        <v>-4344.1099999999997</v>
      </c>
      <c r="F15" s="149">
        <v>-2571.6999999999998</v>
      </c>
      <c r="G15" s="152">
        <v>-1269.28</v>
      </c>
      <c r="H15" s="150" t="s">
        <v>183</v>
      </c>
      <c r="I15" s="63">
        <v>-2697.56</v>
      </c>
      <c r="J15" s="216">
        <v>-8464.5499999999993</v>
      </c>
    </row>
    <row r="16" spans="1:10" x14ac:dyDescent="0.3">
      <c r="A16" s="9"/>
      <c r="B16" s="59" t="s">
        <v>184</v>
      </c>
      <c r="C16" s="405">
        <v>-2152.27</v>
      </c>
      <c r="D16" s="147" t="s">
        <v>186</v>
      </c>
      <c r="E16" s="148">
        <v>-2594.56</v>
      </c>
      <c r="F16" s="37">
        <v>-2164.89</v>
      </c>
      <c r="G16" s="151">
        <v>-3603.61</v>
      </c>
      <c r="H16" s="147" t="s">
        <v>185</v>
      </c>
      <c r="I16" s="148" t="s">
        <v>185</v>
      </c>
      <c r="J16" s="213" t="s">
        <v>185</v>
      </c>
    </row>
    <row r="17" spans="1:10" x14ac:dyDescent="0.3">
      <c r="A17" s="30"/>
      <c r="B17" s="60" t="s">
        <v>187</v>
      </c>
      <c r="C17" s="406">
        <v>-1221.27</v>
      </c>
      <c r="D17" s="150">
        <v>-2056.4899999999998</v>
      </c>
      <c r="E17" s="63">
        <v>-1615.92</v>
      </c>
      <c r="F17" s="149">
        <v>-1930.57</v>
      </c>
      <c r="G17" s="152">
        <v>-1154.3499999999999</v>
      </c>
      <c r="H17" s="150" t="s">
        <v>190</v>
      </c>
      <c r="I17" s="63" t="s">
        <v>189</v>
      </c>
      <c r="J17" s="216" t="s">
        <v>188</v>
      </c>
    </row>
    <row r="18" spans="1:10" x14ac:dyDescent="0.3">
      <c r="A18" s="9"/>
      <c r="B18" s="59" t="s">
        <v>191</v>
      </c>
      <c r="C18" s="405" t="s">
        <v>195</v>
      </c>
      <c r="D18" s="147" t="s">
        <v>194</v>
      </c>
      <c r="E18" s="148" t="s">
        <v>193</v>
      </c>
      <c r="F18" s="37" t="s">
        <v>192</v>
      </c>
      <c r="G18" s="151">
        <v>-1174.57</v>
      </c>
      <c r="H18" s="147">
        <v>-1344.13</v>
      </c>
      <c r="I18" s="148">
        <v>-1957.78</v>
      </c>
      <c r="J18" s="213">
        <v>-3117.82</v>
      </c>
    </row>
    <row r="19" spans="1:10" x14ac:dyDescent="0.3">
      <c r="A19" s="30"/>
      <c r="B19" s="60" t="s">
        <v>196</v>
      </c>
      <c r="C19" s="406" t="s">
        <v>204</v>
      </c>
      <c r="D19" s="150" t="s">
        <v>203</v>
      </c>
      <c r="E19" s="63" t="s">
        <v>202</v>
      </c>
      <c r="F19" s="149" t="s">
        <v>201</v>
      </c>
      <c r="G19" s="152" t="s">
        <v>200</v>
      </c>
      <c r="H19" s="150" t="s">
        <v>199</v>
      </c>
      <c r="I19" s="63" t="s">
        <v>198</v>
      </c>
      <c r="J19" s="216" t="s">
        <v>197</v>
      </c>
    </row>
    <row r="20" spans="1:10" x14ac:dyDescent="0.3">
      <c r="A20" s="9"/>
      <c r="B20" s="59" t="s">
        <v>205</v>
      </c>
      <c r="C20" s="405"/>
      <c r="D20" s="147"/>
      <c r="E20" s="148"/>
      <c r="F20" s="37"/>
      <c r="G20" s="151"/>
      <c r="H20" s="147"/>
      <c r="I20" s="148" t="s">
        <v>41</v>
      </c>
      <c r="J20" s="213" t="s">
        <v>206</v>
      </c>
    </row>
    <row r="21" spans="1:10" x14ac:dyDescent="0.3">
      <c r="A21" s="30"/>
      <c r="B21" s="60" t="s">
        <v>207</v>
      </c>
      <c r="C21" s="406" t="s">
        <v>215</v>
      </c>
      <c r="D21" s="150" t="s">
        <v>214</v>
      </c>
      <c r="E21" s="63" t="s">
        <v>213</v>
      </c>
      <c r="F21" s="149" t="s">
        <v>212</v>
      </c>
      <c r="G21" s="152" t="s">
        <v>211</v>
      </c>
      <c r="H21" s="150" t="s">
        <v>210</v>
      </c>
      <c r="I21" s="63" t="s">
        <v>209</v>
      </c>
      <c r="J21" s="216" t="s">
        <v>208</v>
      </c>
    </row>
    <row r="22" spans="1:10" x14ac:dyDescent="0.3">
      <c r="A22" s="9"/>
      <c r="B22" s="59" t="s">
        <v>216</v>
      </c>
      <c r="C22" s="405" t="s">
        <v>224</v>
      </c>
      <c r="D22" s="147" t="s">
        <v>223</v>
      </c>
      <c r="E22" s="148" t="s">
        <v>222</v>
      </c>
      <c r="F22" s="37" t="s">
        <v>221</v>
      </c>
      <c r="G22" s="151" t="s">
        <v>220</v>
      </c>
      <c r="H22" s="147" t="s">
        <v>219</v>
      </c>
      <c r="I22" s="148" t="s">
        <v>218</v>
      </c>
      <c r="J22" s="213" t="s">
        <v>217</v>
      </c>
    </row>
    <row r="23" spans="1:10" x14ac:dyDescent="0.3">
      <c r="A23" s="30"/>
      <c r="B23" s="60" t="s">
        <v>225</v>
      </c>
      <c r="C23" s="406" t="s">
        <v>233</v>
      </c>
      <c r="D23" s="150" t="s">
        <v>232</v>
      </c>
      <c r="E23" s="63" t="s">
        <v>231</v>
      </c>
      <c r="F23" s="149" t="s">
        <v>230</v>
      </c>
      <c r="G23" s="152" t="s">
        <v>229</v>
      </c>
      <c r="H23" s="150" t="s">
        <v>228</v>
      </c>
      <c r="I23" s="63" t="s">
        <v>227</v>
      </c>
      <c r="J23" s="216" t="s">
        <v>226</v>
      </c>
    </row>
    <row r="24" spans="1:10" x14ac:dyDescent="0.3">
      <c r="A24" s="9"/>
      <c r="B24" s="59" t="s">
        <v>234</v>
      </c>
      <c r="C24" s="405" t="s">
        <v>240</v>
      </c>
      <c r="D24" s="147" t="s">
        <v>239</v>
      </c>
      <c r="E24" s="148" t="s">
        <v>238</v>
      </c>
      <c r="F24" s="37" t="s">
        <v>237</v>
      </c>
      <c r="G24" s="151">
        <v>-22.79</v>
      </c>
      <c r="H24" s="147">
        <v>-760.94</v>
      </c>
      <c r="I24" s="148" t="s">
        <v>236</v>
      </c>
      <c r="J24" s="213" t="s">
        <v>235</v>
      </c>
    </row>
    <row r="25" spans="1:10" x14ac:dyDescent="0.3">
      <c r="A25" s="30"/>
      <c r="B25" s="60" t="s">
        <v>241</v>
      </c>
      <c r="C25" s="406"/>
      <c r="D25" s="150"/>
      <c r="E25" s="63" t="s">
        <v>247</v>
      </c>
      <c r="F25" s="149" t="s">
        <v>246</v>
      </c>
      <c r="G25" s="152" t="s">
        <v>245</v>
      </c>
      <c r="H25" s="150" t="s">
        <v>244</v>
      </c>
      <c r="I25" s="63" t="s">
        <v>243</v>
      </c>
      <c r="J25" s="216" t="s">
        <v>242</v>
      </c>
    </row>
    <row r="26" spans="1:10" x14ac:dyDescent="0.3">
      <c r="A26" s="9"/>
      <c r="B26" s="59" t="s">
        <v>248</v>
      </c>
      <c r="C26" s="405"/>
      <c r="D26" s="147"/>
      <c r="E26" s="148" t="s">
        <v>254</v>
      </c>
      <c r="F26" s="37" t="s">
        <v>253</v>
      </c>
      <c r="G26" s="151" t="s">
        <v>252</v>
      </c>
      <c r="H26" s="147" t="s">
        <v>251</v>
      </c>
      <c r="I26" s="148" t="s">
        <v>250</v>
      </c>
      <c r="J26" s="213" t="s">
        <v>249</v>
      </c>
    </row>
    <row r="27" spans="1:10" x14ac:dyDescent="0.3">
      <c r="A27" s="30"/>
      <c r="B27" s="60" t="s">
        <v>255</v>
      </c>
      <c r="C27" s="406" t="s">
        <v>261</v>
      </c>
      <c r="D27" s="150" t="s">
        <v>41</v>
      </c>
      <c r="E27" s="63" t="s">
        <v>260</v>
      </c>
      <c r="F27" s="149" t="s">
        <v>259</v>
      </c>
      <c r="G27" s="152" t="s">
        <v>258</v>
      </c>
      <c r="H27" s="150" t="s">
        <v>257</v>
      </c>
      <c r="I27" s="63" t="s">
        <v>256</v>
      </c>
      <c r="J27" s="216" t="s">
        <v>41</v>
      </c>
    </row>
    <row r="28" spans="1:10" x14ac:dyDescent="0.3">
      <c r="A28" s="9"/>
      <c r="B28" s="59" t="s">
        <v>262</v>
      </c>
      <c r="C28" s="405">
        <v>2121.5100000000002</v>
      </c>
      <c r="D28" s="147">
        <v>2180.2200000000003</v>
      </c>
      <c r="E28" s="148">
        <v>2145.2400000000002</v>
      </c>
      <c r="F28" s="37">
        <v>169.16</v>
      </c>
      <c r="G28" s="151">
        <v>0</v>
      </c>
      <c r="H28" s="147">
        <v>0</v>
      </c>
      <c r="I28" s="148">
        <v>0</v>
      </c>
      <c r="J28" s="213">
        <v>0</v>
      </c>
    </row>
    <row r="29" spans="1:10" x14ac:dyDescent="0.3">
      <c r="A29" s="26"/>
      <c r="B29" s="34" t="s">
        <v>263</v>
      </c>
      <c r="C29" s="153">
        <v>20926.47</v>
      </c>
      <c r="D29" s="154">
        <v>31309.09</v>
      </c>
      <c r="E29" s="155">
        <v>3778.48</v>
      </c>
      <c r="F29" s="153">
        <v>56765.97</v>
      </c>
      <c r="G29" s="153">
        <v>-4449.87</v>
      </c>
      <c r="H29" s="154">
        <v>15274.06</v>
      </c>
      <c r="I29" s="155">
        <v>99845.64</v>
      </c>
      <c r="J29" s="217">
        <v>173787.49</v>
      </c>
    </row>
    <row r="30" spans="1:10" x14ac:dyDescent="0.3">
      <c r="A30" s="9"/>
      <c r="B30" s="10" t="s">
        <v>174</v>
      </c>
      <c r="C30" s="37"/>
      <c r="D30" s="37"/>
      <c r="E30" s="37"/>
      <c r="F30" s="37"/>
      <c r="G30" s="37"/>
      <c r="H30" s="37"/>
      <c r="I30" s="37"/>
      <c r="J30" s="37"/>
    </row>
    <row r="31" spans="1:10" x14ac:dyDescent="0.3">
      <c r="A31" s="30"/>
      <c r="B31" s="60" t="s">
        <v>264</v>
      </c>
      <c r="C31" s="406">
        <v>-2432.46</v>
      </c>
      <c r="D31" s="205">
        <v>-7775.66</v>
      </c>
      <c r="E31" s="63">
        <v>-9254</v>
      </c>
      <c r="F31" s="149">
        <v>-5350.98</v>
      </c>
      <c r="G31" s="152">
        <v>-7554.77</v>
      </c>
      <c r="H31" s="150">
        <v>-4666.1000000000004</v>
      </c>
      <c r="I31" s="63">
        <v>-5089.59</v>
      </c>
      <c r="J31" s="216">
        <v>-25341.79</v>
      </c>
    </row>
    <row r="32" spans="1:10" x14ac:dyDescent="0.3">
      <c r="A32" s="9"/>
      <c r="B32" s="59" t="s">
        <v>265</v>
      </c>
      <c r="C32" s="405" t="s">
        <v>272</v>
      </c>
      <c r="D32" s="204" t="s">
        <v>271</v>
      </c>
      <c r="E32" s="148" t="s">
        <v>270</v>
      </c>
      <c r="F32" s="37" t="s">
        <v>269</v>
      </c>
      <c r="G32" s="151" t="s">
        <v>268</v>
      </c>
      <c r="H32" s="147" t="s">
        <v>267</v>
      </c>
      <c r="I32" s="148">
        <v>-1830.04</v>
      </c>
      <c r="J32" s="213" t="s">
        <v>266</v>
      </c>
    </row>
    <row r="33" spans="1:21" ht="15.6" x14ac:dyDescent="0.3">
      <c r="A33" s="30"/>
      <c r="B33" s="60" t="s">
        <v>700</v>
      </c>
      <c r="C33" s="152">
        <v>13338.75</v>
      </c>
      <c r="D33" s="205">
        <v>14258.370000000003</v>
      </c>
      <c r="E33" s="63">
        <v>-13145.499999999998</v>
      </c>
      <c r="F33" s="149">
        <v>55188.259999999995</v>
      </c>
      <c r="G33" s="152">
        <v>527.50999999999658</v>
      </c>
      <c r="H33" s="150">
        <v>23350.32</v>
      </c>
      <c r="I33" s="63">
        <v>45473.48</v>
      </c>
      <c r="J33" s="216">
        <v>67861.48000000001</v>
      </c>
      <c r="L33" s="83"/>
      <c r="M33" s="82"/>
      <c r="N33" s="120"/>
      <c r="O33" s="120"/>
      <c r="P33" s="120"/>
      <c r="Q33" s="120"/>
      <c r="R33" s="120"/>
      <c r="S33" s="120"/>
      <c r="T33" s="120"/>
      <c r="U33" s="396"/>
    </row>
    <row r="34" spans="1:21" ht="15.6" x14ac:dyDescent="0.3">
      <c r="A34" s="30"/>
      <c r="B34" s="60" t="s">
        <v>630</v>
      </c>
      <c r="C34" s="152">
        <v>4000</v>
      </c>
      <c r="D34" s="205">
        <v>5289.6499999999978</v>
      </c>
      <c r="E34" s="63">
        <v>27260.879999999997</v>
      </c>
      <c r="F34" s="149">
        <v>-33999.379999999997</v>
      </c>
      <c r="G34" s="152">
        <v>-3989.9999999999964</v>
      </c>
      <c r="H34" s="150">
        <v>-8956.85</v>
      </c>
      <c r="I34" s="63">
        <v>-5182.3000000000011</v>
      </c>
      <c r="J34" s="216">
        <v>2517.1800000000003</v>
      </c>
      <c r="L34" s="83"/>
      <c r="M34" s="82"/>
      <c r="N34" s="120"/>
      <c r="O34" s="120"/>
      <c r="P34" s="120"/>
      <c r="Q34" s="120"/>
      <c r="R34" s="120"/>
      <c r="S34" s="120"/>
      <c r="T34" s="120"/>
      <c r="U34" s="396"/>
    </row>
    <row r="35" spans="1:21" ht="15.6" x14ac:dyDescent="0.3">
      <c r="A35" s="9"/>
      <c r="B35" s="59" t="s">
        <v>273</v>
      </c>
      <c r="C35" s="405" t="s">
        <v>276</v>
      </c>
      <c r="D35" s="204" t="s">
        <v>275</v>
      </c>
      <c r="E35" s="148">
        <v>-1406.8</v>
      </c>
      <c r="F35" s="37">
        <v>1011.08</v>
      </c>
      <c r="G35" s="151" t="s">
        <v>274</v>
      </c>
      <c r="H35" s="147">
        <v>-1195.3900000000001</v>
      </c>
      <c r="I35" s="148">
        <v>-2045.11</v>
      </c>
      <c r="J35" s="213">
        <v>-1197.3399999999999</v>
      </c>
      <c r="L35" s="83"/>
      <c r="M35" s="82"/>
      <c r="N35" s="120"/>
      <c r="O35" s="120"/>
      <c r="P35" s="120"/>
      <c r="Q35" s="120"/>
      <c r="R35" s="120"/>
      <c r="S35" s="120"/>
      <c r="T35" s="120"/>
      <c r="U35" s="396"/>
    </row>
    <row r="36" spans="1:21" x14ac:dyDescent="0.3">
      <c r="A36" s="30"/>
      <c r="B36" s="60" t="s">
        <v>277</v>
      </c>
      <c r="C36" s="152">
        <v>6025.1999999999734</v>
      </c>
      <c r="D36" s="205">
        <v>3035.0200000000314</v>
      </c>
      <c r="E36" s="63">
        <v>19789.210000000025</v>
      </c>
      <c r="F36" s="149">
        <v>-5125.2900000000154</v>
      </c>
      <c r="G36" s="152">
        <v>-286.52000000001931</v>
      </c>
      <c r="H36" s="150">
        <v>-3718.78999999997</v>
      </c>
      <c r="I36" s="63">
        <v>-4257.8700000001008</v>
      </c>
      <c r="J36" s="216">
        <v>-7038.8100000000295</v>
      </c>
    </row>
    <row r="37" spans="1:21" x14ac:dyDescent="0.3">
      <c r="A37" s="30"/>
      <c r="B37" s="60"/>
      <c r="C37" s="404"/>
      <c r="D37" s="404"/>
      <c r="E37" s="404"/>
      <c r="F37" s="404"/>
      <c r="G37" s="404"/>
      <c r="H37" s="404"/>
      <c r="I37" s="404"/>
      <c r="J37" s="404"/>
    </row>
    <row r="38" spans="1:21" ht="15.6" x14ac:dyDescent="0.3">
      <c r="A38" s="9"/>
      <c r="B38" s="33" t="s">
        <v>278</v>
      </c>
      <c r="C38" s="156">
        <v>42061.66</v>
      </c>
      <c r="D38" s="147">
        <v>46406.06</v>
      </c>
      <c r="E38" s="157">
        <v>32718.75</v>
      </c>
      <c r="F38" s="156">
        <v>72868.08</v>
      </c>
      <c r="G38" s="156">
        <v>-15377.4</v>
      </c>
      <c r="H38" s="147">
        <v>22889.59</v>
      </c>
      <c r="I38" s="157">
        <v>131172.07999999999</v>
      </c>
      <c r="J38" s="218">
        <v>217289.71</v>
      </c>
      <c r="L38" s="83"/>
      <c r="N38" s="401"/>
      <c r="O38" s="401"/>
      <c r="P38" s="401"/>
      <c r="Q38" s="401"/>
      <c r="R38" s="401"/>
      <c r="S38" s="401"/>
      <c r="T38" s="401"/>
      <c r="U38" s="401"/>
    </row>
    <row r="39" spans="1:21" x14ac:dyDescent="0.3">
      <c r="A39" s="30"/>
      <c r="B39" s="31" t="s">
        <v>279</v>
      </c>
      <c r="C39" s="149">
        <v>-4240.96</v>
      </c>
      <c r="D39" s="205">
        <v>-7375.22</v>
      </c>
      <c r="E39" s="63" t="s">
        <v>281</v>
      </c>
      <c r="F39" s="149">
        <v>-3150.26</v>
      </c>
      <c r="G39" s="149" t="s">
        <v>280</v>
      </c>
      <c r="H39" s="150">
        <v>-1983.81</v>
      </c>
      <c r="I39" s="63">
        <v>-3892.69</v>
      </c>
      <c r="J39" s="216">
        <v>-5113.96</v>
      </c>
    </row>
    <row r="40" spans="1:21" ht="15.6" x14ac:dyDescent="0.3">
      <c r="A40" s="61"/>
      <c r="B40" s="62" t="s">
        <v>282</v>
      </c>
      <c r="C40" s="158">
        <v>37820.699999999997</v>
      </c>
      <c r="D40" s="159">
        <v>39030.839999999997</v>
      </c>
      <c r="E40" s="160">
        <v>31755.41</v>
      </c>
      <c r="F40" s="158">
        <v>69717.820000000007</v>
      </c>
      <c r="G40" s="158">
        <v>-16141.54</v>
      </c>
      <c r="H40" s="159">
        <v>20905.78</v>
      </c>
      <c r="I40" s="160">
        <v>127279.39</v>
      </c>
      <c r="J40" s="219">
        <v>212175.75</v>
      </c>
      <c r="L40" s="83"/>
      <c r="M40" s="82"/>
      <c r="N40" s="120"/>
      <c r="O40" s="120"/>
      <c r="P40" s="120"/>
      <c r="Q40" s="120"/>
      <c r="R40" s="120"/>
      <c r="S40" s="120"/>
      <c r="T40" s="120"/>
      <c r="U40" s="120"/>
    </row>
    <row r="41" spans="1:21" x14ac:dyDescent="0.3">
      <c r="A41" s="30"/>
      <c r="B41" s="31"/>
      <c r="C41" s="149"/>
      <c r="D41" s="150"/>
      <c r="E41" s="63"/>
      <c r="F41" s="149"/>
      <c r="G41" s="149"/>
      <c r="H41" s="150"/>
      <c r="I41" s="63"/>
      <c r="J41" s="216"/>
    </row>
    <row r="42" spans="1:21" ht="15.6" x14ac:dyDescent="0.3">
      <c r="A42" s="15" t="s">
        <v>283</v>
      </c>
      <c r="B42" s="33" t="s">
        <v>284</v>
      </c>
      <c r="C42" s="156"/>
      <c r="D42" s="161"/>
      <c r="E42" s="148"/>
      <c r="F42" s="156"/>
      <c r="G42" s="156"/>
      <c r="H42" s="161"/>
      <c r="I42" s="148"/>
      <c r="J42" s="218" t="s">
        <v>5</v>
      </c>
      <c r="L42" s="83"/>
      <c r="N42" s="401"/>
      <c r="O42" s="401"/>
      <c r="P42" s="401"/>
      <c r="Q42" s="401"/>
      <c r="R42" s="401"/>
      <c r="S42" s="401"/>
      <c r="T42" s="401"/>
      <c r="U42" s="401"/>
    </row>
    <row r="43" spans="1:21" x14ac:dyDescent="0.3">
      <c r="A43" s="30"/>
      <c r="B43" s="31" t="s">
        <v>285</v>
      </c>
      <c r="C43" s="198">
        <v>-126733.58</v>
      </c>
      <c r="D43" s="150">
        <v>-157721.19</v>
      </c>
      <c r="E43" s="63">
        <v>-150080.54</v>
      </c>
      <c r="F43" s="149">
        <v>-230557.46</v>
      </c>
      <c r="G43" s="149">
        <v>-128822.39999999999</v>
      </c>
      <c r="H43" s="150">
        <v>-202685.26</v>
      </c>
      <c r="I43" s="63">
        <v>-292773.40999999997</v>
      </c>
      <c r="J43" s="216">
        <v>-237939.33</v>
      </c>
    </row>
    <row r="44" spans="1:21" x14ac:dyDescent="0.3">
      <c r="A44" s="9"/>
      <c r="B44" s="10" t="s">
        <v>286</v>
      </c>
      <c r="C44" s="203">
        <v>101228.56</v>
      </c>
      <c r="D44" s="147">
        <v>135185.63</v>
      </c>
      <c r="E44" s="148">
        <v>152198.98000000001</v>
      </c>
      <c r="F44" s="37">
        <v>207256.58</v>
      </c>
      <c r="G44" s="37">
        <v>154787.67000000001</v>
      </c>
      <c r="H44" s="147">
        <v>197361.86</v>
      </c>
      <c r="I44" s="148">
        <v>262858.34999999998</v>
      </c>
      <c r="J44" s="213">
        <v>198244.04</v>
      </c>
    </row>
    <row r="45" spans="1:21" x14ac:dyDescent="0.3">
      <c r="A45" s="30"/>
      <c r="B45" s="31" t="s">
        <v>287</v>
      </c>
      <c r="C45" s="198">
        <v>-15661.24</v>
      </c>
      <c r="D45" s="150">
        <v>-14305.47</v>
      </c>
      <c r="E45" s="63">
        <v>-110132.31</v>
      </c>
      <c r="F45" s="149">
        <v>-94209.29</v>
      </c>
      <c r="G45" s="149">
        <v>-99558.59</v>
      </c>
      <c r="H45" s="150">
        <v>-177938.44</v>
      </c>
      <c r="I45" s="63">
        <v>-172651.41</v>
      </c>
      <c r="J45" s="216">
        <v>-217753.03</v>
      </c>
    </row>
    <row r="46" spans="1:21" x14ac:dyDescent="0.3">
      <c r="A46" s="9"/>
      <c r="B46" s="10" t="s">
        <v>288</v>
      </c>
      <c r="C46" s="203">
        <v>3567.53</v>
      </c>
      <c r="D46" s="147">
        <v>2134.9699999999998</v>
      </c>
      <c r="E46" s="148">
        <v>94706.15</v>
      </c>
      <c r="F46" s="37">
        <v>78752.899999999994</v>
      </c>
      <c r="G46" s="37">
        <v>89567.28</v>
      </c>
      <c r="H46" s="147">
        <v>194766.58</v>
      </c>
      <c r="I46" s="148">
        <v>159316.71</v>
      </c>
      <c r="J46" s="213">
        <v>147874.92000000001</v>
      </c>
    </row>
    <row r="47" spans="1:21" x14ac:dyDescent="0.3">
      <c r="A47" s="30"/>
      <c r="B47" s="31" t="s">
        <v>289</v>
      </c>
      <c r="C47" s="198">
        <v>3460.24</v>
      </c>
      <c r="D47" s="150">
        <v>5310.45</v>
      </c>
      <c r="E47" s="63">
        <v>5008.76</v>
      </c>
      <c r="F47" s="149">
        <v>3692.97</v>
      </c>
      <c r="G47" s="149">
        <v>1366.92</v>
      </c>
      <c r="H47" s="150" t="s">
        <v>290</v>
      </c>
      <c r="I47" s="63">
        <v>1568.31</v>
      </c>
      <c r="J47" s="216">
        <v>5758.39</v>
      </c>
    </row>
    <row r="48" spans="1:21" x14ac:dyDescent="0.3">
      <c r="A48" s="9"/>
      <c r="B48" s="10" t="s">
        <v>291</v>
      </c>
      <c r="C48" s="203"/>
      <c r="D48" s="147"/>
      <c r="E48" s="148"/>
      <c r="F48" s="37"/>
      <c r="G48" s="37">
        <v>18833.68</v>
      </c>
      <c r="H48" s="147">
        <v>6006.43</v>
      </c>
      <c r="I48" s="148">
        <v>6740.71</v>
      </c>
      <c r="J48" s="213">
        <v>5892.11</v>
      </c>
    </row>
    <row r="49" spans="1:10" x14ac:dyDescent="0.3">
      <c r="A49" s="30"/>
      <c r="B49" s="31" t="s">
        <v>292</v>
      </c>
      <c r="C49" s="198"/>
      <c r="D49" s="150"/>
      <c r="E49" s="63"/>
      <c r="F49" s="149"/>
      <c r="G49" s="149"/>
      <c r="H49" s="150"/>
      <c r="I49" s="63">
        <v>0</v>
      </c>
      <c r="J49" s="216">
        <v>-9191.58</v>
      </c>
    </row>
    <row r="50" spans="1:10" x14ac:dyDescent="0.3">
      <c r="A50" s="9"/>
      <c r="B50" s="10" t="s">
        <v>293</v>
      </c>
      <c r="C50" s="203">
        <v>-2372.38</v>
      </c>
      <c r="D50" s="147">
        <v>-12202.15</v>
      </c>
      <c r="E50" s="148">
        <v>-17115.62</v>
      </c>
      <c r="F50" s="37">
        <v>-10883.06</v>
      </c>
      <c r="G50" s="37">
        <v>-4368.87</v>
      </c>
      <c r="H50" s="147">
        <v>-3468.81</v>
      </c>
      <c r="I50" s="148">
        <v>-5698.04</v>
      </c>
      <c r="J50" s="213">
        <v>-11026.45</v>
      </c>
    </row>
    <row r="51" spans="1:10" x14ac:dyDescent="0.3">
      <c r="A51" s="30"/>
      <c r="B51" s="31" t="s">
        <v>294</v>
      </c>
      <c r="C51" s="198">
        <v>6132.3</v>
      </c>
      <c r="D51" s="150" t="s">
        <v>301</v>
      </c>
      <c r="E51" s="63" t="s">
        <v>300</v>
      </c>
      <c r="F51" s="149" t="s">
        <v>299</v>
      </c>
      <c r="G51" s="149" t="s">
        <v>298</v>
      </c>
      <c r="H51" s="150" t="s">
        <v>297</v>
      </c>
      <c r="I51" s="63" t="s">
        <v>296</v>
      </c>
      <c r="J51" s="216" t="s">
        <v>295</v>
      </c>
    </row>
    <row r="52" spans="1:10" x14ac:dyDescent="0.3">
      <c r="A52" s="9"/>
      <c r="B52" s="33" t="s">
        <v>302</v>
      </c>
      <c r="C52" s="156">
        <v>-30378.57</v>
      </c>
      <c r="D52" s="147">
        <v>-41595.33</v>
      </c>
      <c r="E52" s="157">
        <v>-25360.51</v>
      </c>
      <c r="F52" s="156">
        <v>-45679.98</v>
      </c>
      <c r="G52" s="156">
        <v>31970.38</v>
      </c>
      <c r="H52" s="147">
        <v>15024.51</v>
      </c>
      <c r="I52" s="157">
        <v>-40594.879999999997</v>
      </c>
      <c r="J52" s="218">
        <v>-118089.91</v>
      </c>
    </row>
    <row r="53" spans="1:10" x14ac:dyDescent="0.3">
      <c r="A53" s="30"/>
      <c r="B53" s="31"/>
      <c r="C53" s="149"/>
      <c r="D53" s="150"/>
      <c r="E53" s="63"/>
      <c r="F53" s="149"/>
      <c r="G53" s="149"/>
      <c r="H53" s="150"/>
      <c r="I53" s="63"/>
      <c r="J53" s="216" t="s">
        <v>5</v>
      </c>
    </row>
    <row r="54" spans="1:10" x14ac:dyDescent="0.3">
      <c r="A54" s="15" t="s">
        <v>303</v>
      </c>
      <c r="B54" s="33" t="s">
        <v>304</v>
      </c>
      <c r="C54" s="156"/>
      <c r="D54" s="156"/>
      <c r="E54" s="156"/>
      <c r="F54" s="156"/>
      <c r="G54" s="156"/>
      <c r="H54" s="156"/>
      <c r="I54" s="156"/>
      <c r="J54" s="156"/>
    </row>
    <row r="55" spans="1:10" x14ac:dyDescent="0.3">
      <c r="A55" s="30"/>
      <c r="B55" s="31" t="s">
        <v>305</v>
      </c>
      <c r="C55" s="397"/>
      <c r="D55" s="150"/>
      <c r="E55" s="63">
        <v>0</v>
      </c>
      <c r="F55" s="149">
        <v>-8707.56</v>
      </c>
      <c r="G55" s="149">
        <v>-19967.919999999998</v>
      </c>
      <c r="H55" s="150">
        <v>-24893.18</v>
      </c>
      <c r="I55" s="63">
        <v>-41137.71</v>
      </c>
      <c r="J55" s="216">
        <v>-62422.23</v>
      </c>
    </row>
    <row r="56" spans="1:10" x14ac:dyDescent="0.3">
      <c r="A56" s="9"/>
      <c r="B56" s="10" t="s">
        <v>306</v>
      </c>
      <c r="C56" s="398" t="s">
        <v>309</v>
      </c>
      <c r="D56" s="147" t="s">
        <v>308</v>
      </c>
      <c r="E56" s="148" t="s">
        <v>307</v>
      </c>
      <c r="F56" s="37">
        <v>-13374.5</v>
      </c>
      <c r="G56" s="37">
        <v>-15928.23</v>
      </c>
      <c r="H56" s="147">
        <v>-19518.400000000001</v>
      </c>
      <c r="I56" s="148">
        <v>-26339.65</v>
      </c>
      <c r="J56" s="213">
        <v>-34353.32</v>
      </c>
    </row>
    <row r="57" spans="1:10" x14ac:dyDescent="0.3">
      <c r="A57" s="30"/>
      <c r="B57" s="31" t="s">
        <v>702</v>
      </c>
      <c r="C57" s="397">
        <v>0</v>
      </c>
      <c r="D57" s="150">
        <v>0</v>
      </c>
      <c r="E57" s="63">
        <v>0</v>
      </c>
      <c r="F57" s="149">
        <v>420.61</v>
      </c>
      <c r="G57" s="149">
        <v>18342.13</v>
      </c>
      <c r="H57" s="150">
        <v>13713.320000000007</v>
      </c>
      <c r="I57" s="63">
        <v>0</v>
      </c>
      <c r="J57" s="216">
        <v>0</v>
      </c>
    </row>
    <row r="58" spans="1:10" x14ac:dyDescent="0.3">
      <c r="A58" s="30"/>
      <c r="B58" s="31" t="s">
        <v>703</v>
      </c>
      <c r="C58" s="397">
        <v>-6849.7800000000007</v>
      </c>
      <c r="D58" s="150">
        <v>-1879.04</v>
      </c>
      <c r="E58" s="63">
        <v>-2141.3199999999997</v>
      </c>
      <c r="F58" s="149">
        <v>0</v>
      </c>
      <c r="G58" s="149">
        <v>0</v>
      </c>
      <c r="H58" s="150">
        <v>0</v>
      </c>
      <c r="I58" s="63">
        <v>-16726.330000000002</v>
      </c>
      <c r="J58" s="216">
        <v>-2819.52</v>
      </c>
    </row>
    <row r="59" spans="1:10" x14ac:dyDescent="0.3">
      <c r="A59" s="9"/>
      <c r="B59" s="10" t="s">
        <v>310</v>
      </c>
      <c r="C59" s="398" t="s">
        <v>318</v>
      </c>
      <c r="D59" s="147" t="s">
        <v>317</v>
      </c>
      <c r="E59" s="148" t="s">
        <v>316</v>
      </c>
      <c r="F59" s="37" t="s">
        <v>315</v>
      </c>
      <c r="G59" s="37" t="s">
        <v>314</v>
      </c>
      <c r="H59" s="147" t="s">
        <v>313</v>
      </c>
      <c r="I59" s="148" t="s">
        <v>312</v>
      </c>
      <c r="J59" s="213" t="s">
        <v>311</v>
      </c>
    </row>
    <row r="60" spans="1:10" x14ac:dyDescent="0.3">
      <c r="A60" s="30"/>
      <c r="B60" s="31" t="s">
        <v>319</v>
      </c>
      <c r="C60" s="397">
        <v>-5422.03</v>
      </c>
      <c r="D60" s="150">
        <v>-12297.2</v>
      </c>
      <c r="E60" s="63">
        <v>-2306.36</v>
      </c>
      <c r="F60" s="149">
        <v>-1922.53</v>
      </c>
      <c r="G60" s="149"/>
      <c r="H60" s="150"/>
      <c r="I60" s="63"/>
      <c r="J60" s="216"/>
    </row>
    <row r="61" spans="1:10" x14ac:dyDescent="0.3">
      <c r="A61" s="9"/>
      <c r="B61" s="10" t="s">
        <v>320</v>
      </c>
      <c r="C61" s="398">
        <v>-1103.8</v>
      </c>
      <c r="D61" s="147">
        <v>-2503.44</v>
      </c>
      <c r="E61" s="148" t="s">
        <v>322</v>
      </c>
      <c r="F61" s="37" t="s">
        <v>321</v>
      </c>
      <c r="G61" s="37"/>
      <c r="H61" s="147"/>
      <c r="I61" s="148"/>
      <c r="J61" s="213"/>
    </row>
    <row r="62" spans="1:10" x14ac:dyDescent="0.3">
      <c r="A62" s="30"/>
      <c r="B62" s="31" t="s">
        <v>323</v>
      </c>
      <c r="C62" s="397">
        <v>0</v>
      </c>
      <c r="D62" s="150">
        <v>24852.45</v>
      </c>
      <c r="E62" s="63">
        <v>0</v>
      </c>
      <c r="F62" s="149" t="s">
        <v>328</v>
      </c>
      <c r="G62" s="149" t="s">
        <v>327</v>
      </c>
      <c r="H62" s="150" t="s">
        <v>326</v>
      </c>
      <c r="I62" s="63" t="s">
        <v>325</v>
      </c>
      <c r="J62" s="216" t="s">
        <v>324</v>
      </c>
    </row>
    <row r="63" spans="1:10" x14ac:dyDescent="0.3">
      <c r="A63" s="9"/>
      <c r="B63" s="10" t="s">
        <v>329</v>
      </c>
      <c r="C63" s="398" t="s">
        <v>334</v>
      </c>
      <c r="D63" s="147">
        <v>229.39000000000001</v>
      </c>
      <c r="E63" s="148">
        <v>0</v>
      </c>
      <c r="F63" s="37" t="s">
        <v>333</v>
      </c>
      <c r="G63" s="37" t="s">
        <v>332</v>
      </c>
      <c r="H63" s="147" t="s">
        <v>331</v>
      </c>
      <c r="I63" s="148" t="s">
        <v>252</v>
      </c>
      <c r="J63" s="213" t="s">
        <v>330</v>
      </c>
    </row>
    <row r="64" spans="1:10" s="57" customFormat="1" x14ac:dyDescent="0.3">
      <c r="A64" s="64"/>
      <c r="B64" s="65" t="s">
        <v>335</v>
      </c>
      <c r="C64" s="162">
        <v>-14012.06</v>
      </c>
      <c r="D64" s="163">
        <v>7659.55</v>
      </c>
      <c r="E64" s="164">
        <v>-5921.58</v>
      </c>
      <c r="F64" s="162">
        <v>-24074.84</v>
      </c>
      <c r="G64" s="162">
        <v>-17753.37</v>
      </c>
      <c r="H64" s="163">
        <v>-30878.42</v>
      </c>
      <c r="I64" s="164">
        <v>-84324.6</v>
      </c>
      <c r="J64" s="220">
        <v>-99785.279999999999</v>
      </c>
    </row>
    <row r="65" spans="1:11" s="57" customFormat="1" x14ac:dyDescent="0.3">
      <c r="A65" s="15"/>
      <c r="B65" s="33"/>
    </row>
    <row r="66" spans="1:11" s="57" customFormat="1" x14ac:dyDescent="0.3">
      <c r="A66" s="64"/>
      <c r="B66" s="65" t="s">
        <v>336</v>
      </c>
      <c r="C66" s="162">
        <v>-6569.93</v>
      </c>
      <c r="D66" s="163">
        <v>5095.0600000000004</v>
      </c>
      <c r="E66" s="164" t="s">
        <v>338</v>
      </c>
      <c r="F66" s="162" t="s">
        <v>337</v>
      </c>
      <c r="G66" s="162">
        <v>-1924.53</v>
      </c>
      <c r="H66" s="163">
        <v>5051.87</v>
      </c>
      <c r="I66" s="164">
        <v>2359.91</v>
      </c>
      <c r="J66" s="220">
        <v>-5699.45</v>
      </c>
    </row>
    <row r="67" spans="1:11" s="57" customFormat="1" x14ac:dyDescent="0.3">
      <c r="A67" s="15"/>
      <c r="B67" s="33"/>
      <c r="C67" s="156"/>
      <c r="D67" s="161" t="s">
        <v>5</v>
      </c>
      <c r="E67" s="157"/>
      <c r="F67" s="156"/>
      <c r="G67" s="156"/>
      <c r="H67" s="161"/>
      <c r="I67" s="157"/>
      <c r="J67" s="218" t="s">
        <v>5</v>
      </c>
    </row>
    <row r="68" spans="1:11" s="57" customFormat="1" x14ac:dyDescent="0.3">
      <c r="A68" s="64"/>
      <c r="B68" s="65" t="s">
        <v>339</v>
      </c>
      <c r="C68" s="162" t="s">
        <v>347</v>
      </c>
      <c r="D68" s="163" t="s">
        <v>346</v>
      </c>
      <c r="E68" s="164" t="s">
        <v>345</v>
      </c>
      <c r="F68" s="162" t="s">
        <v>344</v>
      </c>
      <c r="G68" s="162" t="s">
        <v>343</v>
      </c>
      <c r="H68" s="163" t="s">
        <v>342</v>
      </c>
      <c r="I68" s="164" t="s">
        <v>341</v>
      </c>
      <c r="J68" s="220" t="s">
        <v>340</v>
      </c>
    </row>
    <row r="70" spans="1:11" x14ac:dyDescent="0.3">
      <c r="K70" s="206"/>
    </row>
    <row r="71" spans="1:11" x14ac:dyDescent="0.3">
      <c r="C71" s="191"/>
      <c r="D71" s="191"/>
      <c r="E71" s="191"/>
      <c r="F71" s="191"/>
      <c r="G71" s="191"/>
      <c r="H71" s="191"/>
      <c r="I71" s="191"/>
      <c r="J71" s="191"/>
    </row>
    <row r="72" spans="1:11" x14ac:dyDescent="0.3">
      <c r="C72" s="191"/>
      <c r="D72" s="191"/>
      <c r="E72" s="191"/>
      <c r="F72" s="191"/>
      <c r="G72" s="191"/>
      <c r="H72" s="191"/>
      <c r="I72" s="191"/>
      <c r="J72" s="191"/>
    </row>
    <row r="73" spans="1:11" x14ac:dyDescent="0.3">
      <c r="C73" s="57"/>
      <c r="D73" s="57"/>
      <c r="E73" s="57"/>
      <c r="F73" s="57"/>
      <c r="G73" s="57"/>
      <c r="H73" s="57"/>
      <c r="I73" s="57"/>
      <c r="J73" s="57"/>
    </row>
    <row r="74" spans="1:11" x14ac:dyDescent="0.3">
      <c r="C74" s="191"/>
      <c r="D74" s="191"/>
      <c r="E74" s="191"/>
      <c r="F74" s="191"/>
      <c r="G74" s="191"/>
      <c r="H74" s="191"/>
      <c r="I74" s="191"/>
      <c r="J74" s="191"/>
    </row>
    <row r="75" spans="1:11" x14ac:dyDescent="0.3">
      <c r="C75" s="408"/>
      <c r="D75" s="206"/>
      <c r="E75" s="206"/>
      <c r="F75" s="206"/>
      <c r="G75" s="206"/>
      <c r="H75" s="206"/>
      <c r="I75" s="206"/>
      <c r="J75" s="206"/>
    </row>
    <row r="76" spans="1:11" x14ac:dyDescent="0.3">
      <c r="C76" s="409"/>
      <c r="D76" s="409"/>
      <c r="E76" s="409"/>
      <c r="F76" s="409"/>
      <c r="G76" s="409"/>
      <c r="H76" s="409"/>
      <c r="I76" s="409"/>
      <c r="J76" s="40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FAA1-C2AE-473C-9251-6E67A9311DD8}">
  <sheetPr codeName="Sheet5">
    <tabColor theme="2" tint="-9.9978637043366805E-2"/>
  </sheetPr>
  <dimension ref="A2:R59"/>
  <sheetViews>
    <sheetView showGridLines="0" topLeftCell="A21" zoomScale="75" zoomScaleNormal="100" workbookViewId="0">
      <selection activeCell="M39" sqref="M39"/>
    </sheetView>
  </sheetViews>
  <sheetFormatPr defaultRowHeight="14.4" x14ac:dyDescent="0.3"/>
  <cols>
    <col min="1" max="1" width="27.88671875" style="209" customWidth="1"/>
    <col min="2" max="2" width="25.21875" style="209" bestFit="1" customWidth="1"/>
    <col min="3" max="10" width="15.77734375" style="209" customWidth="1"/>
    <col min="11" max="11" width="8.109375" style="209" bestFit="1" customWidth="1"/>
    <col min="12" max="12" width="6.5546875" style="209" bestFit="1" customWidth="1"/>
    <col min="13" max="13" width="8.109375" style="209" bestFit="1" customWidth="1"/>
    <col min="14" max="14" width="9.109375" style="209" bestFit="1" customWidth="1"/>
    <col min="15" max="15" width="8.109375" style="209" bestFit="1" customWidth="1"/>
    <col min="16" max="16" width="6.5546875" style="209" bestFit="1" customWidth="1"/>
    <col min="17" max="17" width="9.109375" style="209" bestFit="1" customWidth="1"/>
    <col min="18" max="18" width="10.6640625" style="209" bestFit="1" customWidth="1"/>
    <col min="19" max="19" width="5.109375" style="209" bestFit="1" customWidth="1"/>
    <col min="20" max="16384" width="8.88671875" style="209"/>
  </cols>
  <sheetData>
    <row r="2" spans="1:11" ht="17.399999999999999" x14ac:dyDescent="0.3">
      <c r="A2" s="447" t="s">
        <v>520</v>
      </c>
      <c r="B2" s="448"/>
      <c r="C2" s="448"/>
      <c r="D2" s="448"/>
      <c r="E2" s="448"/>
      <c r="F2" s="448"/>
      <c r="G2" s="448"/>
      <c r="H2" s="448"/>
      <c r="I2" s="448"/>
      <c r="J2" s="449"/>
    </row>
    <row r="3" spans="1:11" ht="14.4" customHeight="1" x14ac:dyDescent="0.3">
      <c r="A3" s="450" t="s">
        <v>501</v>
      </c>
      <c r="B3" s="451"/>
      <c r="C3" s="240">
        <v>2017</v>
      </c>
      <c r="D3" s="240">
        <f t="shared" ref="D3:J3" si="0">C3+1</f>
        <v>2018</v>
      </c>
      <c r="E3" s="240">
        <f t="shared" si="0"/>
        <v>2019</v>
      </c>
      <c r="F3" s="240">
        <f t="shared" si="0"/>
        <v>2020</v>
      </c>
      <c r="G3" s="240">
        <f t="shared" si="0"/>
        <v>2021</v>
      </c>
      <c r="H3" s="240">
        <f t="shared" si="0"/>
        <v>2022</v>
      </c>
      <c r="I3" s="240">
        <f t="shared" si="0"/>
        <v>2023</v>
      </c>
      <c r="J3" s="243">
        <f t="shared" si="0"/>
        <v>2024</v>
      </c>
      <c r="K3" s="208"/>
    </row>
    <row r="4" spans="1:11" ht="14.4" customHeight="1" x14ac:dyDescent="0.3">
      <c r="A4" s="444" t="s">
        <v>502</v>
      </c>
      <c r="B4" s="238" t="s">
        <v>503</v>
      </c>
      <c r="C4" s="239">
        <v>300526</v>
      </c>
      <c r="D4" s="239">
        <v>347640</v>
      </c>
      <c r="E4" s="239">
        <v>448904</v>
      </c>
      <c r="F4" s="239">
        <v>522853</v>
      </c>
      <c r="G4" s="239">
        <v>249208</v>
      </c>
      <c r="H4" s="239">
        <v>376222</v>
      </c>
      <c r="I4" s="239">
        <v>594812</v>
      </c>
      <c r="J4" s="244">
        <v>694743</v>
      </c>
    </row>
    <row r="5" spans="1:11" ht="14.4" customHeight="1" x14ac:dyDescent="0.3">
      <c r="A5" s="444"/>
      <c r="B5" s="241" t="s">
        <v>504</v>
      </c>
      <c r="C5" s="242">
        <v>558557</v>
      </c>
      <c r="D5" s="242">
        <v>654040</v>
      </c>
      <c r="E5" s="242">
        <v>853553</v>
      </c>
      <c r="F5" s="242">
        <v>1022515</v>
      </c>
      <c r="G5" s="242">
        <v>440752</v>
      </c>
      <c r="H5" s="242">
        <v>645350</v>
      </c>
      <c r="I5" s="242">
        <v>1123004</v>
      </c>
      <c r="J5" s="245">
        <v>1348939</v>
      </c>
    </row>
    <row r="6" spans="1:11" ht="14.4" customHeight="1" x14ac:dyDescent="0.3">
      <c r="A6" s="444"/>
      <c r="B6" s="238" t="s">
        <v>505</v>
      </c>
      <c r="C6" s="239">
        <v>303495</v>
      </c>
      <c r="D6" s="239">
        <v>353804</v>
      </c>
      <c r="E6" s="239">
        <v>456345</v>
      </c>
      <c r="F6" s="239">
        <v>541958</v>
      </c>
      <c r="G6" s="239">
        <v>226024</v>
      </c>
      <c r="H6" s="239">
        <v>328967</v>
      </c>
      <c r="I6" s="239">
        <v>604609</v>
      </c>
      <c r="J6" s="244">
        <v>719779</v>
      </c>
    </row>
    <row r="7" spans="1:11" ht="14.4" customHeight="1" x14ac:dyDescent="0.3">
      <c r="A7" s="452" t="s">
        <v>506</v>
      </c>
      <c r="B7" s="453"/>
      <c r="C7" s="242">
        <v>43531952</v>
      </c>
      <c r="D7" s="242">
        <v>52141844</v>
      </c>
      <c r="E7" s="242">
        <v>64742944</v>
      </c>
      <c r="F7" s="242">
        <v>75025960</v>
      </c>
      <c r="G7" s="242">
        <v>29336170</v>
      </c>
      <c r="H7" s="242">
        <v>46683054</v>
      </c>
      <c r="I7" s="242">
        <v>85265383</v>
      </c>
      <c r="J7" s="245">
        <v>106400970</v>
      </c>
    </row>
    <row r="8" spans="1:11" ht="14.4" customHeight="1" x14ac:dyDescent="0.3">
      <c r="A8" s="445" t="s">
        <v>507</v>
      </c>
      <c r="B8" s="446"/>
      <c r="C8" s="239">
        <v>46288307</v>
      </c>
      <c r="D8" s="239">
        <v>55523815</v>
      </c>
      <c r="E8" s="239">
        <v>69811417</v>
      </c>
      <c r="F8" s="239">
        <v>82539862</v>
      </c>
      <c r="G8" s="239">
        <v>28217864</v>
      </c>
      <c r="H8" s="239">
        <v>44118653</v>
      </c>
      <c r="I8" s="239">
        <v>93639206</v>
      </c>
      <c r="J8" s="244">
        <v>119501577</v>
      </c>
    </row>
    <row r="9" spans="1:11" ht="14.4" customHeight="1" x14ac:dyDescent="0.3">
      <c r="A9" s="454" t="s">
        <v>525</v>
      </c>
      <c r="B9" s="453"/>
      <c r="C9" s="242">
        <v>54582.542000000001</v>
      </c>
      <c r="D9" s="242">
        <v>63510.063999999998</v>
      </c>
      <c r="E9" s="242">
        <v>81028.372000000003</v>
      </c>
      <c r="F9" s="242">
        <v>96240.127999999997</v>
      </c>
      <c r="G9" s="242">
        <v>41047.998</v>
      </c>
      <c r="H9" s="242">
        <v>59963.006999999998</v>
      </c>
      <c r="I9" s="242">
        <v>114062.49400000001</v>
      </c>
      <c r="J9" s="245">
        <v>139052.326</v>
      </c>
    </row>
    <row r="10" spans="1:11" ht="14.4" customHeight="1" x14ac:dyDescent="0.3">
      <c r="A10" s="445" t="s">
        <v>508</v>
      </c>
      <c r="B10" s="446"/>
      <c r="C10" s="239">
        <v>84.8</v>
      </c>
      <c r="D10" s="239">
        <v>87.4</v>
      </c>
      <c r="E10" s="239">
        <v>86.2</v>
      </c>
      <c r="F10" s="239">
        <v>85.8</v>
      </c>
      <c r="G10" s="239">
        <v>68.7</v>
      </c>
      <c r="H10" s="239">
        <v>73.599999999999994</v>
      </c>
      <c r="I10" s="239">
        <v>82.1</v>
      </c>
      <c r="J10" s="244">
        <v>85.9</v>
      </c>
    </row>
    <row r="11" spans="1:11" ht="14.4" customHeight="1" x14ac:dyDescent="0.3">
      <c r="A11" s="444" t="s">
        <v>509</v>
      </c>
      <c r="B11" s="241" t="s">
        <v>510</v>
      </c>
      <c r="C11" s="242">
        <v>163177</v>
      </c>
      <c r="D11" s="242">
        <v>192467</v>
      </c>
      <c r="E11" s="242">
        <v>188185</v>
      </c>
      <c r="F11" s="242">
        <v>277756</v>
      </c>
      <c r="G11" s="242">
        <v>142981</v>
      </c>
      <c r="H11" s="242">
        <v>206685</v>
      </c>
      <c r="I11" s="242">
        <v>273742</v>
      </c>
      <c r="J11" s="245">
        <v>301891</v>
      </c>
    </row>
    <row r="12" spans="1:11" ht="14.4" customHeight="1" x14ac:dyDescent="0.3">
      <c r="A12" s="444"/>
      <c r="B12" s="238" t="s">
        <v>511</v>
      </c>
      <c r="C12" s="239">
        <v>14204</v>
      </c>
      <c r="D12" s="239">
        <v>15237</v>
      </c>
      <c r="E12" s="239">
        <v>21163</v>
      </c>
      <c r="F12" s="239">
        <v>18417</v>
      </c>
      <c r="G12" s="239">
        <v>21698</v>
      </c>
      <c r="H12" s="239">
        <v>20504</v>
      </c>
      <c r="I12" s="239">
        <v>24282</v>
      </c>
      <c r="J12" s="244">
        <v>28411</v>
      </c>
    </row>
    <row r="13" spans="1:11" ht="14.4" customHeight="1" x14ac:dyDescent="0.3">
      <c r="A13" s="444"/>
      <c r="B13" s="241" t="s">
        <v>512</v>
      </c>
      <c r="C13" s="242">
        <v>177381</v>
      </c>
      <c r="D13" s="242">
        <v>207705</v>
      </c>
      <c r="E13" s="242">
        <v>209348</v>
      </c>
      <c r="F13" s="242">
        <v>296173</v>
      </c>
      <c r="G13" s="242">
        <v>164679</v>
      </c>
      <c r="H13" s="242">
        <v>227190</v>
      </c>
      <c r="I13" s="242">
        <v>298025</v>
      </c>
      <c r="J13" s="245">
        <v>330302</v>
      </c>
    </row>
    <row r="14" spans="1:11" ht="14.4" customHeight="1" x14ac:dyDescent="0.3">
      <c r="A14" s="444" t="s">
        <v>513</v>
      </c>
      <c r="B14" s="238" t="s">
        <v>514</v>
      </c>
      <c r="C14" s="239">
        <v>4166086</v>
      </c>
      <c r="D14" s="239">
        <v>4997068</v>
      </c>
      <c r="E14" s="239">
        <v>6282605</v>
      </c>
      <c r="F14" s="239">
        <v>7426634</v>
      </c>
      <c r="G14" s="239">
        <v>2539159</v>
      </c>
      <c r="H14" s="239">
        <v>3970202</v>
      </c>
      <c r="I14" s="239">
        <v>8418913</v>
      </c>
      <c r="J14" s="244">
        <v>10756930</v>
      </c>
    </row>
    <row r="15" spans="1:11" ht="14.4" customHeight="1" x14ac:dyDescent="0.3">
      <c r="A15" s="444"/>
      <c r="B15" s="241" t="s">
        <v>515</v>
      </c>
      <c r="C15" s="242">
        <v>215915</v>
      </c>
      <c r="D15" s="242">
        <v>261026</v>
      </c>
      <c r="E15" s="242">
        <v>257765</v>
      </c>
      <c r="F15" s="242">
        <v>372300</v>
      </c>
      <c r="G15" s="242">
        <v>157633</v>
      </c>
      <c r="H15" s="242">
        <v>237779</v>
      </c>
      <c r="I15" s="242">
        <v>368840</v>
      </c>
      <c r="J15" s="245">
        <v>391189</v>
      </c>
    </row>
    <row r="16" spans="1:11" ht="14.4" customHeight="1" x14ac:dyDescent="0.3">
      <c r="A16" s="444"/>
      <c r="B16" s="238" t="s">
        <v>516</v>
      </c>
      <c r="C16" s="239">
        <v>15646</v>
      </c>
      <c r="D16" s="239">
        <v>16440</v>
      </c>
      <c r="E16" s="239">
        <v>21826</v>
      </c>
      <c r="F16" s="239">
        <v>18689</v>
      </c>
      <c r="G16" s="239">
        <v>19300</v>
      </c>
      <c r="H16" s="239">
        <v>19190</v>
      </c>
      <c r="I16" s="239">
        <v>22409</v>
      </c>
      <c r="J16" s="244">
        <v>25408</v>
      </c>
    </row>
    <row r="17" spans="1:18" ht="14.4" customHeight="1" x14ac:dyDescent="0.3">
      <c r="A17" s="444"/>
      <c r="B17" s="241" t="s">
        <v>517</v>
      </c>
      <c r="C17" s="242">
        <v>4397647</v>
      </c>
      <c r="D17" s="242">
        <v>5274534</v>
      </c>
      <c r="E17" s="242">
        <v>6562196</v>
      </c>
      <c r="F17" s="242">
        <v>7817623</v>
      </c>
      <c r="G17" s="242">
        <v>2716091</v>
      </c>
      <c r="H17" s="242">
        <v>4227171</v>
      </c>
      <c r="I17" s="242">
        <v>8810162</v>
      </c>
      <c r="J17" s="245">
        <v>11173527</v>
      </c>
    </row>
    <row r="18" spans="1:18" ht="14.4" customHeight="1" x14ac:dyDescent="0.3">
      <c r="A18" s="445" t="s">
        <v>518</v>
      </c>
      <c r="B18" s="446"/>
      <c r="C18" s="239">
        <v>5935196</v>
      </c>
      <c r="D18" s="239">
        <v>6890494</v>
      </c>
      <c r="E18" s="239">
        <v>8959930</v>
      </c>
      <c r="F18" s="239">
        <v>10701676</v>
      </c>
      <c r="G18" s="239">
        <v>4309672</v>
      </c>
      <c r="H18" s="239">
        <v>6892994</v>
      </c>
      <c r="I18" s="239">
        <v>12802751</v>
      </c>
      <c r="J18" s="244">
        <v>15279740</v>
      </c>
    </row>
    <row r="19" spans="1:18" ht="14.4" customHeight="1" x14ac:dyDescent="0.3">
      <c r="A19" s="246" t="s">
        <v>519</v>
      </c>
      <c r="B19" s="247"/>
      <c r="C19" s="248">
        <v>74.099999999999994</v>
      </c>
      <c r="D19" s="248">
        <v>76.5</v>
      </c>
      <c r="E19" s="248">
        <v>73.2</v>
      </c>
      <c r="F19" s="248">
        <v>73.099999999999994</v>
      </c>
      <c r="G19" s="248">
        <v>63</v>
      </c>
      <c r="H19" s="248">
        <v>61.3</v>
      </c>
      <c r="I19" s="248">
        <v>68.8</v>
      </c>
      <c r="J19" s="249">
        <v>73.099999999999994</v>
      </c>
    </row>
    <row r="21" spans="1:18" x14ac:dyDescent="0.3">
      <c r="A21" s="365" t="s">
        <v>667</v>
      </c>
      <c r="B21" s="365"/>
      <c r="C21" s="366">
        <v>43.531999999999996</v>
      </c>
      <c r="D21" s="366">
        <v>52.142000000000003</v>
      </c>
      <c r="E21" s="366">
        <v>64.742999999999995</v>
      </c>
      <c r="F21" s="366">
        <v>75.025999999999996</v>
      </c>
      <c r="G21" s="366">
        <v>30.693000000000001</v>
      </c>
      <c r="H21" s="366">
        <v>49.802999999999997</v>
      </c>
      <c r="I21" s="367">
        <v>85.59</v>
      </c>
      <c r="J21" s="367">
        <v>106.42</v>
      </c>
    </row>
    <row r="22" spans="1:18" ht="15.6" x14ac:dyDescent="0.3">
      <c r="A22" s="69" t="s">
        <v>454</v>
      </c>
      <c r="B22" s="82" t="s">
        <v>474</v>
      </c>
      <c r="C22" s="361">
        <f>+('3-FInancial Statements'!E165+'3-FInancial Statements'!E166)/'3-FInancial Statements'!E259</f>
        <v>1917.1999908113573</v>
      </c>
      <c r="D22" s="361">
        <f>+('3-FInancial Statements'!F165+'3-FInancial Statements'!F166)/'3-FInancial Statements'!F259</f>
        <v>2478.7317325764257</v>
      </c>
      <c r="E22" s="361">
        <f>+('3-FInancial Statements'!G165+'3-FInancial Statements'!G166)/'3-FInancial Statements'!G259</f>
        <v>2338.2554098512583</v>
      </c>
      <c r="F22" s="361">
        <f>+('3-FInancial Statements'!H165+'3-FInancial Statements'!H166)/'3-FInancial Statements'!H259</f>
        <v>2715.2716391650897</v>
      </c>
      <c r="G22" s="361">
        <f>+('3-FInancial Statements'!I165+'3-FInancial Statements'!I166)/'3-FInancial Statements'!I259</f>
        <v>6049.2851790310488</v>
      </c>
      <c r="H22" s="361">
        <f>+('3-FInancial Statements'!J165+'3-FInancial Statements'!J166)/'3-FInancial Statements'!J259</f>
        <v>3659.741983414654</v>
      </c>
      <c r="I22" s="361">
        <f>+('3-FInancial Statements'!K165+'3-FInancial Statements'!K166)/'3-FInancial Statements'!K259</f>
        <v>2733.697160883281</v>
      </c>
      <c r="J22" s="361">
        <f>+('3-FInancial Statements'!L165+'3-FInancial Statements'!L166)/'3-FInancial Statements'!L259</f>
        <v>3034.3666604021805</v>
      </c>
      <c r="K22" s="361"/>
      <c r="L22" s="361"/>
      <c r="M22" s="361"/>
      <c r="N22" s="361"/>
    </row>
    <row r="24" spans="1:18" ht="23.4" x14ac:dyDescent="0.45">
      <c r="A24" s="441" t="s">
        <v>551</v>
      </c>
      <c r="B24" s="442"/>
      <c r="C24" s="442"/>
      <c r="D24" s="442"/>
      <c r="E24" s="442"/>
      <c r="F24" s="442"/>
      <c r="G24" s="442"/>
      <c r="H24" s="442"/>
      <c r="I24" s="443"/>
    </row>
    <row r="25" spans="1:18" x14ac:dyDescent="0.3">
      <c r="A25" s="266" t="s">
        <v>552</v>
      </c>
      <c r="B25" s="267" t="s">
        <v>528</v>
      </c>
      <c r="C25" s="267" t="s">
        <v>529</v>
      </c>
      <c r="D25" s="267" t="s">
        <v>530</v>
      </c>
      <c r="E25" s="267" t="s">
        <v>531</v>
      </c>
      <c r="F25" s="267" t="s">
        <v>532</v>
      </c>
      <c r="G25" s="267" t="s">
        <v>533</v>
      </c>
      <c r="H25" s="267" t="s">
        <v>526</v>
      </c>
      <c r="I25" s="268" t="s">
        <v>527</v>
      </c>
    </row>
    <row r="26" spans="1:18" x14ac:dyDescent="0.3">
      <c r="A26" s="252" t="s">
        <v>534</v>
      </c>
      <c r="B26" s="251"/>
      <c r="C26" s="251"/>
      <c r="D26" s="251"/>
      <c r="E26" s="251"/>
      <c r="F26" s="251"/>
      <c r="G26" s="251"/>
      <c r="H26" s="251"/>
      <c r="I26" s="253"/>
      <c r="K26" s="210"/>
      <c r="L26" s="210"/>
      <c r="M26" s="210"/>
      <c r="N26" s="210"/>
      <c r="O26" s="210"/>
      <c r="P26" s="210"/>
      <c r="Q26" s="210"/>
      <c r="R26" s="210"/>
    </row>
    <row r="27" spans="1:18" x14ac:dyDescent="0.3">
      <c r="A27" s="254" t="s">
        <v>535</v>
      </c>
      <c r="B27" s="255">
        <v>54583</v>
      </c>
      <c r="C27" s="255">
        <v>63510</v>
      </c>
      <c r="D27" s="255">
        <v>81016</v>
      </c>
      <c r="E27" s="255">
        <v>96300</v>
      </c>
      <c r="F27" s="255">
        <v>45471</v>
      </c>
      <c r="G27" s="255">
        <v>70400</v>
      </c>
      <c r="H27" s="255">
        <v>114400</v>
      </c>
      <c r="I27" s="256">
        <v>139300</v>
      </c>
    </row>
    <row r="28" spans="1:18" x14ac:dyDescent="0.3">
      <c r="A28" s="257" t="s">
        <v>556</v>
      </c>
      <c r="B28" s="258">
        <v>0.27</v>
      </c>
      <c r="C28" s="258">
        <v>0.16</v>
      </c>
      <c r="D28" s="258">
        <v>0.28000000000000003</v>
      </c>
      <c r="E28" s="258">
        <v>0.19</v>
      </c>
      <c r="F28" s="258">
        <v>-0.53</v>
      </c>
      <c r="G28" s="258">
        <v>0.55000000000000004</v>
      </c>
      <c r="H28" s="258">
        <v>0.63</v>
      </c>
      <c r="I28" s="259">
        <v>0.22</v>
      </c>
      <c r="J28" s="210"/>
      <c r="K28" s="210"/>
      <c r="L28" s="210"/>
      <c r="M28" s="210"/>
      <c r="N28" s="210"/>
      <c r="O28" s="210"/>
      <c r="P28" s="210"/>
      <c r="Q28" s="210"/>
      <c r="R28" s="210"/>
    </row>
    <row r="29" spans="1:18" ht="14.4" customHeight="1" x14ac:dyDescent="0.3">
      <c r="A29" s="254" t="s">
        <v>553</v>
      </c>
      <c r="B29" s="260">
        <v>0.85</v>
      </c>
      <c r="C29" s="260">
        <v>0.87</v>
      </c>
      <c r="D29" s="260">
        <v>0.86</v>
      </c>
      <c r="E29" s="260">
        <v>0.86</v>
      </c>
      <c r="F29" s="260">
        <v>0.69</v>
      </c>
      <c r="G29" s="260">
        <v>0.73</v>
      </c>
      <c r="H29" s="260">
        <v>0.82</v>
      </c>
      <c r="I29" s="261">
        <v>0.86</v>
      </c>
      <c r="J29" s="210"/>
      <c r="K29" s="210"/>
      <c r="L29" s="210"/>
      <c r="M29" s="210"/>
      <c r="N29" s="210"/>
      <c r="O29" s="210"/>
      <c r="P29" s="210"/>
      <c r="Q29" s="210"/>
      <c r="R29" s="210"/>
    </row>
    <row r="30" spans="1:18" x14ac:dyDescent="0.3">
      <c r="A30" s="254" t="s">
        <v>537</v>
      </c>
      <c r="B30" s="255">
        <v>46288</v>
      </c>
      <c r="C30" s="255">
        <v>55524</v>
      </c>
      <c r="D30" s="255">
        <v>69787</v>
      </c>
      <c r="E30" s="255">
        <v>82600</v>
      </c>
      <c r="F30" s="255">
        <v>31595</v>
      </c>
      <c r="G30" s="255">
        <v>51700</v>
      </c>
      <c r="H30" s="255">
        <v>93900</v>
      </c>
      <c r="I30" s="256">
        <v>119700</v>
      </c>
      <c r="K30" s="210"/>
      <c r="L30" s="210"/>
      <c r="M30" s="210"/>
      <c r="N30" s="210"/>
      <c r="O30" s="210"/>
      <c r="P30" s="210"/>
      <c r="Q30" s="210"/>
      <c r="R30" s="210"/>
    </row>
    <row r="31" spans="1:18" x14ac:dyDescent="0.3">
      <c r="A31" s="257" t="s">
        <v>557</v>
      </c>
      <c r="B31" s="258">
        <v>0.28999999999999998</v>
      </c>
      <c r="C31" s="258">
        <v>0.2</v>
      </c>
      <c r="D31" s="258">
        <v>0.26</v>
      </c>
      <c r="E31" s="258">
        <v>0.18</v>
      </c>
      <c r="F31" s="258">
        <v>-0.62</v>
      </c>
      <c r="G31" s="258">
        <v>0.64</v>
      </c>
      <c r="H31" s="258">
        <v>0.82</v>
      </c>
      <c r="I31" s="259">
        <v>0.27</v>
      </c>
      <c r="K31" s="210"/>
      <c r="L31" s="210"/>
      <c r="M31" s="210"/>
      <c r="N31" s="210"/>
      <c r="O31" s="210"/>
      <c r="P31" s="210"/>
      <c r="Q31" s="210"/>
      <c r="R31" s="210"/>
    </row>
    <row r="32" spans="1:18" x14ac:dyDescent="0.3">
      <c r="A32" s="252" t="s">
        <v>538</v>
      </c>
      <c r="B32" s="251"/>
      <c r="C32" s="251"/>
      <c r="D32" s="251"/>
      <c r="E32" s="251"/>
      <c r="F32" s="251"/>
      <c r="G32" s="251"/>
      <c r="H32" s="251"/>
      <c r="I32" s="253"/>
      <c r="K32" s="210"/>
      <c r="L32" s="210"/>
      <c r="M32" s="210"/>
      <c r="N32" s="210"/>
      <c r="O32" s="210"/>
      <c r="P32" s="210"/>
      <c r="Q32" s="210"/>
      <c r="R32" s="210"/>
    </row>
    <row r="33" spans="1:9" x14ac:dyDescent="0.3">
      <c r="A33" s="254" t="s">
        <v>539</v>
      </c>
      <c r="B33" s="255">
        <v>161971</v>
      </c>
      <c r="C33" s="255">
        <v>199433</v>
      </c>
      <c r="D33" s="255">
        <v>251359</v>
      </c>
      <c r="E33" s="255">
        <v>314682</v>
      </c>
      <c r="F33" s="255">
        <v>118735</v>
      </c>
      <c r="G33" s="255">
        <v>219239</v>
      </c>
      <c r="H33" s="255">
        <v>481759</v>
      </c>
      <c r="I33" s="256">
        <v>607980</v>
      </c>
    </row>
    <row r="34" spans="1:9" x14ac:dyDescent="0.3">
      <c r="A34" s="254" t="s">
        <v>540</v>
      </c>
      <c r="B34">
        <v>3.5</v>
      </c>
      <c r="C34">
        <v>3.59</v>
      </c>
      <c r="D34">
        <v>3.6</v>
      </c>
      <c r="E34">
        <v>3.81</v>
      </c>
      <c r="F34">
        <v>3.76</v>
      </c>
      <c r="G34">
        <v>4.24</v>
      </c>
      <c r="H34">
        <v>5.13</v>
      </c>
      <c r="I34" s="262">
        <v>5.08</v>
      </c>
    </row>
    <row r="35" spans="1:9" x14ac:dyDescent="0.3">
      <c r="A35" s="254" t="s">
        <v>554</v>
      </c>
      <c r="B35" s="255">
        <v>23834</v>
      </c>
      <c r="C35" s="255">
        <v>30776</v>
      </c>
      <c r="D35" s="255">
        <v>33609</v>
      </c>
      <c r="E35" s="255">
        <v>42878</v>
      </c>
      <c r="F35" s="255">
        <v>27671</v>
      </c>
      <c r="G35" s="255">
        <v>40070</v>
      </c>
      <c r="H35" s="255">
        <v>62706</v>
      </c>
      <c r="I35" s="256">
        <v>81063</v>
      </c>
    </row>
    <row r="36" spans="1:9" x14ac:dyDescent="0.3">
      <c r="A36" s="254" t="s">
        <v>541</v>
      </c>
      <c r="B36" s="255">
        <v>185805</v>
      </c>
      <c r="C36" s="255">
        <v>230209</v>
      </c>
      <c r="D36" s="255">
        <v>284968</v>
      </c>
      <c r="E36" s="255">
        <v>357560</v>
      </c>
      <c r="F36" s="255">
        <v>146406</v>
      </c>
      <c r="G36" s="255">
        <v>259309</v>
      </c>
      <c r="H36" s="255">
        <v>544465</v>
      </c>
      <c r="I36" s="256">
        <v>689043</v>
      </c>
    </row>
    <row r="37" spans="1:9" x14ac:dyDescent="0.3">
      <c r="A37" s="252" t="s">
        <v>542</v>
      </c>
      <c r="B37" s="251"/>
      <c r="C37" s="251"/>
      <c r="D37" s="251"/>
      <c r="E37" s="251"/>
      <c r="F37" s="251"/>
      <c r="G37" s="251"/>
      <c r="H37" s="251"/>
      <c r="I37" s="253"/>
    </row>
    <row r="38" spans="1:9" x14ac:dyDescent="0.3">
      <c r="A38" s="254" t="s">
        <v>543</v>
      </c>
      <c r="B38">
        <v>67</v>
      </c>
      <c r="C38">
        <v>64</v>
      </c>
      <c r="D38">
        <v>70</v>
      </c>
      <c r="E38">
        <v>71</v>
      </c>
      <c r="F38">
        <v>74</v>
      </c>
      <c r="G38">
        <v>75</v>
      </c>
      <c r="H38">
        <v>80</v>
      </c>
      <c r="I38" s="262">
        <v>83</v>
      </c>
    </row>
    <row r="39" spans="1:9" x14ac:dyDescent="0.3">
      <c r="A39" s="254" t="s">
        <v>555</v>
      </c>
      <c r="B39">
        <v>50</v>
      </c>
      <c r="C39">
        <v>55</v>
      </c>
      <c r="D39">
        <v>68</v>
      </c>
      <c r="E39">
        <v>65</v>
      </c>
      <c r="F39">
        <v>46</v>
      </c>
      <c r="G39">
        <v>70</v>
      </c>
      <c r="H39">
        <v>118</v>
      </c>
      <c r="I39" s="262">
        <v>102</v>
      </c>
    </row>
    <row r="40" spans="1:9" x14ac:dyDescent="0.3">
      <c r="A40" s="257" t="s">
        <v>536</v>
      </c>
      <c r="B40" s="258">
        <v>0.08</v>
      </c>
      <c r="C40" s="258">
        <v>0.1</v>
      </c>
      <c r="D40" s="258">
        <v>0.23</v>
      </c>
      <c r="E40" s="258">
        <v>-0.05</v>
      </c>
      <c r="F40" s="258">
        <v>-0.28999999999999998</v>
      </c>
      <c r="G40" s="258">
        <v>0.55000000000000004</v>
      </c>
      <c r="H40" s="258">
        <v>0.6</v>
      </c>
      <c r="I40" s="259">
        <v>-0.14000000000000001</v>
      </c>
    </row>
    <row r="41" spans="1:9" x14ac:dyDescent="0.3">
      <c r="A41" s="254" t="s">
        <v>544</v>
      </c>
      <c r="B41" s="255">
        <v>63415</v>
      </c>
      <c r="C41" s="255">
        <v>78853</v>
      </c>
      <c r="D41" s="255">
        <v>120820</v>
      </c>
      <c r="E41" s="255">
        <v>126316</v>
      </c>
      <c r="F41" s="255">
        <v>38868</v>
      </c>
      <c r="G41" s="255">
        <v>98117</v>
      </c>
      <c r="H41" s="255">
        <v>239320</v>
      </c>
      <c r="I41" s="256">
        <v>242468</v>
      </c>
    </row>
    <row r="42" spans="1:9" x14ac:dyDescent="0.3">
      <c r="A42" s="252" t="s">
        <v>545</v>
      </c>
      <c r="B42" s="251"/>
      <c r="C42" s="251"/>
      <c r="D42" s="251"/>
      <c r="E42" s="251"/>
      <c r="F42" s="251"/>
      <c r="G42" s="251"/>
      <c r="H42" s="251"/>
      <c r="I42" s="253"/>
    </row>
    <row r="43" spans="1:9" x14ac:dyDescent="0.3">
      <c r="A43" s="254" t="s">
        <v>546</v>
      </c>
      <c r="B43">
        <v>3.4</v>
      </c>
      <c r="C43">
        <v>3.6</v>
      </c>
      <c r="D43">
        <v>3.5</v>
      </c>
      <c r="E43">
        <v>3.7</v>
      </c>
      <c r="F43">
        <v>3.2</v>
      </c>
      <c r="G43">
        <v>3.7</v>
      </c>
      <c r="H43">
        <v>4.8</v>
      </c>
      <c r="I43" s="262">
        <v>4.9000000000000004</v>
      </c>
    </row>
    <row r="44" spans="1:9" x14ac:dyDescent="0.3">
      <c r="A44" s="254" t="s">
        <v>547</v>
      </c>
      <c r="B44">
        <v>3</v>
      </c>
      <c r="C44">
        <v>3.1</v>
      </c>
      <c r="D44">
        <v>3.5</v>
      </c>
      <c r="E44">
        <v>3.7</v>
      </c>
      <c r="F44">
        <v>4.5</v>
      </c>
      <c r="G44">
        <v>4.5999999999999996</v>
      </c>
      <c r="H44">
        <v>4.8</v>
      </c>
      <c r="I44" s="262">
        <v>4.4000000000000004</v>
      </c>
    </row>
    <row r="45" spans="1:9" x14ac:dyDescent="0.3">
      <c r="A45" s="254" t="s">
        <v>548</v>
      </c>
      <c r="B45">
        <v>0.4</v>
      </c>
      <c r="C45">
        <v>0.5</v>
      </c>
      <c r="D45">
        <v>0</v>
      </c>
      <c r="E45">
        <v>0</v>
      </c>
      <c r="F45">
        <v>-1.3</v>
      </c>
      <c r="G45">
        <v>-0.9</v>
      </c>
      <c r="H45">
        <v>0</v>
      </c>
      <c r="I45" s="262">
        <v>0.6</v>
      </c>
    </row>
    <row r="46" spans="1:9" x14ac:dyDescent="0.3">
      <c r="A46" s="254" t="s">
        <v>549</v>
      </c>
      <c r="B46">
        <v>1.8</v>
      </c>
      <c r="C46">
        <v>1.9</v>
      </c>
      <c r="D46">
        <v>2</v>
      </c>
      <c r="E46">
        <v>2.4</v>
      </c>
      <c r="F46">
        <v>3.6</v>
      </c>
      <c r="G46">
        <v>3.2</v>
      </c>
      <c r="H46">
        <v>2.7</v>
      </c>
      <c r="I46" s="262">
        <v>2.6</v>
      </c>
    </row>
    <row r="47" spans="1:9" x14ac:dyDescent="0.3">
      <c r="A47" s="263" t="s">
        <v>550</v>
      </c>
      <c r="B47" s="264">
        <v>1.6</v>
      </c>
      <c r="C47" s="264">
        <v>1.7</v>
      </c>
      <c r="D47" s="264">
        <v>1.5</v>
      </c>
      <c r="E47" s="264">
        <v>1.3</v>
      </c>
      <c r="F47" s="264">
        <v>-0.4</v>
      </c>
      <c r="G47" s="264">
        <v>0.5</v>
      </c>
      <c r="H47" s="264">
        <v>2.1</v>
      </c>
      <c r="I47" s="265">
        <v>2.2999999999999998</v>
      </c>
    </row>
    <row r="48" spans="1:9" x14ac:dyDescent="0.3">
      <c r="I48" s="306" t="s">
        <v>580</v>
      </c>
    </row>
    <row r="51" spans="1:4" x14ac:dyDescent="0.3">
      <c r="A51" s="271" t="s">
        <v>559</v>
      </c>
      <c r="B51" t="s">
        <v>565</v>
      </c>
    </row>
    <row r="52" spans="1:4" x14ac:dyDescent="0.3">
      <c r="A52" s="271" t="s">
        <v>561</v>
      </c>
      <c r="B52" t="s">
        <v>560</v>
      </c>
    </row>
    <row r="53" spans="1:4" x14ac:dyDescent="0.3">
      <c r="A53" s="271" t="s">
        <v>562</v>
      </c>
    </row>
    <row r="54" spans="1:4" ht="15.6" x14ac:dyDescent="0.3">
      <c r="A54" s="271" t="s">
        <v>563</v>
      </c>
      <c r="B54" s="270"/>
      <c r="C54" s="269"/>
    </row>
    <row r="55" spans="1:4" x14ac:dyDescent="0.3">
      <c r="A55" s="271" t="s">
        <v>564</v>
      </c>
      <c r="B55" t="s">
        <v>572</v>
      </c>
    </row>
    <row r="56" spans="1:4" x14ac:dyDescent="0.3">
      <c r="A56" s="271"/>
      <c r="B56"/>
    </row>
    <row r="57" spans="1:4" x14ac:dyDescent="0.3">
      <c r="A57" s="271"/>
      <c r="B57" t="s">
        <v>573</v>
      </c>
    </row>
    <row r="58" spans="1:4" x14ac:dyDescent="0.3">
      <c r="A58" s="271"/>
      <c r="B58"/>
    </row>
    <row r="59" spans="1:4" x14ac:dyDescent="0.3">
      <c r="A59" s="271"/>
      <c r="B59" t="s">
        <v>574</v>
      </c>
      <c r="C59" s="292">
        <v>1250</v>
      </c>
      <c r="D59" s="209" t="s">
        <v>575</v>
      </c>
    </row>
  </sheetData>
  <mergeCells count="11">
    <mergeCell ref="A24:I24"/>
    <mergeCell ref="A11:A13"/>
    <mergeCell ref="A14:A17"/>
    <mergeCell ref="A18:B18"/>
    <mergeCell ref="A2:J2"/>
    <mergeCell ref="A3:B3"/>
    <mergeCell ref="A4:A6"/>
    <mergeCell ref="A7:B7"/>
    <mergeCell ref="A8:B8"/>
    <mergeCell ref="A9:B9"/>
    <mergeCell ref="A10:B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F6A1C-14C6-4F4E-A069-C18E07CB75F9}">
  <sheetPr codeName="Sheet6">
    <tabColor theme="2" tint="-9.9978637043366805E-2"/>
  </sheetPr>
  <dimension ref="A1:X137"/>
  <sheetViews>
    <sheetView showGridLines="0" topLeftCell="A3" zoomScale="50" workbookViewId="0">
      <selection activeCell="N122" sqref="N122"/>
    </sheetView>
  </sheetViews>
  <sheetFormatPr defaultRowHeight="14.4" x14ac:dyDescent="0.3"/>
  <cols>
    <col min="1" max="1" width="5" bestFit="1" customWidth="1"/>
    <col min="2" max="2" width="17" customWidth="1"/>
    <col min="3" max="3" width="15.33203125" customWidth="1"/>
    <col min="4" max="4" width="25.33203125" customWidth="1"/>
    <col min="5" max="5" width="16.6640625" customWidth="1"/>
    <col min="6" max="7" width="13.77734375" customWidth="1"/>
    <col min="8" max="8" width="12" bestFit="1" customWidth="1"/>
    <col min="15" max="15" width="52.77734375" bestFit="1" customWidth="1"/>
    <col min="16" max="23" width="6.44140625" bestFit="1" customWidth="1"/>
  </cols>
  <sheetData>
    <row r="1" spans="1:24" x14ac:dyDescent="0.3">
      <c r="A1" s="273" t="s">
        <v>566</v>
      </c>
      <c r="B1" s="273" t="s">
        <v>364</v>
      </c>
      <c r="E1" s="274" t="s">
        <v>567</v>
      </c>
      <c r="F1" s="274" t="s">
        <v>568</v>
      </c>
      <c r="G1" s="274" t="s">
        <v>569</v>
      </c>
      <c r="H1" s="274" t="s">
        <v>570</v>
      </c>
      <c r="I1" s="274" t="s">
        <v>568</v>
      </c>
      <c r="J1" s="274" t="s">
        <v>569</v>
      </c>
      <c r="K1" s="274" t="s">
        <v>570</v>
      </c>
      <c r="O1" s="307" t="s">
        <v>581</v>
      </c>
      <c r="P1" s="308"/>
      <c r="Q1" s="308"/>
      <c r="R1" s="308"/>
      <c r="S1" s="308"/>
      <c r="T1" s="308"/>
      <c r="U1" s="308"/>
      <c r="V1" s="308"/>
      <c r="W1" s="308"/>
      <c r="X1" s="309"/>
    </row>
    <row r="2" spans="1:24" x14ac:dyDescent="0.3">
      <c r="A2" s="272">
        <v>2017</v>
      </c>
      <c r="B2" s="272">
        <v>54583</v>
      </c>
      <c r="D2" s="275">
        <v>4</v>
      </c>
      <c r="E2" s="276">
        <v>44197</v>
      </c>
      <c r="F2" s="277">
        <v>57477.767512999999</v>
      </c>
      <c r="G2" s="277">
        <v>42332.728040000002</v>
      </c>
      <c r="H2" s="277">
        <v>71173.505833000003</v>
      </c>
      <c r="O2" s="310" t="s">
        <v>582</v>
      </c>
      <c r="X2" s="311"/>
    </row>
    <row r="3" spans="1:24" x14ac:dyDescent="0.3">
      <c r="A3" s="272">
        <f>+A2+1</f>
        <v>2018</v>
      </c>
      <c r="B3" s="272">
        <v>63510</v>
      </c>
      <c r="D3" s="275">
        <v>5</v>
      </c>
      <c r="E3" s="276">
        <v>44562</v>
      </c>
      <c r="F3" s="277">
        <v>80756.614761000004</v>
      </c>
      <c r="G3" s="277">
        <v>66939.135164000007</v>
      </c>
      <c r="H3" s="277">
        <v>93991.593676999997</v>
      </c>
      <c r="O3" s="310"/>
      <c r="P3" s="312" t="s">
        <v>359</v>
      </c>
      <c r="Q3" s="313"/>
      <c r="R3" s="313"/>
      <c r="S3" s="312" t="s">
        <v>360</v>
      </c>
      <c r="T3" s="312"/>
      <c r="U3" s="312"/>
      <c r="V3" s="312"/>
      <c r="W3" s="312"/>
      <c r="X3" s="311"/>
    </row>
    <row r="4" spans="1:24" x14ac:dyDescent="0.3">
      <c r="A4" s="272">
        <f t="shared" ref="A4:A9" si="0">+A3+1</f>
        <v>2019</v>
      </c>
      <c r="B4" s="272">
        <v>81016</v>
      </c>
      <c r="D4" s="275">
        <v>6</v>
      </c>
      <c r="E4" s="276">
        <v>44927</v>
      </c>
      <c r="F4" s="277">
        <v>104182.372839</v>
      </c>
      <c r="G4" s="277">
        <v>89716.959749999995</v>
      </c>
      <c r="H4" s="277">
        <v>117937.611957</v>
      </c>
      <c r="O4" s="314" t="s">
        <v>583</v>
      </c>
      <c r="P4" s="315">
        <v>38717</v>
      </c>
      <c r="Q4" s="315">
        <v>39082</v>
      </c>
      <c r="R4" s="316">
        <v>39447</v>
      </c>
      <c r="S4" s="315">
        <v>39813</v>
      </c>
      <c r="T4" s="315">
        <v>40178</v>
      </c>
      <c r="U4" s="315">
        <v>40543</v>
      </c>
      <c r="V4" s="315">
        <v>40908</v>
      </c>
      <c r="W4" s="315">
        <v>41274</v>
      </c>
      <c r="X4" s="311"/>
    </row>
    <row r="5" spans="1:24" x14ac:dyDescent="0.3">
      <c r="A5" s="272">
        <f t="shared" si="0"/>
        <v>2020</v>
      </c>
      <c r="B5" s="272">
        <v>96300</v>
      </c>
      <c r="D5" s="275">
        <v>7</v>
      </c>
      <c r="E5" s="276">
        <v>45292</v>
      </c>
      <c r="F5" s="277">
        <v>127732.145523</v>
      </c>
      <c r="G5" s="277">
        <v>113409.124928</v>
      </c>
      <c r="H5" s="277">
        <v>141948.64129699999</v>
      </c>
      <c r="O5" s="317"/>
      <c r="P5" s="318"/>
      <c r="Q5" s="318"/>
      <c r="R5" s="319"/>
      <c r="S5" s="318"/>
      <c r="T5" s="318"/>
      <c r="U5" s="318"/>
      <c r="V5" s="318"/>
      <c r="W5" s="318"/>
      <c r="X5" s="311"/>
    </row>
    <row r="6" spans="1:24" x14ac:dyDescent="0.3">
      <c r="A6" s="272">
        <f t="shared" si="0"/>
        <v>2021</v>
      </c>
      <c r="B6" s="272">
        <v>45471</v>
      </c>
      <c r="D6" s="275">
        <v>8</v>
      </c>
      <c r="E6" s="276">
        <v>45657</v>
      </c>
      <c r="F6" s="277">
        <v>151382.79196</v>
      </c>
      <c r="G6" s="277">
        <v>137866.565925</v>
      </c>
      <c r="H6" s="277">
        <v>164793.40231599999</v>
      </c>
      <c r="O6" s="317" t="s">
        <v>584</v>
      </c>
      <c r="P6" s="320">
        <v>3.5000000000000003E-2</v>
      </c>
      <c r="Q6" s="320">
        <v>4.2999999999999997E-2</v>
      </c>
      <c r="R6" s="321">
        <v>5.2999999999999999E-2</v>
      </c>
      <c r="S6" s="320">
        <v>0.04</v>
      </c>
      <c r="T6" s="320">
        <v>3.5000000000000003E-2</v>
      </c>
      <c r="U6" s="320">
        <v>0.03</v>
      </c>
      <c r="V6" s="320">
        <v>0.03</v>
      </c>
      <c r="W6" s="320">
        <v>0.03</v>
      </c>
      <c r="X6" s="311"/>
    </row>
    <row r="7" spans="1:24" x14ac:dyDescent="0.3">
      <c r="A7" s="272">
        <f t="shared" si="0"/>
        <v>2022</v>
      </c>
      <c r="B7" s="272">
        <v>70400</v>
      </c>
      <c r="D7" s="275">
        <v>9</v>
      </c>
      <c r="E7" s="276">
        <v>46022</v>
      </c>
      <c r="F7" s="277">
        <v>175110.96020199999</v>
      </c>
      <c r="G7" s="277">
        <v>161335.85757299999</v>
      </c>
      <c r="H7" s="277">
        <v>188343.35811</v>
      </c>
      <c r="I7" s="278">
        <f>+F7/F6-1</f>
        <v>0.15674283671733114</v>
      </c>
      <c r="J7" s="278">
        <f t="shared" ref="J7:K10" si="1">+G7/G6-1</f>
        <v>0.17023193034899675</v>
      </c>
      <c r="K7" s="278">
        <f t="shared" si="1"/>
        <v>0.14290593836300403</v>
      </c>
      <c r="O7" s="317"/>
      <c r="P7" s="318"/>
      <c r="Q7" s="318"/>
      <c r="R7" s="319"/>
      <c r="S7" s="318"/>
      <c r="T7" s="318"/>
      <c r="U7" s="318"/>
      <c r="V7" s="318"/>
      <c r="W7" s="318"/>
      <c r="X7" s="311"/>
    </row>
    <row r="8" spans="1:24" x14ac:dyDescent="0.3">
      <c r="A8" s="272">
        <f t="shared" si="0"/>
        <v>2023</v>
      </c>
      <c r="B8" s="272">
        <v>114400</v>
      </c>
      <c r="D8" s="275">
        <v>10</v>
      </c>
      <c r="E8" s="276">
        <v>46387</v>
      </c>
      <c r="F8" s="277">
        <v>198893.121139</v>
      </c>
      <c r="G8" s="277">
        <v>186344.47569399999</v>
      </c>
      <c r="H8" s="277">
        <v>212080.373456</v>
      </c>
      <c r="I8" s="278">
        <f t="shared" ref="I8:I10" si="2">+F8/F7-1</f>
        <v>0.13581194980351885</v>
      </c>
      <c r="J8" s="278">
        <f t="shared" si="1"/>
        <v>0.15500967049240311</v>
      </c>
      <c r="K8" s="278">
        <f t="shared" si="1"/>
        <v>0.12603054115737189</v>
      </c>
      <c r="O8" s="310" t="s">
        <v>585</v>
      </c>
      <c r="P8" s="322">
        <v>0.19527502001525462</v>
      </c>
      <c r="Q8" s="322">
        <v>0.20416974157602766</v>
      </c>
      <c r="R8" s="323">
        <v>0.20645807893598778</v>
      </c>
      <c r="S8" s="322">
        <v>0.20141578942846414</v>
      </c>
      <c r="T8" s="322">
        <v>0.20196761350909007</v>
      </c>
      <c r="U8" s="322">
        <v>0.20196761350909007</v>
      </c>
      <c r="V8" s="322">
        <v>0.20196761350909007</v>
      </c>
      <c r="W8" s="322">
        <v>0.20141578942846414</v>
      </c>
      <c r="X8" s="311"/>
    </row>
    <row r="9" spans="1:24" x14ac:dyDescent="0.3">
      <c r="A9" s="272">
        <f t="shared" si="0"/>
        <v>2024</v>
      </c>
      <c r="B9" s="272">
        <v>139300</v>
      </c>
      <c r="D9" s="275">
        <v>11</v>
      </c>
      <c r="E9" s="276">
        <v>46752</v>
      </c>
      <c r="F9" s="277">
        <v>222705.602743</v>
      </c>
      <c r="G9" s="277">
        <v>208945.64253499999</v>
      </c>
      <c r="H9" s="277">
        <v>236314.79474700001</v>
      </c>
      <c r="I9" s="278">
        <f t="shared" si="2"/>
        <v>0.11972501345261821</v>
      </c>
      <c r="J9" s="278">
        <f t="shared" si="1"/>
        <v>0.12128702370610567</v>
      </c>
      <c r="K9" s="278">
        <f t="shared" si="1"/>
        <v>0.11426998593072502</v>
      </c>
      <c r="O9" s="310" t="s">
        <v>586</v>
      </c>
      <c r="P9" s="324">
        <v>71.275382305567945</v>
      </c>
      <c r="Q9" s="324">
        <v>74.521955675250098</v>
      </c>
      <c r="R9" s="325">
        <v>75.357198811635541</v>
      </c>
      <c r="S9" s="324">
        <v>73.718178930817871</v>
      </c>
      <c r="T9" s="324">
        <v>73.718178930817871</v>
      </c>
      <c r="U9" s="324">
        <v>73.718178930817871</v>
      </c>
      <c r="V9" s="324">
        <v>73.718178930817871</v>
      </c>
      <c r="W9" s="324">
        <v>73.718178930817871</v>
      </c>
      <c r="X9" s="311"/>
    </row>
    <row r="10" spans="1:24" x14ac:dyDescent="0.3">
      <c r="D10" s="275">
        <v>12</v>
      </c>
      <c r="E10" s="276">
        <v>47118</v>
      </c>
      <c r="F10" s="277">
        <v>170092.17100199999</v>
      </c>
      <c r="G10" s="277">
        <v>156220.18279799999</v>
      </c>
      <c r="H10" s="277">
        <v>184343.53481300001</v>
      </c>
      <c r="I10" s="278">
        <f t="shared" si="2"/>
        <v>-0.23624655640889003</v>
      </c>
      <c r="J10" s="278">
        <f t="shared" si="1"/>
        <v>-0.25234055660274457</v>
      </c>
      <c r="K10" s="278">
        <f t="shared" si="1"/>
        <v>-0.2199238519519725</v>
      </c>
      <c r="O10" s="310" t="s">
        <v>587</v>
      </c>
      <c r="P10" s="322">
        <v>8.9846129839592198E-2</v>
      </c>
      <c r="Q10" s="322">
        <v>9.8073430082179086E-2</v>
      </c>
      <c r="R10" s="323">
        <v>6.6812527152894818E-2</v>
      </c>
      <c r="S10" s="322">
        <v>8.4910695691555363E-2</v>
      </c>
      <c r="T10" s="322">
        <v>8.4910695691555363E-2</v>
      </c>
      <c r="U10" s="322">
        <v>8.4910695691555363E-2</v>
      </c>
      <c r="V10" s="322">
        <v>8.4910695691555363E-2</v>
      </c>
      <c r="W10" s="322">
        <v>8.4910695691555363E-2</v>
      </c>
      <c r="X10" s="311"/>
    </row>
    <row r="11" spans="1:24" x14ac:dyDescent="0.3">
      <c r="D11" s="275">
        <v>13</v>
      </c>
      <c r="E11" s="276">
        <v>47483</v>
      </c>
      <c r="F11" s="277">
        <v>193820.339244</v>
      </c>
      <c r="G11" s="277">
        <v>180168.84654200001</v>
      </c>
      <c r="H11" s="277">
        <v>207189.24550600001</v>
      </c>
      <c r="I11" s="278">
        <f>+F11/F10-1</f>
        <v>0.13950182481779838</v>
      </c>
      <c r="J11" s="278">
        <f>+G11/G10-1</f>
        <v>0.15330070234885573</v>
      </c>
      <c r="K11" s="278">
        <f>+H11/H10-1</f>
        <v>0.12393008909249215</v>
      </c>
      <c r="O11" s="310"/>
      <c r="P11" s="322"/>
      <c r="Q11" s="322"/>
      <c r="R11" s="323"/>
      <c r="S11" s="322"/>
      <c r="T11" s="322"/>
      <c r="U11" s="322"/>
      <c r="V11" s="322"/>
      <c r="W11" s="322"/>
      <c r="X11" s="311"/>
    </row>
    <row r="12" spans="1:24" x14ac:dyDescent="0.3">
      <c r="D12" s="275"/>
      <c r="E12" s="276"/>
      <c r="F12" s="277"/>
      <c r="G12" s="277"/>
      <c r="H12" s="277"/>
      <c r="I12" s="278"/>
      <c r="J12" s="278"/>
      <c r="K12" s="278"/>
      <c r="O12" s="310" t="s">
        <v>588</v>
      </c>
      <c r="P12" s="322">
        <v>0.25092569702822026</v>
      </c>
      <c r="Q12" s="322">
        <v>0.25187693089586871</v>
      </c>
      <c r="R12" s="323">
        <v>0.36645761040980768</v>
      </c>
      <c r="S12" s="322">
        <v>0.28896173678676895</v>
      </c>
      <c r="T12" s="322">
        <v>0.28975341277796557</v>
      </c>
      <c r="U12" s="322">
        <v>0.28975341277796557</v>
      </c>
      <c r="V12" s="322">
        <v>0.28975341277796557</v>
      </c>
      <c r="W12" s="322">
        <v>0.28896173678676895</v>
      </c>
      <c r="X12" s="311"/>
    </row>
    <row r="13" spans="1:24" x14ac:dyDescent="0.3">
      <c r="D13" s="275"/>
      <c r="E13" s="276"/>
      <c r="F13" s="277"/>
      <c r="G13" s="277"/>
      <c r="H13" s="277"/>
      <c r="I13" s="278"/>
      <c r="J13" s="278"/>
      <c r="K13" s="278"/>
      <c r="O13" s="310" t="s">
        <v>589</v>
      </c>
      <c r="P13" s="324">
        <v>91.587879415300392</v>
      </c>
      <c r="Q13" s="324">
        <v>91.935079776992083</v>
      </c>
      <c r="R13" s="325">
        <v>133.75702779957979</v>
      </c>
      <c r="S13" s="324">
        <v>105.75999566395744</v>
      </c>
      <c r="T13" s="324">
        <v>105.75999566395744</v>
      </c>
      <c r="U13" s="324">
        <v>105.75999566395744</v>
      </c>
      <c r="V13" s="324">
        <v>105.75999566395744</v>
      </c>
      <c r="W13" s="324">
        <v>105.75999566395744</v>
      </c>
      <c r="X13" s="311"/>
    </row>
    <row r="14" spans="1:24" x14ac:dyDescent="0.3">
      <c r="D14" s="275"/>
      <c r="E14" s="276"/>
      <c r="F14" s="277"/>
      <c r="G14" s="277"/>
      <c r="H14" s="277"/>
      <c r="I14" s="278"/>
      <c r="J14" s="278"/>
      <c r="K14" s="278"/>
      <c r="O14" s="310" t="s">
        <v>590</v>
      </c>
      <c r="P14" s="322">
        <v>0.44530752172658505</v>
      </c>
      <c r="Q14" s="322">
        <v>0.47144724069488708</v>
      </c>
      <c r="R14" s="323">
        <v>0.37199784784367146</v>
      </c>
      <c r="S14" s="322">
        <v>0.42958420342171455</v>
      </c>
      <c r="T14" s="322">
        <v>0.42958420342171455</v>
      </c>
      <c r="U14" s="322">
        <v>0.42958420342171455</v>
      </c>
      <c r="V14" s="322">
        <v>0.42958420342171455</v>
      </c>
      <c r="W14" s="322">
        <v>0.42958420342171455</v>
      </c>
      <c r="X14" s="311"/>
    </row>
    <row r="15" spans="1:24" x14ac:dyDescent="0.3">
      <c r="A15" s="273" t="s">
        <v>566</v>
      </c>
      <c r="B15" s="57" t="s">
        <v>368</v>
      </c>
      <c r="D15" s="280" t="s">
        <v>571</v>
      </c>
      <c r="E15" s="280" t="s">
        <v>567</v>
      </c>
      <c r="F15" s="280" t="s">
        <v>568</v>
      </c>
      <c r="G15" s="280" t="s">
        <v>569</v>
      </c>
      <c r="H15" s="280" t="s">
        <v>570</v>
      </c>
      <c r="O15" s="310"/>
      <c r="P15" s="322"/>
      <c r="Q15" s="322"/>
      <c r="R15" s="323"/>
      <c r="S15" s="322"/>
      <c r="T15" s="322"/>
      <c r="U15" s="322"/>
      <c r="V15" s="322"/>
      <c r="W15" s="322"/>
      <c r="X15" s="311"/>
    </row>
    <row r="16" spans="1:24" ht="15" thickBot="1" x14ac:dyDescent="0.35">
      <c r="D16" s="281">
        <v>8</v>
      </c>
      <c r="E16" s="282">
        <v>45657</v>
      </c>
      <c r="F16" s="283">
        <v>87.751987022913298</v>
      </c>
      <c r="G16" s="283">
        <v>85.921252941622996</v>
      </c>
      <c r="H16" s="283">
        <v>89.502323122850598</v>
      </c>
      <c r="O16" s="310" t="s">
        <v>591</v>
      </c>
      <c r="P16" s="322">
        <v>8.2840291120153509E-2</v>
      </c>
      <c r="Q16" s="322">
        <v>6.9736641552013215E-2</v>
      </c>
      <c r="R16" s="323">
        <v>7.2071342551001227E-2</v>
      </c>
      <c r="S16" s="322">
        <v>7.4882758407722641E-2</v>
      </c>
      <c r="T16" s="322">
        <v>7.4882758407722641E-2</v>
      </c>
      <c r="U16" s="322">
        <v>7.4882758407722641E-2</v>
      </c>
      <c r="V16" s="322">
        <v>7.4882758407722641E-2</v>
      </c>
      <c r="W16" s="322">
        <v>7.4882758407722641E-2</v>
      </c>
      <c r="X16" s="311"/>
    </row>
    <row r="17" spans="1:24" ht="15" thickBot="1" x14ac:dyDescent="0.35">
      <c r="A17" s="272">
        <v>2017</v>
      </c>
      <c r="B17" s="279">
        <v>0.85</v>
      </c>
      <c r="D17" s="281">
        <v>9</v>
      </c>
      <c r="E17" s="282">
        <v>46022</v>
      </c>
      <c r="F17" s="283">
        <v>89.256487541941596</v>
      </c>
      <c r="G17" s="283">
        <v>87.542476359398407</v>
      </c>
      <c r="H17" s="283">
        <v>91.107537083392401</v>
      </c>
      <c r="J17" s="284">
        <f t="shared" ref="J17:L20" si="3">F17/100</f>
        <v>0.89256487541941598</v>
      </c>
      <c r="K17" s="284">
        <f t="shared" si="3"/>
        <v>0.87542476359398402</v>
      </c>
      <c r="L17" s="284">
        <f t="shared" si="3"/>
        <v>0.91107537083392398</v>
      </c>
      <c r="O17" s="310" t="s">
        <v>592</v>
      </c>
      <c r="P17" s="322">
        <v>1.8342333771923774E-2</v>
      </c>
      <c r="Q17" s="322">
        <v>1.4241773954960298E-2</v>
      </c>
      <c r="R17" s="323">
        <v>1.8606873681803662E-2</v>
      </c>
      <c r="S17" s="322">
        <v>1.7063660469562578E-2</v>
      </c>
      <c r="T17" s="322">
        <v>1.7063660469562578E-2</v>
      </c>
      <c r="U17" s="322">
        <v>1.7063660469562578E-2</v>
      </c>
      <c r="V17" s="322">
        <v>1.7063660469562578E-2</v>
      </c>
      <c r="W17" s="322">
        <v>1.7063660469562578E-2</v>
      </c>
      <c r="X17" s="311"/>
    </row>
    <row r="18" spans="1:24" ht="15" thickBot="1" x14ac:dyDescent="0.35">
      <c r="A18" s="272">
        <f>+A17+1</f>
        <v>2018</v>
      </c>
      <c r="B18" s="279">
        <v>0.87</v>
      </c>
      <c r="D18" s="281">
        <v>10</v>
      </c>
      <c r="E18" s="282">
        <v>46387</v>
      </c>
      <c r="F18" s="283">
        <v>89.332007003912906</v>
      </c>
      <c r="G18" s="283">
        <v>87.486650250873694</v>
      </c>
      <c r="H18" s="283">
        <v>91.113571410958897</v>
      </c>
      <c r="J18" s="284">
        <f t="shared" si="3"/>
        <v>0.89332007003912905</v>
      </c>
      <c r="K18" s="284">
        <f t="shared" si="3"/>
        <v>0.87486650250873699</v>
      </c>
      <c r="L18" s="284">
        <f t="shared" si="3"/>
        <v>0.91113571410958893</v>
      </c>
      <c r="O18" s="310"/>
      <c r="P18" s="322"/>
      <c r="Q18" s="322"/>
      <c r="R18" s="323"/>
      <c r="S18" s="322"/>
      <c r="T18" s="322"/>
      <c r="U18" s="322"/>
      <c r="V18" s="322"/>
      <c r="W18" s="322"/>
      <c r="X18" s="311"/>
    </row>
    <row r="19" spans="1:24" ht="15" thickBot="1" x14ac:dyDescent="0.35">
      <c r="A19" s="272">
        <f t="shared" ref="A19:A24" si="4">+A18+1</f>
        <v>2019</v>
      </c>
      <c r="B19" s="279">
        <v>0.86</v>
      </c>
      <c r="D19" s="281">
        <v>11</v>
      </c>
      <c r="E19" s="282">
        <v>46752</v>
      </c>
      <c r="F19" s="283">
        <v>87.9667905426423</v>
      </c>
      <c r="G19" s="283">
        <v>86.2078882993615</v>
      </c>
      <c r="H19" s="283">
        <v>89.793851125430393</v>
      </c>
      <c r="J19" s="284">
        <f t="shared" si="3"/>
        <v>0.87966790542642304</v>
      </c>
      <c r="K19" s="284">
        <f t="shared" si="3"/>
        <v>0.86207888299361501</v>
      </c>
      <c r="L19" s="284">
        <f t="shared" si="3"/>
        <v>0.89793851125430391</v>
      </c>
      <c r="O19" s="310" t="s">
        <v>593</v>
      </c>
      <c r="P19" s="320">
        <v>3.5000000000000003E-2</v>
      </c>
      <c r="Q19" s="320">
        <v>4.2999999999999997E-2</v>
      </c>
      <c r="R19" s="321">
        <v>4.4999999999999998E-2</v>
      </c>
      <c r="S19" s="322">
        <v>3.7333333333333336E-2</v>
      </c>
      <c r="T19" s="322">
        <v>3.2333333333333339E-2</v>
      </c>
      <c r="U19" s="322">
        <v>2.7333333333333331E-2</v>
      </c>
      <c r="V19" s="322">
        <v>2.7333333333333331E-2</v>
      </c>
      <c r="W19" s="322">
        <v>2.7333333333333331E-2</v>
      </c>
      <c r="X19" s="311"/>
    </row>
    <row r="20" spans="1:24" ht="15" thickBot="1" x14ac:dyDescent="0.35">
      <c r="A20" s="272">
        <f t="shared" si="4"/>
        <v>2020</v>
      </c>
      <c r="B20" s="279">
        <v>0.86</v>
      </c>
      <c r="D20" s="281">
        <v>12</v>
      </c>
      <c r="E20" s="282">
        <v>47118</v>
      </c>
      <c r="F20" s="283">
        <v>87.626612303328102</v>
      </c>
      <c r="G20" s="283">
        <v>85.778687548004399</v>
      </c>
      <c r="H20" s="283">
        <v>89.469620381221205</v>
      </c>
      <c r="J20" s="284">
        <f t="shared" si="3"/>
        <v>0.876266123033281</v>
      </c>
      <c r="K20" s="284">
        <f t="shared" si="3"/>
        <v>0.85778687548004395</v>
      </c>
      <c r="L20" s="284">
        <f t="shared" si="3"/>
        <v>0.89469620381221204</v>
      </c>
      <c r="O20" s="326" t="s">
        <v>594</v>
      </c>
      <c r="P20" s="327">
        <v>0</v>
      </c>
      <c r="Q20" s="327">
        <v>0</v>
      </c>
      <c r="R20" s="328">
        <v>-8.0000000000000002E-3</v>
      </c>
      <c r="S20" s="327">
        <v>-2.6666666666666666E-3</v>
      </c>
      <c r="T20" s="327">
        <v>-2.6666666666666666E-3</v>
      </c>
      <c r="U20" s="327">
        <v>-2.6666666666666666E-3</v>
      </c>
      <c r="V20" s="327">
        <v>-2.6666666666666666E-3</v>
      </c>
      <c r="W20" s="327">
        <v>-2.6666666666666666E-3</v>
      </c>
      <c r="X20" s="311"/>
    </row>
    <row r="21" spans="1:24" ht="15" thickBot="1" x14ac:dyDescent="0.35">
      <c r="A21" s="272">
        <f t="shared" si="4"/>
        <v>2021</v>
      </c>
      <c r="B21" s="279">
        <v>0.69</v>
      </c>
      <c r="D21" s="281">
        <v>13</v>
      </c>
      <c r="E21" s="282">
        <v>47483</v>
      </c>
      <c r="F21" s="283">
        <v>89.190625193716897</v>
      </c>
      <c r="G21" s="283">
        <v>87.389137264283207</v>
      </c>
      <c r="H21" s="283">
        <v>90.969574371901302</v>
      </c>
      <c r="O21" s="310" t="s">
        <v>595</v>
      </c>
      <c r="P21" s="320">
        <v>3.7999999999999999E-2</v>
      </c>
      <c r="Q21" s="320">
        <v>4.5999999999999999E-2</v>
      </c>
      <c r="R21" s="321">
        <v>0.05</v>
      </c>
      <c r="S21" s="322">
        <v>4.1000000000000002E-2</v>
      </c>
      <c r="T21" s="322">
        <v>3.6000000000000004E-2</v>
      </c>
      <c r="U21" s="322">
        <v>3.1E-2</v>
      </c>
      <c r="V21" s="322">
        <v>3.1E-2</v>
      </c>
      <c r="W21" s="322">
        <v>3.1E-2</v>
      </c>
      <c r="X21" s="311"/>
    </row>
    <row r="22" spans="1:24" ht="15" thickBot="1" x14ac:dyDescent="0.35">
      <c r="A22" s="272">
        <f t="shared" si="4"/>
        <v>2022</v>
      </c>
      <c r="B22" s="279">
        <v>0.73</v>
      </c>
      <c r="D22" s="281">
        <v>14</v>
      </c>
      <c r="E22" s="282">
        <v>47848</v>
      </c>
      <c r="F22" s="283">
        <v>89.297419837433097</v>
      </c>
      <c r="G22" s="283">
        <v>87.621349301859098</v>
      </c>
      <c r="H22" s="283">
        <v>91.153865901958596</v>
      </c>
      <c r="O22" s="326" t="s">
        <v>594</v>
      </c>
      <c r="P22" s="327">
        <v>2.9999999999999957E-3</v>
      </c>
      <c r="Q22" s="327">
        <v>3.0000000000000027E-3</v>
      </c>
      <c r="R22" s="328">
        <v>-2.9999999999999957E-3</v>
      </c>
      <c r="S22" s="327">
        <v>1.0000000000000009E-3</v>
      </c>
      <c r="T22" s="327">
        <v>1.0000000000000009E-3</v>
      </c>
      <c r="U22" s="327">
        <v>1.0000000000000009E-3</v>
      </c>
      <c r="V22" s="327">
        <v>1.0000000000000009E-3</v>
      </c>
      <c r="W22" s="327">
        <v>1.0000000000000009E-3</v>
      </c>
      <c r="X22" s="311"/>
    </row>
    <row r="23" spans="1:24" ht="15" thickBot="1" x14ac:dyDescent="0.35">
      <c r="A23" s="272">
        <f t="shared" si="4"/>
        <v>2023</v>
      </c>
      <c r="B23" s="279">
        <v>0.82</v>
      </c>
      <c r="D23" s="281">
        <v>15</v>
      </c>
      <c r="E23" s="282">
        <v>48213</v>
      </c>
      <c r="F23" s="283">
        <v>87.948630609659205</v>
      </c>
      <c r="G23" s="283">
        <v>86.191295548322103</v>
      </c>
      <c r="H23" s="283">
        <v>89.812062129951897</v>
      </c>
      <c r="O23" s="310" t="s">
        <v>596</v>
      </c>
      <c r="P23" s="320">
        <v>2.9000000000000001E-2</v>
      </c>
      <c r="Q23" s="320">
        <v>3.9E-2</v>
      </c>
      <c r="R23" s="321">
        <v>4.2999999999999997E-2</v>
      </c>
      <c r="S23" s="322">
        <v>3.3333333333333333E-2</v>
      </c>
      <c r="T23" s="322">
        <v>2.8333333333333335E-2</v>
      </c>
      <c r="U23" s="322">
        <v>2.3333333333333331E-2</v>
      </c>
      <c r="V23" s="322">
        <v>2.3333333333333331E-2</v>
      </c>
      <c r="W23" s="322">
        <v>2.3333333333333331E-2</v>
      </c>
      <c r="X23" s="311"/>
    </row>
    <row r="24" spans="1:24" ht="15" thickBot="1" x14ac:dyDescent="0.35">
      <c r="A24" s="272">
        <f t="shared" si="4"/>
        <v>2024</v>
      </c>
      <c r="B24" s="279">
        <v>0.86</v>
      </c>
      <c r="D24" s="281">
        <v>16</v>
      </c>
      <c r="E24" s="282">
        <v>48579</v>
      </c>
      <c r="F24" s="283">
        <v>87.617095183530694</v>
      </c>
      <c r="G24" s="283">
        <v>85.964690838319498</v>
      </c>
      <c r="H24" s="283">
        <v>89.378042094479099</v>
      </c>
      <c r="O24" s="329" t="s">
        <v>594</v>
      </c>
      <c r="P24" s="330">
        <v>-6.0000000000000019E-3</v>
      </c>
      <c r="Q24" s="330">
        <v>-3.9999999999999966E-3</v>
      </c>
      <c r="R24" s="331">
        <v>-1.0000000000000002E-2</v>
      </c>
      <c r="S24" s="330">
        <v>-6.6666666666666671E-3</v>
      </c>
      <c r="T24" s="330">
        <v>-6.6666666666666671E-3</v>
      </c>
      <c r="U24" s="330">
        <v>-6.6666666666666671E-3</v>
      </c>
      <c r="V24" s="330">
        <v>-6.6666666666666671E-3</v>
      </c>
      <c r="W24" s="330">
        <v>-6.6666666666666671E-3</v>
      </c>
      <c r="X24" s="332"/>
    </row>
    <row r="25" spans="1:24" ht="15" thickBot="1" x14ac:dyDescent="0.35">
      <c r="D25" s="281">
        <v>17</v>
      </c>
      <c r="E25" s="282">
        <v>48944</v>
      </c>
      <c r="F25" s="283">
        <v>89.185628970100396</v>
      </c>
      <c r="G25" s="283">
        <v>87.3311403792856</v>
      </c>
      <c r="H25" s="283">
        <v>90.956352076080904</v>
      </c>
    </row>
    <row r="29" spans="1:24" x14ac:dyDescent="0.3">
      <c r="A29" s="288" t="s">
        <v>566</v>
      </c>
      <c r="B29" s="250" t="s">
        <v>558</v>
      </c>
      <c r="E29" s="57" t="s">
        <v>567</v>
      </c>
      <c r="F29" s="57" t="s">
        <v>568</v>
      </c>
      <c r="G29" s="57" t="s">
        <v>569</v>
      </c>
      <c r="H29" s="57" t="s">
        <v>570</v>
      </c>
    </row>
    <row r="30" spans="1:24" x14ac:dyDescent="0.3">
      <c r="A30" s="250"/>
      <c r="B30" s="250"/>
      <c r="E30" s="289">
        <v>44197</v>
      </c>
      <c r="F30" s="250">
        <v>3.9126840000000001</v>
      </c>
      <c r="G30" s="250">
        <v>3.716958</v>
      </c>
      <c r="H30" s="250">
        <v>4.1141550000000002</v>
      </c>
    </row>
    <row r="31" spans="1:24" x14ac:dyDescent="0.3">
      <c r="A31" s="250">
        <v>2017</v>
      </c>
      <c r="B31" s="285">
        <v>3.499200656757691</v>
      </c>
      <c r="E31" s="290">
        <v>44562</v>
      </c>
      <c r="F31" s="287">
        <v>4.3261940000000001</v>
      </c>
      <c r="G31" s="287">
        <v>4.1313069999999996</v>
      </c>
      <c r="H31" s="287">
        <v>4.5311349999999999</v>
      </c>
    </row>
    <row r="32" spans="1:24" x14ac:dyDescent="0.3">
      <c r="A32" s="250">
        <f>+A31+1</f>
        <v>2018</v>
      </c>
      <c r="B32" s="285">
        <v>3.5918341618039045</v>
      </c>
      <c r="E32" s="291">
        <v>44927</v>
      </c>
      <c r="F32" s="287">
        <v>4.7689950000000003</v>
      </c>
      <c r="G32" s="287">
        <v>4.555199</v>
      </c>
      <c r="H32" s="287">
        <v>4.9735810000000003</v>
      </c>
    </row>
    <row r="33" spans="1:12" x14ac:dyDescent="0.3">
      <c r="A33" s="250">
        <f t="shared" ref="A33:A38" si="5">+A32+1</f>
        <v>2019</v>
      </c>
      <c r="B33" s="285">
        <v>3.6018026279966184</v>
      </c>
      <c r="E33" s="291">
        <v>45292</v>
      </c>
      <c r="F33" s="287">
        <v>5.2429819999999996</v>
      </c>
      <c r="G33" s="287">
        <v>5.0248330000000001</v>
      </c>
      <c r="H33" s="287">
        <v>5.4478410000000004</v>
      </c>
    </row>
    <row r="34" spans="1:12" x14ac:dyDescent="0.3">
      <c r="A34" s="250">
        <f t="shared" si="5"/>
        <v>2020</v>
      </c>
      <c r="B34" s="285">
        <v>3.8097094430992735</v>
      </c>
      <c r="E34" s="291">
        <v>45657</v>
      </c>
      <c r="F34" s="287">
        <v>5.7248900000000003</v>
      </c>
      <c r="G34" s="287">
        <v>5.5004530000000003</v>
      </c>
      <c r="H34" s="287">
        <v>5.9275820000000001</v>
      </c>
    </row>
    <row r="35" spans="1:12" x14ac:dyDescent="0.3">
      <c r="A35" s="250">
        <f t="shared" si="5"/>
        <v>2021</v>
      </c>
      <c r="B35" s="285">
        <v>3.758031334071847</v>
      </c>
      <c r="E35" s="291">
        <v>46022</v>
      </c>
      <c r="F35" s="287">
        <v>6.1648860000000001</v>
      </c>
      <c r="G35" s="287">
        <v>5.9580719999999996</v>
      </c>
      <c r="H35" s="287">
        <v>6.3785730000000003</v>
      </c>
      <c r="J35">
        <f t="shared" ref="J35:L38" si="6">+F35/F34-1</f>
        <v>7.685667322865597E-2</v>
      </c>
      <c r="K35">
        <f t="shared" si="6"/>
        <v>8.3196602170766631E-2</v>
      </c>
      <c r="L35">
        <f t="shared" si="6"/>
        <v>7.6083468773607832E-2</v>
      </c>
    </row>
    <row r="36" spans="1:12" x14ac:dyDescent="0.3">
      <c r="A36" s="250">
        <f t="shared" si="5"/>
        <v>2022</v>
      </c>
      <c r="B36" s="285">
        <v>4.2405996131528045</v>
      </c>
      <c r="E36" s="291">
        <v>46387</v>
      </c>
      <c r="F36" s="287">
        <v>6.5006219999999999</v>
      </c>
      <c r="G36" s="287">
        <v>6.2942260000000001</v>
      </c>
      <c r="H36" s="287">
        <v>6.6989679999999998</v>
      </c>
      <c r="J36">
        <f t="shared" si="6"/>
        <v>5.4459401195739776E-2</v>
      </c>
      <c r="K36">
        <f t="shared" si="6"/>
        <v>5.6419929131437341E-2</v>
      </c>
      <c r="L36">
        <f t="shared" si="6"/>
        <v>5.0229886841461235E-2</v>
      </c>
    </row>
    <row r="37" spans="1:12" x14ac:dyDescent="0.3">
      <c r="A37" s="250">
        <f t="shared" si="5"/>
        <v>2023</v>
      </c>
      <c r="B37" s="285">
        <v>5.130553780617678</v>
      </c>
      <c r="E37" s="291">
        <v>46752</v>
      </c>
      <c r="F37" s="287">
        <v>6.680072</v>
      </c>
      <c r="G37" s="287">
        <v>6.4870140000000003</v>
      </c>
      <c r="H37" s="287">
        <v>6.8925049999999999</v>
      </c>
      <c r="J37">
        <f t="shared" si="6"/>
        <v>2.7605050716685176E-2</v>
      </c>
      <c r="K37">
        <f t="shared" si="6"/>
        <v>3.0629341876189375E-2</v>
      </c>
      <c r="L37">
        <f t="shared" si="6"/>
        <v>2.8890569413079659E-2</v>
      </c>
    </row>
    <row r="38" spans="1:12" x14ac:dyDescent="0.3">
      <c r="A38" s="250">
        <f t="shared" si="5"/>
        <v>2024</v>
      </c>
      <c r="B38" s="285">
        <v>5.079197994987469</v>
      </c>
      <c r="E38" s="291">
        <v>47118</v>
      </c>
      <c r="F38" s="287">
        <v>7.9250689999999997</v>
      </c>
      <c r="G38" s="287">
        <v>7.7072430000000001</v>
      </c>
      <c r="H38" s="287">
        <v>8.1317520000000005</v>
      </c>
      <c r="J38">
        <f t="shared" si="6"/>
        <v>0.18637478757713977</v>
      </c>
      <c r="K38">
        <f t="shared" si="6"/>
        <v>0.1881033399958747</v>
      </c>
      <c r="L38">
        <f t="shared" si="6"/>
        <v>0.17979631498272419</v>
      </c>
    </row>
    <row r="39" spans="1:12" x14ac:dyDescent="0.3">
      <c r="C39" s="285"/>
      <c r="E39" s="291">
        <v>47483</v>
      </c>
      <c r="F39" s="287">
        <v>8.0420719999999992</v>
      </c>
      <c r="G39" s="287">
        <v>7.8495699999999999</v>
      </c>
      <c r="H39" s="287">
        <v>8.2599879999999999</v>
      </c>
      <c r="J39">
        <f t="shared" ref="J39" si="7">+F39/F38-1</f>
        <v>1.4763656947340165E-2</v>
      </c>
      <c r="K39">
        <f t="shared" ref="K39" si="8">+G39/G38-1</f>
        <v>1.8466655326684345E-2</v>
      </c>
      <c r="L39">
        <f t="shared" ref="L39" si="9">+H39/H38-1</f>
        <v>1.5769787371774147E-2</v>
      </c>
    </row>
    <row r="40" spans="1:12" x14ac:dyDescent="0.3">
      <c r="C40" s="285"/>
      <c r="D40" s="286"/>
      <c r="E40" s="287"/>
      <c r="F40" s="287"/>
      <c r="G40" s="287"/>
    </row>
    <row r="41" spans="1:12" x14ac:dyDescent="0.3">
      <c r="C41" s="285"/>
      <c r="D41" s="286"/>
      <c r="E41" s="287"/>
      <c r="F41" s="287"/>
      <c r="G41" s="287"/>
    </row>
    <row r="43" spans="1:12" x14ac:dyDescent="0.3">
      <c r="D43" s="288"/>
      <c r="E43" s="288" t="s">
        <v>567</v>
      </c>
      <c r="F43" s="288" t="s">
        <v>568</v>
      </c>
      <c r="G43" s="288" t="s">
        <v>569</v>
      </c>
      <c r="H43" s="288" t="s">
        <v>570</v>
      </c>
    </row>
    <row r="44" spans="1:12" x14ac:dyDescent="0.3">
      <c r="A44" s="288" t="s">
        <v>566</v>
      </c>
      <c r="B44" t="s">
        <v>375</v>
      </c>
      <c r="D44" s="250">
        <v>4</v>
      </c>
      <c r="E44" s="289">
        <v>44197</v>
      </c>
      <c r="F44" s="250">
        <v>0.85614500000000004</v>
      </c>
      <c r="G44" s="250">
        <v>0.82133999999999996</v>
      </c>
      <c r="H44" s="250">
        <v>0.89031800000000005</v>
      </c>
    </row>
    <row r="45" spans="1:12" x14ac:dyDescent="0.3">
      <c r="A45" s="250">
        <v>2017</v>
      </c>
      <c r="B45">
        <v>0.51490667127549261</v>
      </c>
      <c r="D45" s="250">
        <v>5</v>
      </c>
      <c r="E45" s="289">
        <v>44562</v>
      </c>
      <c r="F45" s="250">
        <v>0.77985000000000004</v>
      </c>
      <c r="G45" s="250">
        <v>0.74445700000000004</v>
      </c>
      <c r="H45" s="250">
        <v>0.816778</v>
      </c>
    </row>
    <row r="46" spans="1:12" x14ac:dyDescent="0.3">
      <c r="A46" s="250">
        <f>+A45+1</f>
        <v>2018</v>
      </c>
      <c r="B46">
        <v>0.55428283264894462</v>
      </c>
      <c r="D46" s="250">
        <v>6</v>
      </c>
      <c r="E46" s="289">
        <v>44927</v>
      </c>
      <c r="F46" s="250">
        <v>0.708978</v>
      </c>
      <c r="G46" s="250">
        <v>0.67577799999999999</v>
      </c>
      <c r="H46" s="250">
        <v>0.74272499999999997</v>
      </c>
    </row>
    <row r="47" spans="1:12" x14ac:dyDescent="0.3">
      <c r="A47" s="250">
        <f t="shared" ref="A47:A52" si="10">+A46+1</f>
        <v>2019</v>
      </c>
      <c r="B47">
        <v>0.48159399315058676</v>
      </c>
      <c r="D47" s="250">
        <v>7</v>
      </c>
      <c r="E47" s="289">
        <v>45292</v>
      </c>
      <c r="F47" s="250">
        <v>0.64714700000000003</v>
      </c>
      <c r="G47" s="250">
        <v>0.61221599999999998</v>
      </c>
      <c r="H47" s="250">
        <v>0.67891599999999996</v>
      </c>
    </row>
    <row r="48" spans="1:12" x14ac:dyDescent="0.3">
      <c r="A48" s="250">
        <f t="shared" si="10"/>
        <v>2020</v>
      </c>
      <c r="B48">
        <v>0.51910411622276031</v>
      </c>
      <c r="D48" s="250">
        <v>8</v>
      </c>
      <c r="E48" s="289">
        <v>45657</v>
      </c>
      <c r="F48" s="250">
        <v>0.59724200000000005</v>
      </c>
      <c r="G48" s="250">
        <v>0.56361000000000006</v>
      </c>
      <c r="H48" s="250">
        <v>0.62741599999999997</v>
      </c>
    </row>
    <row r="49" spans="1:12" x14ac:dyDescent="0.3">
      <c r="A49" s="250">
        <f t="shared" si="10"/>
        <v>2021</v>
      </c>
      <c r="B49">
        <v>0.87580313340718463</v>
      </c>
      <c r="D49" s="250">
        <v>9</v>
      </c>
      <c r="E49" s="289">
        <v>46022</v>
      </c>
      <c r="F49" s="250">
        <v>0.56135999999999997</v>
      </c>
      <c r="G49" s="250">
        <v>0.52972600000000003</v>
      </c>
      <c r="H49" s="250">
        <v>0.59538899999999995</v>
      </c>
      <c r="J49">
        <f t="shared" ref="J49:L52" si="11">+F49/F48-1</f>
        <v>-6.0079498762645733E-2</v>
      </c>
      <c r="K49">
        <f t="shared" si="11"/>
        <v>-6.0119586238711165E-2</v>
      </c>
      <c r="L49">
        <f t="shared" si="11"/>
        <v>-5.1045877057645961E-2</v>
      </c>
    </row>
    <row r="50" spans="1:12" x14ac:dyDescent="0.3">
      <c r="A50" s="250">
        <f t="shared" si="10"/>
        <v>2022</v>
      </c>
      <c r="B50">
        <v>0.77504835589941978</v>
      </c>
      <c r="D50" s="250">
        <v>10</v>
      </c>
      <c r="E50" s="289">
        <v>46387</v>
      </c>
      <c r="F50" s="250">
        <v>0.540933</v>
      </c>
      <c r="G50" s="250">
        <v>0.50785400000000003</v>
      </c>
      <c r="H50" s="250">
        <v>0.57573300000000005</v>
      </c>
      <c r="J50">
        <f t="shared" si="11"/>
        <v>-3.6388413852073476E-2</v>
      </c>
      <c r="K50">
        <f t="shared" si="11"/>
        <v>-4.1289270302005243E-2</v>
      </c>
      <c r="L50">
        <f t="shared" si="11"/>
        <v>-3.3013710364148352E-2</v>
      </c>
    </row>
    <row r="51" spans="1:12" x14ac:dyDescent="0.3">
      <c r="A51" s="250">
        <f t="shared" si="10"/>
        <v>2023</v>
      </c>
      <c r="B51">
        <v>0.66779552715654955</v>
      </c>
      <c r="D51" s="250">
        <v>11</v>
      </c>
      <c r="E51" s="289">
        <v>46752</v>
      </c>
      <c r="F51" s="250">
        <v>0.53689699999999996</v>
      </c>
      <c r="G51" s="250">
        <v>0.502413</v>
      </c>
      <c r="H51" s="250">
        <v>0.57141900000000001</v>
      </c>
      <c r="J51">
        <f t="shared" si="11"/>
        <v>-7.4611828082221665E-3</v>
      </c>
      <c r="K51">
        <f t="shared" si="11"/>
        <v>-1.0713709058115195E-2</v>
      </c>
      <c r="L51">
        <f t="shared" si="11"/>
        <v>-7.4930566773140361E-3</v>
      </c>
    </row>
    <row r="52" spans="1:12" x14ac:dyDescent="0.3">
      <c r="A52" s="250">
        <f t="shared" si="10"/>
        <v>2024</v>
      </c>
      <c r="B52">
        <v>0.67721804511278194</v>
      </c>
      <c r="D52" s="250">
        <v>12</v>
      </c>
      <c r="E52" s="289">
        <v>47118</v>
      </c>
      <c r="F52" s="250">
        <v>0.61426700000000001</v>
      </c>
      <c r="G52" s="250">
        <v>0.58093799999999995</v>
      </c>
      <c r="H52" s="250">
        <v>0.648478</v>
      </c>
      <c r="J52">
        <f t="shared" si="11"/>
        <v>0.14410585270545395</v>
      </c>
      <c r="K52">
        <f t="shared" si="11"/>
        <v>0.15629571687038335</v>
      </c>
      <c r="L52">
        <f t="shared" si="11"/>
        <v>0.13485550882977293</v>
      </c>
    </row>
    <row r="53" spans="1:12" x14ac:dyDescent="0.3">
      <c r="D53" s="250">
        <v>13</v>
      </c>
      <c r="E53" s="289">
        <v>47483</v>
      </c>
      <c r="F53" s="250">
        <v>0.57222099999999998</v>
      </c>
      <c r="G53" s="250">
        <v>0.53788899999999995</v>
      </c>
      <c r="H53" s="250">
        <v>0.60711800000000005</v>
      </c>
      <c r="J53">
        <f t="shared" ref="J53" si="12">+F53/F52-1</f>
        <v>-6.8449062052820753E-2</v>
      </c>
      <c r="K53">
        <f t="shared" ref="K53" si="13">+G53/G52-1</f>
        <v>-7.4102572047275328E-2</v>
      </c>
      <c r="L53">
        <f t="shared" ref="L53" si="14">+H53/H52-1</f>
        <v>-6.3780112818013768E-2</v>
      </c>
    </row>
    <row r="54" spans="1:12" ht="15" thickBot="1" x14ac:dyDescent="0.35"/>
    <row r="55" spans="1:12" ht="15" thickBot="1" x14ac:dyDescent="0.35">
      <c r="A55" s="288" t="s">
        <v>566</v>
      </c>
      <c r="B55" t="s">
        <v>379</v>
      </c>
      <c r="D55" s="294"/>
      <c r="E55" s="294" t="s">
        <v>567</v>
      </c>
      <c r="F55" s="294" t="s">
        <v>568</v>
      </c>
      <c r="G55" s="294" t="s">
        <v>569</v>
      </c>
      <c r="H55" s="294" t="s">
        <v>570</v>
      </c>
    </row>
    <row r="56" spans="1:12" ht="15" thickBot="1" x14ac:dyDescent="0.35">
      <c r="A56" s="250"/>
      <c r="D56" s="295">
        <v>4</v>
      </c>
      <c r="E56" s="296">
        <v>44197</v>
      </c>
      <c r="F56" s="295">
        <v>73540.580830000006</v>
      </c>
      <c r="G56" s="295">
        <v>55548.849040000001</v>
      </c>
      <c r="H56" s="295">
        <v>92584.748949999994</v>
      </c>
    </row>
    <row r="57" spans="1:12" ht="15" thickBot="1" x14ac:dyDescent="0.35">
      <c r="A57" s="250">
        <v>2017</v>
      </c>
      <c r="B57" s="293">
        <v>62500</v>
      </c>
      <c r="D57" s="295">
        <v>5</v>
      </c>
      <c r="E57" s="296">
        <v>44562</v>
      </c>
      <c r="F57" s="295">
        <v>94006.275370000003</v>
      </c>
      <c r="G57" s="295">
        <v>76536.967120000001</v>
      </c>
      <c r="H57" s="295">
        <v>112077.8582</v>
      </c>
    </row>
    <row r="58" spans="1:12" ht="15" thickBot="1" x14ac:dyDescent="0.35">
      <c r="A58" s="250">
        <f>+A57+1</f>
        <v>2018</v>
      </c>
      <c r="B58" s="293">
        <v>68750</v>
      </c>
      <c r="D58" s="295">
        <v>6</v>
      </c>
      <c r="E58" s="296">
        <v>44927</v>
      </c>
      <c r="F58" s="295">
        <v>117503.6029</v>
      </c>
      <c r="G58" s="295">
        <v>100625.73020000001</v>
      </c>
      <c r="H58" s="295">
        <v>134990.3518</v>
      </c>
    </row>
    <row r="59" spans="1:12" ht="15" thickBot="1" x14ac:dyDescent="0.35">
      <c r="A59" s="250">
        <f t="shared" ref="A59:A64" si="15">+A58+1</f>
        <v>2019</v>
      </c>
      <c r="B59" s="293">
        <v>85000</v>
      </c>
      <c r="D59" s="295">
        <v>7</v>
      </c>
      <c r="E59" s="296">
        <v>45292</v>
      </c>
      <c r="F59" s="295">
        <v>142024.36540000001</v>
      </c>
      <c r="G59" s="295">
        <v>123292.19560000001</v>
      </c>
      <c r="H59" s="295">
        <v>159051.9235</v>
      </c>
    </row>
    <row r="60" spans="1:12" ht="15" thickBot="1" x14ac:dyDescent="0.35">
      <c r="A60" s="250">
        <f t="shared" si="15"/>
        <v>2020</v>
      </c>
      <c r="B60" s="293">
        <v>81250</v>
      </c>
      <c r="D60" s="295">
        <v>8</v>
      </c>
      <c r="E60" s="296">
        <v>45657</v>
      </c>
      <c r="F60" s="295">
        <v>164578.4515</v>
      </c>
      <c r="G60" s="295">
        <v>147015.9498</v>
      </c>
      <c r="H60" s="295">
        <v>181534.44639999999</v>
      </c>
    </row>
    <row r="61" spans="1:12" ht="15" thickBot="1" x14ac:dyDescent="0.35">
      <c r="A61" s="250">
        <f t="shared" si="15"/>
        <v>2021</v>
      </c>
      <c r="B61" s="293">
        <v>57500</v>
      </c>
      <c r="D61" s="295">
        <v>9</v>
      </c>
      <c r="E61" s="296">
        <v>46022</v>
      </c>
      <c r="F61" s="295">
        <v>183028.1832</v>
      </c>
      <c r="G61" s="295">
        <v>165616.99540000001</v>
      </c>
      <c r="H61" s="295">
        <v>200412.90059999999</v>
      </c>
    </row>
    <row r="62" spans="1:12" ht="15" thickBot="1" x14ac:dyDescent="0.35">
      <c r="A62" s="250">
        <f t="shared" si="15"/>
        <v>2022</v>
      </c>
      <c r="B62" s="293">
        <v>87500</v>
      </c>
      <c r="D62" s="295">
        <v>10</v>
      </c>
      <c r="E62" s="296">
        <v>46387</v>
      </c>
      <c r="F62" s="295">
        <v>196979.75169999999</v>
      </c>
      <c r="G62" s="295">
        <v>179978.53390000001</v>
      </c>
      <c r="H62" s="295">
        <v>214165.68429999999</v>
      </c>
    </row>
    <row r="63" spans="1:12" ht="15" thickBot="1" x14ac:dyDescent="0.35">
      <c r="A63" s="250">
        <f t="shared" si="15"/>
        <v>2023</v>
      </c>
      <c r="B63" s="293">
        <v>147500</v>
      </c>
      <c r="D63" s="295">
        <v>11</v>
      </c>
      <c r="E63" s="296">
        <v>46752</v>
      </c>
      <c r="F63" s="295">
        <v>207191.76070000001</v>
      </c>
      <c r="G63" s="295">
        <v>189070.73860000001</v>
      </c>
      <c r="H63" s="295">
        <v>224793.14490000001</v>
      </c>
    </row>
    <row r="64" spans="1:12" ht="15" thickBot="1" x14ac:dyDescent="0.35">
      <c r="A64" s="250">
        <f t="shared" si="15"/>
        <v>2024</v>
      </c>
      <c r="B64" s="293">
        <v>127500</v>
      </c>
      <c r="D64" s="295">
        <v>12</v>
      </c>
      <c r="E64" s="296">
        <v>47118</v>
      </c>
      <c r="F64" s="295">
        <v>192810.29240000001</v>
      </c>
      <c r="G64" s="295">
        <v>174971.7696</v>
      </c>
      <c r="H64" s="295">
        <v>211541.47330000001</v>
      </c>
    </row>
    <row r="65" spans="1:8" ht="15" thickBot="1" x14ac:dyDescent="0.35">
      <c r="D65" s="295">
        <v>13</v>
      </c>
      <c r="E65" s="296">
        <v>47483</v>
      </c>
      <c r="F65" s="295">
        <v>200840.93090000001</v>
      </c>
      <c r="G65" s="295">
        <v>181503.66459999999</v>
      </c>
      <c r="H65" s="295">
        <v>219178.0013</v>
      </c>
    </row>
    <row r="67" spans="1:8" ht="15" thickBot="1" x14ac:dyDescent="0.35"/>
    <row r="68" spans="1:8" ht="15" thickBot="1" x14ac:dyDescent="0.35">
      <c r="A68" s="288" t="s">
        <v>566</v>
      </c>
      <c r="B68" t="s">
        <v>382</v>
      </c>
      <c r="D68" s="294"/>
      <c r="E68" s="294" t="s">
        <v>567</v>
      </c>
      <c r="F68" s="294" t="s">
        <v>568</v>
      </c>
      <c r="G68" s="294" t="s">
        <v>569</v>
      </c>
      <c r="H68" s="294" t="s">
        <v>570</v>
      </c>
    </row>
    <row r="69" spans="1:8" ht="15" thickBot="1" x14ac:dyDescent="0.35">
      <c r="A69" s="250"/>
      <c r="D69" s="295">
        <v>4</v>
      </c>
      <c r="E69" s="296">
        <v>44197</v>
      </c>
      <c r="F69" s="295">
        <v>15.360495</v>
      </c>
      <c r="G69" s="295">
        <v>14.785221</v>
      </c>
      <c r="H69" s="295">
        <v>15.910124</v>
      </c>
    </row>
    <row r="70" spans="1:8" ht="15" thickBot="1" x14ac:dyDescent="0.35">
      <c r="A70" s="250">
        <v>2017</v>
      </c>
      <c r="B70">
        <v>18.5889760548156</v>
      </c>
      <c r="D70" s="295">
        <v>5</v>
      </c>
      <c r="E70" s="296">
        <v>44562</v>
      </c>
      <c r="F70" s="295">
        <v>14.744793</v>
      </c>
      <c r="G70" s="295">
        <v>14.115515</v>
      </c>
      <c r="H70" s="295">
        <v>15.296117000000001</v>
      </c>
    </row>
    <row r="71" spans="1:8" ht="15" thickBot="1" x14ac:dyDescent="0.35">
      <c r="A71" s="250">
        <f>+A70+1</f>
        <v>2018</v>
      </c>
      <c r="B71">
        <v>17.772745308541246</v>
      </c>
      <c r="D71" s="295">
        <v>6</v>
      </c>
      <c r="E71" s="296">
        <v>44927</v>
      </c>
      <c r="F71" s="295">
        <v>14.177664999999999</v>
      </c>
      <c r="G71" s="295">
        <v>13.636402</v>
      </c>
      <c r="H71" s="295">
        <v>14.823904000000001</v>
      </c>
    </row>
    <row r="72" spans="1:8" ht="15" thickBot="1" x14ac:dyDescent="0.35">
      <c r="A72" s="250">
        <f t="shared" ref="A72:A77" si="16">+A71+1</f>
        <v>2019</v>
      </c>
      <c r="B72">
        <v>17.34267886082052</v>
      </c>
      <c r="D72" s="295">
        <v>7</v>
      </c>
      <c r="E72" s="296">
        <v>45292</v>
      </c>
      <c r="F72" s="295">
        <v>13.660472</v>
      </c>
      <c r="G72" s="295">
        <v>13.062303999999999</v>
      </c>
      <c r="H72" s="295">
        <v>14.261263</v>
      </c>
    </row>
    <row r="73" spans="1:8" ht="15" thickBot="1" x14ac:dyDescent="0.35">
      <c r="A73" s="250">
        <f t="shared" si="16"/>
        <v>2020</v>
      </c>
      <c r="B73">
        <v>15.916662992251778</v>
      </c>
      <c r="D73" s="295">
        <v>8</v>
      </c>
      <c r="E73" s="296">
        <v>45657</v>
      </c>
      <c r="F73" s="295">
        <v>13.178887</v>
      </c>
      <c r="G73" s="295">
        <v>12.561112</v>
      </c>
      <c r="H73" s="295">
        <v>13.780142</v>
      </c>
    </row>
    <row r="74" spans="1:8" ht="15" thickBot="1" x14ac:dyDescent="0.35">
      <c r="A74" s="250">
        <f t="shared" si="16"/>
        <v>2021</v>
      </c>
      <c r="B74">
        <v>14.653494391551996</v>
      </c>
      <c r="D74" s="295">
        <v>9</v>
      </c>
      <c r="E74" s="296">
        <v>46022</v>
      </c>
      <c r="F74" s="295">
        <v>12.711994000000001</v>
      </c>
      <c r="G74" s="295">
        <v>12.109560999999999</v>
      </c>
      <c r="H74" s="295">
        <v>13.357404000000001</v>
      </c>
    </row>
    <row r="75" spans="1:8" ht="15" thickBot="1" x14ac:dyDescent="0.35">
      <c r="A75" s="250">
        <f t="shared" si="16"/>
        <v>2022</v>
      </c>
      <c r="B75">
        <v>15.739019480519481</v>
      </c>
      <c r="D75" s="295">
        <v>10</v>
      </c>
      <c r="E75" s="296">
        <v>46387</v>
      </c>
      <c r="F75" s="295">
        <v>12.238739000000001</v>
      </c>
      <c r="G75" s="295">
        <v>11.600374</v>
      </c>
      <c r="H75" s="295">
        <v>12.836136</v>
      </c>
    </row>
    <row r="76" spans="1:8" ht="15" thickBot="1" x14ac:dyDescent="0.35">
      <c r="A76" s="250">
        <f t="shared" si="16"/>
        <v>2023</v>
      </c>
      <c r="B76">
        <v>14.013284935403581</v>
      </c>
      <c r="D76" s="295">
        <v>11</v>
      </c>
      <c r="E76" s="296">
        <v>46752</v>
      </c>
      <c r="F76" s="295">
        <v>11.741175</v>
      </c>
      <c r="G76" s="295">
        <v>11.132070000000001</v>
      </c>
      <c r="H76" s="295">
        <v>12.319062000000001</v>
      </c>
    </row>
    <row r="77" spans="1:8" ht="15" thickBot="1" x14ac:dyDescent="0.35">
      <c r="A77" s="250">
        <f t="shared" si="16"/>
        <v>2024</v>
      </c>
      <c r="B77">
        <v>13.459216530833439</v>
      </c>
      <c r="D77" s="295">
        <v>12</v>
      </c>
      <c r="E77" s="296">
        <v>47118</v>
      </c>
      <c r="F77" s="295">
        <v>12.592765</v>
      </c>
      <c r="G77" s="295">
        <v>12.034666</v>
      </c>
      <c r="H77" s="295">
        <v>13.134942000000001</v>
      </c>
    </row>
    <row r="78" spans="1:8" ht="15" thickBot="1" x14ac:dyDescent="0.35">
      <c r="D78" s="295">
        <v>13</v>
      </c>
      <c r="E78" s="296">
        <v>47483</v>
      </c>
      <c r="F78" s="295">
        <v>12.305199</v>
      </c>
      <c r="G78" s="295">
        <v>11.711271</v>
      </c>
      <c r="H78" s="295">
        <v>12.831357000000001</v>
      </c>
    </row>
    <row r="82" spans="1:7" x14ac:dyDescent="0.3">
      <c r="A82" s="288" t="s">
        <v>566</v>
      </c>
      <c r="B82" t="s">
        <v>386</v>
      </c>
      <c r="C82" t="s">
        <v>576</v>
      </c>
      <c r="D82" t="s">
        <v>481</v>
      </c>
      <c r="E82" t="s">
        <v>25</v>
      </c>
      <c r="F82" t="s">
        <v>28</v>
      </c>
      <c r="G82" t="s">
        <v>577</v>
      </c>
    </row>
    <row r="83" spans="1:7" x14ac:dyDescent="0.3">
      <c r="A83" s="250"/>
    </row>
    <row r="84" spans="1:7" x14ac:dyDescent="0.3">
      <c r="A84" s="250">
        <v>2017</v>
      </c>
      <c r="B84">
        <v>0.59527783375776344</v>
      </c>
      <c r="C84">
        <v>8.3772053569792782E-2</v>
      </c>
      <c r="D84">
        <v>0</v>
      </c>
      <c r="E84">
        <v>0.37524320759210744</v>
      </c>
      <c r="F84">
        <v>0</v>
      </c>
      <c r="G84">
        <v>0.87914259018375684</v>
      </c>
    </row>
    <row r="85" spans="1:7" x14ac:dyDescent="0.3">
      <c r="A85" s="250">
        <f>+A84+1</f>
        <v>2018</v>
      </c>
      <c r="B85">
        <v>0.58795071642261065</v>
      </c>
      <c r="C85">
        <v>6.8788694693749028E-2</v>
      </c>
      <c r="D85">
        <v>0</v>
      </c>
      <c r="E85">
        <v>0.38655676271453315</v>
      </c>
      <c r="F85">
        <v>0</v>
      </c>
      <c r="G85">
        <v>0.96267139033223115</v>
      </c>
    </row>
    <row r="86" spans="1:7" x14ac:dyDescent="0.3">
      <c r="A86" s="250">
        <f t="shared" ref="A86:A91" si="17">+A85+1</f>
        <v>2019</v>
      </c>
      <c r="B86">
        <v>0.79610953391922579</v>
      </c>
      <c r="C86">
        <v>9.3756788782462727E-2</v>
      </c>
      <c r="D86">
        <v>0.45447874493927132</v>
      </c>
      <c r="E86">
        <v>0.39628678285770713</v>
      </c>
      <c r="F86">
        <v>5.7703046311839638E-2</v>
      </c>
      <c r="G86">
        <v>0.36391046213093708</v>
      </c>
    </row>
    <row r="87" spans="1:7" x14ac:dyDescent="0.3">
      <c r="A87" s="250">
        <f t="shared" si="17"/>
        <v>2020</v>
      </c>
      <c r="B87">
        <v>0.37271536863966775</v>
      </c>
      <c r="C87">
        <v>0.41266137071651093</v>
      </c>
      <c r="D87">
        <v>0.60926656282450675</v>
      </c>
      <c r="E87">
        <v>0.48909231568016609</v>
      </c>
      <c r="F87">
        <v>0.1605596053997923</v>
      </c>
      <c r="G87">
        <v>0.36697860851505715</v>
      </c>
    </row>
    <row r="88" spans="1:7" x14ac:dyDescent="0.3">
      <c r="A88" s="250">
        <f t="shared" si="17"/>
        <v>2021</v>
      </c>
      <c r="B88">
        <v>0.41638428888742274</v>
      </c>
      <c r="C88">
        <v>1.033503991555057</v>
      </c>
      <c r="D88">
        <v>0.92174352884255895</v>
      </c>
      <c r="E88">
        <v>0.72474588199071932</v>
      </c>
      <c r="F88">
        <v>-0.11502408128257571</v>
      </c>
      <c r="G88">
        <v>0.42013811000417844</v>
      </c>
    </row>
    <row r="89" spans="1:7" x14ac:dyDescent="0.3">
      <c r="A89" s="250">
        <f t="shared" si="17"/>
        <v>2022</v>
      </c>
      <c r="B89">
        <v>0.38588963068181814</v>
      </c>
      <c r="C89">
        <v>0.71997159090909091</v>
      </c>
      <c r="D89">
        <v>0.86502613636363634</v>
      </c>
      <c r="E89">
        <v>0.49523338068181816</v>
      </c>
      <c r="F89">
        <v>0.13364176136363634</v>
      </c>
      <c r="G89">
        <v>0.34890724431818182</v>
      </c>
    </row>
    <row r="90" spans="1:7" x14ac:dyDescent="0.3">
      <c r="A90" s="250">
        <f t="shared" si="17"/>
        <v>2023</v>
      </c>
      <c r="B90">
        <v>0.37236748251748253</v>
      </c>
      <c r="C90">
        <v>0.44606372377622378</v>
      </c>
      <c r="D90">
        <v>0.70323076923076933</v>
      </c>
      <c r="E90">
        <v>0.41912167832167829</v>
      </c>
      <c r="F90">
        <v>0.25872141608391608</v>
      </c>
      <c r="G90">
        <v>0.37123784965034967</v>
      </c>
    </row>
    <row r="91" spans="1:7" x14ac:dyDescent="0.3">
      <c r="A91" s="250">
        <f t="shared" si="17"/>
        <v>2024</v>
      </c>
      <c r="B91">
        <v>0.43330933237616659</v>
      </c>
      <c r="C91">
        <v>0.46128707824838477</v>
      </c>
      <c r="D91">
        <v>0.71296654702081841</v>
      </c>
      <c r="E91">
        <v>0.46388054558506819</v>
      </c>
      <c r="F91">
        <v>5.1500143575017948E-2</v>
      </c>
      <c r="G91">
        <v>0.39697824838478102</v>
      </c>
    </row>
    <row r="94" spans="1:7" x14ac:dyDescent="0.3">
      <c r="A94" s="288"/>
    </row>
    <row r="95" spans="1:7" x14ac:dyDescent="0.3">
      <c r="A95" s="288" t="s">
        <v>566</v>
      </c>
      <c r="B95" t="s">
        <v>399</v>
      </c>
    </row>
    <row r="96" spans="1:7" x14ac:dyDescent="0.3">
      <c r="A96" s="250">
        <v>2017</v>
      </c>
      <c r="B96">
        <v>361468363</v>
      </c>
    </row>
    <row r="97" spans="1:2" x14ac:dyDescent="0.3">
      <c r="A97" s="250">
        <f>+A96+1</f>
        <v>2018</v>
      </c>
      <c r="B97">
        <v>384406838</v>
      </c>
    </row>
    <row r="98" spans="1:2" x14ac:dyDescent="0.3">
      <c r="A98" s="250">
        <f t="shared" ref="A98:A103" si="18">+A97+1</f>
        <v>2019</v>
      </c>
      <c r="B98">
        <v>384406838</v>
      </c>
    </row>
    <row r="99" spans="1:2" x14ac:dyDescent="0.3">
      <c r="A99" s="250">
        <f t="shared" si="18"/>
        <v>2020</v>
      </c>
      <c r="B99">
        <v>384796279</v>
      </c>
    </row>
    <row r="100" spans="1:2" x14ac:dyDescent="0.3">
      <c r="A100" s="250">
        <f t="shared" si="18"/>
        <v>2021</v>
      </c>
      <c r="B100">
        <v>384910000</v>
      </c>
    </row>
    <row r="101" spans="1:2" x14ac:dyDescent="0.3">
      <c r="A101" s="250">
        <f t="shared" si="18"/>
        <v>2022</v>
      </c>
      <c r="B101">
        <v>385254729</v>
      </c>
    </row>
    <row r="102" spans="1:2" x14ac:dyDescent="0.3">
      <c r="A102" s="250">
        <f t="shared" si="18"/>
        <v>2023</v>
      </c>
      <c r="B102">
        <v>385547099</v>
      </c>
    </row>
    <row r="103" spans="1:2" x14ac:dyDescent="0.3">
      <c r="A103" s="250">
        <f t="shared" si="18"/>
        <v>2024</v>
      </c>
      <c r="B103">
        <v>385978689</v>
      </c>
    </row>
    <row r="104" spans="1:2" x14ac:dyDescent="0.3">
      <c r="A104" s="250"/>
    </row>
    <row r="105" spans="1:2" x14ac:dyDescent="0.3">
      <c r="A105" s="250"/>
    </row>
    <row r="107" spans="1:2" x14ac:dyDescent="0.3">
      <c r="A107" t="s">
        <v>566</v>
      </c>
      <c r="B107" t="s">
        <v>390</v>
      </c>
    </row>
    <row r="108" spans="1:2" x14ac:dyDescent="0.3">
      <c r="A108">
        <v>2020</v>
      </c>
      <c r="B108">
        <v>6.0848611579889252E-2</v>
      </c>
    </row>
    <row r="109" spans="1:2" x14ac:dyDescent="0.3">
      <c r="A109">
        <v>2021</v>
      </c>
      <c r="B109">
        <v>7.2411727385502944E-2</v>
      </c>
    </row>
    <row r="110" spans="1:2" x14ac:dyDescent="0.3">
      <c r="A110">
        <v>2022</v>
      </c>
      <c r="B110">
        <v>5.4617945246240009E-2</v>
      </c>
    </row>
    <row r="111" spans="1:2" x14ac:dyDescent="0.3">
      <c r="A111">
        <v>2023</v>
      </c>
      <c r="B111">
        <v>4.8937156440013181E-2</v>
      </c>
    </row>
    <row r="112" spans="1:2" x14ac:dyDescent="0.3">
      <c r="A112">
        <v>2024</v>
      </c>
      <c r="B112">
        <v>6.5849018818620084E-2</v>
      </c>
    </row>
    <row r="113" spans="1:2" x14ac:dyDescent="0.3">
      <c r="A113">
        <v>2025</v>
      </c>
      <c r="B113">
        <f>FORECAST(A113,B108:B112,A108:A112)</f>
        <v>5.6490764953644579E-2</v>
      </c>
    </row>
    <row r="114" spans="1:2" x14ac:dyDescent="0.3">
      <c r="A114">
        <v>2026</v>
      </c>
      <c r="B114">
        <f t="shared" ref="B114:B116" si="19">FORECAST(A114,B109:B113,A109:A113)</f>
        <v>5.34780671814028E-2</v>
      </c>
    </row>
    <row r="115" spans="1:2" x14ac:dyDescent="0.3">
      <c r="A115">
        <v>2027</v>
      </c>
      <c r="B115">
        <f t="shared" si="19"/>
        <v>5.7456746243171208E-2</v>
      </c>
    </row>
    <row r="116" spans="1:2" x14ac:dyDescent="0.3">
      <c r="A116">
        <v>2028</v>
      </c>
      <c r="B116">
        <f t="shared" si="19"/>
        <v>5.7842819118099964E-2</v>
      </c>
    </row>
    <row r="119" spans="1:2" x14ac:dyDescent="0.3">
      <c r="A119" t="s">
        <v>566</v>
      </c>
      <c r="B119" t="s">
        <v>389</v>
      </c>
    </row>
    <row r="120" spans="1:2" x14ac:dyDescent="0.3">
      <c r="B120" t="s">
        <v>367</v>
      </c>
    </row>
    <row r="121" spans="1:2" x14ac:dyDescent="0.3">
      <c r="A121">
        <v>2019</v>
      </c>
      <c r="B121">
        <v>1.8395641174890929E-2</v>
      </c>
    </row>
    <row r="122" spans="1:2" x14ac:dyDescent="0.3">
      <c r="A122">
        <v>2020</v>
      </c>
      <c r="B122">
        <v>4.8593575680795385E-2</v>
      </c>
    </row>
    <row r="123" spans="1:2" x14ac:dyDescent="0.3">
      <c r="A123">
        <v>2021</v>
      </c>
      <c r="B123">
        <v>4.7371184486763855E-2</v>
      </c>
    </row>
    <row r="124" spans="1:2" x14ac:dyDescent="0.3">
      <c r="A124">
        <v>2023</v>
      </c>
      <c r="B124">
        <v>0.10873994265944235</v>
      </c>
    </row>
    <row r="125" spans="1:2" x14ac:dyDescent="0.3">
      <c r="A125">
        <v>2024</v>
      </c>
      <c r="B125">
        <v>7.0601572780418662E-2</v>
      </c>
    </row>
    <row r="126" spans="1:2" x14ac:dyDescent="0.3">
      <c r="A126">
        <v>2025</v>
      </c>
      <c r="B126">
        <f>FORECAST(A126,B121:B125,A121:A125)</f>
        <v>0.10613040219947933</v>
      </c>
    </row>
    <row r="127" spans="1:2" x14ac:dyDescent="0.3">
      <c r="A127">
        <v>2026</v>
      </c>
      <c r="B127">
        <f t="shared" ref="B127:B129" si="20">FORECAST(A127,B122:B126,A122:A126)</f>
        <v>0.11481683775749119</v>
      </c>
    </row>
    <row r="128" spans="1:2" x14ac:dyDescent="0.3">
      <c r="A128">
        <v>2027</v>
      </c>
      <c r="B128">
        <f t="shared" si="20"/>
        <v>0.12724930031649251</v>
      </c>
    </row>
    <row r="129" spans="1:4" x14ac:dyDescent="0.3">
      <c r="A129">
        <v>2028</v>
      </c>
      <c r="B129">
        <f t="shared" si="20"/>
        <v>0.12987780523001646</v>
      </c>
    </row>
    <row r="131" spans="1:4" x14ac:dyDescent="0.3">
      <c r="A131" s="57"/>
    </row>
    <row r="133" spans="1:4" x14ac:dyDescent="0.3">
      <c r="B133" s="338"/>
      <c r="C133" s="338"/>
      <c r="D133" s="338"/>
    </row>
    <row r="134" spans="1:4" x14ac:dyDescent="0.3">
      <c r="B134" s="338"/>
      <c r="C134" s="338"/>
      <c r="D134" s="338"/>
    </row>
    <row r="135" spans="1:4" x14ac:dyDescent="0.3">
      <c r="B135" s="338"/>
      <c r="C135" s="338"/>
      <c r="D135" s="338"/>
    </row>
    <row r="136" spans="1:4" x14ac:dyDescent="0.3">
      <c r="B136" s="338"/>
      <c r="C136" s="338"/>
      <c r="D136" s="338"/>
    </row>
    <row r="137" spans="1:4" x14ac:dyDescent="0.3">
      <c r="B137" s="338"/>
      <c r="C137" s="338"/>
      <c r="D137" s="33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07D2-8EA9-42B0-923A-1114DA72C584}">
  <sheetPr>
    <tabColor theme="2" tint="-9.9978637043366805E-2"/>
  </sheetPr>
  <dimension ref="A1:L113"/>
  <sheetViews>
    <sheetView showGridLines="0" topLeftCell="A84" zoomScale="79" workbookViewId="0">
      <selection activeCell="R119" sqref="R119"/>
    </sheetView>
  </sheetViews>
  <sheetFormatPr defaultRowHeight="14.4" x14ac:dyDescent="0.3"/>
  <cols>
    <col min="1" max="1" width="7.21875" style="339" customWidth="1"/>
    <col min="2" max="2" width="2.77734375" customWidth="1"/>
    <col min="3" max="3" width="10.33203125" style="272" customWidth="1"/>
    <col min="4" max="4" width="20.21875" style="272" customWidth="1"/>
    <col min="5" max="5" width="21.44140625" style="272" customWidth="1"/>
    <col min="6" max="6" width="22.21875" style="272" customWidth="1"/>
  </cols>
  <sheetData>
    <row r="1" spans="1:11" x14ac:dyDescent="0.3">
      <c r="A1" s="339">
        <v>1</v>
      </c>
      <c r="B1" s="57" t="s">
        <v>690</v>
      </c>
    </row>
    <row r="2" spans="1:11" x14ac:dyDescent="0.3">
      <c r="C2" s="374" t="s">
        <v>566</v>
      </c>
      <c r="D2" s="385" t="s">
        <v>598</v>
      </c>
      <c r="E2" s="374" t="s">
        <v>601</v>
      </c>
      <c r="F2" s="374"/>
    </row>
    <row r="3" spans="1:11" x14ac:dyDescent="0.3">
      <c r="C3" s="67" t="s">
        <v>603</v>
      </c>
      <c r="D3" s="384">
        <v>-0.24</v>
      </c>
      <c r="E3" s="67" t="s">
        <v>691</v>
      </c>
      <c r="F3" s="67"/>
    </row>
    <row r="4" spans="1:11" x14ac:dyDescent="0.3">
      <c r="C4" s="67" t="s">
        <v>604</v>
      </c>
      <c r="D4" s="384">
        <v>-0.23</v>
      </c>
      <c r="E4" s="67" t="s">
        <v>692</v>
      </c>
      <c r="F4" s="67"/>
    </row>
    <row r="5" spans="1:11" x14ac:dyDescent="0.3">
      <c r="C5" s="67" t="s">
        <v>605</v>
      </c>
      <c r="D5" s="384">
        <v>-0.22</v>
      </c>
      <c r="E5" s="67" t="s">
        <v>693</v>
      </c>
      <c r="F5" s="67"/>
    </row>
    <row r="6" spans="1:11" x14ac:dyDescent="0.3">
      <c r="C6" s="67" t="s">
        <v>606</v>
      </c>
      <c r="D6" s="384">
        <v>-0.21</v>
      </c>
      <c r="E6" s="67" t="s">
        <v>694</v>
      </c>
      <c r="F6" s="67"/>
    </row>
    <row r="7" spans="1:11" x14ac:dyDescent="0.3">
      <c r="B7" s="57"/>
    </row>
    <row r="8" spans="1:11" x14ac:dyDescent="0.3">
      <c r="A8" s="339">
        <v>1</v>
      </c>
      <c r="B8" s="57" t="s">
        <v>696</v>
      </c>
      <c r="E8" s="338"/>
      <c r="F8" s="338"/>
      <c r="G8" s="337"/>
      <c r="H8" s="337"/>
      <c r="I8" s="337"/>
      <c r="J8" s="337"/>
      <c r="K8" s="337"/>
    </row>
    <row r="9" spans="1:11" x14ac:dyDescent="0.3">
      <c r="C9" s="273" t="s">
        <v>566</v>
      </c>
      <c r="D9" s="369" t="s">
        <v>598</v>
      </c>
      <c r="E9" s="369" t="s">
        <v>599</v>
      </c>
      <c r="F9" s="369" t="s">
        <v>600</v>
      </c>
      <c r="G9" s="57" t="s">
        <v>601</v>
      </c>
    </row>
    <row r="10" spans="1:11" x14ac:dyDescent="0.3">
      <c r="C10" s="272" t="s">
        <v>602</v>
      </c>
      <c r="D10" s="338">
        <v>0.2</v>
      </c>
      <c r="E10" s="338">
        <v>0.23</v>
      </c>
      <c r="F10" s="338">
        <v>0.18</v>
      </c>
      <c r="G10" t="s">
        <v>706</v>
      </c>
    </row>
    <row r="11" spans="1:11" x14ac:dyDescent="0.3">
      <c r="C11" s="272" t="s">
        <v>603</v>
      </c>
      <c r="D11" s="338">
        <v>0.185</v>
      </c>
      <c r="E11" s="338">
        <v>0.21</v>
      </c>
      <c r="F11" s="338">
        <v>0.16</v>
      </c>
      <c r="G11" t="s">
        <v>707</v>
      </c>
    </row>
    <row r="12" spans="1:11" x14ac:dyDescent="0.3">
      <c r="C12" s="272" t="s">
        <v>604</v>
      </c>
      <c r="D12" s="338">
        <v>0.17</v>
      </c>
      <c r="E12" s="338">
        <v>0.19500000000000001</v>
      </c>
      <c r="F12" s="338">
        <v>0.14499999999999999</v>
      </c>
      <c r="G12" t="s">
        <v>708</v>
      </c>
    </row>
    <row r="13" spans="1:11" x14ac:dyDescent="0.3">
      <c r="C13" s="272" t="s">
        <v>605</v>
      </c>
      <c r="D13" s="338">
        <v>0.16</v>
      </c>
      <c r="E13" s="338">
        <v>0.18</v>
      </c>
      <c r="F13" s="338">
        <v>0.13</v>
      </c>
      <c r="G13" t="s">
        <v>709</v>
      </c>
    </row>
    <row r="14" spans="1:11" x14ac:dyDescent="0.3">
      <c r="C14" s="272" t="s">
        <v>606</v>
      </c>
      <c r="D14" s="338">
        <v>0.15</v>
      </c>
      <c r="E14" s="338">
        <v>0.17</v>
      </c>
      <c r="F14" s="338">
        <v>0.12</v>
      </c>
      <c r="G14" t="s">
        <v>710</v>
      </c>
    </row>
    <row r="16" spans="1:11" x14ac:dyDescent="0.3">
      <c r="A16" s="339">
        <v>2</v>
      </c>
      <c r="B16" s="57" t="s">
        <v>612</v>
      </c>
    </row>
    <row r="17" spans="1:11" x14ac:dyDescent="0.3">
      <c r="C17" s="273" t="s">
        <v>566</v>
      </c>
      <c r="D17" s="273" t="s">
        <v>598</v>
      </c>
      <c r="E17" s="273" t="s">
        <v>599</v>
      </c>
      <c r="F17" s="273" t="s">
        <v>600</v>
      </c>
      <c r="G17" s="57" t="s">
        <v>628</v>
      </c>
    </row>
    <row r="18" spans="1:11" x14ac:dyDescent="0.3">
      <c r="C18" s="272" t="s">
        <v>602</v>
      </c>
      <c r="D18" s="338">
        <v>5.5E-2</v>
      </c>
      <c r="E18" s="338">
        <v>7.0000000000000007E-2</v>
      </c>
      <c r="F18" s="338">
        <v>0.04</v>
      </c>
      <c r="G18" t="s">
        <v>607</v>
      </c>
    </row>
    <row r="19" spans="1:11" x14ac:dyDescent="0.3">
      <c r="C19" s="272" t="s">
        <v>603</v>
      </c>
      <c r="D19" s="338">
        <v>0.06</v>
      </c>
      <c r="E19" s="338">
        <v>0.08</v>
      </c>
      <c r="F19" s="338">
        <v>4.4999999999999998E-2</v>
      </c>
      <c r="G19" t="s">
        <v>608</v>
      </c>
    </row>
    <row r="20" spans="1:11" x14ac:dyDescent="0.3">
      <c r="C20" s="272" t="s">
        <v>604</v>
      </c>
      <c r="D20" s="338">
        <v>6.5000000000000002E-2</v>
      </c>
      <c r="E20" s="338">
        <v>0.09</v>
      </c>
      <c r="F20" s="338">
        <v>0.05</v>
      </c>
      <c r="G20" t="s">
        <v>609</v>
      </c>
    </row>
    <row r="21" spans="1:11" x14ac:dyDescent="0.3">
      <c r="C21" s="272" t="s">
        <v>605</v>
      </c>
      <c r="D21" s="338">
        <v>0.06</v>
      </c>
      <c r="E21" s="338">
        <v>8.5000000000000006E-2</v>
      </c>
      <c r="F21" s="338">
        <v>4.4999999999999998E-2</v>
      </c>
      <c r="G21" t="s">
        <v>610</v>
      </c>
    </row>
    <row r="22" spans="1:11" x14ac:dyDescent="0.3">
      <c r="C22" s="272" t="s">
        <v>606</v>
      </c>
      <c r="D22" s="338">
        <v>5.5E-2</v>
      </c>
      <c r="E22" s="338">
        <v>7.4999999999999997E-2</v>
      </c>
      <c r="F22" s="338">
        <v>0.04</v>
      </c>
      <c r="G22" t="s">
        <v>611</v>
      </c>
    </row>
    <row r="24" spans="1:11" x14ac:dyDescent="0.3">
      <c r="A24" s="339">
        <v>3</v>
      </c>
      <c r="B24" s="57" t="s">
        <v>489</v>
      </c>
      <c r="D24" s="341"/>
      <c r="F24" s="341"/>
      <c r="G24" s="191"/>
      <c r="H24" s="191"/>
      <c r="I24" s="191"/>
      <c r="J24" s="191"/>
      <c r="K24" s="191"/>
    </row>
    <row r="25" spans="1:11" x14ac:dyDescent="0.3">
      <c r="C25" s="273" t="s">
        <v>566</v>
      </c>
      <c r="D25" s="273" t="s">
        <v>598</v>
      </c>
      <c r="E25" s="273" t="s">
        <v>599</v>
      </c>
      <c r="F25" s="273" t="s">
        <v>600</v>
      </c>
      <c r="G25" s="57" t="s">
        <v>628</v>
      </c>
    </row>
    <row r="26" spans="1:11" x14ac:dyDescent="0.3">
      <c r="C26" s="272" t="s">
        <v>602</v>
      </c>
      <c r="D26" s="340">
        <v>95000</v>
      </c>
      <c r="E26" s="340">
        <v>110000</v>
      </c>
      <c r="F26" s="340">
        <v>85000</v>
      </c>
      <c r="G26" t="s">
        <v>613</v>
      </c>
    </row>
    <row r="27" spans="1:11" x14ac:dyDescent="0.3">
      <c r="C27" s="272" t="s">
        <v>603</v>
      </c>
      <c r="D27" s="340">
        <v>105000</v>
      </c>
      <c r="E27" s="340">
        <v>130000</v>
      </c>
      <c r="F27" s="340">
        <v>90000</v>
      </c>
      <c r="G27" t="s">
        <v>614</v>
      </c>
    </row>
    <row r="28" spans="1:11" x14ac:dyDescent="0.3">
      <c r="C28" s="272" t="s">
        <v>604</v>
      </c>
      <c r="D28" s="340">
        <v>115000</v>
      </c>
      <c r="E28" s="340">
        <v>150000</v>
      </c>
      <c r="F28" s="340">
        <v>95000</v>
      </c>
      <c r="G28" t="s">
        <v>615</v>
      </c>
    </row>
    <row r="29" spans="1:11" x14ac:dyDescent="0.3">
      <c r="C29" s="272" t="s">
        <v>605</v>
      </c>
      <c r="D29" s="340">
        <v>125000</v>
      </c>
      <c r="E29" s="340">
        <v>160000</v>
      </c>
      <c r="F29" s="340">
        <v>100000</v>
      </c>
      <c r="G29" t="s">
        <v>616</v>
      </c>
    </row>
    <row r="30" spans="1:11" x14ac:dyDescent="0.3">
      <c r="C30" s="272" t="s">
        <v>606</v>
      </c>
      <c r="D30" s="340">
        <v>135000</v>
      </c>
      <c r="E30" s="340">
        <v>170000</v>
      </c>
      <c r="F30" s="340">
        <v>105000</v>
      </c>
      <c r="G30" t="s">
        <v>617</v>
      </c>
    </row>
    <row r="32" spans="1:11" x14ac:dyDescent="0.3">
      <c r="A32" s="339">
        <v>5</v>
      </c>
      <c r="B32" s="57" t="s">
        <v>618</v>
      </c>
      <c r="D32" s="338"/>
      <c r="E32" s="338"/>
      <c r="F32" s="338"/>
      <c r="G32" s="337"/>
      <c r="H32" s="337"/>
      <c r="I32" s="337"/>
      <c r="J32" s="337"/>
      <c r="K32" s="337"/>
    </row>
    <row r="33" spans="1:11" x14ac:dyDescent="0.3">
      <c r="C33" s="273" t="s">
        <v>566</v>
      </c>
      <c r="D33" s="273" t="s">
        <v>598</v>
      </c>
      <c r="E33" s="273" t="s">
        <v>599</v>
      </c>
      <c r="F33" s="273" t="s">
        <v>600</v>
      </c>
      <c r="G33" s="57" t="s">
        <v>628</v>
      </c>
    </row>
    <row r="34" spans="1:11" x14ac:dyDescent="0.3">
      <c r="C34" s="272" t="s">
        <v>602</v>
      </c>
      <c r="D34" s="342">
        <v>-2.2000000000000002</v>
      </c>
      <c r="E34" s="342">
        <v>-1.9</v>
      </c>
      <c r="F34" s="342">
        <v>-2.5</v>
      </c>
      <c r="G34" t="s">
        <v>619</v>
      </c>
    </row>
    <row r="35" spans="1:11" x14ac:dyDescent="0.3">
      <c r="C35" s="272" t="s">
        <v>603</v>
      </c>
      <c r="D35" s="342">
        <v>-2.4</v>
      </c>
      <c r="E35" s="342">
        <v>-2.1</v>
      </c>
      <c r="F35" s="342">
        <v>-2.7</v>
      </c>
      <c r="G35" t="s">
        <v>620</v>
      </c>
    </row>
    <row r="36" spans="1:11" x14ac:dyDescent="0.3">
      <c r="C36" s="272" t="s">
        <v>604</v>
      </c>
      <c r="D36" s="342">
        <v>-2.1</v>
      </c>
      <c r="E36" s="342">
        <v>-1.8</v>
      </c>
      <c r="F36" s="342">
        <v>-2.2999999999999998</v>
      </c>
      <c r="G36" t="s">
        <v>621</v>
      </c>
    </row>
    <row r="37" spans="1:11" x14ac:dyDescent="0.3">
      <c r="C37" s="272" t="s">
        <v>605</v>
      </c>
      <c r="D37" s="342">
        <v>-1.8</v>
      </c>
      <c r="E37" s="342">
        <v>-1.5</v>
      </c>
      <c r="F37" s="342">
        <v>-2</v>
      </c>
      <c r="G37" t="s">
        <v>622</v>
      </c>
    </row>
    <row r="39" spans="1:11" x14ac:dyDescent="0.3">
      <c r="A39" s="339">
        <v>6</v>
      </c>
      <c r="B39" s="57" t="s">
        <v>390</v>
      </c>
      <c r="E39" s="338"/>
      <c r="F39" s="338"/>
      <c r="G39" s="337"/>
      <c r="H39" s="337"/>
      <c r="I39" s="337"/>
      <c r="J39" s="337"/>
      <c r="K39" s="337"/>
    </row>
    <row r="40" spans="1:11" x14ac:dyDescent="0.3">
      <c r="C40" s="273" t="s">
        <v>566</v>
      </c>
      <c r="D40" s="273" t="s">
        <v>598</v>
      </c>
      <c r="E40" s="273" t="s">
        <v>599</v>
      </c>
      <c r="F40" s="273" t="s">
        <v>600</v>
      </c>
      <c r="G40" s="57" t="s">
        <v>628</v>
      </c>
    </row>
    <row r="41" spans="1:11" x14ac:dyDescent="0.3">
      <c r="C41" s="272" t="s">
        <v>602</v>
      </c>
      <c r="D41" s="338">
        <v>7.0000000000000007E-2</v>
      </c>
      <c r="E41" s="338">
        <v>0.09</v>
      </c>
      <c r="F41" s="338">
        <v>5.5E-2</v>
      </c>
      <c r="G41" t="s">
        <v>623</v>
      </c>
    </row>
    <row r="42" spans="1:11" x14ac:dyDescent="0.3">
      <c r="C42" s="272" t="s">
        <v>603</v>
      </c>
      <c r="D42" s="338">
        <v>7.4999999999999997E-2</v>
      </c>
      <c r="E42" s="338">
        <v>0.1</v>
      </c>
      <c r="F42" s="338">
        <v>0.06</v>
      </c>
      <c r="G42" t="s">
        <v>624</v>
      </c>
    </row>
    <row r="43" spans="1:11" x14ac:dyDescent="0.3">
      <c r="C43" s="272" t="s">
        <v>604</v>
      </c>
      <c r="D43" s="338">
        <v>0.08</v>
      </c>
      <c r="E43" s="338">
        <v>0.11</v>
      </c>
      <c r="F43" s="338">
        <v>6.5000000000000002E-2</v>
      </c>
      <c r="G43" t="s">
        <v>625</v>
      </c>
    </row>
    <row r="44" spans="1:11" x14ac:dyDescent="0.3">
      <c r="C44" s="272" t="s">
        <v>605</v>
      </c>
      <c r="D44" s="338">
        <v>7.4999999999999997E-2</v>
      </c>
      <c r="E44" s="338">
        <v>0.105</v>
      </c>
      <c r="F44" s="338">
        <v>0.06</v>
      </c>
      <c r="G44" t="s">
        <v>626</v>
      </c>
    </row>
    <row r="45" spans="1:11" x14ac:dyDescent="0.3">
      <c r="C45" s="272" t="s">
        <v>606</v>
      </c>
      <c r="D45" s="338">
        <v>7.0000000000000007E-2</v>
      </c>
      <c r="E45" s="338">
        <v>9.5000000000000001E-2</v>
      </c>
      <c r="F45" s="338">
        <v>5.5E-2</v>
      </c>
      <c r="G45" t="s">
        <v>627</v>
      </c>
    </row>
    <row r="47" spans="1:11" x14ac:dyDescent="0.3">
      <c r="A47" s="339">
        <v>7</v>
      </c>
      <c r="B47" s="57" t="s">
        <v>392</v>
      </c>
    </row>
    <row r="48" spans="1:11" x14ac:dyDescent="0.3">
      <c r="C48" s="273" t="s">
        <v>566</v>
      </c>
      <c r="D48" s="273" t="s">
        <v>598</v>
      </c>
      <c r="E48" s="273" t="s">
        <v>599</v>
      </c>
      <c r="F48" s="273" t="s">
        <v>600</v>
      </c>
      <c r="G48" s="57" t="s">
        <v>601</v>
      </c>
    </row>
    <row r="49" spans="1:11" x14ac:dyDescent="0.3">
      <c r="C49" s="272" t="s">
        <v>602</v>
      </c>
      <c r="D49" s="272">
        <v>7.0000000000000007E-2</v>
      </c>
      <c r="E49" s="272">
        <v>8.5000000000000006E-2</v>
      </c>
      <c r="F49" s="272">
        <v>5.5E-2</v>
      </c>
      <c r="G49" t="s">
        <v>631</v>
      </c>
    </row>
    <row r="50" spans="1:11" x14ac:dyDescent="0.3">
      <c r="C50" s="272" t="s">
        <v>603</v>
      </c>
      <c r="D50" s="272">
        <v>7.4999999999999997E-2</v>
      </c>
      <c r="E50" s="272">
        <v>9.5000000000000001E-2</v>
      </c>
      <c r="F50" s="272">
        <v>0.06</v>
      </c>
      <c r="G50" t="s">
        <v>632</v>
      </c>
    </row>
    <row r="51" spans="1:11" x14ac:dyDescent="0.3">
      <c r="C51" s="272" t="s">
        <v>604</v>
      </c>
      <c r="D51" s="272">
        <v>0.08</v>
      </c>
      <c r="E51" s="272">
        <v>0.1</v>
      </c>
      <c r="F51" s="272">
        <v>6.5000000000000002E-2</v>
      </c>
      <c r="G51" t="s">
        <v>633</v>
      </c>
    </row>
    <row r="52" spans="1:11" x14ac:dyDescent="0.3">
      <c r="C52" s="272" t="s">
        <v>605</v>
      </c>
      <c r="D52" s="272">
        <v>7.4999999999999997E-2</v>
      </c>
      <c r="E52" s="272">
        <v>0.09</v>
      </c>
      <c r="F52" s="272">
        <v>0.06</v>
      </c>
      <c r="G52" t="s">
        <v>634</v>
      </c>
    </row>
    <row r="53" spans="1:11" x14ac:dyDescent="0.3">
      <c r="C53" s="272" t="s">
        <v>606</v>
      </c>
      <c r="D53" s="272">
        <v>7.0000000000000007E-2</v>
      </c>
      <c r="E53" s="272">
        <v>8.5000000000000006E-2</v>
      </c>
      <c r="F53" s="272">
        <v>5.5E-2</v>
      </c>
      <c r="G53" t="s">
        <v>635</v>
      </c>
    </row>
    <row r="55" spans="1:11" x14ac:dyDescent="0.3">
      <c r="A55" s="339">
        <v>8</v>
      </c>
      <c r="B55" s="57" t="s">
        <v>636</v>
      </c>
      <c r="D55" s="338"/>
      <c r="E55" s="338"/>
      <c r="F55" s="338"/>
      <c r="G55" s="337"/>
      <c r="H55" s="337"/>
      <c r="I55" s="337"/>
      <c r="J55" s="337"/>
      <c r="K55" s="337"/>
    </row>
    <row r="56" spans="1:11" x14ac:dyDescent="0.3">
      <c r="C56" s="273" t="s">
        <v>566</v>
      </c>
      <c r="D56" s="273" t="s">
        <v>598</v>
      </c>
      <c r="E56" s="273" t="s">
        <v>599</v>
      </c>
      <c r="F56" s="273" t="s">
        <v>600</v>
      </c>
      <c r="G56" s="57" t="s">
        <v>601</v>
      </c>
    </row>
    <row r="57" spans="1:11" x14ac:dyDescent="0.3">
      <c r="C57" s="272" t="s">
        <v>602</v>
      </c>
      <c r="D57" s="338">
        <v>0</v>
      </c>
      <c r="E57" s="338">
        <v>0</v>
      </c>
      <c r="F57" s="338">
        <v>0</v>
      </c>
      <c r="G57" t="s">
        <v>637</v>
      </c>
    </row>
    <row r="58" spans="1:11" x14ac:dyDescent="0.3">
      <c r="C58" s="272" t="s">
        <v>603</v>
      </c>
      <c r="D58" s="338">
        <v>0</v>
      </c>
      <c r="E58" s="338">
        <v>0.05</v>
      </c>
      <c r="F58" s="338">
        <v>0</v>
      </c>
      <c r="G58" t="s">
        <v>638</v>
      </c>
    </row>
    <row r="59" spans="1:11" x14ac:dyDescent="0.3">
      <c r="C59" s="272" t="s">
        <v>604</v>
      </c>
      <c r="D59" s="338">
        <v>0</v>
      </c>
      <c r="E59" s="338">
        <v>7.4999999999999997E-2</v>
      </c>
      <c r="F59" s="338">
        <v>0</v>
      </c>
      <c r="G59" t="s">
        <v>639</v>
      </c>
    </row>
    <row r="60" spans="1:11" x14ac:dyDescent="0.3">
      <c r="C60" s="272" t="s">
        <v>605</v>
      </c>
      <c r="D60" s="338">
        <v>0</v>
      </c>
      <c r="E60" s="338">
        <v>0.1</v>
      </c>
      <c r="F60" s="338">
        <v>0</v>
      </c>
      <c r="G60" t="s">
        <v>640</v>
      </c>
    </row>
    <row r="61" spans="1:11" x14ac:dyDescent="0.3">
      <c r="C61" s="272" t="s">
        <v>606</v>
      </c>
      <c r="D61" s="338">
        <v>0</v>
      </c>
      <c r="E61" s="338">
        <v>0.1</v>
      </c>
      <c r="F61" s="338">
        <v>0</v>
      </c>
      <c r="G61" t="s">
        <v>641</v>
      </c>
    </row>
    <row r="63" spans="1:11" ht="15.6" x14ac:dyDescent="0.3">
      <c r="A63" s="339">
        <v>9</v>
      </c>
      <c r="B63" s="76" t="s">
        <v>499</v>
      </c>
    </row>
    <row r="64" spans="1:11" x14ac:dyDescent="0.3">
      <c r="C64" s="273" t="s">
        <v>566</v>
      </c>
      <c r="D64" s="273" t="s">
        <v>598</v>
      </c>
      <c r="E64" s="273" t="s">
        <v>599</v>
      </c>
      <c r="F64" s="273" t="s">
        <v>600</v>
      </c>
      <c r="G64" s="57" t="s">
        <v>601</v>
      </c>
    </row>
    <row r="65" spans="1:11" x14ac:dyDescent="0.3">
      <c r="C65" s="272" t="s">
        <v>602</v>
      </c>
      <c r="D65" s="340">
        <v>300000</v>
      </c>
      <c r="E65" s="340">
        <v>380000</v>
      </c>
      <c r="F65" s="340">
        <v>250000</v>
      </c>
      <c r="G65" t="s">
        <v>642</v>
      </c>
    </row>
    <row r="66" spans="1:11" x14ac:dyDescent="0.3">
      <c r="C66" s="272" t="s">
        <v>603</v>
      </c>
      <c r="D66" s="340">
        <v>275000</v>
      </c>
      <c r="E66" s="340">
        <v>350000</v>
      </c>
      <c r="F66" s="340">
        <v>200000</v>
      </c>
      <c r="G66" t="s">
        <v>643</v>
      </c>
    </row>
    <row r="67" spans="1:11" x14ac:dyDescent="0.3">
      <c r="C67" s="272" t="s">
        <v>604</v>
      </c>
      <c r="D67" s="340">
        <v>250000</v>
      </c>
      <c r="E67" s="340">
        <v>320000</v>
      </c>
      <c r="F67" s="340">
        <v>180000</v>
      </c>
      <c r="G67" t="s">
        <v>644</v>
      </c>
    </row>
    <row r="68" spans="1:11" x14ac:dyDescent="0.3">
      <c r="C68" s="272" t="s">
        <v>605</v>
      </c>
      <c r="D68" s="340">
        <v>225000</v>
      </c>
      <c r="E68" s="340">
        <v>300000</v>
      </c>
      <c r="F68" s="340">
        <v>150000</v>
      </c>
      <c r="G68" t="s">
        <v>645</v>
      </c>
    </row>
    <row r="70" spans="1:11" x14ac:dyDescent="0.3">
      <c r="A70" s="339">
        <v>10</v>
      </c>
      <c r="B70" s="57" t="s">
        <v>646</v>
      </c>
      <c r="E70" s="338"/>
      <c r="F70" s="338"/>
      <c r="G70" s="337"/>
      <c r="H70" s="337"/>
      <c r="I70" s="337"/>
      <c r="J70" s="337"/>
      <c r="K70" s="337"/>
    </row>
    <row r="71" spans="1:11" x14ac:dyDescent="0.3">
      <c r="C71" s="273" t="s">
        <v>566</v>
      </c>
      <c r="D71" s="273" t="s">
        <v>598</v>
      </c>
      <c r="E71" s="273" t="s">
        <v>599</v>
      </c>
      <c r="F71" s="273" t="s">
        <v>600</v>
      </c>
      <c r="G71" s="57" t="s">
        <v>601</v>
      </c>
    </row>
    <row r="72" spans="1:11" x14ac:dyDescent="0.3">
      <c r="C72" s="272" t="s">
        <v>602</v>
      </c>
      <c r="D72" s="338">
        <v>0.08</v>
      </c>
      <c r="E72" s="338">
        <v>0.18</v>
      </c>
      <c r="F72" s="338">
        <v>-0.03</v>
      </c>
      <c r="G72" t="s">
        <v>647</v>
      </c>
    </row>
    <row r="73" spans="1:11" x14ac:dyDescent="0.3">
      <c r="C73" s="272" t="s">
        <v>603</v>
      </c>
      <c r="D73" s="338">
        <v>7.0000000000000007E-2</v>
      </c>
      <c r="E73" s="338">
        <v>0.16</v>
      </c>
      <c r="F73" s="338">
        <v>-0.04</v>
      </c>
      <c r="G73" t="s">
        <v>648</v>
      </c>
    </row>
    <row r="74" spans="1:11" x14ac:dyDescent="0.3">
      <c r="C74" s="272" t="s">
        <v>604</v>
      </c>
      <c r="D74" s="338">
        <v>0.06</v>
      </c>
      <c r="E74" s="338">
        <v>0.14000000000000001</v>
      </c>
      <c r="F74" s="338">
        <v>-0.05</v>
      </c>
      <c r="G74" t="s">
        <v>649</v>
      </c>
    </row>
    <row r="75" spans="1:11" x14ac:dyDescent="0.3">
      <c r="C75" s="272" t="s">
        <v>605</v>
      </c>
      <c r="D75" s="338">
        <v>0.05</v>
      </c>
      <c r="E75" s="338">
        <v>0.12</v>
      </c>
      <c r="F75" s="338">
        <v>-0.06</v>
      </c>
      <c r="G75" t="s">
        <v>650</v>
      </c>
    </row>
    <row r="78" spans="1:11" x14ac:dyDescent="0.3">
      <c r="C78" s="273" t="s">
        <v>566</v>
      </c>
      <c r="D78" s="273" t="s">
        <v>651</v>
      </c>
      <c r="E78" s="273" t="s">
        <v>652</v>
      </c>
    </row>
    <row r="79" spans="1:11" x14ac:dyDescent="0.3">
      <c r="C79" s="272">
        <v>2017</v>
      </c>
      <c r="D79" s="338">
        <v>0.06</v>
      </c>
      <c r="E79" s="272" t="s">
        <v>653</v>
      </c>
    </row>
    <row r="80" spans="1:11" x14ac:dyDescent="0.3">
      <c r="C80" s="272">
        <v>2018</v>
      </c>
      <c r="D80" s="338">
        <v>6.25E-2</v>
      </c>
      <c r="E80" s="272" t="s">
        <v>654</v>
      </c>
    </row>
    <row r="81" spans="1:12" x14ac:dyDescent="0.3">
      <c r="C81" s="272">
        <v>2019</v>
      </c>
      <c r="D81" s="338">
        <v>5.1499999999999997E-2</v>
      </c>
      <c r="E81" s="272" t="s">
        <v>655</v>
      </c>
    </row>
    <row r="82" spans="1:12" x14ac:dyDescent="0.3">
      <c r="C82" s="272">
        <v>2020</v>
      </c>
      <c r="D82" s="338">
        <v>0.04</v>
      </c>
      <c r="E82" s="272" t="s">
        <v>656</v>
      </c>
    </row>
    <row r="83" spans="1:12" x14ac:dyDescent="0.3">
      <c r="C83" s="272">
        <v>2021</v>
      </c>
      <c r="D83" s="338">
        <v>0.04</v>
      </c>
      <c r="E83" s="272" t="s">
        <v>657</v>
      </c>
    </row>
    <row r="84" spans="1:12" x14ac:dyDescent="0.3">
      <c r="C84" s="272">
        <v>2022</v>
      </c>
      <c r="D84" s="357">
        <v>5.3699999999999991E-2</v>
      </c>
      <c r="E84" s="272" t="s">
        <v>658</v>
      </c>
    </row>
    <row r="85" spans="1:12" x14ac:dyDescent="0.3">
      <c r="C85" s="272">
        <v>2023</v>
      </c>
      <c r="D85" s="338">
        <v>6.5000000000000002E-2</v>
      </c>
      <c r="E85" s="272" t="s">
        <v>659</v>
      </c>
    </row>
    <row r="86" spans="1:12" x14ac:dyDescent="0.3">
      <c r="C86" s="272">
        <v>2024</v>
      </c>
      <c r="D86" s="338">
        <v>6.5000000000000002E-2</v>
      </c>
      <c r="E86" s="272" t="s">
        <v>660</v>
      </c>
    </row>
    <row r="88" spans="1:12" x14ac:dyDescent="0.3">
      <c r="A88" s="339">
        <v>12</v>
      </c>
      <c r="B88" s="57" t="s">
        <v>669</v>
      </c>
      <c r="D88" s="338"/>
      <c r="E88" s="338"/>
      <c r="F88" s="338"/>
      <c r="G88" s="337"/>
      <c r="H88" s="337"/>
      <c r="I88" s="337"/>
      <c r="J88" s="337"/>
      <c r="K88" s="337"/>
    </row>
    <row r="89" spans="1:12" x14ac:dyDescent="0.3">
      <c r="C89" s="273" t="s">
        <v>566</v>
      </c>
      <c r="D89" s="273" t="s">
        <v>598</v>
      </c>
      <c r="E89" s="273" t="s">
        <v>599</v>
      </c>
      <c r="F89" s="369" t="s">
        <v>600</v>
      </c>
      <c r="G89" s="57" t="s">
        <v>601</v>
      </c>
    </row>
    <row r="90" spans="1:12" x14ac:dyDescent="0.3">
      <c r="C90" s="272" t="s">
        <v>602</v>
      </c>
      <c r="D90" s="338">
        <v>0.48</v>
      </c>
      <c r="E90" s="338">
        <v>0.55000000000000004</v>
      </c>
      <c r="F90" s="338">
        <v>0.4</v>
      </c>
      <c r="G90" t="s">
        <v>670</v>
      </c>
    </row>
    <row r="91" spans="1:12" x14ac:dyDescent="0.3">
      <c r="C91" s="272" t="s">
        <v>603</v>
      </c>
      <c r="D91" s="338">
        <v>0.45</v>
      </c>
      <c r="E91" s="338">
        <v>0.52</v>
      </c>
      <c r="F91" s="338">
        <v>0.38</v>
      </c>
      <c r="G91" t="s">
        <v>671</v>
      </c>
    </row>
    <row r="92" spans="1:12" x14ac:dyDescent="0.3">
      <c r="C92" s="272" t="s">
        <v>604</v>
      </c>
      <c r="D92" s="338">
        <v>0.42</v>
      </c>
      <c r="E92" s="338">
        <v>0.49</v>
      </c>
      <c r="F92" s="338">
        <v>0.35</v>
      </c>
      <c r="G92" t="s">
        <v>672</v>
      </c>
    </row>
    <row r="93" spans="1:12" x14ac:dyDescent="0.3">
      <c r="C93" s="272" t="s">
        <v>605</v>
      </c>
      <c r="D93" s="338">
        <v>0.4</v>
      </c>
      <c r="E93" s="338">
        <v>0.46</v>
      </c>
      <c r="F93" s="338">
        <v>0.32</v>
      </c>
      <c r="G93" t="s">
        <v>673</v>
      </c>
    </row>
    <row r="94" spans="1:12" x14ac:dyDescent="0.3">
      <c r="F94" s="338"/>
    </row>
    <row r="96" spans="1:12" x14ac:dyDescent="0.3">
      <c r="A96" s="339">
        <v>13</v>
      </c>
      <c r="B96" s="57" t="s">
        <v>465</v>
      </c>
      <c r="C96" s="373"/>
      <c r="E96" s="67"/>
      <c r="F96" s="372"/>
      <c r="G96" s="67"/>
      <c r="H96" s="67"/>
      <c r="I96" s="67"/>
      <c r="J96" s="67"/>
      <c r="K96" s="67"/>
      <c r="L96" s="67"/>
    </row>
    <row r="97" spans="3:12" x14ac:dyDescent="0.3">
      <c r="C97" s="375" t="s">
        <v>566</v>
      </c>
      <c r="D97" s="375" t="s">
        <v>682</v>
      </c>
      <c r="E97" s="376" t="s">
        <v>683</v>
      </c>
      <c r="F97" s="376" t="s">
        <v>684</v>
      </c>
      <c r="G97" s="375" t="s">
        <v>685</v>
      </c>
      <c r="H97" s="67"/>
      <c r="I97" s="67"/>
      <c r="J97" s="67"/>
      <c r="K97" s="67"/>
      <c r="L97" s="67"/>
    </row>
    <row r="98" spans="3:12" x14ac:dyDescent="0.3">
      <c r="C98" s="377">
        <v>2017</v>
      </c>
      <c r="D98" s="378">
        <v>5500</v>
      </c>
      <c r="E98" s="378">
        <v>4200</v>
      </c>
      <c r="F98" s="378">
        <f>+D98-E98</f>
        <v>1300</v>
      </c>
      <c r="G98" s="377" t="s">
        <v>674</v>
      </c>
      <c r="H98" s="67"/>
      <c r="I98" s="67"/>
      <c r="J98" s="67"/>
      <c r="K98" s="67"/>
      <c r="L98" s="67"/>
    </row>
    <row r="99" spans="3:12" x14ac:dyDescent="0.3">
      <c r="C99" s="377">
        <v>2018</v>
      </c>
      <c r="D99" s="378">
        <v>6800</v>
      </c>
      <c r="E99" s="378">
        <v>5000</v>
      </c>
      <c r="F99" s="378">
        <f t="shared" ref="F99:F104" si="0">+D99-E99</f>
        <v>1800</v>
      </c>
      <c r="G99" s="377" t="s">
        <v>675</v>
      </c>
      <c r="H99" s="67"/>
      <c r="I99" s="67"/>
      <c r="J99" s="67"/>
      <c r="K99" s="67"/>
      <c r="L99" s="67"/>
    </row>
    <row r="100" spans="3:12" x14ac:dyDescent="0.3">
      <c r="C100" s="377">
        <v>2019</v>
      </c>
      <c r="D100" s="378">
        <v>7200</v>
      </c>
      <c r="E100" s="378">
        <v>5500</v>
      </c>
      <c r="F100" s="378">
        <f t="shared" si="0"/>
        <v>1700</v>
      </c>
      <c r="G100" s="377" t="s">
        <v>676</v>
      </c>
      <c r="H100" s="67"/>
      <c r="I100" s="67"/>
      <c r="J100" s="67"/>
      <c r="K100" s="67"/>
      <c r="L100" s="67"/>
    </row>
    <row r="101" spans="3:12" x14ac:dyDescent="0.3">
      <c r="C101" s="377">
        <v>2020</v>
      </c>
      <c r="D101" s="378">
        <v>4000</v>
      </c>
      <c r="E101" s="378">
        <v>1500</v>
      </c>
      <c r="F101" s="378">
        <f t="shared" si="0"/>
        <v>2500</v>
      </c>
      <c r="G101" s="377" t="s">
        <v>677</v>
      </c>
      <c r="H101" s="67"/>
      <c r="I101" s="67"/>
      <c r="J101" s="67"/>
      <c r="K101" s="67"/>
      <c r="L101" s="67"/>
    </row>
    <row r="102" spans="3:12" x14ac:dyDescent="0.3">
      <c r="C102" s="377">
        <v>2021</v>
      </c>
      <c r="D102" s="378">
        <v>5500</v>
      </c>
      <c r="E102" s="378">
        <v>2000</v>
      </c>
      <c r="F102" s="378">
        <f t="shared" si="0"/>
        <v>3500</v>
      </c>
      <c r="G102" s="377" t="s">
        <v>678</v>
      </c>
      <c r="H102" s="67"/>
      <c r="I102" s="67"/>
      <c r="J102" s="67"/>
      <c r="K102" s="67"/>
      <c r="L102" s="67"/>
    </row>
    <row r="103" spans="3:12" x14ac:dyDescent="0.3">
      <c r="C103" s="377">
        <v>2022</v>
      </c>
      <c r="D103" s="378">
        <v>15000</v>
      </c>
      <c r="E103" s="378">
        <v>12000</v>
      </c>
      <c r="F103" s="378">
        <f t="shared" si="0"/>
        <v>3000</v>
      </c>
      <c r="G103" s="377" t="s">
        <v>679</v>
      </c>
      <c r="H103" s="67"/>
      <c r="I103" s="67"/>
      <c r="J103" s="67"/>
      <c r="K103" s="67"/>
      <c r="L103" s="67"/>
    </row>
    <row r="104" spans="3:12" x14ac:dyDescent="0.3">
      <c r="C104" s="377">
        <v>2023</v>
      </c>
      <c r="D104" s="378">
        <v>19199</v>
      </c>
      <c r="E104" s="378">
        <v>15000</v>
      </c>
      <c r="F104" s="378">
        <f t="shared" si="0"/>
        <v>4199</v>
      </c>
      <c r="G104" s="377" t="s">
        <v>680</v>
      </c>
      <c r="H104" s="67"/>
      <c r="I104" s="67"/>
      <c r="J104" s="67"/>
      <c r="K104" s="67"/>
      <c r="L104" s="67"/>
    </row>
    <row r="105" spans="3:12" x14ac:dyDescent="0.3">
      <c r="C105" s="272">
        <v>2024</v>
      </c>
      <c r="D105" s="378" t="s">
        <v>688</v>
      </c>
      <c r="E105" s="272" t="s">
        <v>681</v>
      </c>
      <c r="F105" s="272" t="s">
        <v>686</v>
      </c>
      <c r="G105" s="272" t="s">
        <v>687</v>
      </c>
    </row>
    <row r="109" spans="3:12" x14ac:dyDescent="0.3">
      <c r="C109" s="273" t="s">
        <v>566</v>
      </c>
      <c r="D109" s="273" t="s">
        <v>598</v>
      </c>
      <c r="E109" s="273" t="s">
        <v>599</v>
      </c>
      <c r="F109" s="273" t="s">
        <v>600</v>
      </c>
      <c r="G109" s="57" t="s">
        <v>601</v>
      </c>
    </row>
    <row r="110" spans="3:12" x14ac:dyDescent="0.3">
      <c r="C110" s="272" t="s">
        <v>603</v>
      </c>
      <c r="D110" s="272">
        <v>-656.22</v>
      </c>
      <c r="E110" s="272">
        <v>-680.52</v>
      </c>
      <c r="F110" s="272">
        <v>-638</v>
      </c>
      <c r="G110" t="s">
        <v>718</v>
      </c>
    </row>
    <row r="111" spans="3:12" x14ac:dyDescent="0.3">
      <c r="C111" s="272" t="s">
        <v>604</v>
      </c>
      <c r="D111" s="272">
        <v>-708.72</v>
      </c>
      <c r="E111" s="272">
        <v>-762.18</v>
      </c>
      <c r="F111" s="272">
        <v>-669.9</v>
      </c>
      <c r="G111" t="s">
        <v>719</v>
      </c>
    </row>
    <row r="112" spans="3:12" x14ac:dyDescent="0.3">
      <c r="C112" s="272" t="s">
        <v>605</v>
      </c>
      <c r="D112" s="272">
        <v>-765.41</v>
      </c>
      <c r="E112" s="272">
        <v>-853.64</v>
      </c>
      <c r="F112" s="272">
        <v>-703.4</v>
      </c>
      <c r="G112" t="s">
        <v>720</v>
      </c>
    </row>
    <row r="113" spans="3:7" x14ac:dyDescent="0.3">
      <c r="C113" s="272" t="s">
        <v>606</v>
      </c>
      <c r="D113" s="272">
        <v>-826.64</v>
      </c>
      <c r="E113" s="272">
        <v>-955.28</v>
      </c>
      <c r="F113" s="272">
        <v>-738.57</v>
      </c>
      <c r="G113" t="s">
        <v>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3-FInancial Statements</vt:lpstr>
      <vt:lpstr>Key Matrics &amp; Ratio Analysis</vt:lpstr>
      <vt:lpstr>P&amp;L</vt:lpstr>
      <vt:lpstr>BS</vt:lpstr>
      <vt:lpstr>CF</vt:lpstr>
      <vt:lpstr>OS</vt:lpstr>
      <vt:lpstr>Rough</vt:lpstr>
      <vt:lpstr>NOTES</vt:lpstr>
      <vt:lpstr>Company_Name</vt:lpstr>
      <vt:lpstr>Debt_Funding_Pct</vt:lpstr>
      <vt:lpstr>Fuel_Units</vt:lpstr>
      <vt:lpstr>Hist_Year</vt:lpstr>
      <vt:lpstr>Num_Per</vt:lpstr>
      <vt:lpstr>'3-FInancial Statements'!Print_Area</vt:lpstr>
      <vt:lpstr>Scenario</vt:lpstr>
      <vt:lpstr>Share_Price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Yadav</dc:creator>
  <cp:lastModifiedBy>Abhishek Yadav</cp:lastModifiedBy>
  <dcterms:created xsi:type="dcterms:W3CDTF">2025-02-28T17:01:59Z</dcterms:created>
  <dcterms:modified xsi:type="dcterms:W3CDTF">2025-05-18T23:27:02Z</dcterms:modified>
</cp:coreProperties>
</file>