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6CFF3AC0620EEC/Documents/FINANCIAL MODELING/KB sir report/"/>
    </mc:Choice>
  </mc:AlternateContent>
  <xr:revisionPtr revIDLastSave="77" documentId="8_{62704DFB-8E13-4ACF-A7F3-6B5319DC6FF6}" xr6:coauthVersionLast="47" xr6:coauthVersionMax="47" xr10:uidLastSave="{50D6F3EA-8899-4A3C-9AE9-2A7FB95E27C4}"/>
  <bookViews>
    <workbookView xWindow="-108" yWindow="-108" windowWidth="23256" windowHeight="13896" tabRatio="955" activeTab="3" xr2:uid="{00000000-000D-0000-FFFF-FFFF00000000}"/>
  </bookViews>
  <sheets>
    <sheet name="3-FInancial Statements" sheetId="4" r:id="rId1"/>
    <sheet name="Ratio Analysis" sheetId="5" r:id="rId2"/>
    <sheet name="Forecasting" sheetId="6" r:id="rId3"/>
    <sheet name="Regression Beta and ERP" sheetId="8" r:id="rId4"/>
    <sheet name="Common Size Statements" sheetId="9" r:id="rId5"/>
    <sheet name="Instrinsic Growth" sheetId="10" r:id="rId6"/>
    <sheet name="DCF" sheetId="11" r:id="rId7"/>
    <sheet name="Comps Valuation" sheetId="12" r:id="rId8"/>
    <sheet name="Data Sheet" sheetId="2" r:id="rId9"/>
    <sheet name="RAW FS" sheetId="1" r:id="rId10"/>
    <sheet name="CFS" sheetId="3" r:id="rId11"/>
    <sheet name="Comps Data" sheetId="13" r:id="rId12"/>
  </sheets>
  <externalReferences>
    <externalReference r:id="rId13"/>
  </externalReferences>
  <definedNames>
    <definedName name="Company_Name">'3-FInancial Statements'!$D$7</definedName>
    <definedName name="Hist_Year">'3-FInancial Statements'!$D$15</definedName>
    <definedName name="Mid_Year_Convention">DCF!$D$9</definedName>
    <definedName name="Reinvestment_Rate">DCF!$D$8</definedName>
    <definedName name="Tax_Rate">DCF!$D$7</definedName>
    <definedName name="Terminal_Growth">DCF!$D$10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" i="8" l="1"/>
  <c r="W10" i="8"/>
  <c r="T10" i="8"/>
  <c r="E39" i="10"/>
  <c r="E42" i="10"/>
  <c r="E22" i="10"/>
  <c r="M31" i="12"/>
  <c r="N83" i="4"/>
  <c r="M83" i="4"/>
  <c r="L83" i="4"/>
  <c r="K83" i="4"/>
  <c r="J83" i="4"/>
  <c r="I83" i="4"/>
  <c r="H83" i="4"/>
  <c r="G83" i="4"/>
  <c r="F83" i="4"/>
  <c r="E83" i="4"/>
  <c r="N72" i="4"/>
  <c r="M72" i="4"/>
  <c r="L72" i="4"/>
  <c r="K72" i="4"/>
  <c r="J72" i="4"/>
  <c r="I72" i="4"/>
  <c r="H72" i="4"/>
  <c r="G72" i="4"/>
  <c r="F72" i="4"/>
  <c r="E72" i="4"/>
  <c r="D13" i="4"/>
  <c r="D12" i="4"/>
  <c r="I18" i="6"/>
  <c r="I19" i="6" s="1"/>
  <c r="N19" i="6"/>
  <c r="N20" i="6" s="1"/>
  <c r="I16" i="6"/>
  <c r="D8" i="6"/>
  <c r="D9" i="6"/>
  <c r="D10" i="6"/>
  <c r="D11" i="6"/>
  <c r="D12" i="6"/>
  <c r="D13" i="6"/>
  <c r="D14" i="6"/>
  <c r="D15" i="6"/>
  <c r="D16" i="6"/>
  <c r="O16" i="6"/>
  <c r="O15" i="6"/>
  <c r="O14" i="6"/>
  <c r="O13" i="6"/>
  <c r="O12" i="6"/>
  <c r="O11" i="6"/>
  <c r="O10" i="6"/>
  <c r="O9" i="6"/>
  <c r="O8" i="6"/>
  <c r="N16" i="6"/>
  <c r="N15" i="6"/>
  <c r="N14" i="6"/>
  <c r="N13" i="6"/>
  <c r="N12" i="6"/>
  <c r="N11" i="6"/>
  <c r="N10" i="6"/>
  <c r="N9" i="6"/>
  <c r="N8" i="6"/>
  <c r="N7" i="6"/>
  <c r="J16" i="6"/>
  <c r="J15" i="6"/>
  <c r="J14" i="6"/>
  <c r="J13" i="6"/>
  <c r="J12" i="6"/>
  <c r="J11" i="6"/>
  <c r="J10" i="6"/>
  <c r="J9" i="6"/>
  <c r="J8" i="6"/>
  <c r="I15" i="6"/>
  <c r="I14" i="6"/>
  <c r="I13" i="6"/>
  <c r="I12" i="6"/>
  <c r="I11" i="6"/>
  <c r="I10" i="6"/>
  <c r="I9" i="6"/>
  <c r="I8" i="6"/>
  <c r="I7" i="6"/>
  <c r="G52" i="10"/>
  <c r="H52" i="10" s="1"/>
  <c r="I52" i="10" s="1"/>
  <c r="F52" i="10"/>
  <c r="I32" i="10"/>
  <c r="H32" i="10"/>
  <c r="G32" i="10"/>
  <c r="F32" i="10"/>
  <c r="I31" i="10"/>
  <c r="H31" i="10"/>
  <c r="G31" i="10"/>
  <c r="F31" i="10"/>
  <c r="I30" i="10"/>
  <c r="H30" i="10"/>
  <c r="G30" i="10"/>
  <c r="F30" i="10"/>
  <c r="I29" i="10"/>
  <c r="H29" i="10"/>
  <c r="G29" i="10"/>
  <c r="F29" i="10"/>
  <c r="I28" i="10"/>
  <c r="H28" i="10"/>
  <c r="G28" i="10"/>
  <c r="F28" i="10"/>
  <c r="I27" i="10"/>
  <c r="H27" i="10"/>
  <c r="G27" i="10"/>
  <c r="F27" i="10"/>
  <c r="F33" i="10" s="1"/>
  <c r="I26" i="10"/>
  <c r="I33" i="10" s="1"/>
  <c r="H26" i="10"/>
  <c r="G26" i="10"/>
  <c r="G33" i="10" s="1"/>
  <c r="F26" i="10"/>
  <c r="I25" i="10"/>
  <c r="H25" i="10"/>
  <c r="G25" i="10"/>
  <c r="F25" i="10"/>
  <c r="E32" i="10"/>
  <c r="E31" i="10"/>
  <c r="E30" i="10"/>
  <c r="E29" i="10"/>
  <c r="E28" i="10"/>
  <c r="E27" i="10"/>
  <c r="E26" i="10"/>
  <c r="E25" i="10"/>
  <c r="D54" i="11"/>
  <c r="D29" i="11"/>
  <c r="C12" i="12"/>
  <c r="C11" i="12"/>
  <c r="C10" i="12"/>
  <c r="C9" i="12"/>
  <c r="B2" i="12"/>
  <c r="B2" i="11"/>
  <c r="B2" i="10"/>
  <c r="G22" i="11"/>
  <c r="K19" i="11"/>
  <c r="J19" i="11"/>
  <c r="I19" i="11"/>
  <c r="H19" i="11"/>
  <c r="G19" i="11"/>
  <c r="F19" i="11"/>
  <c r="K16" i="11"/>
  <c r="J16" i="11"/>
  <c r="I16" i="11"/>
  <c r="H16" i="11"/>
  <c r="G16" i="11"/>
  <c r="F16" i="11"/>
  <c r="F13" i="11"/>
  <c r="G13" i="11" s="1"/>
  <c r="H13" i="11" s="1"/>
  <c r="I13" i="11" s="1"/>
  <c r="J13" i="11" s="1"/>
  <c r="K13" i="11" s="1"/>
  <c r="I61" i="10"/>
  <c r="H61" i="10"/>
  <c r="G61" i="10"/>
  <c r="F61" i="10"/>
  <c r="E61" i="10"/>
  <c r="I45" i="10"/>
  <c r="H45" i="10"/>
  <c r="G45" i="10"/>
  <c r="F45" i="10"/>
  <c r="E45" i="10"/>
  <c r="E40" i="10"/>
  <c r="I6" i="10"/>
  <c r="H6" i="10"/>
  <c r="G6" i="10"/>
  <c r="F6" i="10"/>
  <c r="E6" i="10"/>
  <c r="B2" i="9"/>
  <c r="N26" i="9"/>
  <c r="M26" i="9"/>
  <c r="L26" i="9"/>
  <c r="K26" i="9"/>
  <c r="J26" i="9"/>
  <c r="I26" i="9"/>
  <c r="H26" i="9"/>
  <c r="G26" i="9"/>
  <c r="F26" i="9"/>
  <c r="E26" i="9"/>
  <c r="N6" i="9"/>
  <c r="M6" i="9"/>
  <c r="L6" i="9"/>
  <c r="K6" i="9"/>
  <c r="J6" i="9"/>
  <c r="I6" i="9"/>
  <c r="H6" i="9"/>
  <c r="G6" i="9"/>
  <c r="F6" i="9"/>
  <c r="E6" i="9"/>
  <c r="B2" i="8"/>
  <c r="B2" i="6"/>
  <c r="B2" i="5"/>
  <c r="B2" i="4"/>
  <c r="E33" i="10" l="1"/>
  <c r="H33" i="10"/>
  <c r="I20" i="6"/>
  <c r="E12" i="6" l="1"/>
  <c r="E9" i="6"/>
  <c r="D7" i="6"/>
  <c r="N6" i="5"/>
  <c r="M6" i="5"/>
  <c r="L6" i="5"/>
  <c r="K6" i="5"/>
  <c r="J6" i="5"/>
  <c r="I6" i="5"/>
  <c r="H6" i="5"/>
  <c r="G6" i="5"/>
  <c r="F6" i="5"/>
  <c r="E6" i="5"/>
  <c r="N126" i="4"/>
  <c r="M126" i="4"/>
  <c r="L126" i="4"/>
  <c r="K126" i="4"/>
  <c r="J126" i="4"/>
  <c r="I126" i="4"/>
  <c r="H126" i="4"/>
  <c r="G126" i="4"/>
  <c r="F126" i="4"/>
  <c r="N120" i="4"/>
  <c r="M120" i="4"/>
  <c r="N122" i="4"/>
  <c r="M122" i="4"/>
  <c r="L122" i="4"/>
  <c r="K122" i="4"/>
  <c r="J122" i="4"/>
  <c r="I122" i="4"/>
  <c r="H122" i="4"/>
  <c r="G122" i="4"/>
  <c r="F122" i="4"/>
  <c r="E122" i="4"/>
  <c r="N121" i="4"/>
  <c r="M121" i="4"/>
  <c r="L121" i="4"/>
  <c r="K121" i="4"/>
  <c r="J121" i="4"/>
  <c r="I121" i="4"/>
  <c r="H121" i="4"/>
  <c r="G121" i="4"/>
  <c r="F121" i="4"/>
  <c r="E121" i="4"/>
  <c r="L120" i="4"/>
  <c r="K120" i="4"/>
  <c r="J120" i="4"/>
  <c r="I120" i="4"/>
  <c r="H120" i="4"/>
  <c r="G120" i="4"/>
  <c r="F120" i="4"/>
  <c r="E120" i="4"/>
  <c r="N119" i="4"/>
  <c r="M119" i="4"/>
  <c r="L119" i="4"/>
  <c r="K119" i="4"/>
  <c r="J119" i="4"/>
  <c r="I119" i="4"/>
  <c r="H119" i="4"/>
  <c r="G119" i="4"/>
  <c r="F119" i="4"/>
  <c r="E119" i="4"/>
  <c r="N118" i="4"/>
  <c r="M118" i="4"/>
  <c r="L118" i="4"/>
  <c r="K118" i="4"/>
  <c r="J118" i="4"/>
  <c r="I118" i="4"/>
  <c r="H118" i="4"/>
  <c r="G118" i="4"/>
  <c r="F118" i="4"/>
  <c r="E118" i="4"/>
  <c r="N117" i="4"/>
  <c r="M117" i="4"/>
  <c r="L117" i="4"/>
  <c r="K117" i="4"/>
  <c r="J117" i="4"/>
  <c r="I117" i="4"/>
  <c r="H117" i="4"/>
  <c r="G117" i="4"/>
  <c r="F117" i="4"/>
  <c r="F123" i="4" s="1"/>
  <c r="E117" i="4"/>
  <c r="E123" i="4" s="1"/>
  <c r="N113" i="4"/>
  <c r="M113" i="4"/>
  <c r="L113" i="4"/>
  <c r="K113" i="4"/>
  <c r="J113" i="4"/>
  <c r="I113" i="4"/>
  <c r="H113" i="4"/>
  <c r="G113" i="4"/>
  <c r="F113" i="4"/>
  <c r="E113" i="4"/>
  <c r="E114" i="4" s="1"/>
  <c r="N112" i="4"/>
  <c r="M112" i="4"/>
  <c r="L112" i="4"/>
  <c r="K112" i="4"/>
  <c r="J112" i="4"/>
  <c r="I112" i="4"/>
  <c r="H112" i="4"/>
  <c r="G112" i="4"/>
  <c r="F112" i="4"/>
  <c r="E112" i="4"/>
  <c r="N111" i="4"/>
  <c r="M111" i="4"/>
  <c r="L111" i="4"/>
  <c r="K111" i="4"/>
  <c r="J111" i="4"/>
  <c r="I111" i="4"/>
  <c r="H111" i="4"/>
  <c r="G111" i="4"/>
  <c r="F111" i="4"/>
  <c r="E111" i="4"/>
  <c r="E13" i="6" l="1"/>
  <c r="E10" i="6"/>
  <c r="E16" i="6"/>
  <c r="E8" i="6"/>
  <c r="E14" i="6"/>
  <c r="E15" i="6"/>
  <c r="E11" i="6"/>
  <c r="K123" i="4"/>
  <c r="I123" i="4"/>
  <c r="J123" i="4"/>
  <c r="L123" i="4"/>
  <c r="G123" i="4"/>
  <c r="M123" i="4"/>
  <c r="N123" i="4"/>
  <c r="H123" i="4"/>
  <c r="M114" i="4"/>
  <c r="N114" i="4"/>
  <c r="F114" i="4"/>
  <c r="G114" i="4"/>
  <c r="H114" i="4"/>
  <c r="K114" i="4"/>
  <c r="I114" i="4"/>
  <c r="J114" i="4"/>
  <c r="L114" i="4"/>
  <c r="F70" i="4" l="1"/>
  <c r="G70" i="4"/>
  <c r="H70" i="4"/>
  <c r="I70" i="4"/>
  <c r="J70" i="4"/>
  <c r="K70" i="4"/>
  <c r="L70" i="4"/>
  <c r="M70" i="4"/>
  <c r="N70" i="4"/>
  <c r="E71" i="4"/>
  <c r="F71" i="4"/>
  <c r="G71" i="4"/>
  <c r="H71" i="4"/>
  <c r="I71" i="4"/>
  <c r="J71" i="4"/>
  <c r="K71" i="4"/>
  <c r="L71" i="4"/>
  <c r="M71" i="4"/>
  <c r="N71" i="4"/>
  <c r="N20" i="4"/>
  <c r="N97" i="4" s="1"/>
  <c r="D7" i="4"/>
  <c r="E6" i="13"/>
  <c r="E5" i="13"/>
  <c r="E4" i="13"/>
  <c r="E3" i="13"/>
  <c r="O27" i="12"/>
  <c r="N27" i="12"/>
  <c r="M27" i="12"/>
  <c r="K12" i="12"/>
  <c r="J12" i="12"/>
  <c r="I12" i="12"/>
  <c r="F12" i="12"/>
  <c r="D12" i="12"/>
  <c r="E12" i="12" s="1"/>
  <c r="K11" i="12"/>
  <c r="J11" i="12"/>
  <c r="I11" i="12"/>
  <c r="F11" i="12"/>
  <c r="D11" i="12"/>
  <c r="E11" i="12" s="1"/>
  <c r="K10" i="12"/>
  <c r="J10" i="12"/>
  <c r="I10" i="12"/>
  <c r="F10" i="12"/>
  <c r="D10" i="12"/>
  <c r="E10" i="12" s="1"/>
  <c r="K9" i="12"/>
  <c r="O9" i="12" s="1"/>
  <c r="J9" i="12"/>
  <c r="I9" i="12"/>
  <c r="F9" i="12"/>
  <c r="O24" i="12" s="1"/>
  <c r="E9" i="12"/>
  <c r="G9" i="12" s="1"/>
  <c r="D50" i="11"/>
  <c r="D47" i="11"/>
  <c r="D46" i="11"/>
  <c r="D36" i="11"/>
  <c r="G36" i="11" s="1"/>
  <c r="H22" i="11"/>
  <c r="I22" i="11" s="1"/>
  <c r="J22" i="11" s="1"/>
  <c r="K22" i="11" s="1"/>
  <c r="I47" i="10"/>
  <c r="H47" i="10"/>
  <c r="G47" i="10"/>
  <c r="F47" i="10"/>
  <c r="E47" i="10"/>
  <c r="E49" i="10" s="1"/>
  <c r="I34" i="10"/>
  <c r="I36" i="10" s="1"/>
  <c r="H34" i="10"/>
  <c r="H36" i="10" s="1"/>
  <c r="G34" i="10"/>
  <c r="G36" i="10" s="1"/>
  <c r="F34" i="10"/>
  <c r="F36" i="10" s="1"/>
  <c r="E34" i="10"/>
  <c r="E36" i="10" s="1"/>
  <c r="I19" i="10"/>
  <c r="H19" i="10"/>
  <c r="G19" i="10"/>
  <c r="F19" i="10"/>
  <c r="E19" i="10"/>
  <c r="I18" i="10"/>
  <c r="H18" i="10"/>
  <c r="G18" i="10"/>
  <c r="F18" i="10"/>
  <c r="E18" i="10"/>
  <c r="I17" i="10"/>
  <c r="H17" i="10"/>
  <c r="G17" i="10"/>
  <c r="F17" i="10"/>
  <c r="E17" i="10"/>
  <c r="I13" i="10"/>
  <c r="H13" i="10"/>
  <c r="G13" i="10"/>
  <c r="F13" i="10"/>
  <c r="E13" i="10"/>
  <c r="C13" i="10"/>
  <c r="I12" i="10"/>
  <c r="H12" i="10"/>
  <c r="G12" i="10"/>
  <c r="F12" i="10"/>
  <c r="E12" i="10"/>
  <c r="C12" i="10"/>
  <c r="I11" i="10"/>
  <c r="H11" i="10"/>
  <c r="G11" i="10"/>
  <c r="F11" i="10"/>
  <c r="E11" i="10"/>
  <c r="C11" i="10"/>
  <c r="I10" i="10"/>
  <c r="H10" i="10"/>
  <c r="G10" i="10"/>
  <c r="F10" i="10"/>
  <c r="E10" i="10"/>
  <c r="I9" i="10"/>
  <c r="H9" i="10"/>
  <c r="G9" i="10"/>
  <c r="F9" i="10"/>
  <c r="E9" i="10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N9" i="9"/>
  <c r="M9" i="9"/>
  <c r="L9" i="9"/>
  <c r="K9" i="9"/>
  <c r="J9" i="9"/>
  <c r="I9" i="9"/>
  <c r="H9" i="9"/>
  <c r="G9" i="9"/>
  <c r="F9" i="9"/>
  <c r="E9" i="9"/>
  <c r="Q757" i="8"/>
  <c r="N757" i="8"/>
  <c r="K757" i="8"/>
  <c r="H757" i="8"/>
  <c r="E757" i="8"/>
  <c r="Q756" i="8"/>
  <c r="N756" i="8"/>
  <c r="K756" i="8"/>
  <c r="H756" i="8"/>
  <c r="E756" i="8"/>
  <c r="Q755" i="8"/>
  <c r="N755" i="8"/>
  <c r="K755" i="8"/>
  <c r="H755" i="8"/>
  <c r="E755" i="8"/>
  <c r="Q754" i="8"/>
  <c r="N754" i="8"/>
  <c r="K754" i="8"/>
  <c r="H754" i="8"/>
  <c r="E754" i="8"/>
  <c r="Q753" i="8"/>
  <c r="N753" i="8"/>
  <c r="K753" i="8"/>
  <c r="H753" i="8"/>
  <c r="E753" i="8"/>
  <c r="Q752" i="8"/>
  <c r="N752" i="8"/>
  <c r="K752" i="8"/>
  <c r="H752" i="8"/>
  <c r="E752" i="8"/>
  <c r="Q751" i="8"/>
  <c r="N751" i="8"/>
  <c r="K751" i="8"/>
  <c r="H751" i="8"/>
  <c r="E751" i="8"/>
  <c r="Q750" i="8"/>
  <c r="N750" i="8"/>
  <c r="K750" i="8"/>
  <c r="H750" i="8"/>
  <c r="E750" i="8"/>
  <c r="Q749" i="8"/>
  <c r="N749" i="8"/>
  <c r="K749" i="8"/>
  <c r="H749" i="8"/>
  <c r="E749" i="8"/>
  <c r="Q748" i="8"/>
  <c r="N748" i="8"/>
  <c r="K748" i="8"/>
  <c r="H748" i="8"/>
  <c r="E748" i="8"/>
  <c r="Q747" i="8"/>
  <c r="N747" i="8"/>
  <c r="K747" i="8"/>
  <c r="H747" i="8"/>
  <c r="E747" i="8"/>
  <c r="Q746" i="8"/>
  <c r="N746" i="8"/>
  <c r="K746" i="8"/>
  <c r="H746" i="8"/>
  <c r="E746" i="8"/>
  <c r="Q745" i="8"/>
  <c r="N745" i="8"/>
  <c r="K745" i="8"/>
  <c r="H745" i="8"/>
  <c r="E745" i="8"/>
  <c r="Q744" i="8"/>
  <c r="N744" i="8"/>
  <c r="K744" i="8"/>
  <c r="H744" i="8"/>
  <c r="E744" i="8"/>
  <c r="Q743" i="8"/>
  <c r="N743" i="8"/>
  <c r="K743" i="8"/>
  <c r="H743" i="8"/>
  <c r="E743" i="8"/>
  <c r="Q742" i="8"/>
  <c r="N742" i="8"/>
  <c r="K742" i="8"/>
  <c r="H742" i="8"/>
  <c r="E742" i="8"/>
  <c r="Q741" i="8"/>
  <c r="N741" i="8"/>
  <c r="K741" i="8"/>
  <c r="H741" i="8"/>
  <c r="E741" i="8"/>
  <c r="Q740" i="8"/>
  <c r="N740" i="8"/>
  <c r="K740" i="8"/>
  <c r="H740" i="8"/>
  <c r="E740" i="8"/>
  <c r="Q739" i="8"/>
  <c r="N739" i="8"/>
  <c r="K739" i="8"/>
  <c r="H739" i="8"/>
  <c r="E739" i="8"/>
  <c r="Q738" i="8"/>
  <c r="N738" i="8"/>
  <c r="K738" i="8"/>
  <c r="H738" i="8"/>
  <c r="E738" i="8"/>
  <c r="Q737" i="8"/>
  <c r="N737" i="8"/>
  <c r="K737" i="8"/>
  <c r="H737" i="8"/>
  <c r="E737" i="8"/>
  <c r="Q736" i="8"/>
  <c r="N736" i="8"/>
  <c r="K736" i="8"/>
  <c r="H736" i="8"/>
  <c r="E736" i="8"/>
  <c r="Q735" i="8"/>
  <c r="N735" i="8"/>
  <c r="K735" i="8"/>
  <c r="H735" i="8"/>
  <c r="E735" i="8"/>
  <c r="Q734" i="8"/>
  <c r="N734" i="8"/>
  <c r="K734" i="8"/>
  <c r="H734" i="8"/>
  <c r="E734" i="8"/>
  <c r="Q733" i="8"/>
  <c r="N733" i="8"/>
  <c r="K733" i="8"/>
  <c r="H733" i="8"/>
  <c r="E733" i="8"/>
  <c r="Q732" i="8"/>
  <c r="N732" i="8"/>
  <c r="K732" i="8"/>
  <c r="H732" i="8"/>
  <c r="E732" i="8"/>
  <c r="Q731" i="8"/>
  <c r="N731" i="8"/>
  <c r="K731" i="8"/>
  <c r="H731" i="8"/>
  <c r="E731" i="8"/>
  <c r="Q730" i="8"/>
  <c r="N730" i="8"/>
  <c r="K730" i="8"/>
  <c r="H730" i="8"/>
  <c r="E730" i="8"/>
  <c r="Q729" i="8"/>
  <c r="N729" i="8"/>
  <c r="K729" i="8"/>
  <c r="H729" i="8"/>
  <c r="E729" i="8"/>
  <c r="Q728" i="8"/>
  <c r="N728" i="8"/>
  <c r="K728" i="8"/>
  <c r="H728" i="8"/>
  <c r="E728" i="8"/>
  <c r="Q727" i="8"/>
  <c r="N727" i="8"/>
  <c r="K727" i="8"/>
  <c r="H727" i="8"/>
  <c r="E727" i="8"/>
  <c r="Q726" i="8"/>
  <c r="N726" i="8"/>
  <c r="K726" i="8"/>
  <c r="H726" i="8"/>
  <c r="E726" i="8"/>
  <c r="Q725" i="8"/>
  <c r="N725" i="8"/>
  <c r="K725" i="8"/>
  <c r="H725" i="8"/>
  <c r="E725" i="8"/>
  <c r="Q724" i="8"/>
  <c r="N724" i="8"/>
  <c r="K724" i="8"/>
  <c r="H724" i="8"/>
  <c r="E724" i="8"/>
  <c r="Q723" i="8"/>
  <c r="N723" i="8"/>
  <c r="K723" i="8"/>
  <c r="H723" i="8"/>
  <c r="E723" i="8"/>
  <c r="Q722" i="8"/>
  <c r="N722" i="8"/>
  <c r="K722" i="8"/>
  <c r="H722" i="8"/>
  <c r="E722" i="8"/>
  <c r="Q721" i="8"/>
  <c r="N721" i="8"/>
  <c r="K721" i="8"/>
  <c r="H721" i="8"/>
  <c r="E721" i="8"/>
  <c r="Q720" i="8"/>
  <c r="N720" i="8"/>
  <c r="K720" i="8"/>
  <c r="H720" i="8"/>
  <c r="E720" i="8"/>
  <c r="Q719" i="8"/>
  <c r="N719" i="8"/>
  <c r="K719" i="8"/>
  <c r="H719" i="8"/>
  <c r="E719" i="8"/>
  <c r="Q718" i="8"/>
  <c r="N718" i="8"/>
  <c r="K718" i="8"/>
  <c r="H718" i="8"/>
  <c r="E718" i="8"/>
  <c r="Q717" i="8"/>
  <c r="N717" i="8"/>
  <c r="K717" i="8"/>
  <c r="H717" i="8"/>
  <c r="E717" i="8"/>
  <c r="Q716" i="8"/>
  <c r="N716" i="8"/>
  <c r="K716" i="8"/>
  <c r="H716" i="8"/>
  <c r="E716" i="8"/>
  <c r="Q715" i="8"/>
  <c r="N715" i="8"/>
  <c r="K715" i="8"/>
  <c r="H715" i="8"/>
  <c r="E715" i="8"/>
  <c r="Q714" i="8"/>
  <c r="N714" i="8"/>
  <c r="K714" i="8"/>
  <c r="H714" i="8"/>
  <c r="E714" i="8"/>
  <c r="Q713" i="8"/>
  <c r="N713" i="8"/>
  <c r="K713" i="8"/>
  <c r="H713" i="8"/>
  <c r="E713" i="8"/>
  <c r="Q712" i="8"/>
  <c r="N712" i="8"/>
  <c r="K712" i="8"/>
  <c r="H712" i="8"/>
  <c r="E712" i="8"/>
  <c r="Q711" i="8"/>
  <c r="N711" i="8"/>
  <c r="K711" i="8"/>
  <c r="H711" i="8"/>
  <c r="E711" i="8"/>
  <c r="Q710" i="8"/>
  <c r="N710" i="8"/>
  <c r="K710" i="8"/>
  <c r="H710" i="8"/>
  <c r="E710" i="8"/>
  <c r="Q709" i="8"/>
  <c r="N709" i="8"/>
  <c r="K709" i="8"/>
  <c r="H709" i="8"/>
  <c r="E709" i="8"/>
  <c r="Q708" i="8"/>
  <c r="N708" i="8"/>
  <c r="K708" i="8"/>
  <c r="H708" i="8"/>
  <c r="E708" i="8"/>
  <c r="Q707" i="8"/>
  <c r="N707" i="8"/>
  <c r="K707" i="8"/>
  <c r="H707" i="8"/>
  <c r="E707" i="8"/>
  <c r="Q706" i="8"/>
  <c r="N706" i="8"/>
  <c r="K706" i="8"/>
  <c r="H706" i="8"/>
  <c r="E706" i="8"/>
  <c r="Q705" i="8"/>
  <c r="N705" i="8"/>
  <c r="K705" i="8"/>
  <c r="H705" i="8"/>
  <c r="E705" i="8"/>
  <c r="Q704" i="8"/>
  <c r="N704" i="8"/>
  <c r="K704" i="8"/>
  <c r="H704" i="8"/>
  <c r="E704" i="8"/>
  <c r="Q703" i="8"/>
  <c r="N703" i="8"/>
  <c r="K703" i="8"/>
  <c r="H703" i="8"/>
  <c r="E703" i="8"/>
  <c r="Q702" i="8"/>
  <c r="N702" i="8"/>
  <c r="K702" i="8"/>
  <c r="H702" i="8"/>
  <c r="E702" i="8"/>
  <c r="Q701" i="8"/>
  <c r="N701" i="8"/>
  <c r="K701" i="8"/>
  <c r="H701" i="8"/>
  <c r="E701" i="8"/>
  <c r="Q700" i="8"/>
  <c r="N700" i="8"/>
  <c r="K700" i="8"/>
  <c r="H700" i="8"/>
  <c r="E700" i="8"/>
  <c r="Q699" i="8"/>
  <c r="N699" i="8"/>
  <c r="K699" i="8"/>
  <c r="H699" i="8"/>
  <c r="E699" i="8"/>
  <c r="Q698" i="8"/>
  <c r="N698" i="8"/>
  <c r="K698" i="8"/>
  <c r="H698" i="8"/>
  <c r="E698" i="8"/>
  <c r="Q697" i="8"/>
  <c r="N697" i="8"/>
  <c r="K697" i="8"/>
  <c r="H697" i="8"/>
  <c r="E697" i="8"/>
  <c r="Q696" i="8"/>
  <c r="N696" i="8"/>
  <c r="K696" i="8"/>
  <c r="H696" i="8"/>
  <c r="E696" i="8"/>
  <c r="Q695" i="8"/>
  <c r="N695" i="8"/>
  <c r="K695" i="8"/>
  <c r="H695" i="8"/>
  <c r="E695" i="8"/>
  <c r="Q694" i="8"/>
  <c r="N694" i="8"/>
  <c r="K694" i="8"/>
  <c r="H694" i="8"/>
  <c r="E694" i="8"/>
  <c r="Q693" i="8"/>
  <c r="N693" i="8"/>
  <c r="K693" i="8"/>
  <c r="H693" i="8"/>
  <c r="E693" i="8"/>
  <c r="Q692" i="8"/>
  <c r="N692" i="8"/>
  <c r="K692" i="8"/>
  <c r="H692" i="8"/>
  <c r="E692" i="8"/>
  <c r="Q691" i="8"/>
  <c r="N691" i="8"/>
  <c r="K691" i="8"/>
  <c r="H691" i="8"/>
  <c r="E691" i="8"/>
  <c r="Q690" i="8"/>
  <c r="N690" i="8"/>
  <c r="K690" i="8"/>
  <c r="H690" i="8"/>
  <c r="E690" i="8"/>
  <c r="Q689" i="8"/>
  <c r="N689" i="8"/>
  <c r="K689" i="8"/>
  <c r="H689" i="8"/>
  <c r="E689" i="8"/>
  <c r="Q688" i="8"/>
  <c r="N688" i="8"/>
  <c r="K688" i="8"/>
  <c r="H688" i="8"/>
  <c r="E688" i="8"/>
  <c r="Q687" i="8"/>
  <c r="N687" i="8"/>
  <c r="K687" i="8"/>
  <c r="H687" i="8"/>
  <c r="E687" i="8"/>
  <c r="Q686" i="8"/>
  <c r="N686" i="8"/>
  <c r="K686" i="8"/>
  <c r="H686" i="8"/>
  <c r="E686" i="8"/>
  <c r="Q685" i="8"/>
  <c r="N685" i="8"/>
  <c r="K685" i="8"/>
  <c r="H685" i="8"/>
  <c r="E685" i="8"/>
  <c r="Q684" i="8"/>
  <c r="N684" i="8"/>
  <c r="K684" i="8"/>
  <c r="H684" i="8"/>
  <c r="E684" i="8"/>
  <c r="Q683" i="8"/>
  <c r="N683" i="8"/>
  <c r="K683" i="8"/>
  <c r="H683" i="8"/>
  <c r="E683" i="8"/>
  <c r="Q682" i="8"/>
  <c r="N682" i="8"/>
  <c r="K682" i="8"/>
  <c r="H682" i="8"/>
  <c r="E682" i="8"/>
  <c r="Q681" i="8"/>
  <c r="N681" i="8"/>
  <c r="K681" i="8"/>
  <c r="H681" i="8"/>
  <c r="E681" i="8"/>
  <c r="Q680" i="8"/>
  <c r="N680" i="8"/>
  <c r="K680" i="8"/>
  <c r="H680" i="8"/>
  <c r="E680" i="8"/>
  <c r="Q679" i="8"/>
  <c r="N679" i="8"/>
  <c r="K679" i="8"/>
  <c r="H679" i="8"/>
  <c r="E679" i="8"/>
  <c r="Q678" i="8"/>
  <c r="N678" i="8"/>
  <c r="K678" i="8"/>
  <c r="H678" i="8"/>
  <c r="E678" i="8"/>
  <c r="Q677" i="8"/>
  <c r="N677" i="8"/>
  <c r="K677" i="8"/>
  <c r="H677" i="8"/>
  <c r="E677" i="8"/>
  <c r="Q676" i="8"/>
  <c r="N676" i="8"/>
  <c r="K676" i="8"/>
  <c r="H676" i="8"/>
  <c r="E676" i="8"/>
  <c r="Q675" i="8"/>
  <c r="N675" i="8"/>
  <c r="K675" i="8"/>
  <c r="H675" i="8"/>
  <c r="E675" i="8"/>
  <c r="Q674" i="8"/>
  <c r="N674" i="8"/>
  <c r="K674" i="8"/>
  <c r="H674" i="8"/>
  <c r="E674" i="8"/>
  <c r="Q673" i="8"/>
  <c r="N673" i="8"/>
  <c r="K673" i="8"/>
  <c r="H673" i="8"/>
  <c r="E673" i="8"/>
  <c r="Q672" i="8"/>
  <c r="N672" i="8"/>
  <c r="K672" i="8"/>
  <c r="H672" i="8"/>
  <c r="E672" i="8"/>
  <c r="Q671" i="8"/>
  <c r="N671" i="8"/>
  <c r="K671" i="8"/>
  <c r="H671" i="8"/>
  <c r="E671" i="8"/>
  <c r="Q670" i="8"/>
  <c r="N670" i="8"/>
  <c r="K670" i="8"/>
  <c r="H670" i="8"/>
  <c r="E670" i="8"/>
  <c r="Q669" i="8"/>
  <c r="N669" i="8"/>
  <c r="K669" i="8"/>
  <c r="H669" i="8"/>
  <c r="E669" i="8"/>
  <c r="Q668" i="8"/>
  <c r="N668" i="8"/>
  <c r="K668" i="8"/>
  <c r="H668" i="8"/>
  <c r="E668" i="8"/>
  <c r="Q667" i="8"/>
  <c r="N667" i="8"/>
  <c r="K667" i="8"/>
  <c r="H667" i="8"/>
  <c r="E667" i="8"/>
  <c r="Q666" i="8"/>
  <c r="N666" i="8"/>
  <c r="K666" i="8"/>
  <c r="H666" i="8"/>
  <c r="E666" i="8"/>
  <c r="Q665" i="8"/>
  <c r="N665" i="8"/>
  <c r="K665" i="8"/>
  <c r="H665" i="8"/>
  <c r="E665" i="8"/>
  <c r="Q664" i="8"/>
  <c r="N664" i="8"/>
  <c r="K664" i="8"/>
  <c r="H664" i="8"/>
  <c r="E664" i="8"/>
  <c r="Q663" i="8"/>
  <c r="N663" i="8"/>
  <c r="K663" i="8"/>
  <c r="H663" i="8"/>
  <c r="E663" i="8"/>
  <c r="Q662" i="8"/>
  <c r="N662" i="8"/>
  <c r="K662" i="8"/>
  <c r="H662" i="8"/>
  <c r="E662" i="8"/>
  <c r="Q661" i="8"/>
  <c r="N661" i="8"/>
  <c r="K661" i="8"/>
  <c r="H661" i="8"/>
  <c r="E661" i="8"/>
  <c r="Q660" i="8"/>
  <c r="N660" i="8"/>
  <c r="K660" i="8"/>
  <c r="H660" i="8"/>
  <c r="E660" i="8"/>
  <c r="Q659" i="8"/>
  <c r="N659" i="8"/>
  <c r="K659" i="8"/>
  <c r="H659" i="8"/>
  <c r="E659" i="8"/>
  <c r="Q658" i="8"/>
  <c r="N658" i="8"/>
  <c r="K658" i="8"/>
  <c r="H658" i="8"/>
  <c r="E658" i="8"/>
  <c r="Q657" i="8"/>
  <c r="N657" i="8"/>
  <c r="K657" i="8"/>
  <c r="H657" i="8"/>
  <c r="E657" i="8"/>
  <c r="Q656" i="8"/>
  <c r="N656" i="8"/>
  <c r="K656" i="8"/>
  <c r="H656" i="8"/>
  <c r="E656" i="8"/>
  <c r="Q655" i="8"/>
  <c r="N655" i="8"/>
  <c r="K655" i="8"/>
  <c r="H655" i="8"/>
  <c r="E655" i="8"/>
  <c r="Q654" i="8"/>
  <c r="N654" i="8"/>
  <c r="K654" i="8"/>
  <c r="H654" i="8"/>
  <c r="E654" i="8"/>
  <c r="Q653" i="8"/>
  <c r="N653" i="8"/>
  <c r="K653" i="8"/>
  <c r="H653" i="8"/>
  <c r="E653" i="8"/>
  <c r="Q652" i="8"/>
  <c r="N652" i="8"/>
  <c r="K652" i="8"/>
  <c r="H652" i="8"/>
  <c r="E652" i="8"/>
  <c r="Q651" i="8"/>
  <c r="N651" i="8"/>
  <c r="K651" i="8"/>
  <c r="H651" i="8"/>
  <c r="E651" i="8"/>
  <c r="Q650" i="8"/>
  <c r="N650" i="8"/>
  <c r="K650" i="8"/>
  <c r="H650" i="8"/>
  <c r="E650" i="8"/>
  <c r="Q649" i="8"/>
  <c r="N649" i="8"/>
  <c r="K649" i="8"/>
  <c r="H649" i="8"/>
  <c r="E649" i="8"/>
  <c r="Q648" i="8"/>
  <c r="N648" i="8"/>
  <c r="K648" i="8"/>
  <c r="H648" i="8"/>
  <c r="E648" i="8"/>
  <c r="Q647" i="8"/>
  <c r="N647" i="8"/>
  <c r="K647" i="8"/>
  <c r="H647" i="8"/>
  <c r="E647" i="8"/>
  <c r="Q646" i="8"/>
  <c r="N646" i="8"/>
  <c r="K646" i="8"/>
  <c r="H646" i="8"/>
  <c r="E646" i="8"/>
  <c r="Q645" i="8"/>
  <c r="N645" i="8"/>
  <c r="K645" i="8"/>
  <c r="H645" i="8"/>
  <c r="E645" i="8"/>
  <c r="Q644" i="8"/>
  <c r="N644" i="8"/>
  <c r="K644" i="8"/>
  <c r="H644" i="8"/>
  <c r="E644" i="8"/>
  <c r="Q643" i="8"/>
  <c r="N643" i="8"/>
  <c r="K643" i="8"/>
  <c r="H643" i="8"/>
  <c r="E643" i="8"/>
  <c r="Q642" i="8"/>
  <c r="N642" i="8"/>
  <c r="K642" i="8"/>
  <c r="H642" i="8"/>
  <c r="E642" i="8"/>
  <c r="Q641" i="8"/>
  <c r="N641" i="8"/>
  <c r="K641" i="8"/>
  <c r="H641" i="8"/>
  <c r="E641" i="8"/>
  <c r="Q640" i="8"/>
  <c r="N640" i="8"/>
  <c r="K640" i="8"/>
  <c r="H640" i="8"/>
  <c r="E640" i="8"/>
  <c r="Q639" i="8"/>
  <c r="N639" i="8"/>
  <c r="K639" i="8"/>
  <c r="H639" i="8"/>
  <c r="E639" i="8"/>
  <c r="Q638" i="8"/>
  <c r="N638" i="8"/>
  <c r="K638" i="8"/>
  <c r="H638" i="8"/>
  <c r="E638" i="8"/>
  <c r="Q637" i="8"/>
  <c r="N637" i="8"/>
  <c r="K637" i="8"/>
  <c r="H637" i="8"/>
  <c r="E637" i="8"/>
  <c r="Q636" i="8"/>
  <c r="N636" i="8"/>
  <c r="K636" i="8"/>
  <c r="H636" i="8"/>
  <c r="E636" i="8"/>
  <c r="Q635" i="8"/>
  <c r="N635" i="8"/>
  <c r="K635" i="8"/>
  <c r="H635" i="8"/>
  <c r="E635" i="8"/>
  <c r="Q634" i="8"/>
  <c r="N634" i="8"/>
  <c r="K634" i="8"/>
  <c r="H634" i="8"/>
  <c r="E634" i="8"/>
  <c r="Q633" i="8"/>
  <c r="N633" i="8"/>
  <c r="K633" i="8"/>
  <c r="H633" i="8"/>
  <c r="E633" i="8"/>
  <c r="Q632" i="8"/>
  <c r="N632" i="8"/>
  <c r="K632" i="8"/>
  <c r="H632" i="8"/>
  <c r="E632" i="8"/>
  <c r="Q631" i="8"/>
  <c r="N631" i="8"/>
  <c r="K631" i="8"/>
  <c r="H631" i="8"/>
  <c r="E631" i="8"/>
  <c r="Q630" i="8"/>
  <c r="N630" i="8"/>
  <c r="K630" i="8"/>
  <c r="H630" i="8"/>
  <c r="E630" i="8"/>
  <c r="Q629" i="8"/>
  <c r="N629" i="8"/>
  <c r="K629" i="8"/>
  <c r="H629" i="8"/>
  <c r="E629" i="8"/>
  <c r="Q628" i="8"/>
  <c r="N628" i="8"/>
  <c r="K628" i="8"/>
  <c r="H628" i="8"/>
  <c r="E628" i="8"/>
  <c r="Q627" i="8"/>
  <c r="N627" i="8"/>
  <c r="K627" i="8"/>
  <c r="H627" i="8"/>
  <c r="E627" i="8"/>
  <c r="Q626" i="8"/>
  <c r="N626" i="8"/>
  <c r="K626" i="8"/>
  <c r="H626" i="8"/>
  <c r="E626" i="8"/>
  <c r="Q625" i="8"/>
  <c r="N625" i="8"/>
  <c r="K625" i="8"/>
  <c r="H625" i="8"/>
  <c r="E625" i="8"/>
  <c r="Q624" i="8"/>
  <c r="N624" i="8"/>
  <c r="K624" i="8"/>
  <c r="H624" i="8"/>
  <c r="E624" i="8"/>
  <c r="Q623" i="8"/>
  <c r="N623" i="8"/>
  <c r="K623" i="8"/>
  <c r="H623" i="8"/>
  <c r="E623" i="8"/>
  <c r="Q622" i="8"/>
  <c r="N622" i="8"/>
  <c r="K622" i="8"/>
  <c r="H622" i="8"/>
  <c r="E622" i="8"/>
  <c r="Q621" i="8"/>
  <c r="N621" i="8"/>
  <c r="K621" i="8"/>
  <c r="H621" i="8"/>
  <c r="E621" i="8"/>
  <c r="Q620" i="8"/>
  <c r="N620" i="8"/>
  <c r="K620" i="8"/>
  <c r="H620" i="8"/>
  <c r="E620" i="8"/>
  <c r="Q619" i="8"/>
  <c r="N619" i="8"/>
  <c r="K619" i="8"/>
  <c r="H619" i="8"/>
  <c r="E619" i="8"/>
  <c r="Q618" i="8"/>
  <c r="N618" i="8"/>
  <c r="K618" i="8"/>
  <c r="H618" i="8"/>
  <c r="E618" i="8"/>
  <c r="Q617" i="8"/>
  <c r="N617" i="8"/>
  <c r="K617" i="8"/>
  <c r="H617" i="8"/>
  <c r="E617" i="8"/>
  <c r="Q616" i="8"/>
  <c r="N616" i="8"/>
  <c r="K616" i="8"/>
  <c r="H616" i="8"/>
  <c r="E616" i="8"/>
  <c r="Q615" i="8"/>
  <c r="N615" i="8"/>
  <c r="K615" i="8"/>
  <c r="H615" i="8"/>
  <c r="E615" i="8"/>
  <c r="Q614" i="8"/>
  <c r="N614" i="8"/>
  <c r="K614" i="8"/>
  <c r="H614" i="8"/>
  <c r="E614" i="8"/>
  <c r="Q613" i="8"/>
  <c r="N613" i="8"/>
  <c r="K613" i="8"/>
  <c r="H613" i="8"/>
  <c r="E613" i="8"/>
  <c r="Q612" i="8"/>
  <c r="N612" i="8"/>
  <c r="K612" i="8"/>
  <c r="H612" i="8"/>
  <c r="E612" i="8"/>
  <c r="Q611" i="8"/>
  <c r="N611" i="8"/>
  <c r="K611" i="8"/>
  <c r="H611" i="8"/>
  <c r="E611" i="8"/>
  <c r="Q610" i="8"/>
  <c r="N610" i="8"/>
  <c r="K610" i="8"/>
  <c r="H610" i="8"/>
  <c r="E610" i="8"/>
  <c r="Q609" i="8"/>
  <c r="N609" i="8"/>
  <c r="K609" i="8"/>
  <c r="H609" i="8"/>
  <c r="E609" i="8"/>
  <c r="Q608" i="8"/>
  <c r="N608" i="8"/>
  <c r="K608" i="8"/>
  <c r="H608" i="8"/>
  <c r="E608" i="8"/>
  <c r="Q607" i="8"/>
  <c r="N607" i="8"/>
  <c r="K607" i="8"/>
  <c r="H607" i="8"/>
  <c r="E607" i="8"/>
  <c r="Q606" i="8"/>
  <c r="N606" i="8"/>
  <c r="K606" i="8"/>
  <c r="H606" i="8"/>
  <c r="E606" i="8"/>
  <c r="Q605" i="8"/>
  <c r="N605" i="8"/>
  <c r="K605" i="8"/>
  <c r="H605" i="8"/>
  <c r="E605" i="8"/>
  <c r="Q604" i="8"/>
  <c r="N604" i="8"/>
  <c r="K604" i="8"/>
  <c r="H604" i="8"/>
  <c r="E604" i="8"/>
  <c r="Q603" i="8"/>
  <c r="N603" i="8"/>
  <c r="K603" i="8"/>
  <c r="H603" i="8"/>
  <c r="E603" i="8"/>
  <c r="Q602" i="8"/>
  <c r="N602" i="8"/>
  <c r="K602" i="8"/>
  <c r="H602" i="8"/>
  <c r="E602" i="8"/>
  <c r="Q601" i="8"/>
  <c r="N601" i="8"/>
  <c r="K601" i="8"/>
  <c r="H601" i="8"/>
  <c r="E601" i="8"/>
  <c r="Q600" i="8"/>
  <c r="N600" i="8"/>
  <c r="K600" i="8"/>
  <c r="H600" i="8"/>
  <c r="E600" i="8"/>
  <c r="Q599" i="8"/>
  <c r="N599" i="8"/>
  <c r="K599" i="8"/>
  <c r="H599" i="8"/>
  <c r="E599" i="8"/>
  <c r="Q598" i="8"/>
  <c r="N598" i="8"/>
  <c r="K598" i="8"/>
  <c r="H598" i="8"/>
  <c r="E598" i="8"/>
  <c r="Q597" i="8"/>
  <c r="N597" i="8"/>
  <c r="K597" i="8"/>
  <c r="H597" i="8"/>
  <c r="E597" i="8"/>
  <c r="Q596" i="8"/>
  <c r="N596" i="8"/>
  <c r="K596" i="8"/>
  <c r="H596" i="8"/>
  <c r="E596" i="8"/>
  <c r="Q595" i="8"/>
  <c r="N595" i="8"/>
  <c r="K595" i="8"/>
  <c r="H595" i="8"/>
  <c r="E595" i="8"/>
  <c r="Q594" i="8"/>
  <c r="N594" i="8"/>
  <c r="K594" i="8"/>
  <c r="H594" i="8"/>
  <c r="E594" i="8"/>
  <c r="Q593" i="8"/>
  <c r="N593" i="8"/>
  <c r="K593" i="8"/>
  <c r="H593" i="8"/>
  <c r="E593" i="8"/>
  <c r="Q592" i="8"/>
  <c r="N592" i="8"/>
  <c r="K592" i="8"/>
  <c r="H592" i="8"/>
  <c r="E592" i="8"/>
  <c r="Q591" i="8"/>
  <c r="N591" i="8"/>
  <c r="K591" i="8"/>
  <c r="H591" i="8"/>
  <c r="E591" i="8"/>
  <c r="Q590" i="8"/>
  <c r="N590" i="8"/>
  <c r="K590" i="8"/>
  <c r="H590" i="8"/>
  <c r="E590" i="8"/>
  <c r="Q589" i="8"/>
  <c r="N589" i="8"/>
  <c r="K589" i="8"/>
  <c r="H589" i="8"/>
  <c r="E589" i="8"/>
  <c r="Q588" i="8"/>
  <c r="N588" i="8"/>
  <c r="K588" i="8"/>
  <c r="H588" i="8"/>
  <c r="E588" i="8"/>
  <c r="Q587" i="8"/>
  <c r="N587" i="8"/>
  <c r="K587" i="8"/>
  <c r="H587" i="8"/>
  <c r="E587" i="8"/>
  <c r="Q586" i="8"/>
  <c r="N586" i="8"/>
  <c r="K586" i="8"/>
  <c r="H586" i="8"/>
  <c r="E586" i="8"/>
  <c r="Q585" i="8"/>
  <c r="N585" i="8"/>
  <c r="K585" i="8"/>
  <c r="H585" i="8"/>
  <c r="E585" i="8"/>
  <c r="Q584" i="8"/>
  <c r="N584" i="8"/>
  <c r="K584" i="8"/>
  <c r="H584" i="8"/>
  <c r="E584" i="8"/>
  <c r="Q583" i="8"/>
  <c r="N583" i="8"/>
  <c r="K583" i="8"/>
  <c r="H583" i="8"/>
  <c r="E583" i="8"/>
  <c r="Q582" i="8"/>
  <c r="N582" i="8"/>
  <c r="K582" i="8"/>
  <c r="H582" i="8"/>
  <c r="E582" i="8"/>
  <c r="Q581" i="8"/>
  <c r="N581" i="8"/>
  <c r="K581" i="8"/>
  <c r="H581" i="8"/>
  <c r="E581" i="8"/>
  <c r="Q580" i="8"/>
  <c r="N580" i="8"/>
  <c r="K580" i="8"/>
  <c r="H580" i="8"/>
  <c r="E580" i="8"/>
  <c r="Q579" i="8"/>
  <c r="N579" i="8"/>
  <c r="K579" i="8"/>
  <c r="H579" i="8"/>
  <c r="E579" i="8"/>
  <c r="Q578" i="8"/>
  <c r="N578" i="8"/>
  <c r="K578" i="8"/>
  <c r="H578" i="8"/>
  <c r="E578" i="8"/>
  <c r="Q577" i="8"/>
  <c r="N577" i="8"/>
  <c r="K577" i="8"/>
  <c r="H577" i="8"/>
  <c r="E577" i="8"/>
  <c r="Q576" i="8"/>
  <c r="N576" i="8"/>
  <c r="K576" i="8"/>
  <c r="H576" i="8"/>
  <c r="E576" i="8"/>
  <c r="Q575" i="8"/>
  <c r="N575" i="8"/>
  <c r="K575" i="8"/>
  <c r="H575" i="8"/>
  <c r="E575" i="8"/>
  <c r="Q574" i="8"/>
  <c r="N574" i="8"/>
  <c r="K574" i="8"/>
  <c r="H574" i="8"/>
  <c r="E574" i="8"/>
  <c r="Q573" i="8"/>
  <c r="N573" i="8"/>
  <c r="K573" i="8"/>
  <c r="H573" i="8"/>
  <c r="E573" i="8"/>
  <c r="Q572" i="8"/>
  <c r="N572" i="8"/>
  <c r="K572" i="8"/>
  <c r="H572" i="8"/>
  <c r="E572" i="8"/>
  <c r="Q571" i="8"/>
  <c r="N571" i="8"/>
  <c r="K571" i="8"/>
  <c r="H571" i="8"/>
  <c r="E571" i="8"/>
  <c r="Q570" i="8"/>
  <c r="N570" i="8"/>
  <c r="K570" i="8"/>
  <c r="H570" i="8"/>
  <c r="E570" i="8"/>
  <c r="Q569" i="8"/>
  <c r="N569" i="8"/>
  <c r="K569" i="8"/>
  <c r="H569" i="8"/>
  <c r="E569" i="8"/>
  <c r="Q568" i="8"/>
  <c r="N568" i="8"/>
  <c r="K568" i="8"/>
  <c r="H568" i="8"/>
  <c r="E568" i="8"/>
  <c r="Q567" i="8"/>
  <c r="N567" i="8"/>
  <c r="K567" i="8"/>
  <c r="H567" i="8"/>
  <c r="E567" i="8"/>
  <c r="Q566" i="8"/>
  <c r="N566" i="8"/>
  <c r="K566" i="8"/>
  <c r="H566" i="8"/>
  <c r="E566" i="8"/>
  <c r="Q565" i="8"/>
  <c r="N565" i="8"/>
  <c r="K565" i="8"/>
  <c r="H565" i="8"/>
  <c r="E565" i="8"/>
  <c r="Q564" i="8"/>
  <c r="N564" i="8"/>
  <c r="K564" i="8"/>
  <c r="H564" i="8"/>
  <c r="E564" i="8"/>
  <c r="Q563" i="8"/>
  <c r="N563" i="8"/>
  <c r="K563" i="8"/>
  <c r="H563" i="8"/>
  <c r="E563" i="8"/>
  <c r="Q562" i="8"/>
  <c r="N562" i="8"/>
  <c r="K562" i="8"/>
  <c r="H562" i="8"/>
  <c r="E562" i="8"/>
  <c r="Q561" i="8"/>
  <c r="N561" i="8"/>
  <c r="K561" i="8"/>
  <c r="H561" i="8"/>
  <c r="E561" i="8"/>
  <c r="Q560" i="8"/>
  <c r="N560" i="8"/>
  <c r="K560" i="8"/>
  <c r="H560" i="8"/>
  <c r="E560" i="8"/>
  <c r="Q559" i="8"/>
  <c r="N559" i="8"/>
  <c r="K559" i="8"/>
  <c r="H559" i="8"/>
  <c r="E559" i="8"/>
  <c r="Q558" i="8"/>
  <c r="N558" i="8"/>
  <c r="K558" i="8"/>
  <c r="H558" i="8"/>
  <c r="E558" i="8"/>
  <c r="Q557" i="8"/>
  <c r="N557" i="8"/>
  <c r="K557" i="8"/>
  <c r="H557" i="8"/>
  <c r="E557" i="8"/>
  <c r="Q556" i="8"/>
  <c r="N556" i="8"/>
  <c r="K556" i="8"/>
  <c r="H556" i="8"/>
  <c r="E556" i="8"/>
  <c r="Q555" i="8"/>
  <c r="N555" i="8"/>
  <c r="K555" i="8"/>
  <c r="H555" i="8"/>
  <c r="E555" i="8"/>
  <c r="Q554" i="8"/>
  <c r="N554" i="8"/>
  <c r="K554" i="8"/>
  <c r="H554" i="8"/>
  <c r="E554" i="8"/>
  <c r="Q553" i="8"/>
  <c r="N553" i="8"/>
  <c r="K553" i="8"/>
  <c r="H553" i="8"/>
  <c r="E553" i="8"/>
  <c r="Q552" i="8"/>
  <c r="N552" i="8"/>
  <c r="K552" i="8"/>
  <c r="H552" i="8"/>
  <c r="E552" i="8"/>
  <c r="Q551" i="8"/>
  <c r="N551" i="8"/>
  <c r="K551" i="8"/>
  <c r="H551" i="8"/>
  <c r="E551" i="8"/>
  <c r="Q550" i="8"/>
  <c r="N550" i="8"/>
  <c r="K550" i="8"/>
  <c r="H550" i="8"/>
  <c r="E550" i="8"/>
  <c r="Q549" i="8"/>
  <c r="N549" i="8"/>
  <c r="K549" i="8"/>
  <c r="H549" i="8"/>
  <c r="E549" i="8"/>
  <c r="Q548" i="8"/>
  <c r="N548" i="8"/>
  <c r="K548" i="8"/>
  <c r="H548" i="8"/>
  <c r="E548" i="8"/>
  <c r="Q547" i="8"/>
  <c r="N547" i="8"/>
  <c r="K547" i="8"/>
  <c r="H547" i="8"/>
  <c r="E547" i="8"/>
  <c r="Q546" i="8"/>
  <c r="N546" i="8"/>
  <c r="K546" i="8"/>
  <c r="H546" i="8"/>
  <c r="E546" i="8"/>
  <c r="Q545" i="8"/>
  <c r="N545" i="8"/>
  <c r="K545" i="8"/>
  <c r="H545" i="8"/>
  <c r="E545" i="8"/>
  <c r="Q544" i="8"/>
  <c r="N544" i="8"/>
  <c r="K544" i="8"/>
  <c r="H544" i="8"/>
  <c r="E544" i="8"/>
  <c r="Q543" i="8"/>
  <c r="N543" i="8"/>
  <c r="K543" i="8"/>
  <c r="H543" i="8"/>
  <c r="E543" i="8"/>
  <c r="Q542" i="8"/>
  <c r="N542" i="8"/>
  <c r="K542" i="8"/>
  <c r="H542" i="8"/>
  <c r="E542" i="8"/>
  <c r="Q541" i="8"/>
  <c r="N541" i="8"/>
  <c r="K541" i="8"/>
  <c r="H541" i="8"/>
  <c r="E541" i="8"/>
  <c r="Q540" i="8"/>
  <c r="N540" i="8"/>
  <c r="K540" i="8"/>
  <c r="H540" i="8"/>
  <c r="E540" i="8"/>
  <c r="Q539" i="8"/>
  <c r="N539" i="8"/>
  <c r="K539" i="8"/>
  <c r="H539" i="8"/>
  <c r="E539" i="8"/>
  <c r="Q538" i="8"/>
  <c r="N538" i="8"/>
  <c r="K538" i="8"/>
  <c r="H538" i="8"/>
  <c r="E538" i="8"/>
  <c r="Q537" i="8"/>
  <c r="N537" i="8"/>
  <c r="K537" i="8"/>
  <c r="H537" i="8"/>
  <c r="E537" i="8"/>
  <c r="Q536" i="8"/>
  <c r="N536" i="8"/>
  <c r="K536" i="8"/>
  <c r="H536" i="8"/>
  <c r="E536" i="8"/>
  <c r="Q535" i="8"/>
  <c r="N535" i="8"/>
  <c r="K535" i="8"/>
  <c r="H535" i="8"/>
  <c r="E535" i="8"/>
  <c r="Q534" i="8"/>
  <c r="N534" i="8"/>
  <c r="K534" i="8"/>
  <c r="H534" i="8"/>
  <c r="E534" i="8"/>
  <c r="Q533" i="8"/>
  <c r="N533" i="8"/>
  <c r="K533" i="8"/>
  <c r="H533" i="8"/>
  <c r="E533" i="8"/>
  <c r="Q532" i="8"/>
  <c r="N532" i="8"/>
  <c r="K532" i="8"/>
  <c r="H532" i="8"/>
  <c r="E532" i="8"/>
  <c r="Q531" i="8"/>
  <c r="N531" i="8"/>
  <c r="K531" i="8"/>
  <c r="H531" i="8"/>
  <c r="E531" i="8"/>
  <c r="Q530" i="8"/>
  <c r="N530" i="8"/>
  <c r="K530" i="8"/>
  <c r="H530" i="8"/>
  <c r="E530" i="8"/>
  <c r="Q529" i="8"/>
  <c r="N529" i="8"/>
  <c r="K529" i="8"/>
  <c r="H529" i="8"/>
  <c r="E529" i="8"/>
  <c r="Q528" i="8"/>
  <c r="N528" i="8"/>
  <c r="K528" i="8"/>
  <c r="H528" i="8"/>
  <c r="E528" i="8"/>
  <c r="Q527" i="8"/>
  <c r="N527" i="8"/>
  <c r="K527" i="8"/>
  <c r="H527" i="8"/>
  <c r="E527" i="8"/>
  <c r="Q526" i="8"/>
  <c r="N526" i="8"/>
  <c r="K526" i="8"/>
  <c r="H526" i="8"/>
  <c r="E526" i="8"/>
  <c r="Q525" i="8"/>
  <c r="N525" i="8"/>
  <c r="K525" i="8"/>
  <c r="H525" i="8"/>
  <c r="E525" i="8"/>
  <c r="Q524" i="8"/>
  <c r="N524" i="8"/>
  <c r="K524" i="8"/>
  <c r="H524" i="8"/>
  <c r="E524" i="8"/>
  <c r="Q523" i="8"/>
  <c r="N523" i="8"/>
  <c r="K523" i="8"/>
  <c r="H523" i="8"/>
  <c r="E523" i="8"/>
  <c r="Q522" i="8"/>
  <c r="N522" i="8"/>
  <c r="K522" i="8"/>
  <c r="H522" i="8"/>
  <c r="E522" i="8"/>
  <c r="Q521" i="8"/>
  <c r="N521" i="8"/>
  <c r="K521" i="8"/>
  <c r="H521" i="8"/>
  <c r="E521" i="8"/>
  <c r="Q520" i="8"/>
  <c r="N520" i="8"/>
  <c r="K520" i="8"/>
  <c r="H520" i="8"/>
  <c r="E520" i="8"/>
  <c r="Q519" i="8"/>
  <c r="N519" i="8"/>
  <c r="K519" i="8"/>
  <c r="H519" i="8"/>
  <c r="E519" i="8"/>
  <c r="Q518" i="8"/>
  <c r="N518" i="8"/>
  <c r="K518" i="8"/>
  <c r="H518" i="8"/>
  <c r="E518" i="8"/>
  <c r="Q517" i="8"/>
  <c r="N517" i="8"/>
  <c r="K517" i="8"/>
  <c r="H517" i="8"/>
  <c r="E517" i="8"/>
  <c r="Q516" i="8"/>
  <c r="N516" i="8"/>
  <c r="K516" i="8"/>
  <c r="H516" i="8"/>
  <c r="E516" i="8"/>
  <c r="Q515" i="8"/>
  <c r="N515" i="8"/>
  <c r="K515" i="8"/>
  <c r="H515" i="8"/>
  <c r="E515" i="8"/>
  <c r="Q514" i="8"/>
  <c r="N514" i="8"/>
  <c r="K514" i="8"/>
  <c r="H514" i="8"/>
  <c r="E514" i="8"/>
  <c r="Q513" i="8"/>
  <c r="N513" i="8"/>
  <c r="K513" i="8"/>
  <c r="H513" i="8"/>
  <c r="E513" i="8"/>
  <c r="Q512" i="8"/>
  <c r="N512" i="8"/>
  <c r="K512" i="8"/>
  <c r="H512" i="8"/>
  <c r="E512" i="8"/>
  <c r="Q511" i="8"/>
  <c r="N511" i="8"/>
  <c r="K511" i="8"/>
  <c r="H511" i="8"/>
  <c r="E511" i="8"/>
  <c r="Q510" i="8"/>
  <c r="N510" i="8"/>
  <c r="K510" i="8"/>
  <c r="H510" i="8"/>
  <c r="E510" i="8"/>
  <c r="Q509" i="8"/>
  <c r="N509" i="8"/>
  <c r="K509" i="8"/>
  <c r="H509" i="8"/>
  <c r="E509" i="8"/>
  <c r="Q508" i="8"/>
  <c r="N508" i="8"/>
  <c r="K508" i="8"/>
  <c r="H508" i="8"/>
  <c r="E508" i="8"/>
  <c r="Q507" i="8"/>
  <c r="N507" i="8"/>
  <c r="K507" i="8"/>
  <c r="H507" i="8"/>
  <c r="E507" i="8"/>
  <c r="Q506" i="8"/>
  <c r="N506" i="8"/>
  <c r="K506" i="8"/>
  <c r="H506" i="8"/>
  <c r="E506" i="8"/>
  <c r="Q505" i="8"/>
  <c r="N505" i="8"/>
  <c r="K505" i="8"/>
  <c r="H505" i="8"/>
  <c r="E505" i="8"/>
  <c r="Q504" i="8"/>
  <c r="N504" i="8"/>
  <c r="K504" i="8"/>
  <c r="H504" i="8"/>
  <c r="E504" i="8"/>
  <c r="Q503" i="8"/>
  <c r="N503" i="8"/>
  <c r="K503" i="8"/>
  <c r="H503" i="8"/>
  <c r="E503" i="8"/>
  <c r="Q502" i="8"/>
  <c r="N502" i="8"/>
  <c r="K502" i="8"/>
  <c r="H502" i="8"/>
  <c r="E502" i="8"/>
  <c r="Q501" i="8"/>
  <c r="N501" i="8"/>
  <c r="K501" i="8"/>
  <c r="H501" i="8"/>
  <c r="E501" i="8"/>
  <c r="Q500" i="8"/>
  <c r="N500" i="8"/>
  <c r="K500" i="8"/>
  <c r="H500" i="8"/>
  <c r="E500" i="8"/>
  <c r="Q499" i="8"/>
  <c r="N499" i="8"/>
  <c r="K499" i="8"/>
  <c r="H499" i="8"/>
  <c r="E499" i="8"/>
  <c r="Q498" i="8"/>
  <c r="N498" i="8"/>
  <c r="K498" i="8"/>
  <c r="H498" i="8"/>
  <c r="E498" i="8"/>
  <c r="Q497" i="8"/>
  <c r="N497" i="8"/>
  <c r="K497" i="8"/>
  <c r="H497" i="8"/>
  <c r="E497" i="8"/>
  <c r="Q496" i="8"/>
  <c r="N496" i="8"/>
  <c r="K496" i="8"/>
  <c r="H496" i="8"/>
  <c r="E496" i="8"/>
  <c r="Q495" i="8"/>
  <c r="N495" i="8"/>
  <c r="K495" i="8"/>
  <c r="H495" i="8"/>
  <c r="E495" i="8"/>
  <c r="Q494" i="8"/>
  <c r="N494" i="8"/>
  <c r="K494" i="8"/>
  <c r="H494" i="8"/>
  <c r="E494" i="8"/>
  <c r="Q493" i="8"/>
  <c r="N493" i="8"/>
  <c r="K493" i="8"/>
  <c r="H493" i="8"/>
  <c r="E493" i="8"/>
  <c r="Q492" i="8"/>
  <c r="N492" i="8"/>
  <c r="K492" i="8"/>
  <c r="H492" i="8"/>
  <c r="E492" i="8"/>
  <c r="Q491" i="8"/>
  <c r="N491" i="8"/>
  <c r="K491" i="8"/>
  <c r="H491" i="8"/>
  <c r="E491" i="8"/>
  <c r="Q490" i="8"/>
  <c r="N490" i="8"/>
  <c r="K490" i="8"/>
  <c r="H490" i="8"/>
  <c r="E490" i="8"/>
  <c r="Q489" i="8"/>
  <c r="N489" i="8"/>
  <c r="K489" i="8"/>
  <c r="H489" i="8"/>
  <c r="E489" i="8"/>
  <c r="Q488" i="8"/>
  <c r="N488" i="8"/>
  <c r="K488" i="8"/>
  <c r="H488" i="8"/>
  <c r="E488" i="8"/>
  <c r="Q487" i="8"/>
  <c r="N487" i="8"/>
  <c r="K487" i="8"/>
  <c r="H487" i="8"/>
  <c r="E487" i="8"/>
  <c r="Q486" i="8"/>
  <c r="N486" i="8"/>
  <c r="K486" i="8"/>
  <c r="H486" i="8"/>
  <c r="E486" i="8"/>
  <c r="Q485" i="8"/>
  <c r="N485" i="8"/>
  <c r="K485" i="8"/>
  <c r="H485" i="8"/>
  <c r="E485" i="8"/>
  <c r="Q484" i="8"/>
  <c r="N484" i="8"/>
  <c r="K484" i="8"/>
  <c r="H484" i="8"/>
  <c r="E484" i="8"/>
  <c r="Q483" i="8"/>
  <c r="N483" i="8"/>
  <c r="K483" i="8"/>
  <c r="H483" i="8"/>
  <c r="E483" i="8"/>
  <c r="Q482" i="8"/>
  <c r="N482" i="8"/>
  <c r="K482" i="8"/>
  <c r="H482" i="8"/>
  <c r="E482" i="8"/>
  <c r="Q481" i="8"/>
  <c r="N481" i="8"/>
  <c r="K481" i="8"/>
  <c r="H481" i="8"/>
  <c r="E481" i="8"/>
  <c r="Q480" i="8"/>
  <c r="N480" i="8"/>
  <c r="K480" i="8"/>
  <c r="H480" i="8"/>
  <c r="E480" i="8"/>
  <c r="Q479" i="8"/>
  <c r="N479" i="8"/>
  <c r="K479" i="8"/>
  <c r="H479" i="8"/>
  <c r="E479" i="8"/>
  <c r="Q478" i="8"/>
  <c r="N478" i="8"/>
  <c r="K478" i="8"/>
  <c r="H478" i="8"/>
  <c r="E478" i="8"/>
  <c r="Q477" i="8"/>
  <c r="N477" i="8"/>
  <c r="K477" i="8"/>
  <c r="H477" i="8"/>
  <c r="E477" i="8"/>
  <c r="Q476" i="8"/>
  <c r="N476" i="8"/>
  <c r="K476" i="8"/>
  <c r="H476" i="8"/>
  <c r="E476" i="8"/>
  <c r="Q475" i="8"/>
  <c r="N475" i="8"/>
  <c r="K475" i="8"/>
  <c r="H475" i="8"/>
  <c r="E475" i="8"/>
  <c r="Q474" i="8"/>
  <c r="N474" i="8"/>
  <c r="K474" i="8"/>
  <c r="H474" i="8"/>
  <c r="E474" i="8"/>
  <c r="Q473" i="8"/>
  <c r="N473" i="8"/>
  <c r="K473" i="8"/>
  <c r="H473" i="8"/>
  <c r="E473" i="8"/>
  <c r="Q472" i="8"/>
  <c r="N472" i="8"/>
  <c r="K472" i="8"/>
  <c r="H472" i="8"/>
  <c r="E472" i="8"/>
  <c r="Q471" i="8"/>
  <c r="N471" i="8"/>
  <c r="K471" i="8"/>
  <c r="H471" i="8"/>
  <c r="E471" i="8"/>
  <c r="Q470" i="8"/>
  <c r="N470" i="8"/>
  <c r="K470" i="8"/>
  <c r="H470" i="8"/>
  <c r="E470" i="8"/>
  <c r="Q469" i="8"/>
  <c r="N469" i="8"/>
  <c r="K469" i="8"/>
  <c r="H469" i="8"/>
  <c r="E469" i="8"/>
  <c r="Q468" i="8"/>
  <c r="N468" i="8"/>
  <c r="K468" i="8"/>
  <c r="H468" i="8"/>
  <c r="E468" i="8"/>
  <c r="Q467" i="8"/>
  <c r="N467" i="8"/>
  <c r="K467" i="8"/>
  <c r="H467" i="8"/>
  <c r="E467" i="8"/>
  <c r="Q466" i="8"/>
  <c r="N466" i="8"/>
  <c r="K466" i="8"/>
  <c r="H466" i="8"/>
  <c r="E466" i="8"/>
  <c r="Q465" i="8"/>
  <c r="N465" i="8"/>
  <c r="K465" i="8"/>
  <c r="H465" i="8"/>
  <c r="E465" i="8"/>
  <c r="Q464" i="8"/>
  <c r="N464" i="8"/>
  <c r="K464" i="8"/>
  <c r="H464" i="8"/>
  <c r="E464" i="8"/>
  <c r="Q463" i="8"/>
  <c r="N463" i="8"/>
  <c r="K463" i="8"/>
  <c r="H463" i="8"/>
  <c r="E463" i="8"/>
  <c r="Q462" i="8"/>
  <c r="N462" i="8"/>
  <c r="K462" i="8"/>
  <c r="H462" i="8"/>
  <c r="E462" i="8"/>
  <c r="Q461" i="8"/>
  <c r="N461" i="8"/>
  <c r="K461" i="8"/>
  <c r="H461" i="8"/>
  <c r="E461" i="8"/>
  <c r="Q460" i="8"/>
  <c r="N460" i="8"/>
  <c r="K460" i="8"/>
  <c r="H460" i="8"/>
  <c r="E460" i="8"/>
  <c r="Q459" i="8"/>
  <c r="N459" i="8"/>
  <c r="K459" i="8"/>
  <c r="H459" i="8"/>
  <c r="E459" i="8"/>
  <c r="Q458" i="8"/>
  <c r="N458" i="8"/>
  <c r="K458" i="8"/>
  <c r="H458" i="8"/>
  <c r="E458" i="8"/>
  <c r="Q457" i="8"/>
  <c r="N457" i="8"/>
  <c r="K457" i="8"/>
  <c r="H457" i="8"/>
  <c r="E457" i="8"/>
  <c r="Q456" i="8"/>
  <c r="N456" i="8"/>
  <c r="K456" i="8"/>
  <c r="H456" i="8"/>
  <c r="E456" i="8"/>
  <c r="Q455" i="8"/>
  <c r="N455" i="8"/>
  <c r="K455" i="8"/>
  <c r="H455" i="8"/>
  <c r="E455" i="8"/>
  <c r="Q454" i="8"/>
  <c r="N454" i="8"/>
  <c r="K454" i="8"/>
  <c r="H454" i="8"/>
  <c r="E454" i="8"/>
  <c r="Q453" i="8"/>
  <c r="N453" i="8"/>
  <c r="K453" i="8"/>
  <c r="H453" i="8"/>
  <c r="E453" i="8"/>
  <c r="Q452" i="8"/>
  <c r="N452" i="8"/>
  <c r="K452" i="8"/>
  <c r="H452" i="8"/>
  <c r="E452" i="8"/>
  <c r="Q451" i="8"/>
  <c r="N451" i="8"/>
  <c r="K451" i="8"/>
  <c r="H451" i="8"/>
  <c r="E451" i="8"/>
  <c r="Q450" i="8"/>
  <c r="N450" i="8"/>
  <c r="K450" i="8"/>
  <c r="H450" i="8"/>
  <c r="E450" i="8"/>
  <c r="Q449" i="8"/>
  <c r="N449" i="8"/>
  <c r="K449" i="8"/>
  <c r="H449" i="8"/>
  <c r="E449" i="8"/>
  <c r="Q448" i="8"/>
  <c r="N448" i="8"/>
  <c r="K448" i="8"/>
  <c r="H448" i="8"/>
  <c r="E448" i="8"/>
  <c r="Q447" i="8"/>
  <c r="N447" i="8"/>
  <c r="K447" i="8"/>
  <c r="H447" i="8"/>
  <c r="E447" i="8"/>
  <c r="Q446" i="8"/>
  <c r="N446" i="8"/>
  <c r="K446" i="8"/>
  <c r="H446" i="8"/>
  <c r="E446" i="8"/>
  <c r="Q445" i="8"/>
  <c r="N445" i="8"/>
  <c r="K445" i="8"/>
  <c r="H445" i="8"/>
  <c r="E445" i="8"/>
  <c r="Q444" i="8"/>
  <c r="N444" i="8"/>
  <c r="K444" i="8"/>
  <c r="H444" i="8"/>
  <c r="E444" i="8"/>
  <c r="Q443" i="8"/>
  <c r="N443" i="8"/>
  <c r="K443" i="8"/>
  <c r="H443" i="8"/>
  <c r="E443" i="8"/>
  <c r="Q442" i="8"/>
  <c r="N442" i="8"/>
  <c r="K442" i="8"/>
  <c r="H442" i="8"/>
  <c r="E442" i="8"/>
  <c r="Q441" i="8"/>
  <c r="N441" i="8"/>
  <c r="K441" i="8"/>
  <c r="H441" i="8"/>
  <c r="E441" i="8"/>
  <c r="Q440" i="8"/>
  <c r="N440" i="8"/>
  <c r="K440" i="8"/>
  <c r="H440" i="8"/>
  <c r="E440" i="8"/>
  <c r="Q439" i="8"/>
  <c r="N439" i="8"/>
  <c r="K439" i="8"/>
  <c r="H439" i="8"/>
  <c r="E439" i="8"/>
  <c r="Q438" i="8"/>
  <c r="N438" i="8"/>
  <c r="K438" i="8"/>
  <c r="H438" i="8"/>
  <c r="E438" i="8"/>
  <c r="Q437" i="8"/>
  <c r="N437" i="8"/>
  <c r="K437" i="8"/>
  <c r="H437" i="8"/>
  <c r="E437" i="8"/>
  <c r="Q436" i="8"/>
  <c r="N436" i="8"/>
  <c r="K436" i="8"/>
  <c r="H436" i="8"/>
  <c r="E436" i="8"/>
  <c r="Q435" i="8"/>
  <c r="N435" i="8"/>
  <c r="K435" i="8"/>
  <c r="H435" i="8"/>
  <c r="E435" i="8"/>
  <c r="Q434" i="8"/>
  <c r="N434" i="8"/>
  <c r="K434" i="8"/>
  <c r="H434" i="8"/>
  <c r="E434" i="8"/>
  <c r="Q433" i="8"/>
  <c r="N433" i="8"/>
  <c r="K433" i="8"/>
  <c r="H433" i="8"/>
  <c r="E433" i="8"/>
  <c r="Q432" i="8"/>
  <c r="N432" i="8"/>
  <c r="K432" i="8"/>
  <c r="H432" i="8"/>
  <c r="E432" i="8"/>
  <c r="Q431" i="8"/>
  <c r="N431" i="8"/>
  <c r="K431" i="8"/>
  <c r="H431" i="8"/>
  <c r="E431" i="8"/>
  <c r="Q430" i="8"/>
  <c r="N430" i="8"/>
  <c r="K430" i="8"/>
  <c r="H430" i="8"/>
  <c r="E430" i="8"/>
  <c r="Q429" i="8"/>
  <c r="N429" i="8"/>
  <c r="K429" i="8"/>
  <c r="H429" i="8"/>
  <c r="E429" i="8"/>
  <c r="Q428" i="8"/>
  <c r="N428" i="8"/>
  <c r="K428" i="8"/>
  <c r="H428" i="8"/>
  <c r="E428" i="8"/>
  <c r="Q427" i="8"/>
  <c r="N427" i="8"/>
  <c r="K427" i="8"/>
  <c r="H427" i="8"/>
  <c r="E427" i="8"/>
  <c r="Q426" i="8"/>
  <c r="N426" i="8"/>
  <c r="K426" i="8"/>
  <c r="H426" i="8"/>
  <c r="E426" i="8"/>
  <c r="Q425" i="8"/>
  <c r="N425" i="8"/>
  <c r="K425" i="8"/>
  <c r="H425" i="8"/>
  <c r="E425" i="8"/>
  <c r="Q424" i="8"/>
  <c r="N424" i="8"/>
  <c r="K424" i="8"/>
  <c r="H424" i="8"/>
  <c r="E424" i="8"/>
  <c r="Q423" i="8"/>
  <c r="N423" i="8"/>
  <c r="K423" i="8"/>
  <c r="H423" i="8"/>
  <c r="E423" i="8"/>
  <c r="Q422" i="8"/>
  <c r="N422" i="8"/>
  <c r="K422" i="8"/>
  <c r="H422" i="8"/>
  <c r="E422" i="8"/>
  <c r="Q421" i="8"/>
  <c r="N421" i="8"/>
  <c r="K421" i="8"/>
  <c r="H421" i="8"/>
  <c r="E421" i="8"/>
  <c r="Q420" i="8"/>
  <c r="N420" i="8"/>
  <c r="K420" i="8"/>
  <c r="H420" i="8"/>
  <c r="E420" i="8"/>
  <c r="Q419" i="8"/>
  <c r="N419" i="8"/>
  <c r="K419" i="8"/>
  <c r="H419" i="8"/>
  <c r="E419" i="8"/>
  <c r="Q418" i="8"/>
  <c r="N418" i="8"/>
  <c r="K418" i="8"/>
  <c r="H418" i="8"/>
  <c r="E418" i="8"/>
  <c r="Q417" i="8"/>
  <c r="N417" i="8"/>
  <c r="K417" i="8"/>
  <c r="H417" i="8"/>
  <c r="E417" i="8"/>
  <c r="Q416" i="8"/>
  <c r="N416" i="8"/>
  <c r="K416" i="8"/>
  <c r="H416" i="8"/>
  <c r="E416" i="8"/>
  <c r="Q415" i="8"/>
  <c r="N415" i="8"/>
  <c r="K415" i="8"/>
  <c r="H415" i="8"/>
  <c r="E415" i="8"/>
  <c r="Q414" i="8"/>
  <c r="N414" i="8"/>
  <c r="K414" i="8"/>
  <c r="H414" i="8"/>
  <c r="E414" i="8"/>
  <c r="Q413" i="8"/>
  <c r="N413" i="8"/>
  <c r="K413" i="8"/>
  <c r="H413" i="8"/>
  <c r="E413" i="8"/>
  <c r="Q412" i="8"/>
  <c r="N412" i="8"/>
  <c r="K412" i="8"/>
  <c r="H412" i="8"/>
  <c r="E412" i="8"/>
  <c r="Q411" i="8"/>
  <c r="N411" i="8"/>
  <c r="K411" i="8"/>
  <c r="H411" i="8"/>
  <c r="E411" i="8"/>
  <c r="Q410" i="8"/>
  <c r="N410" i="8"/>
  <c r="K410" i="8"/>
  <c r="H410" i="8"/>
  <c r="E410" i="8"/>
  <c r="Q409" i="8"/>
  <c r="N409" i="8"/>
  <c r="K409" i="8"/>
  <c r="H409" i="8"/>
  <c r="E409" i="8"/>
  <c r="Q408" i="8"/>
  <c r="N408" i="8"/>
  <c r="K408" i="8"/>
  <c r="H408" i="8"/>
  <c r="E408" i="8"/>
  <c r="Q407" i="8"/>
  <c r="N407" i="8"/>
  <c r="K407" i="8"/>
  <c r="H407" i="8"/>
  <c r="E407" i="8"/>
  <c r="Q406" i="8"/>
  <c r="N406" i="8"/>
  <c r="K406" i="8"/>
  <c r="H406" i="8"/>
  <c r="E406" i="8"/>
  <c r="Q405" i="8"/>
  <c r="N405" i="8"/>
  <c r="K405" i="8"/>
  <c r="H405" i="8"/>
  <c r="E405" i="8"/>
  <c r="Q404" i="8"/>
  <c r="N404" i="8"/>
  <c r="K404" i="8"/>
  <c r="H404" i="8"/>
  <c r="E404" i="8"/>
  <c r="Q403" i="8"/>
  <c r="N403" i="8"/>
  <c r="K403" i="8"/>
  <c r="H403" i="8"/>
  <c r="E403" i="8"/>
  <c r="Q402" i="8"/>
  <c r="N402" i="8"/>
  <c r="K402" i="8"/>
  <c r="H402" i="8"/>
  <c r="E402" i="8"/>
  <c r="Q401" i="8"/>
  <c r="N401" i="8"/>
  <c r="K401" i="8"/>
  <c r="H401" i="8"/>
  <c r="E401" i="8"/>
  <c r="Q400" i="8"/>
  <c r="N400" i="8"/>
  <c r="K400" i="8"/>
  <c r="H400" i="8"/>
  <c r="E400" i="8"/>
  <c r="Q399" i="8"/>
  <c r="N399" i="8"/>
  <c r="K399" i="8"/>
  <c r="H399" i="8"/>
  <c r="E399" i="8"/>
  <c r="Q398" i="8"/>
  <c r="N398" i="8"/>
  <c r="K398" i="8"/>
  <c r="H398" i="8"/>
  <c r="E398" i="8"/>
  <c r="Q397" i="8"/>
  <c r="N397" i="8"/>
  <c r="K397" i="8"/>
  <c r="H397" i="8"/>
  <c r="E397" i="8"/>
  <c r="Q396" i="8"/>
  <c r="N396" i="8"/>
  <c r="K396" i="8"/>
  <c r="H396" i="8"/>
  <c r="E396" i="8"/>
  <c r="Q395" i="8"/>
  <c r="N395" i="8"/>
  <c r="K395" i="8"/>
  <c r="H395" i="8"/>
  <c r="E395" i="8"/>
  <c r="Q394" i="8"/>
  <c r="N394" i="8"/>
  <c r="K394" i="8"/>
  <c r="H394" i="8"/>
  <c r="E394" i="8"/>
  <c r="Q393" i="8"/>
  <c r="N393" i="8"/>
  <c r="K393" i="8"/>
  <c r="H393" i="8"/>
  <c r="E393" i="8"/>
  <c r="Q392" i="8"/>
  <c r="N392" i="8"/>
  <c r="K392" i="8"/>
  <c r="H392" i="8"/>
  <c r="E392" i="8"/>
  <c r="Q391" i="8"/>
  <c r="N391" i="8"/>
  <c r="K391" i="8"/>
  <c r="H391" i="8"/>
  <c r="E391" i="8"/>
  <c r="Q390" i="8"/>
  <c r="N390" i="8"/>
  <c r="K390" i="8"/>
  <c r="H390" i="8"/>
  <c r="E390" i="8"/>
  <c r="Q389" i="8"/>
  <c r="N389" i="8"/>
  <c r="K389" i="8"/>
  <c r="H389" i="8"/>
  <c r="E389" i="8"/>
  <c r="Q388" i="8"/>
  <c r="N388" i="8"/>
  <c r="K388" i="8"/>
  <c r="H388" i="8"/>
  <c r="E388" i="8"/>
  <c r="Q387" i="8"/>
  <c r="N387" i="8"/>
  <c r="K387" i="8"/>
  <c r="H387" i="8"/>
  <c r="E387" i="8"/>
  <c r="Q386" i="8"/>
  <c r="N386" i="8"/>
  <c r="K386" i="8"/>
  <c r="H386" i="8"/>
  <c r="E386" i="8"/>
  <c r="Q385" i="8"/>
  <c r="N385" i="8"/>
  <c r="K385" i="8"/>
  <c r="H385" i="8"/>
  <c r="E385" i="8"/>
  <c r="Q384" i="8"/>
  <c r="N384" i="8"/>
  <c r="K384" i="8"/>
  <c r="H384" i="8"/>
  <c r="E384" i="8"/>
  <c r="Q383" i="8"/>
  <c r="N383" i="8"/>
  <c r="K383" i="8"/>
  <c r="H383" i="8"/>
  <c r="E383" i="8"/>
  <c r="Q382" i="8"/>
  <c r="N382" i="8"/>
  <c r="K382" i="8"/>
  <c r="H382" i="8"/>
  <c r="E382" i="8"/>
  <c r="Q381" i="8"/>
  <c r="N381" i="8"/>
  <c r="K381" i="8"/>
  <c r="H381" i="8"/>
  <c r="E381" i="8"/>
  <c r="Q380" i="8"/>
  <c r="N380" i="8"/>
  <c r="K380" i="8"/>
  <c r="H380" i="8"/>
  <c r="E380" i="8"/>
  <c r="Q379" i="8"/>
  <c r="N379" i="8"/>
  <c r="K379" i="8"/>
  <c r="H379" i="8"/>
  <c r="E379" i="8"/>
  <c r="Q378" i="8"/>
  <c r="N378" i="8"/>
  <c r="K378" i="8"/>
  <c r="H378" i="8"/>
  <c r="E378" i="8"/>
  <c r="Q377" i="8"/>
  <c r="N377" i="8"/>
  <c r="K377" i="8"/>
  <c r="H377" i="8"/>
  <c r="E377" i="8"/>
  <c r="Q376" i="8"/>
  <c r="N376" i="8"/>
  <c r="K376" i="8"/>
  <c r="H376" i="8"/>
  <c r="E376" i="8"/>
  <c r="Q375" i="8"/>
  <c r="N375" i="8"/>
  <c r="K375" i="8"/>
  <c r="H375" i="8"/>
  <c r="E375" i="8"/>
  <c r="Q374" i="8"/>
  <c r="N374" i="8"/>
  <c r="K374" i="8"/>
  <c r="H374" i="8"/>
  <c r="E374" i="8"/>
  <c r="Q373" i="8"/>
  <c r="N373" i="8"/>
  <c r="K373" i="8"/>
  <c r="H373" i="8"/>
  <c r="E373" i="8"/>
  <c r="Q372" i="8"/>
  <c r="N372" i="8"/>
  <c r="K372" i="8"/>
  <c r="H372" i="8"/>
  <c r="E372" i="8"/>
  <c r="Q371" i="8"/>
  <c r="N371" i="8"/>
  <c r="K371" i="8"/>
  <c r="H371" i="8"/>
  <c r="E371" i="8"/>
  <c r="Q370" i="8"/>
  <c r="N370" i="8"/>
  <c r="K370" i="8"/>
  <c r="H370" i="8"/>
  <c r="E370" i="8"/>
  <c r="Q369" i="8"/>
  <c r="N369" i="8"/>
  <c r="K369" i="8"/>
  <c r="H369" i="8"/>
  <c r="E369" i="8"/>
  <c r="Q368" i="8"/>
  <c r="N368" i="8"/>
  <c r="K368" i="8"/>
  <c r="H368" i="8"/>
  <c r="E368" i="8"/>
  <c r="Q367" i="8"/>
  <c r="N367" i="8"/>
  <c r="K367" i="8"/>
  <c r="H367" i="8"/>
  <c r="E367" i="8"/>
  <c r="Q366" i="8"/>
  <c r="N366" i="8"/>
  <c r="K366" i="8"/>
  <c r="H366" i="8"/>
  <c r="E366" i="8"/>
  <c r="Q365" i="8"/>
  <c r="N365" i="8"/>
  <c r="K365" i="8"/>
  <c r="H365" i="8"/>
  <c r="E365" i="8"/>
  <c r="Q364" i="8"/>
  <c r="N364" i="8"/>
  <c r="K364" i="8"/>
  <c r="H364" i="8"/>
  <c r="E364" i="8"/>
  <c r="Q363" i="8"/>
  <c r="N363" i="8"/>
  <c r="K363" i="8"/>
  <c r="H363" i="8"/>
  <c r="E363" i="8"/>
  <c r="Q362" i="8"/>
  <c r="N362" i="8"/>
  <c r="K362" i="8"/>
  <c r="H362" i="8"/>
  <c r="E362" i="8"/>
  <c r="Q361" i="8"/>
  <c r="N361" i="8"/>
  <c r="K361" i="8"/>
  <c r="H361" i="8"/>
  <c r="E361" i="8"/>
  <c r="Q360" i="8"/>
  <c r="N360" i="8"/>
  <c r="K360" i="8"/>
  <c r="H360" i="8"/>
  <c r="E360" i="8"/>
  <c r="Q359" i="8"/>
  <c r="N359" i="8"/>
  <c r="K359" i="8"/>
  <c r="H359" i="8"/>
  <c r="E359" i="8"/>
  <c r="Q358" i="8"/>
  <c r="N358" i="8"/>
  <c r="K358" i="8"/>
  <c r="H358" i="8"/>
  <c r="E358" i="8"/>
  <c r="Q357" i="8"/>
  <c r="N357" i="8"/>
  <c r="K357" i="8"/>
  <c r="H357" i="8"/>
  <c r="E357" i="8"/>
  <c r="Q356" i="8"/>
  <c r="N356" i="8"/>
  <c r="K356" i="8"/>
  <c r="H356" i="8"/>
  <c r="E356" i="8"/>
  <c r="Q355" i="8"/>
  <c r="N355" i="8"/>
  <c r="K355" i="8"/>
  <c r="H355" i="8"/>
  <c r="E355" i="8"/>
  <c r="Q354" i="8"/>
  <c r="N354" i="8"/>
  <c r="K354" i="8"/>
  <c r="H354" i="8"/>
  <c r="E354" i="8"/>
  <c r="Q353" i="8"/>
  <c r="N353" i="8"/>
  <c r="K353" i="8"/>
  <c r="H353" i="8"/>
  <c r="E353" i="8"/>
  <c r="Q352" i="8"/>
  <c r="N352" i="8"/>
  <c r="K352" i="8"/>
  <c r="H352" i="8"/>
  <c r="E352" i="8"/>
  <c r="Q351" i="8"/>
  <c r="N351" i="8"/>
  <c r="K351" i="8"/>
  <c r="H351" i="8"/>
  <c r="E351" i="8"/>
  <c r="Q350" i="8"/>
  <c r="N350" i="8"/>
  <c r="K350" i="8"/>
  <c r="H350" i="8"/>
  <c r="E350" i="8"/>
  <c r="Q349" i="8"/>
  <c r="N349" i="8"/>
  <c r="K349" i="8"/>
  <c r="H349" i="8"/>
  <c r="E349" i="8"/>
  <c r="Q348" i="8"/>
  <c r="N348" i="8"/>
  <c r="K348" i="8"/>
  <c r="H348" i="8"/>
  <c r="E348" i="8"/>
  <c r="Q347" i="8"/>
  <c r="N347" i="8"/>
  <c r="K347" i="8"/>
  <c r="H347" i="8"/>
  <c r="E347" i="8"/>
  <c r="Q346" i="8"/>
  <c r="N346" i="8"/>
  <c r="K346" i="8"/>
  <c r="H346" i="8"/>
  <c r="E346" i="8"/>
  <c r="Q345" i="8"/>
  <c r="N345" i="8"/>
  <c r="K345" i="8"/>
  <c r="H345" i="8"/>
  <c r="E345" i="8"/>
  <c r="Q344" i="8"/>
  <c r="N344" i="8"/>
  <c r="K344" i="8"/>
  <c r="H344" i="8"/>
  <c r="E344" i="8"/>
  <c r="Q343" i="8"/>
  <c r="N343" i="8"/>
  <c r="K343" i="8"/>
  <c r="H343" i="8"/>
  <c r="E343" i="8"/>
  <c r="Q342" i="8"/>
  <c r="N342" i="8"/>
  <c r="K342" i="8"/>
  <c r="H342" i="8"/>
  <c r="E342" i="8"/>
  <c r="Q341" i="8"/>
  <c r="N341" i="8"/>
  <c r="K341" i="8"/>
  <c r="H341" i="8"/>
  <c r="E341" i="8"/>
  <c r="Q340" i="8"/>
  <c r="N340" i="8"/>
  <c r="K340" i="8"/>
  <c r="H340" i="8"/>
  <c r="E340" i="8"/>
  <c r="Q339" i="8"/>
  <c r="N339" i="8"/>
  <c r="K339" i="8"/>
  <c r="H339" i="8"/>
  <c r="E339" i="8"/>
  <c r="Q338" i="8"/>
  <c r="N338" i="8"/>
  <c r="K338" i="8"/>
  <c r="H338" i="8"/>
  <c r="E338" i="8"/>
  <c r="Q337" i="8"/>
  <c r="N337" i="8"/>
  <c r="K337" i="8"/>
  <c r="H337" i="8"/>
  <c r="E337" i="8"/>
  <c r="Q336" i="8"/>
  <c r="N336" i="8"/>
  <c r="K336" i="8"/>
  <c r="H336" i="8"/>
  <c r="E336" i="8"/>
  <c r="Q335" i="8"/>
  <c r="N335" i="8"/>
  <c r="K335" i="8"/>
  <c r="H335" i="8"/>
  <c r="E335" i="8"/>
  <c r="Q334" i="8"/>
  <c r="N334" i="8"/>
  <c r="K334" i="8"/>
  <c r="H334" i="8"/>
  <c r="E334" i="8"/>
  <c r="Q333" i="8"/>
  <c r="N333" i="8"/>
  <c r="K333" i="8"/>
  <c r="H333" i="8"/>
  <c r="E333" i="8"/>
  <c r="Q332" i="8"/>
  <c r="N332" i="8"/>
  <c r="K332" i="8"/>
  <c r="H332" i="8"/>
  <c r="E332" i="8"/>
  <c r="Q331" i="8"/>
  <c r="N331" i="8"/>
  <c r="K331" i="8"/>
  <c r="H331" i="8"/>
  <c r="E331" i="8"/>
  <c r="Q330" i="8"/>
  <c r="N330" i="8"/>
  <c r="K330" i="8"/>
  <c r="H330" i="8"/>
  <c r="E330" i="8"/>
  <c r="Q329" i="8"/>
  <c r="N329" i="8"/>
  <c r="K329" i="8"/>
  <c r="H329" i="8"/>
  <c r="E329" i="8"/>
  <c r="Q328" i="8"/>
  <c r="N328" i="8"/>
  <c r="K328" i="8"/>
  <c r="H328" i="8"/>
  <c r="E328" i="8"/>
  <c r="Q327" i="8"/>
  <c r="N327" i="8"/>
  <c r="K327" i="8"/>
  <c r="H327" i="8"/>
  <c r="E327" i="8"/>
  <c r="Q326" i="8"/>
  <c r="N326" i="8"/>
  <c r="K326" i="8"/>
  <c r="H326" i="8"/>
  <c r="E326" i="8"/>
  <c r="Q325" i="8"/>
  <c r="N325" i="8"/>
  <c r="K325" i="8"/>
  <c r="H325" i="8"/>
  <c r="E325" i="8"/>
  <c r="Q324" i="8"/>
  <c r="N324" i="8"/>
  <c r="K324" i="8"/>
  <c r="H324" i="8"/>
  <c r="E324" i="8"/>
  <c r="Q323" i="8"/>
  <c r="N323" i="8"/>
  <c r="K323" i="8"/>
  <c r="H323" i="8"/>
  <c r="E323" i="8"/>
  <c r="Q322" i="8"/>
  <c r="N322" i="8"/>
  <c r="K322" i="8"/>
  <c r="H322" i="8"/>
  <c r="E322" i="8"/>
  <c r="Q321" i="8"/>
  <c r="N321" i="8"/>
  <c r="K321" i="8"/>
  <c r="H321" i="8"/>
  <c r="E321" i="8"/>
  <c r="Q320" i="8"/>
  <c r="N320" i="8"/>
  <c r="K320" i="8"/>
  <c r="H320" i="8"/>
  <c r="E320" i="8"/>
  <c r="Q319" i="8"/>
  <c r="N319" i="8"/>
  <c r="K319" i="8"/>
  <c r="H319" i="8"/>
  <c r="E319" i="8"/>
  <c r="Q318" i="8"/>
  <c r="N318" i="8"/>
  <c r="K318" i="8"/>
  <c r="H318" i="8"/>
  <c r="E318" i="8"/>
  <c r="Q317" i="8"/>
  <c r="N317" i="8"/>
  <c r="K317" i="8"/>
  <c r="H317" i="8"/>
  <c r="E317" i="8"/>
  <c r="Q316" i="8"/>
  <c r="N316" i="8"/>
  <c r="K316" i="8"/>
  <c r="H316" i="8"/>
  <c r="E316" i="8"/>
  <c r="Q315" i="8"/>
  <c r="N315" i="8"/>
  <c r="K315" i="8"/>
  <c r="H315" i="8"/>
  <c r="E315" i="8"/>
  <c r="Q314" i="8"/>
  <c r="N314" i="8"/>
  <c r="K314" i="8"/>
  <c r="H314" i="8"/>
  <c r="E314" i="8"/>
  <c r="Q313" i="8"/>
  <c r="N313" i="8"/>
  <c r="K313" i="8"/>
  <c r="H313" i="8"/>
  <c r="E313" i="8"/>
  <c r="Q312" i="8"/>
  <c r="N312" i="8"/>
  <c r="K312" i="8"/>
  <c r="H312" i="8"/>
  <c r="E312" i="8"/>
  <c r="Q311" i="8"/>
  <c r="N311" i="8"/>
  <c r="K311" i="8"/>
  <c r="H311" i="8"/>
  <c r="E311" i="8"/>
  <c r="Q310" i="8"/>
  <c r="N310" i="8"/>
  <c r="K310" i="8"/>
  <c r="H310" i="8"/>
  <c r="E310" i="8"/>
  <c r="Q309" i="8"/>
  <c r="N309" i="8"/>
  <c r="K309" i="8"/>
  <c r="H309" i="8"/>
  <c r="E309" i="8"/>
  <c r="Q308" i="8"/>
  <c r="N308" i="8"/>
  <c r="K308" i="8"/>
  <c r="H308" i="8"/>
  <c r="E308" i="8"/>
  <c r="Q307" i="8"/>
  <c r="N307" i="8"/>
  <c r="K307" i="8"/>
  <c r="H307" i="8"/>
  <c r="E307" i="8"/>
  <c r="Q306" i="8"/>
  <c r="N306" i="8"/>
  <c r="K306" i="8"/>
  <c r="H306" i="8"/>
  <c r="E306" i="8"/>
  <c r="Q305" i="8"/>
  <c r="N305" i="8"/>
  <c r="K305" i="8"/>
  <c r="H305" i="8"/>
  <c r="E305" i="8"/>
  <c r="Q304" i="8"/>
  <c r="N304" i="8"/>
  <c r="K304" i="8"/>
  <c r="H304" i="8"/>
  <c r="E304" i="8"/>
  <c r="Q303" i="8"/>
  <c r="N303" i="8"/>
  <c r="K303" i="8"/>
  <c r="H303" i="8"/>
  <c r="E303" i="8"/>
  <c r="Q302" i="8"/>
  <c r="N302" i="8"/>
  <c r="K302" i="8"/>
  <c r="H302" i="8"/>
  <c r="E302" i="8"/>
  <c r="Q301" i="8"/>
  <c r="N301" i="8"/>
  <c r="K301" i="8"/>
  <c r="H301" i="8"/>
  <c r="E301" i="8"/>
  <c r="Q300" i="8"/>
  <c r="N300" i="8"/>
  <c r="K300" i="8"/>
  <c r="H300" i="8"/>
  <c r="E300" i="8"/>
  <c r="Q299" i="8"/>
  <c r="N299" i="8"/>
  <c r="K299" i="8"/>
  <c r="H299" i="8"/>
  <c r="E299" i="8"/>
  <c r="Q298" i="8"/>
  <c r="N298" i="8"/>
  <c r="K298" i="8"/>
  <c r="H298" i="8"/>
  <c r="E298" i="8"/>
  <c r="Q297" i="8"/>
  <c r="N297" i="8"/>
  <c r="K297" i="8"/>
  <c r="H297" i="8"/>
  <c r="E297" i="8"/>
  <c r="Q296" i="8"/>
  <c r="N296" i="8"/>
  <c r="K296" i="8"/>
  <c r="H296" i="8"/>
  <c r="E296" i="8"/>
  <c r="Q295" i="8"/>
  <c r="N295" i="8"/>
  <c r="K295" i="8"/>
  <c r="H295" i="8"/>
  <c r="E295" i="8"/>
  <c r="Q294" i="8"/>
  <c r="N294" i="8"/>
  <c r="K294" i="8"/>
  <c r="H294" i="8"/>
  <c r="E294" i="8"/>
  <c r="Q293" i="8"/>
  <c r="N293" i="8"/>
  <c r="K293" i="8"/>
  <c r="H293" i="8"/>
  <c r="E293" i="8"/>
  <c r="Q292" i="8"/>
  <c r="N292" i="8"/>
  <c r="K292" i="8"/>
  <c r="H292" i="8"/>
  <c r="E292" i="8"/>
  <c r="Q291" i="8"/>
  <c r="N291" i="8"/>
  <c r="K291" i="8"/>
  <c r="H291" i="8"/>
  <c r="E291" i="8"/>
  <c r="Q290" i="8"/>
  <c r="N290" i="8"/>
  <c r="K290" i="8"/>
  <c r="H290" i="8"/>
  <c r="E290" i="8"/>
  <c r="Q289" i="8"/>
  <c r="N289" i="8"/>
  <c r="K289" i="8"/>
  <c r="H289" i="8"/>
  <c r="E289" i="8"/>
  <c r="Q288" i="8"/>
  <c r="N288" i="8"/>
  <c r="K288" i="8"/>
  <c r="H288" i="8"/>
  <c r="E288" i="8"/>
  <c r="Q287" i="8"/>
  <c r="N287" i="8"/>
  <c r="K287" i="8"/>
  <c r="H287" i="8"/>
  <c r="E287" i="8"/>
  <c r="Q286" i="8"/>
  <c r="N286" i="8"/>
  <c r="K286" i="8"/>
  <c r="H286" i="8"/>
  <c r="E286" i="8"/>
  <c r="Q285" i="8"/>
  <c r="N285" i="8"/>
  <c r="K285" i="8"/>
  <c r="H285" i="8"/>
  <c r="E285" i="8"/>
  <c r="Q284" i="8"/>
  <c r="N284" i="8"/>
  <c r="K284" i="8"/>
  <c r="H284" i="8"/>
  <c r="E284" i="8"/>
  <c r="Q283" i="8"/>
  <c r="N283" i="8"/>
  <c r="K283" i="8"/>
  <c r="H283" i="8"/>
  <c r="E283" i="8"/>
  <c r="Q282" i="8"/>
  <c r="N282" i="8"/>
  <c r="K282" i="8"/>
  <c r="H282" i="8"/>
  <c r="E282" i="8"/>
  <c r="Q281" i="8"/>
  <c r="N281" i="8"/>
  <c r="K281" i="8"/>
  <c r="H281" i="8"/>
  <c r="E281" i="8"/>
  <c r="Q280" i="8"/>
  <c r="N280" i="8"/>
  <c r="K280" i="8"/>
  <c r="H280" i="8"/>
  <c r="E280" i="8"/>
  <c r="Q279" i="8"/>
  <c r="N279" i="8"/>
  <c r="K279" i="8"/>
  <c r="H279" i="8"/>
  <c r="E279" i="8"/>
  <c r="Q278" i="8"/>
  <c r="N278" i="8"/>
  <c r="K278" i="8"/>
  <c r="H278" i="8"/>
  <c r="E278" i="8"/>
  <c r="Q277" i="8"/>
  <c r="N277" i="8"/>
  <c r="K277" i="8"/>
  <c r="H277" i="8"/>
  <c r="E277" i="8"/>
  <c r="Q276" i="8"/>
  <c r="N276" i="8"/>
  <c r="K276" i="8"/>
  <c r="H276" i="8"/>
  <c r="E276" i="8"/>
  <c r="Q275" i="8"/>
  <c r="N275" i="8"/>
  <c r="K275" i="8"/>
  <c r="H275" i="8"/>
  <c r="E275" i="8"/>
  <c r="Q274" i="8"/>
  <c r="N274" i="8"/>
  <c r="K274" i="8"/>
  <c r="H274" i="8"/>
  <c r="E274" i="8"/>
  <c r="Q273" i="8"/>
  <c r="N273" i="8"/>
  <c r="K273" i="8"/>
  <c r="H273" i="8"/>
  <c r="E273" i="8"/>
  <c r="Q272" i="8"/>
  <c r="N272" i="8"/>
  <c r="K272" i="8"/>
  <c r="H272" i="8"/>
  <c r="E272" i="8"/>
  <c r="Q271" i="8"/>
  <c r="N271" i="8"/>
  <c r="K271" i="8"/>
  <c r="H271" i="8"/>
  <c r="E271" i="8"/>
  <c r="Q270" i="8"/>
  <c r="N270" i="8"/>
  <c r="K270" i="8"/>
  <c r="H270" i="8"/>
  <c r="E270" i="8"/>
  <c r="Q269" i="8"/>
  <c r="N269" i="8"/>
  <c r="K269" i="8"/>
  <c r="H269" i="8"/>
  <c r="E269" i="8"/>
  <c r="Q268" i="8"/>
  <c r="N268" i="8"/>
  <c r="K268" i="8"/>
  <c r="H268" i="8"/>
  <c r="E268" i="8"/>
  <c r="Q267" i="8"/>
  <c r="N267" i="8"/>
  <c r="K267" i="8"/>
  <c r="H267" i="8"/>
  <c r="E267" i="8"/>
  <c r="Q266" i="8"/>
  <c r="N266" i="8"/>
  <c r="K266" i="8"/>
  <c r="H266" i="8"/>
  <c r="E266" i="8"/>
  <c r="Q265" i="8"/>
  <c r="N265" i="8"/>
  <c r="K265" i="8"/>
  <c r="H265" i="8"/>
  <c r="E265" i="8"/>
  <c r="Q264" i="8"/>
  <c r="N264" i="8"/>
  <c r="K264" i="8"/>
  <c r="H264" i="8"/>
  <c r="E264" i="8"/>
  <c r="Q263" i="8"/>
  <c r="N263" i="8"/>
  <c r="K263" i="8"/>
  <c r="H263" i="8"/>
  <c r="E263" i="8"/>
  <c r="Q262" i="8"/>
  <c r="N262" i="8"/>
  <c r="K262" i="8"/>
  <c r="H262" i="8"/>
  <c r="E262" i="8"/>
  <c r="Q261" i="8"/>
  <c r="N261" i="8"/>
  <c r="K261" i="8"/>
  <c r="H261" i="8"/>
  <c r="E261" i="8"/>
  <c r="Q260" i="8"/>
  <c r="N260" i="8"/>
  <c r="K260" i="8"/>
  <c r="H260" i="8"/>
  <c r="E260" i="8"/>
  <c r="Q259" i="8"/>
  <c r="N259" i="8"/>
  <c r="K259" i="8"/>
  <c r="H259" i="8"/>
  <c r="E259" i="8"/>
  <c r="Q258" i="8"/>
  <c r="N258" i="8"/>
  <c r="K258" i="8"/>
  <c r="H258" i="8"/>
  <c r="E258" i="8"/>
  <c r="Q257" i="8"/>
  <c r="N257" i="8"/>
  <c r="K257" i="8"/>
  <c r="H257" i="8"/>
  <c r="E257" i="8"/>
  <c r="Q256" i="8"/>
  <c r="N256" i="8"/>
  <c r="K256" i="8"/>
  <c r="H256" i="8"/>
  <c r="E256" i="8"/>
  <c r="Q255" i="8"/>
  <c r="N255" i="8"/>
  <c r="K255" i="8"/>
  <c r="H255" i="8"/>
  <c r="E255" i="8"/>
  <c r="Q254" i="8"/>
  <c r="N254" i="8"/>
  <c r="K254" i="8"/>
  <c r="H254" i="8"/>
  <c r="E254" i="8"/>
  <c r="Q253" i="8"/>
  <c r="N253" i="8"/>
  <c r="K253" i="8"/>
  <c r="H253" i="8"/>
  <c r="E253" i="8"/>
  <c r="Q252" i="8"/>
  <c r="N252" i="8"/>
  <c r="K252" i="8"/>
  <c r="H252" i="8"/>
  <c r="E252" i="8"/>
  <c r="Q251" i="8"/>
  <c r="N251" i="8"/>
  <c r="K251" i="8"/>
  <c r="H251" i="8"/>
  <c r="E251" i="8"/>
  <c r="Q250" i="8"/>
  <c r="N250" i="8"/>
  <c r="K250" i="8"/>
  <c r="H250" i="8"/>
  <c r="E250" i="8"/>
  <c r="Q249" i="8"/>
  <c r="N249" i="8"/>
  <c r="K249" i="8"/>
  <c r="H249" i="8"/>
  <c r="E249" i="8"/>
  <c r="Q248" i="8"/>
  <c r="N248" i="8"/>
  <c r="K248" i="8"/>
  <c r="H248" i="8"/>
  <c r="E248" i="8"/>
  <c r="Q247" i="8"/>
  <c r="N247" i="8"/>
  <c r="K247" i="8"/>
  <c r="H247" i="8"/>
  <c r="E247" i="8"/>
  <c r="Q246" i="8"/>
  <c r="N246" i="8"/>
  <c r="K246" i="8"/>
  <c r="H246" i="8"/>
  <c r="E246" i="8"/>
  <c r="Q245" i="8"/>
  <c r="N245" i="8"/>
  <c r="K245" i="8"/>
  <c r="H245" i="8"/>
  <c r="E245" i="8"/>
  <c r="Q244" i="8"/>
  <c r="N244" i="8"/>
  <c r="K244" i="8"/>
  <c r="H244" i="8"/>
  <c r="E244" i="8"/>
  <c r="Q243" i="8"/>
  <c r="N243" i="8"/>
  <c r="K243" i="8"/>
  <c r="H243" i="8"/>
  <c r="E243" i="8"/>
  <c r="Q242" i="8"/>
  <c r="N242" i="8"/>
  <c r="K242" i="8"/>
  <c r="H242" i="8"/>
  <c r="E242" i="8"/>
  <c r="Q241" i="8"/>
  <c r="N241" i="8"/>
  <c r="K241" i="8"/>
  <c r="H241" i="8"/>
  <c r="E241" i="8"/>
  <c r="Q240" i="8"/>
  <c r="N240" i="8"/>
  <c r="K240" i="8"/>
  <c r="H240" i="8"/>
  <c r="E240" i="8"/>
  <c r="Q239" i="8"/>
  <c r="N239" i="8"/>
  <c r="K239" i="8"/>
  <c r="H239" i="8"/>
  <c r="E239" i="8"/>
  <c r="Q238" i="8"/>
  <c r="N238" i="8"/>
  <c r="K238" i="8"/>
  <c r="H238" i="8"/>
  <c r="E238" i="8"/>
  <c r="Q237" i="8"/>
  <c r="N237" i="8"/>
  <c r="K237" i="8"/>
  <c r="H237" i="8"/>
  <c r="E237" i="8"/>
  <c r="Q236" i="8"/>
  <c r="N236" i="8"/>
  <c r="K236" i="8"/>
  <c r="H236" i="8"/>
  <c r="E236" i="8"/>
  <c r="Q235" i="8"/>
  <c r="N235" i="8"/>
  <c r="K235" i="8"/>
  <c r="H235" i="8"/>
  <c r="E235" i="8"/>
  <c r="Q234" i="8"/>
  <c r="N234" i="8"/>
  <c r="K234" i="8"/>
  <c r="H234" i="8"/>
  <c r="E234" i="8"/>
  <c r="Q233" i="8"/>
  <c r="N233" i="8"/>
  <c r="K233" i="8"/>
  <c r="H233" i="8"/>
  <c r="E233" i="8"/>
  <c r="Q232" i="8"/>
  <c r="N232" i="8"/>
  <c r="K232" i="8"/>
  <c r="H232" i="8"/>
  <c r="E232" i="8"/>
  <c r="Q231" i="8"/>
  <c r="N231" i="8"/>
  <c r="K231" i="8"/>
  <c r="H231" i="8"/>
  <c r="E231" i="8"/>
  <c r="Q230" i="8"/>
  <c r="N230" i="8"/>
  <c r="K230" i="8"/>
  <c r="H230" i="8"/>
  <c r="E230" i="8"/>
  <c r="Q229" i="8"/>
  <c r="N229" i="8"/>
  <c r="K229" i="8"/>
  <c r="H229" i="8"/>
  <c r="E229" i="8"/>
  <c r="Q228" i="8"/>
  <c r="N228" i="8"/>
  <c r="K228" i="8"/>
  <c r="H228" i="8"/>
  <c r="E228" i="8"/>
  <c r="Q227" i="8"/>
  <c r="N227" i="8"/>
  <c r="K227" i="8"/>
  <c r="H227" i="8"/>
  <c r="E227" i="8"/>
  <c r="Q226" i="8"/>
  <c r="N226" i="8"/>
  <c r="K226" i="8"/>
  <c r="H226" i="8"/>
  <c r="E226" i="8"/>
  <c r="Q225" i="8"/>
  <c r="N225" i="8"/>
  <c r="K225" i="8"/>
  <c r="H225" i="8"/>
  <c r="E225" i="8"/>
  <c r="Q224" i="8"/>
  <c r="N224" i="8"/>
  <c r="K224" i="8"/>
  <c r="H224" i="8"/>
  <c r="E224" i="8"/>
  <c r="Q223" i="8"/>
  <c r="N223" i="8"/>
  <c r="K223" i="8"/>
  <c r="H223" i="8"/>
  <c r="E223" i="8"/>
  <c r="Q222" i="8"/>
  <c r="N222" i="8"/>
  <c r="K222" i="8"/>
  <c r="H222" i="8"/>
  <c r="E222" i="8"/>
  <c r="Q221" i="8"/>
  <c r="N221" i="8"/>
  <c r="K221" i="8"/>
  <c r="H221" i="8"/>
  <c r="E221" i="8"/>
  <c r="Q220" i="8"/>
  <c r="N220" i="8"/>
  <c r="K220" i="8"/>
  <c r="H220" i="8"/>
  <c r="E220" i="8"/>
  <c r="Q219" i="8"/>
  <c r="N219" i="8"/>
  <c r="K219" i="8"/>
  <c r="H219" i="8"/>
  <c r="E219" i="8"/>
  <c r="Q218" i="8"/>
  <c r="N218" i="8"/>
  <c r="K218" i="8"/>
  <c r="H218" i="8"/>
  <c r="E218" i="8"/>
  <c r="Q217" i="8"/>
  <c r="N217" i="8"/>
  <c r="K217" i="8"/>
  <c r="H217" i="8"/>
  <c r="E217" i="8"/>
  <c r="Q216" i="8"/>
  <c r="N216" i="8"/>
  <c r="K216" i="8"/>
  <c r="H216" i="8"/>
  <c r="E216" i="8"/>
  <c r="Q215" i="8"/>
  <c r="N215" i="8"/>
  <c r="K215" i="8"/>
  <c r="H215" i="8"/>
  <c r="E215" i="8"/>
  <c r="Q214" i="8"/>
  <c r="N214" i="8"/>
  <c r="K214" i="8"/>
  <c r="H214" i="8"/>
  <c r="E214" i="8"/>
  <c r="Q213" i="8"/>
  <c r="N213" i="8"/>
  <c r="K213" i="8"/>
  <c r="H213" i="8"/>
  <c r="E213" i="8"/>
  <c r="Q212" i="8"/>
  <c r="N212" i="8"/>
  <c r="K212" i="8"/>
  <c r="H212" i="8"/>
  <c r="E212" i="8"/>
  <c r="Q211" i="8"/>
  <c r="N211" i="8"/>
  <c r="K211" i="8"/>
  <c r="H211" i="8"/>
  <c r="E211" i="8"/>
  <c r="Q210" i="8"/>
  <c r="N210" i="8"/>
  <c r="K210" i="8"/>
  <c r="H210" i="8"/>
  <c r="E210" i="8"/>
  <c r="Q209" i="8"/>
  <c r="N209" i="8"/>
  <c r="K209" i="8"/>
  <c r="H209" i="8"/>
  <c r="E209" i="8"/>
  <c r="Q208" i="8"/>
  <c r="N208" i="8"/>
  <c r="K208" i="8"/>
  <c r="H208" i="8"/>
  <c r="E208" i="8"/>
  <c r="Q207" i="8"/>
  <c r="N207" i="8"/>
  <c r="K207" i="8"/>
  <c r="H207" i="8"/>
  <c r="E207" i="8"/>
  <c r="Q206" i="8"/>
  <c r="N206" i="8"/>
  <c r="K206" i="8"/>
  <c r="H206" i="8"/>
  <c r="E206" i="8"/>
  <c r="Q205" i="8"/>
  <c r="N205" i="8"/>
  <c r="K205" i="8"/>
  <c r="H205" i="8"/>
  <c r="E205" i="8"/>
  <c r="Q204" i="8"/>
  <c r="N204" i="8"/>
  <c r="K204" i="8"/>
  <c r="H204" i="8"/>
  <c r="E204" i="8"/>
  <c r="Q203" i="8"/>
  <c r="N203" i="8"/>
  <c r="K203" i="8"/>
  <c r="H203" i="8"/>
  <c r="E203" i="8"/>
  <c r="Q202" i="8"/>
  <c r="N202" i="8"/>
  <c r="K202" i="8"/>
  <c r="H202" i="8"/>
  <c r="E202" i="8"/>
  <c r="Q201" i="8"/>
  <c r="N201" i="8"/>
  <c r="K201" i="8"/>
  <c r="H201" i="8"/>
  <c r="E201" i="8"/>
  <c r="Q200" i="8"/>
  <c r="N200" i="8"/>
  <c r="K200" i="8"/>
  <c r="H200" i="8"/>
  <c r="E200" i="8"/>
  <c r="Q199" i="8"/>
  <c r="N199" i="8"/>
  <c r="K199" i="8"/>
  <c r="H199" i="8"/>
  <c r="E199" i="8"/>
  <c r="Q198" i="8"/>
  <c r="N198" i="8"/>
  <c r="K198" i="8"/>
  <c r="H198" i="8"/>
  <c r="E198" i="8"/>
  <c r="Q197" i="8"/>
  <c r="N197" i="8"/>
  <c r="K197" i="8"/>
  <c r="H197" i="8"/>
  <c r="E197" i="8"/>
  <c r="Q196" i="8"/>
  <c r="N196" i="8"/>
  <c r="K196" i="8"/>
  <c r="H196" i="8"/>
  <c r="E196" i="8"/>
  <c r="Q195" i="8"/>
  <c r="N195" i="8"/>
  <c r="K195" i="8"/>
  <c r="H195" i="8"/>
  <c r="E195" i="8"/>
  <c r="Q194" i="8"/>
  <c r="N194" i="8"/>
  <c r="K194" i="8"/>
  <c r="H194" i="8"/>
  <c r="E194" i="8"/>
  <c r="Q193" i="8"/>
  <c r="N193" i="8"/>
  <c r="K193" i="8"/>
  <c r="H193" i="8"/>
  <c r="E193" i="8"/>
  <c r="Q192" i="8"/>
  <c r="N192" i="8"/>
  <c r="K192" i="8"/>
  <c r="H192" i="8"/>
  <c r="E192" i="8"/>
  <c r="Q191" i="8"/>
  <c r="N191" i="8"/>
  <c r="K191" i="8"/>
  <c r="H191" i="8"/>
  <c r="E191" i="8"/>
  <c r="Q190" i="8"/>
  <c r="N190" i="8"/>
  <c r="K190" i="8"/>
  <c r="H190" i="8"/>
  <c r="E190" i="8"/>
  <c r="Q189" i="8"/>
  <c r="N189" i="8"/>
  <c r="K189" i="8"/>
  <c r="H189" i="8"/>
  <c r="E189" i="8"/>
  <c r="Q188" i="8"/>
  <c r="N188" i="8"/>
  <c r="K188" i="8"/>
  <c r="H188" i="8"/>
  <c r="E188" i="8"/>
  <c r="Q187" i="8"/>
  <c r="N187" i="8"/>
  <c r="K187" i="8"/>
  <c r="H187" i="8"/>
  <c r="E187" i="8"/>
  <c r="Q186" i="8"/>
  <c r="N186" i="8"/>
  <c r="K186" i="8"/>
  <c r="H186" i="8"/>
  <c r="E186" i="8"/>
  <c r="Q185" i="8"/>
  <c r="N185" i="8"/>
  <c r="K185" i="8"/>
  <c r="H185" i="8"/>
  <c r="E185" i="8"/>
  <c r="Q184" i="8"/>
  <c r="N184" i="8"/>
  <c r="K184" i="8"/>
  <c r="H184" i="8"/>
  <c r="E184" i="8"/>
  <c r="Q183" i="8"/>
  <c r="N183" i="8"/>
  <c r="K183" i="8"/>
  <c r="H183" i="8"/>
  <c r="E183" i="8"/>
  <c r="Q182" i="8"/>
  <c r="N182" i="8"/>
  <c r="K182" i="8"/>
  <c r="H182" i="8"/>
  <c r="E182" i="8"/>
  <c r="Q181" i="8"/>
  <c r="N181" i="8"/>
  <c r="K181" i="8"/>
  <c r="H181" i="8"/>
  <c r="E181" i="8"/>
  <c r="Q180" i="8"/>
  <c r="N180" i="8"/>
  <c r="K180" i="8"/>
  <c r="H180" i="8"/>
  <c r="E180" i="8"/>
  <c r="Q179" i="8"/>
  <c r="N179" i="8"/>
  <c r="K179" i="8"/>
  <c r="H179" i="8"/>
  <c r="E179" i="8"/>
  <c r="Q178" i="8"/>
  <c r="N178" i="8"/>
  <c r="K178" i="8"/>
  <c r="H178" i="8"/>
  <c r="E178" i="8"/>
  <c r="Q177" i="8"/>
  <c r="N177" i="8"/>
  <c r="K177" i="8"/>
  <c r="H177" i="8"/>
  <c r="E177" i="8"/>
  <c r="Q176" i="8"/>
  <c r="N176" i="8"/>
  <c r="K176" i="8"/>
  <c r="H176" i="8"/>
  <c r="E176" i="8"/>
  <c r="Q175" i="8"/>
  <c r="N175" i="8"/>
  <c r="K175" i="8"/>
  <c r="H175" i="8"/>
  <c r="E175" i="8"/>
  <c r="Q174" i="8"/>
  <c r="N174" i="8"/>
  <c r="K174" i="8"/>
  <c r="H174" i="8"/>
  <c r="E174" i="8"/>
  <c r="Q173" i="8"/>
  <c r="N173" i="8"/>
  <c r="K173" i="8"/>
  <c r="H173" i="8"/>
  <c r="E173" i="8"/>
  <c r="Q172" i="8"/>
  <c r="N172" i="8"/>
  <c r="K172" i="8"/>
  <c r="H172" i="8"/>
  <c r="E172" i="8"/>
  <c r="Q171" i="8"/>
  <c r="N171" i="8"/>
  <c r="K171" i="8"/>
  <c r="H171" i="8"/>
  <c r="E171" i="8"/>
  <c r="Q170" i="8"/>
  <c r="N170" i="8"/>
  <c r="K170" i="8"/>
  <c r="H170" i="8"/>
  <c r="E170" i="8"/>
  <c r="Q169" i="8"/>
  <c r="N169" i="8"/>
  <c r="K169" i="8"/>
  <c r="H169" i="8"/>
  <c r="E169" i="8"/>
  <c r="Q168" i="8"/>
  <c r="N168" i="8"/>
  <c r="K168" i="8"/>
  <c r="H168" i="8"/>
  <c r="E168" i="8"/>
  <c r="Q167" i="8"/>
  <c r="N167" i="8"/>
  <c r="K167" i="8"/>
  <c r="H167" i="8"/>
  <c r="E167" i="8"/>
  <c r="Q166" i="8"/>
  <c r="N166" i="8"/>
  <c r="K166" i="8"/>
  <c r="H166" i="8"/>
  <c r="E166" i="8"/>
  <c r="Q165" i="8"/>
  <c r="N165" i="8"/>
  <c r="K165" i="8"/>
  <c r="H165" i="8"/>
  <c r="E165" i="8"/>
  <c r="Q164" i="8"/>
  <c r="N164" i="8"/>
  <c r="K164" i="8"/>
  <c r="H164" i="8"/>
  <c r="E164" i="8"/>
  <c r="Q163" i="8"/>
  <c r="N163" i="8"/>
  <c r="K163" i="8"/>
  <c r="H163" i="8"/>
  <c r="E163" i="8"/>
  <c r="Q162" i="8"/>
  <c r="N162" i="8"/>
  <c r="K162" i="8"/>
  <c r="H162" i="8"/>
  <c r="E162" i="8"/>
  <c r="Q161" i="8"/>
  <c r="N161" i="8"/>
  <c r="K161" i="8"/>
  <c r="H161" i="8"/>
  <c r="E161" i="8"/>
  <c r="Q160" i="8"/>
  <c r="N160" i="8"/>
  <c r="K160" i="8"/>
  <c r="H160" i="8"/>
  <c r="E160" i="8"/>
  <c r="Q159" i="8"/>
  <c r="N159" i="8"/>
  <c r="K159" i="8"/>
  <c r="H159" i="8"/>
  <c r="E159" i="8"/>
  <c r="Q158" i="8"/>
  <c r="N158" i="8"/>
  <c r="K158" i="8"/>
  <c r="H158" i="8"/>
  <c r="E158" i="8"/>
  <c r="Q157" i="8"/>
  <c r="N157" i="8"/>
  <c r="K157" i="8"/>
  <c r="H157" i="8"/>
  <c r="E157" i="8"/>
  <c r="Q156" i="8"/>
  <c r="N156" i="8"/>
  <c r="K156" i="8"/>
  <c r="H156" i="8"/>
  <c r="E156" i="8"/>
  <c r="Q155" i="8"/>
  <c r="N155" i="8"/>
  <c r="K155" i="8"/>
  <c r="H155" i="8"/>
  <c r="E155" i="8"/>
  <c r="Q154" i="8"/>
  <c r="N154" i="8"/>
  <c r="K154" i="8"/>
  <c r="H154" i="8"/>
  <c r="E154" i="8"/>
  <c r="Q153" i="8"/>
  <c r="N153" i="8"/>
  <c r="K153" i="8"/>
  <c r="H153" i="8"/>
  <c r="E153" i="8"/>
  <c r="Q152" i="8"/>
  <c r="N152" i="8"/>
  <c r="K152" i="8"/>
  <c r="H152" i="8"/>
  <c r="E152" i="8"/>
  <c r="Q151" i="8"/>
  <c r="N151" i="8"/>
  <c r="K151" i="8"/>
  <c r="H151" i="8"/>
  <c r="E151" i="8"/>
  <c r="Q150" i="8"/>
  <c r="N150" i="8"/>
  <c r="K150" i="8"/>
  <c r="H150" i="8"/>
  <c r="E150" i="8"/>
  <c r="Q149" i="8"/>
  <c r="N149" i="8"/>
  <c r="K149" i="8"/>
  <c r="H149" i="8"/>
  <c r="E149" i="8"/>
  <c r="Q148" i="8"/>
  <c r="N148" i="8"/>
  <c r="K148" i="8"/>
  <c r="H148" i="8"/>
  <c r="E148" i="8"/>
  <c r="Q147" i="8"/>
  <c r="N147" i="8"/>
  <c r="K147" i="8"/>
  <c r="H147" i="8"/>
  <c r="E147" i="8"/>
  <c r="Q146" i="8"/>
  <c r="N146" i="8"/>
  <c r="K146" i="8"/>
  <c r="H146" i="8"/>
  <c r="E146" i="8"/>
  <c r="Q145" i="8"/>
  <c r="N145" i="8"/>
  <c r="K145" i="8"/>
  <c r="H145" i="8"/>
  <c r="E145" i="8"/>
  <c r="Q144" i="8"/>
  <c r="N144" i="8"/>
  <c r="K144" i="8"/>
  <c r="H144" i="8"/>
  <c r="E144" i="8"/>
  <c r="Q143" i="8"/>
  <c r="N143" i="8"/>
  <c r="K143" i="8"/>
  <c r="H143" i="8"/>
  <c r="E143" i="8"/>
  <c r="Q142" i="8"/>
  <c r="N142" i="8"/>
  <c r="K142" i="8"/>
  <c r="H142" i="8"/>
  <c r="E142" i="8"/>
  <c r="Q141" i="8"/>
  <c r="N141" i="8"/>
  <c r="K141" i="8"/>
  <c r="H141" i="8"/>
  <c r="E141" i="8"/>
  <c r="Q140" i="8"/>
  <c r="N140" i="8"/>
  <c r="K140" i="8"/>
  <c r="H140" i="8"/>
  <c r="E140" i="8"/>
  <c r="Q139" i="8"/>
  <c r="N139" i="8"/>
  <c r="K139" i="8"/>
  <c r="H139" i="8"/>
  <c r="E139" i="8"/>
  <c r="Q138" i="8"/>
  <c r="N138" i="8"/>
  <c r="K138" i="8"/>
  <c r="H138" i="8"/>
  <c r="E138" i="8"/>
  <c r="Q137" i="8"/>
  <c r="N137" i="8"/>
  <c r="K137" i="8"/>
  <c r="H137" i="8"/>
  <c r="E137" i="8"/>
  <c r="Q136" i="8"/>
  <c r="N136" i="8"/>
  <c r="K136" i="8"/>
  <c r="H136" i="8"/>
  <c r="E136" i="8"/>
  <c r="Q135" i="8"/>
  <c r="N135" i="8"/>
  <c r="K135" i="8"/>
  <c r="H135" i="8"/>
  <c r="E135" i="8"/>
  <c r="Q134" i="8"/>
  <c r="N134" i="8"/>
  <c r="K134" i="8"/>
  <c r="H134" i="8"/>
  <c r="E134" i="8"/>
  <c r="Q133" i="8"/>
  <c r="N133" i="8"/>
  <c r="K133" i="8"/>
  <c r="H133" i="8"/>
  <c r="E133" i="8"/>
  <c r="Q132" i="8"/>
  <c r="N132" i="8"/>
  <c r="K132" i="8"/>
  <c r="H132" i="8"/>
  <c r="E132" i="8"/>
  <c r="Q131" i="8"/>
  <c r="N131" i="8"/>
  <c r="K131" i="8"/>
  <c r="H131" i="8"/>
  <c r="E131" i="8"/>
  <c r="Q130" i="8"/>
  <c r="N130" i="8"/>
  <c r="K130" i="8"/>
  <c r="H130" i="8"/>
  <c r="E130" i="8"/>
  <c r="Q129" i="8"/>
  <c r="N129" i="8"/>
  <c r="K129" i="8"/>
  <c r="H129" i="8"/>
  <c r="E129" i="8"/>
  <c r="Q128" i="8"/>
  <c r="N128" i="8"/>
  <c r="K128" i="8"/>
  <c r="H128" i="8"/>
  <c r="E128" i="8"/>
  <c r="Q127" i="8"/>
  <c r="N127" i="8"/>
  <c r="K127" i="8"/>
  <c r="H127" i="8"/>
  <c r="E127" i="8"/>
  <c r="Q126" i="8"/>
  <c r="N126" i="8"/>
  <c r="K126" i="8"/>
  <c r="H126" i="8"/>
  <c r="E126" i="8"/>
  <c r="Q125" i="8"/>
  <c r="N125" i="8"/>
  <c r="K125" i="8"/>
  <c r="H125" i="8"/>
  <c r="E125" i="8"/>
  <c r="Q124" i="8"/>
  <c r="N124" i="8"/>
  <c r="K124" i="8"/>
  <c r="H124" i="8"/>
  <c r="E124" i="8"/>
  <c r="Q123" i="8"/>
  <c r="N123" i="8"/>
  <c r="K123" i="8"/>
  <c r="H123" i="8"/>
  <c r="E123" i="8"/>
  <c r="Q122" i="8"/>
  <c r="N122" i="8"/>
  <c r="K122" i="8"/>
  <c r="H122" i="8"/>
  <c r="E122" i="8"/>
  <c r="Q121" i="8"/>
  <c r="N121" i="8"/>
  <c r="K121" i="8"/>
  <c r="H121" i="8"/>
  <c r="E121" i="8"/>
  <c r="Q120" i="8"/>
  <c r="N120" i="8"/>
  <c r="K120" i="8"/>
  <c r="H120" i="8"/>
  <c r="E120" i="8"/>
  <c r="Q119" i="8"/>
  <c r="N119" i="8"/>
  <c r="K119" i="8"/>
  <c r="H119" i="8"/>
  <c r="E119" i="8"/>
  <c r="Q118" i="8"/>
  <c r="N118" i="8"/>
  <c r="K118" i="8"/>
  <c r="H118" i="8"/>
  <c r="E118" i="8"/>
  <c r="Q117" i="8"/>
  <c r="N117" i="8"/>
  <c r="K117" i="8"/>
  <c r="H117" i="8"/>
  <c r="E117" i="8"/>
  <c r="Q116" i="8"/>
  <c r="N116" i="8"/>
  <c r="K116" i="8"/>
  <c r="H116" i="8"/>
  <c r="E116" i="8"/>
  <c r="Q115" i="8"/>
  <c r="N115" i="8"/>
  <c r="K115" i="8"/>
  <c r="H115" i="8"/>
  <c r="E115" i="8"/>
  <c r="Q114" i="8"/>
  <c r="N114" i="8"/>
  <c r="K114" i="8"/>
  <c r="H114" i="8"/>
  <c r="E114" i="8"/>
  <c r="Q113" i="8"/>
  <c r="N113" i="8"/>
  <c r="K113" i="8"/>
  <c r="H113" i="8"/>
  <c r="E113" i="8"/>
  <c r="Q112" i="8"/>
  <c r="N112" i="8"/>
  <c r="K112" i="8"/>
  <c r="H112" i="8"/>
  <c r="E112" i="8"/>
  <c r="Q111" i="8"/>
  <c r="N111" i="8"/>
  <c r="K111" i="8"/>
  <c r="H111" i="8"/>
  <c r="E111" i="8"/>
  <c r="Q110" i="8"/>
  <c r="N110" i="8"/>
  <c r="K110" i="8"/>
  <c r="H110" i="8"/>
  <c r="E110" i="8"/>
  <c r="Q109" i="8"/>
  <c r="N109" i="8"/>
  <c r="K109" i="8"/>
  <c r="H109" i="8"/>
  <c r="E109" i="8"/>
  <c r="Q108" i="8"/>
  <c r="N108" i="8"/>
  <c r="K108" i="8"/>
  <c r="H108" i="8"/>
  <c r="E108" i="8"/>
  <c r="Q107" i="8"/>
  <c r="N107" i="8"/>
  <c r="K107" i="8"/>
  <c r="H107" i="8"/>
  <c r="E107" i="8"/>
  <c r="Q106" i="8"/>
  <c r="N106" i="8"/>
  <c r="K106" i="8"/>
  <c r="H106" i="8"/>
  <c r="E106" i="8"/>
  <c r="Q105" i="8"/>
  <c r="N105" i="8"/>
  <c r="K105" i="8"/>
  <c r="H105" i="8"/>
  <c r="E105" i="8"/>
  <c r="Q104" i="8"/>
  <c r="N104" i="8"/>
  <c r="K104" i="8"/>
  <c r="H104" i="8"/>
  <c r="E104" i="8"/>
  <c r="Q103" i="8"/>
  <c r="N103" i="8"/>
  <c r="K103" i="8"/>
  <c r="H103" i="8"/>
  <c r="E103" i="8"/>
  <c r="Q102" i="8"/>
  <c r="N102" i="8"/>
  <c r="K102" i="8"/>
  <c r="H102" i="8"/>
  <c r="E102" i="8"/>
  <c r="Q101" i="8"/>
  <c r="N101" i="8"/>
  <c r="K101" i="8"/>
  <c r="H101" i="8"/>
  <c r="E101" i="8"/>
  <c r="Q100" i="8"/>
  <c r="N100" i="8"/>
  <c r="K100" i="8"/>
  <c r="H100" i="8"/>
  <c r="E100" i="8"/>
  <c r="Q99" i="8"/>
  <c r="N99" i="8"/>
  <c r="K99" i="8"/>
  <c r="H99" i="8"/>
  <c r="E99" i="8"/>
  <c r="Q98" i="8"/>
  <c r="N98" i="8"/>
  <c r="K98" i="8"/>
  <c r="H98" i="8"/>
  <c r="E98" i="8"/>
  <c r="Q97" i="8"/>
  <c r="N97" i="8"/>
  <c r="K97" i="8"/>
  <c r="H97" i="8"/>
  <c r="E97" i="8"/>
  <c r="Q96" i="8"/>
  <c r="N96" i="8"/>
  <c r="K96" i="8"/>
  <c r="H96" i="8"/>
  <c r="E96" i="8"/>
  <c r="Q95" i="8"/>
  <c r="N95" i="8"/>
  <c r="K95" i="8"/>
  <c r="H95" i="8"/>
  <c r="E95" i="8"/>
  <c r="Q94" i="8"/>
  <c r="N94" i="8"/>
  <c r="K94" i="8"/>
  <c r="H94" i="8"/>
  <c r="E94" i="8"/>
  <c r="Q93" i="8"/>
  <c r="N93" i="8"/>
  <c r="K93" i="8"/>
  <c r="H93" i="8"/>
  <c r="E93" i="8"/>
  <c r="Q92" i="8"/>
  <c r="N92" i="8"/>
  <c r="K92" i="8"/>
  <c r="H92" i="8"/>
  <c r="E92" i="8"/>
  <c r="Q91" i="8"/>
  <c r="N91" i="8"/>
  <c r="K91" i="8"/>
  <c r="H91" i="8"/>
  <c r="E91" i="8"/>
  <c r="Q90" i="8"/>
  <c r="N90" i="8"/>
  <c r="K90" i="8"/>
  <c r="H90" i="8"/>
  <c r="E90" i="8"/>
  <c r="Q89" i="8"/>
  <c r="N89" i="8"/>
  <c r="K89" i="8"/>
  <c r="H89" i="8"/>
  <c r="E89" i="8"/>
  <c r="Q88" i="8"/>
  <c r="N88" i="8"/>
  <c r="K88" i="8"/>
  <c r="H88" i="8"/>
  <c r="E88" i="8"/>
  <c r="Q87" i="8"/>
  <c r="N87" i="8"/>
  <c r="K87" i="8"/>
  <c r="H87" i="8"/>
  <c r="E87" i="8"/>
  <c r="Q86" i="8"/>
  <c r="N86" i="8"/>
  <c r="K86" i="8"/>
  <c r="H86" i="8"/>
  <c r="E86" i="8"/>
  <c r="Q85" i="8"/>
  <c r="N85" i="8"/>
  <c r="K85" i="8"/>
  <c r="H85" i="8"/>
  <c r="E85" i="8"/>
  <c r="Q84" i="8"/>
  <c r="N84" i="8"/>
  <c r="K84" i="8"/>
  <c r="H84" i="8"/>
  <c r="E84" i="8"/>
  <c r="Q83" i="8"/>
  <c r="N83" i="8"/>
  <c r="K83" i="8"/>
  <c r="H83" i="8"/>
  <c r="E83" i="8"/>
  <c r="Q82" i="8"/>
  <c r="N82" i="8"/>
  <c r="K82" i="8"/>
  <c r="H82" i="8"/>
  <c r="E82" i="8"/>
  <c r="Q81" i="8"/>
  <c r="N81" i="8"/>
  <c r="K81" i="8"/>
  <c r="H81" i="8"/>
  <c r="E81" i="8"/>
  <c r="Q80" i="8"/>
  <c r="N80" i="8"/>
  <c r="K80" i="8"/>
  <c r="H80" i="8"/>
  <c r="E80" i="8"/>
  <c r="Q79" i="8"/>
  <c r="N79" i="8"/>
  <c r="K79" i="8"/>
  <c r="H79" i="8"/>
  <c r="E79" i="8"/>
  <c r="Q78" i="8"/>
  <c r="N78" i="8"/>
  <c r="K78" i="8"/>
  <c r="H78" i="8"/>
  <c r="E78" i="8"/>
  <c r="Q77" i="8"/>
  <c r="N77" i="8"/>
  <c r="K77" i="8"/>
  <c r="H77" i="8"/>
  <c r="E77" i="8"/>
  <c r="Q76" i="8"/>
  <c r="N76" i="8"/>
  <c r="K76" i="8"/>
  <c r="H76" i="8"/>
  <c r="E76" i="8"/>
  <c r="Q75" i="8"/>
  <c r="N75" i="8"/>
  <c r="K75" i="8"/>
  <c r="H75" i="8"/>
  <c r="E75" i="8"/>
  <c r="Q74" i="8"/>
  <c r="N74" i="8"/>
  <c r="K74" i="8"/>
  <c r="H74" i="8"/>
  <c r="E74" i="8"/>
  <c r="Q73" i="8"/>
  <c r="N73" i="8"/>
  <c r="K73" i="8"/>
  <c r="H73" i="8"/>
  <c r="E73" i="8"/>
  <c r="Q72" i="8"/>
  <c r="N72" i="8"/>
  <c r="K72" i="8"/>
  <c r="H72" i="8"/>
  <c r="E72" i="8"/>
  <c r="Q71" i="8"/>
  <c r="N71" i="8"/>
  <c r="K71" i="8"/>
  <c r="H71" i="8"/>
  <c r="E71" i="8"/>
  <c r="Q70" i="8"/>
  <c r="N70" i="8"/>
  <c r="K70" i="8"/>
  <c r="H70" i="8"/>
  <c r="E70" i="8"/>
  <c r="Q69" i="8"/>
  <c r="N69" i="8"/>
  <c r="K69" i="8"/>
  <c r="H69" i="8"/>
  <c r="E69" i="8"/>
  <c r="Q68" i="8"/>
  <c r="N68" i="8"/>
  <c r="K68" i="8"/>
  <c r="H68" i="8"/>
  <c r="E68" i="8"/>
  <c r="Q67" i="8"/>
  <c r="N67" i="8"/>
  <c r="K67" i="8"/>
  <c r="H67" i="8"/>
  <c r="E67" i="8"/>
  <c r="Q66" i="8"/>
  <c r="N66" i="8"/>
  <c r="K66" i="8"/>
  <c r="H66" i="8"/>
  <c r="E66" i="8"/>
  <c r="Q65" i="8"/>
  <c r="N65" i="8"/>
  <c r="K65" i="8"/>
  <c r="H65" i="8"/>
  <c r="E65" i="8"/>
  <c r="Q64" i="8"/>
  <c r="N64" i="8"/>
  <c r="K64" i="8"/>
  <c r="H64" i="8"/>
  <c r="E64" i="8"/>
  <c r="Q63" i="8"/>
  <c r="N63" i="8"/>
  <c r="K63" i="8"/>
  <c r="H63" i="8"/>
  <c r="E63" i="8"/>
  <c r="Q62" i="8"/>
  <c r="N62" i="8"/>
  <c r="K62" i="8"/>
  <c r="H62" i="8"/>
  <c r="E62" i="8"/>
  <c r="Q61" i="8"/>
  <c r="N61" i="8"/>
  <c r="K61" i="8"/>
  <c r="H61" i="8"/>
  <c r="E61" i="8"/>
  <c r="Q60" i="8"/>
  <c r="N60" i="8"/>
  <c r="K60" i="8"/>
  <c r="H60" i="8"/>
  <c r="E60" i="8"/>
  <c r="Q59" i="8"/>
  <c r="N59" i="8"/>
  <c r="K59" i="8"/>
  <c r="H59" i="8"/>
  <c r="E59" i="8"/>
  <c r="Q58" i="8"/>
  <c r="N58" i="8"/>
  <c r="K58" i="8"/>
  <c r="H58" i="8"/>
  <c r="E58" i="8"/>
  <c r="Q57" i="8"/>
  <c r="N57" i="8"/>
  <c r="K57" i="8"/>
  <c r="H57" i="8"/>
  <c r="E57" i="8"/>
  <c r="Q56" i="8"/>
  <c r="N56" i="8"/>
  <c r="K56" i="8"/>
  <c r="H56" i="8"/>
  <c r="E56" i="8"/>
  <c r="Q55" i="8"/>
  <c r="N55" i="8"/>
  <c r="K55" i="8"/>
  <c r="H55" i="8"/>
  <c r="E55" i="8"/>
  <c r="Q54" i="8"/>
  <c r="N54" i="8"/>
  <c r="K54" i="8"/>
  <c r="H54" i="8"/>
  <c r="E54" i="8"/>
  <c r="Q53" i="8"/>
  <c r="N53" i="8"/>
  <c r="K53" i="8"/>
  <c r="H53" i="8"/>
  <c r="E53" i="8"/>
  <c r="Q52" i="8"/>
  <c r="N52" i="8"/>
  <c r="K52" i="8"/>
  <c r="H52" i="8"/>
  <c r="E52" i="8"/>
  <c r="Q51" i="8"/>
  <c r="N51" i="8"/>
  <c r="K51" i="8"/>
  <c r="H51" i="8"/>
  <c r="E51" i="8"/>
  <c r="Q50" i="8"/>
  <c r="N50" i="8"/>
  <c r="K50" i="8"/>
  <c r="H50" i="8"/>
  <c r="E50" i="8"/>
  <c r="Q49" i="8"/>
  <c r="N49" i="8"/>
  <c r="K49" i="8"/>
  <c r="H49" i="8"/>
  <c r="E49" i="8"/>
  <c r="Q48" i="8"/>
  <c r="N48" i="8"/>
  <c r="K48" i="8"/>
  <c r="H48" i="8"/>
  <c r="E48" i="8"/>
  <c r="Q47" i="8"/>
  <c r="N47" i="8"/>
  <c r="K47" i="8"/>
  <c r="H47" i="8"/>
  <c r="E47" i="8"/>
  <c r="Q46" i="8"/>
  <c r="N46" i="8"/>
  <c r="K46" i="8"/>
  <c r="H46" i="8"/>
  <c r="E46" i="8"/>
  <c r="Q45" i="8"/>
  <c r="N45" i="8"/>
  <c r="K45" i="8"/>
  <c r="H45" i="8"/>
  <c r="E45" i="8"/>
  <c r="Q44" i="8"/>
  <c r="N44" i="8"/>
  <c r="K44" i="8"/>
  <c r="H44" i="8"/>
  <c r="E44" i="8"/>
  <c r="Q43" i="8"/>
  <c r="N43" i="8"/>
  <c r="K43" i="8"/>
  <c r="H43" i="8"/>
  <c r="E43" i="8"/>
  <c r="Q42" i="8"/>
  <c r="N42" i="8"/>
  <c r="K42" i="8"/>
  <c r="H42" i="8"/>
  <c r="E42" i="8"/>
  <c r="Q41" i="8"/>
  <c r="N41" i="8"/>
  <c r="K41" i="8"/>
  <c r="H41" i="8"/>
  <c r="E41" i="8"/>
  <c r="Q40" i="8"/>
  <c r="N40" i="8"/>
  <c r="K40" i="8"/>
  <c r="H40" i="8"/>
  <c r="E40" i="8"/>
  <c r="Q39" i="8"/>
  <c r="N39" i="8"/>
  <c r="K39" i="8"/>
  <c r="H39" i="8"/>
  <c r="E39" i="8"/>
  <c r="Q38" i="8"/>
  <c r="N38" i="8"/>
  <c r="K38" i="8"/>
  <c r="H38" i="8"/>
  <c r="E38" i="8"/>
  <c r="Q37" i="8"/>
  <c r="N37" i="8"/>
  <c r="K37" i="8"/>
  <c r="H37" i="8"/>
  <c r="E37" i="8"/>
  <c r="Q36" i="8"/>
  <c r="N36" i="8"/>
  <c r="K36" i="8"/>
  <c r="H36" i="8"/>
  <c r="E36" i="8"/>
  <c r="Q35" i="8"/>
  <c r="N35" i="8"/>
  <c r="K35" i="8"/>
  <c r="H35" i="8"/>
  <c r="E35" i="8"/>
  <c r="Q34" i="8"/>
  <c r="N34" i="8"/>
  <c r="K34" i="8"/>
  <c r="H34" i="8"/>
  <c r="E34" i="8"/>
  <c r="Q33" i="8"/>
  <c r="N33" i="8"/>
  <c r="K33" i="8"/>
  <c r="H33" i="8"/>
  <c r="E33" i="8"/>
  <c r="Q32" i="8"/>
  <c r="N32" i="8"/>
  <c r="K32" i="8"/>
  <c r="H32" i="8"/>
  <c r="E32" i="8"/>
  <c r="Q31" i="8"/>
  <c r="N31" i="8"/>
  <c r="K31" i="8"/>
  <c r="H31" i="8"/>
  <c r="E31" i="8"/>
  <c r="Q30" i="8"/>
  <c r="N30" i="8"/>
  <c r="K30" i="8"/>
  <c r="H30" i="8"/>
  <c r="E30" i="8"/>
  <c r="Q29" i="8"/>
  <c r="N29" i="8"/>
  <c r="K29" i="8"/>
  <c r="H29" i="8"/>
  <c r="E29" i="8"/>
  <c r="Q28" i="8"/>
  <c r="N28" i="8"/>
  <c r="K28" i="8"/>
  <c r="H28" i="8"/>
  <c r="E28" i="8"/>
  <c r="Q27" i="8"/>
  <c r="N27" i="8"/>
  <c r="K27" i="8"/>
  <c r="H27" i="8"/>
  <c r="E27" i="8"/>
  <c r="Q26" i="8"/>
  <c r="N26" i="8"/>
  <c r="K26" i="8"/>
  <c r="H26" i="8"/>
  <c r="E26" i="8"/>
  <c r="Q25" i="8"/>
  <c r="N25" i="8"/>
  <c r="K25" i="8"/>
  <c r="H25" i="8"/>
  <c r="E25" i="8"/>
  <c r="Q24" i="8"/>
  <c r="N24" i="8"/>
  <c r="K24" i="8"/>
  <c r="H24" i="8"/>
  <c r="E24" i="8"/>
  <c r="Q23" i="8"/>
  <c r="N23" i="8"/>
  <c r="K23" i="8"/>
  <c r="H23" i="8"/>
  <c r="E23" i="8"/>
  <c r="X21" i="8"/>
  <c r="X23" i="8" s="1"/>
  <c r="Q22" i="8"/>
  <c r="N22" i="8"/>
  <c r="K22" i="8"/>
  <c r="H22" i="8"/>
  <c r="E22" i="8"/>
  <c r="Q21" i="8"/>
  <c r="N21" i="8"/>
  <c r="K21" i="8"/>
  <c r="H21" i="8"/>
  <c r="E21" i="8"/>
  <c r="Q20" i="8"/>
  <c r="N20" i="8"/>
  <c r="K20" i="8"/>
  <c r="H20" i="8"/>
  <c r="E20" i="8"/>
  <c r="Q19" i="8"/>
  <c r="N19" i="8"/>
  <c r="K19" i="8"/>
  <c r="H19" i="8"/>
  <c r="E19" i="8"/>
  <c r="Q18" i="8"/>
  <c r="N18" i="8"/>
  <c r="K18" i="8"/>
  <c r="H18" i="8"/>
  <c r="E18" i="8"/>
  <c r="W16" i="8"/>
  <c r="T16" i="8"/>
  <c r="Q17" i="8"/>
  <c r="N17" i="8"/>
  <c r="K17" i="8"/>
  <c r="H17" i="8"/>
  <c r="E17" i="8"/>
  <c r="Q16" i="8"/>
  <c r="N16" i="8"/>
  <c r="K16" i="8"/>
  <c r="H16" i="8"/>
  <c r="E16" i="8"/>
  <c r="Z14" i="8"/>
  <c r="Q15" i="8"/>
  <c r="N15" i="8"/>
  <c r="K15" i="8"/>
  <c r="H15" i="8"/>
  <c r="E15" i="8"/>
  <c r="Q14" i="8"/>
  <c r="N14" i="8"/>
  <c r="K14" i="8"/>
  <c r="H14" i="8"/>
  <c r="E14" i="8"/>
  <c r="Q13" i="8"/>
  <c r="N13" i="8"/>
  <c r="K13" i="8"/>
  <c r="H13" i="8"/>
  <c r="E13" i="8"/>
  <c r="Z11" i="8"/>
  <c r="AC11" i="8" s="1"/>
  <c r="Q12" i="8"/>
  <c r="N12" i="8"/>
  <c r="K12" i="8"/>
  <c r="H12" i="8"/>
  <c r="E12" i="8"/>
  <c r="Q11" i="8"/>
  <c r="N11" i="8"/>
  <c r="K11" i="8"/>
  <c r="H11" i="8"/>
  <c r="E11" i="8"/>
  <c r="L8" i="6"/>
  <c r="L9" i="6" s="1"/>
  <c r="L10" i="6" s="1"/>
  <c r="L11" i="6" s="1"/>
  <c r="L12" i="6" s="1"/>
  <c r="L13" i="6" s="1"/>
  <c r="L14" i="6" s="1"/>
  <c r="L15" i="6" s="1"/>
  <c r="L16" i="6" s="1"/>
  <c r="L17" i="6" s="1"/>
  <c r="G8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N107" i="4"/>
  <c r="M107" i="4"/>
  <c r="L107" i="4"/>
  <c r="K107" i="4"/>
  <c r="J107" i="4"/>
  <c r="I107" i="4"/>
  <c r="H107" i="4"/>
  <c r="G107" i="4"/>
  <c r="F107" i="4"/>
  <c r="E107" i="4"/>
  <c r="N105" i="4"/>
  <c r="M105" i="4"/>
  <c r="L105" i="4"/>
  <c r="K105" i="4"/>
  <c r="J105" i="4"/>
  <c r="I105" i="4"/>
  <c r="H105" i="4"/>
  <c r="G105" i="4"/>
  <c r="F105" i="4"/>
  <c r="E105" i="4"/>
  <c r="N104" i="4"/>
  <c r="M104" i="4"/>
  <c r="L104" i="4"/>
  <c r="K104" i="4"/>
  <c r="J104" i="4"/>
  <c r="I104" i="4"/>
  <c r="H104" i="4"/>
  <c r="G104" i="4"/>
  <c r="F104" i="4"/>
  <c r="E104" i="4"/>
  <c r="N103" i="4"/>
  <c r="M103" i="4"/>
  <c r="L103" i="4"/>
  <c r="K103" i="4"/>
  <c r="J103" i="4"/>
  <c r="I103" i="4"/>
  <c r="H103" i="4"/>
  <c r="G103" i="4"/>
  <c r="F103" i="4"/>
  <c r="E103" i="4"/>
  <c r="N102" i="4"/>
  <c r="M102" i="4"/>
  <c r="L102" i="4"/>
  <c r="K102" i="4"/>
  <c r="J102" i="4"/>
  <c r="I102" i="4"/>
  <c r="H102" i="4"/>
  <c r="G102" i="4"/>
  <c r="F102" i="4"/>
  <c r="E102" i="4"/>
  <c r="N101" i="4"/>
  <c r="M101" i="4"/>
  <c r="L101" i="4"/>
  <c r="K101" i="4"/>
  <c r="J101" i="4"/>
  <c r="I101" i="4"/>
  <c r="H101" i="4"/>
  <c r="G101" i="4"/>
  <c r="F101" i="4"/>
  <c r="E101" i="4"/>
  <c r="N99" i="4"/>
  <c r="M99" i="4"/>
  <c r="L99" i="4"/>
  <c r="K99" i="4"/>
  <c r="J99" i="4"/>
  <c r="I99" i="4"/>
  <c r="H99" i="4"/>
  <c r="G99" i="4"/>
  <c r="F99" i="4"/>
  <c r="E99" i="4"/>
  <c r="N89" i="4"/>
  <c r="M89" i="4"/>
  <c r="L89" i="4"/>
  <c r="K89" i="4"/>
  <c r="J89" i="4"/>
  <c r="I89" i="4"/>
  <c r="H89" i="4"/>
  <c r="G89" i="4"/>
  <c r="F89" i="4"/>
  <c r="E89" i="4"/>
  <c r="N88" i="4"/>
  <c r="M88" i="4"/>
  <c r="L88" i="4"/>
  <c r="K88" i="4"/>
  <c r="J88" i="4"/>
  <c r="I88" i="4"/>
  <c r="H88" i="4"/>
  <c r="G88" i="4"/>
  <c r="F88" i="4"/>
  <c r="E88" i="4"/>
  <c r="N87" i="4"/>
  <c r="M87" i="4"/>
  <c r="L87" i="4"/>
  <c r="K87" i="4"/>
  <c r="J87" i="4"/>
  <c r="I87" i="4"/>
  <c r="H87" i="4"/>
  <c r="G87" i="4"/>
  <c r="F87" i="4"/>
  <c r="E87" i="4"/>
  <c r="N82" i="4"/>
  <c r="M82" i="4"/>
  <c r="L82" i="4"/>
  <c r="K82" i="4"/>
  <c r="J82" i="4"/>
  <c r="I82" i="4"/>
  <c r="H82" i="4"/>
  <c r="G82" i="4"/>
  <c r="F82" i="4"/>
  <c r="E82" i="4"/>
  <c r="N81" i="4"/>
  <c r="M81" i="4"/>
  <c r="L81" i="4"/>
  <c r="K81" i="4"/>
  <c r="J81" i="4"/>
  <c r="I81" i="4"/>
  <c r="H81" i="4"/>
  <c r="G81" i="4"/>
  <c r="F81" i="4"/>
  <c r="E81" i="4"/>
  <c r="N80" i="4"/>
  <c r="M80" i="4"/>
  <c r="L80" i="4"/>
  <c r="K80" i="4"/>
  <c r="J80" i="4"/>
  <c r="I80" i="4"/>
  <c r="H80" i="4"/>
  <c r="G80" i="4"/>
  <c r="F80" i="4"/>
  <c r="E80" i="4"/>
  <c r="E70" i="4"/>
  <c r="N66" i="4"/>
  <c r="N67" i="4" s="1"/>
  <c r="M66" i="4"/>
  <c r="M67" i="4" s="1"/>
  <c r="L66" i="4"/>
  <c r="L67" i="4" s="1"/>
  <c r="K66" i="4"/>
  <c r="K67" i="4" s="1"/>
  <c r="J66" i="4"/>
  <c r="J67" i="4" s="1"/>
  <c r="I66" i="4"/>
  <c r="I67" i="4" s="1"/>
  <c r="H66" i="4"/>
  <c r="H67" i="4" s="1"/>
  <c r="G66" i="4"/>
  <c r="G67" i="4" s="1"/>
  <c r="F66" i="4"/>
  <c r="F67" i="4" s="1"/>
  <c r="E66" i="4"/>
  <c r="E67" i="4" s="1"/>
  <c r="N57" i="4"/>
  <c r="M57" i="4"/>
  <c r="L57" i="4"/>
  <c r="K57" i="4"/>
  <c r="J57" i="4"/>
  <c r="I57" i="4"/>
  <c r="H57" i="4"/>
  <c r="G57" i="4"/>
  <c r="F57" i="4"/>
  <c r="E57" i="4"/>
  <c r="N52" i="4"/>
  <c r="M52" i="4"/>
  <c r="L52" i="4"/>
  <c r="K52" i="4"/>
  <c r="J52" i="4"/>
  <c r="I52" i="4"/>
  <c r="H52" i="4"/>
  <c r="G52" i="4"/>
  <c r="F52" i="4"/>
  <c r="E52" i="4"/>
  <c r="N46" i="4"/>
  <c r="M46" i="4"/>
  <c r="L46" i="4"/>
  <c r="K46" i="4"/>
  <c r="J46" i="4"/>
  <c r="I46" i="4"/>
  <c r="H46" i="4"/>
  <c r="G46" i="4"/>
  <c r="F46" i="4"/>
  <c r="E46" i="4"/>
  <c r="N40" i="4"/>
  <c r="M40" i="4"/>
  <c r="L40" i="4"/>
  <c r="K40" i="4"/>
  <c r="J40" i="4"/>
  <c r="I40" i="4"/>
  <c r="H40" i="4"/>
  <c r="G40" i="4"/>
  <c r="F40" i="4"/>
  <c r="E40" i="4"/>
  <c r="N37" i="4"/>
  <c r="M37" i="4"/>
  <c r="L37" i="4"/>
  <c r="K37" i="4"/>
  <c r="J37" i="4"/>
  <c r="I37" i="4"/>
  <c r="H37" i="4"/>
  <c r="G37" i="4"/>
  <c r="F37" i="4"/>
  <c r="E37" i="4"/>
  <c r="N31" i="4"/>
  <c r="M31" i="4"/>
  <c r="L31" i="4"/>
  <c r="K31" i="4"/>
  <c r="J31" i="4"/>
  <c r="I31" i="4"/>
  <c r="H31" i="4"/>
  <c r="G31" i="4"/>
  <c r="F31" i="4"/>
  <c r="E31" i="4"/>
  <c r="N25" i="4"/>
  <c r="M25" i="4"/>
  <c r="L25" i="4"/>
  <c r="K25" i="4"/>
  <c r="J25" i="4"/>
  <c r="I25" i="4"/>
  <c r="H25" i="4"/>
  <c r="G25" i="4"/>
  <c r="F25" i="4"/>
  <c r="E25" i="4"/>
  <c r="N22" i="4"/>
  <c r="M22" i="4"/>
  <c r="L22" i="4"/>
  <c r="K22" i="4"/>
  <c r="J22" i="4"/>
  <c r="I22" i="4"/>
  <c r="H22" i="4"/>
  <c r="G22" i="4"/>
  <c r="F22" i="4"/>
  <c r="E22" i="4"/>
  <c r="B6" i="2"/>
  <c r="E1" i="2"/>
  <c r="O11" i="12" l="1"/>
  <c r="M9" i="12"/>
  <c r="N9" i="12"/>
  <c r="M24" i="12"/>
  <c r="F20" i="10"/>
  <c r="H20" i="10"/>
  <c r="E14" i="10"/>
  <c r="I20" i="10"/>
  <c r="F14" i="10"/>
  <c r="H14" i="10"/>
  <c r="E20" i="10"/>
  <c r="Z16" i="8"/>
  <c r="AC14" i="8"/>
  <c r="AC16" i="8" s="1"/>
  <c r="E34" i="5"/>
  <c r="L73" i="4"/>
  <c r="L75" i="4" s="1"/>
  <c r="E90" i="4"/>
  <c r="H73" i="4"/>
  <c r="N17" i="4"/>
  <c r="I73" i="4"/>
  <c r="I75" i="4" s="1"/>
  <c r="N63" i="4"/>
  <c r="G73" i="4"/>
  <c r="G75" i="4" s="1"/>
  <c r="F73" i="4"/>
  <c r="F75" i="4" s="1"/>
  <c r="K90" i="4"/>
  <c r="E84" i="4"/>
  <c r="E92" i="4" s="1"/>
  <c r="J73" i="4"/>
  <c r="J75" i="4" s="1"/>
  <c r="F84" i="4"/>
  <c r="L90" i="4"/>
  <c r="F90" i="4"/>
  <c r="N73" i="4"/>
  <c r="N75" i="4" s="1"/>
  <c r="N29" i="9" s="1"/>
  <c r="M73" i="4"/>
  <c r="M75" i="4" s="1"/>
  <c r="M32" i="9" s="1"/>
  <c r="N90" i="4"/>
  <c r="H84" i="4"/>
  <c r="I84" i="4"/>
  <c r="K73" i="4"/>
  <c r="K75" i="4" s="1"/>
  <c r="M90" i="4"/>
  <c r="E73" i="4"/>
  <c r="E75" i="4" s="1"/>
  <c r="J84" i="4"/>
  <c r="J92" i="4" s="1"/>
  <c r="K84" i="4"/>
  <c r="G90" i="4"/>
  <c r="G84" i="4"/>
  <c r="L84" i="4"/>
  <c r="L92" i="4" s="1"/>
  <c r="N84" i="4"/>
  <c r="H90" i="4"/>
  <c r="M84" i="4"/>
  <c r="I90" i="4"/>
  <c r="J90" i="4"/>
  <c r="H75" i="4"/>
  <c r="M20" i="4"/>
  <c r="M17" i="4" s="1"/>
  <c r="F13" i="5"/>
  <c r="H13" i="5"/>
  <c r="N13" i="5"/>
  <c r="F41" i="4"/>
  <c r="F22" i="5" s="1"/>
  <c r="E31" i="5"/>
  <c r="E37" i="5" s="1"/>
  <c r="F23" i="4"/>
  <c r="F9" i="5" s="1"/>
  <c r="F33" i="5"/>
  <c r="F39" i="5" s="1"/>
  <c r="I32" i="4"/>
  <c r="I21" i="5" s="1"/>
  <c r="G23" i="4"/>
  <c r="G9" i="5" s="1"/>
  <c r="E32" i="5"/>
  <c r="E38" i="5" s="1"/>
  <c r="F32" i="5"/>
  <c r="F38" i="5" s="1"/>
  <c r="F26" i="4"/>
  <c r="M28" i="4"/>
  <c r="M34" i="4" s="1"/>
  <c r="G32" i="4"/>
  <c r="G21" i="5" s="1"/>
  <c r="H34" i="5"/>
  <c r="H32" i="4"/>
  <c r="H21" i="5" s="1"/>
  <c r="H32" i="5"/>
  <c r="H38" i="5" s="1"/>
  <c r="J13" i="5"/>
  <c r="L26" i="4"/>
  <c r="M26" i="4"/>
  <c r="G26" i="4"/>
  <c r="I34" i="5"/>
  <c r="J34" i="5"/>
  <c r="I13" i="5"/>
  <c r="H33" i="5"/>
  <c r="H39" i="5" s="1"/>
  <c r="K26" i="4"/>
  <c r="H41" i="4"/>
  <c r="H22" i="5" s="1"/>
  <c r="H23" i="4"/>
  <c r="H9" i="5" s="1"/>
  <c r="I108" i="4"/>
  <c r="I42" i="5" s="1"/>
  <c r="H26" i="4"/>
  <c r="L41" i="4"/>
  <c r="L22" i="5" s="1"/>
  <c r="G41" i="4"/>
  <c r="G22" i="5" s="1"/>
  <c r="F32" i="4"/>
  <c r="F21" i="5" s="1"/>
  <c r="H38" i="4"/>
  <c r="J41" i="4"/>
  <c r="J22" i="5" s="1"/>
  <c r="I41" i="4"/>
  <c r="I22" i="5" s="1"/>
  <c r="I32" i="5"/>
  <c r="I38" i="5" s="1"/>
  <c r="J32" i="4"/>
  <c r="J21" i="5" s="1"/>
  <c r="K108" i="4"/>
  <c r="K42" i="5" s="1"/>
  <c r="J32" i="5"/>
  <c r="J38" i="5" s="1"/>
  <c r="I23" i="4"/>
  <c r="I9" i="5" s="1"/>
  <c r="N38" i="4"/>
  <c r="N108" i="4"/>
  <c r="F108" i="4"/>
  <c r="F42" i="5" s="1"/>
  <c r="J33" i="5"/>
  <c r="J39" i="5" s="1"/>
  <c r="I31" i="5"/>
  <c r="I37" i="5" s="1"/>
  <c r="I26" i="4"/>
  <c r="J26" i="4"/>
  <c r="I38" i="4"/>
  <c r="J38" i="4"/>
  <c r="J108" i="4"/>
  <c r="J42" i="5" s="1"/>
  <c r="M38" i="4"/>
  <c r="I33" i="5"/>
  <c r="I39" i="5" s="1"/>
  <c r="J23" i="4"/>
  <c r="J9" i="5" s="1"/>
  <c r="G13" i="5"/>
  <c r="G108" i="4"/>
  <c r="F31" i="5"/>
  <c r="F37" i="5" s="1"/>
  <c r="L33" i="5"/>
  <c r="L39" i="5" s="1"/>
  <c r="J31" i="5"/>
  <c r="J37" i="5" s="1"/>
  <c r="N33" i="5"/>
  <c r="N39" i="5" s="1"/>
  <c r="L38" i="4"/>
  <c r="E108" i="4"/>
  <c r="E26" i="4"/>
  <c r="E41" i="4"/>
  <c r="E22" i="5" s="1"/>
  <c r="H108" i="4"/>
  <c r="H42" i="5" s="1"/>
  <c r="L108" i="4"/>
  <c r="L42" i="5" s="1"/>
  <c r="H31" i="5"/>
  <c r="H37" i="5" s="1"/>
  <c r="L34" i="5"/>
  <c r="O10" i="12"/>
  <c r="G10" i="12"/>
  <c r="B18" i="6"/>
  <c r="D17" i="6"/>
  <c r="E17" i="6" s="1"/>
  <c r="L28" i="4"/>
  <c r="N23" i="4"/>
  <c r="N9" i="5" s="1"/>
  <c r="N35" i="5"/>
  <c r="N32" i="5"/>
  <c r="N38" i="5" s="1"/>
  <c r="N31" i="5"/>
  <c r="N37" i="5" s="1"/>
  <c r="N26" i="4"/>
  <c r="N28" i="4"/>
  <c r="G20" i="10"/>
  <c r="F35" i="5"/>
  <c r="E35" i="5"/>
  <c r="L18" i="6"/>
  <c r="N17" i="6"/>
  <c r="O17" i="6" s="1"/>
  <c r="K32" i="4"/>
  <c r="K21" i="5" s="1"/>
  <c r="M35" i="5"/>
  <c r="M34" i="5"/>
  <c r="M33" i="5"/>
  <c r="M39" i="5" s="1"/>
  <c r="M32" i="5"/>
  <c r="M38" i="5" s="1"/>
  <c r="M31" i="5"/>
  <c r="M37" i="5" s="1"/>
  <c r="M23" i="4"/>
  <c r="M9" i="5" s="1"/>
  <c r="I35" i="5"/>
  <c r="L13" i="5"/>
  <c r="H35" i="5"/>
  <c r="N34" i="5"/>
  <c r="M13" i="5"/>
  <c r="M41" i="4"/>
  <c r="M22" i="5" s="1"/>
  <c r="O12" i="12"/>
  <c r="G12" i="12"/>
  <c r="K23" i="4"/>
  <c r="K9" i="5" s="1"/>
  <c r="K35" i="5"/>
  <c r="K34" i="5"/>
  <c r="K33" i="5"/>
  <c r="K39" i="5" s="1"/>
  <c r="K32" i="5"/>
  <c r="K38" i="5" s="1"/>
  <c r="K31" i="5"/>
  <c r="K37" i="5" s="1"/>
  <c r="K28" i="4"/>
  <c r="K38" i="4"/>
  <c r="K13" i="5"/>
  <c r="G28" i="4"/>
  <c r="M32" i="4"/>
  <c r="M21" i="5" s="1"/>
  <c r="N41" i="4"/>
  <c r="N22" i="5" s="1"/>
  <c r="M108" i="4"/>
  <c r="L35" i="5"/>
  <c r="L23" i="4"/>
  <c r="L9" i="5" s="1"/>
  <c r="L31" i="5"/>
  <c r="L37" i="5" s="1"/>
  <c r="L32" i="5"/>
  <c r="L38" i="5" s="1"/>
  <c r="L32" i="4"/>
  <c r="L21" i="5" s="1"/>
  <c r="N32" i="4"/>
  <c r="N21" i="5" s="1"/>
  <c r="E28" i="4"/>
  <c r="F38" i="4"/>
  <c r="F28" i="4"/>
  <c r="E38" i="4"/>
  <c r="G14" i="10"/>
  <c r="G9" i="6"/>
  <c r="H28" i="4"/>
  <c r="G11" i="12"/>
  <c r="K41" i="4"/>
  <c r="K22" i="5" s="1"/>
  <c r="J35" i="5"/>
  <c r="I28" i="4"/>
  <c r="G38" i="4"/>
  <c r="I14" i="10"/>
  <c r="G35" i="5"/>
  <c r="G34" i="5"/>
  <c r="G33" i="5"/>
  <c r="G39" i="5" s="1"/>
  <c r="G32" i="5"/>
  <c r="G38" i="5" s="1"/>
  <c r="G31" i="5"/>
  <c r="F34" i="5"/>
  <c r="E33" i="5"/>
  <c r="J28" i="4"/>
  <c r="E32" i="4"/>
  <c r="E21" i="5" s="1"/>
  <c r="N24" i="12"/>
  <c r="O17" i="12" l="1"/>
  <c r="O25" i="12" s="1"/>
  <c r="O23" i="12" s="1"/>
  <c r="O16" i="12"/>
  <c r="O19" i="12"/>
  <c r="O14" i="12"/>
  <c r="O18" i="12"/>
  <c r="O15" i="12"/>
  <c r="H22" i="10"/>
  <c r="H39" i="10" s="1"/>
  <c r="F22" i="10"/>
  <c r="F39" i="10" s="1"/>
  <c r="I22" i="10"/>
  <c r="I48" i="10" s="1"/>
  <c r="I49" i="10" s="1"/>
  <c r="G22" i="10"/>
  <c r="H48" i="10" s="1"/>
  <c r="H49" i="10" s="1"/>
  <c r="E42" i="5"/>
  <c r="E125" i="4"/>
  <c r="E127" i="4" s="1"/>
  <c r="K92" i="4"/>
  <c r="K94" i="4" s="1"/>
  <c r="I92" i="4"/>
  <c r="I42" i="9" s="1"/>
  <c r="H92" i="4"/>
  <c r="H42" i="9" s="1"/>
  <c r="G92" i="4"/>
  <c r="G36" i="9" s="1"/>
  <c r="M92" i="4"/>
  <c r="M94" i="4" s="1"/>
  <c r="F92" i="4"/>
  <c r="F40" i="9" s="1"/>
  <c r="L20" i="4"/>
  <c r="L17" i="4" s="1"/>
  <c r="M63" i="4"/>
  <c r="M97" i="4"/>
  <c r="H94" i="4"/>
  <c r="N92" i="4"/>
  <c r="N39" i="9" s="1"/>
  <c r="E94" i="4"/>
  <c r="L33" i="9"/>
  <c r="L94" i="4"/>
  <c r="J31" i="9"/>
  <c r="J94" i="4"/>
  <c r="E31" i="9"/>
  <c r="G31" i="9"/>
  <c r="H39" i="9"/>
  <c r="H41" i="9"/>
  <c r="L32" i="9"/>
  <c r="L125" i="4"/>
  <c r="L127" i="4" s="1"/>
  <c r="N31" i="9"/>
  <c r="N32" i="9"/>
  <c r="N30" i="9"/>
  <c r="N33" i="9"/>
  <c r="N125" i="4"/>
  <c r="N127" i="4" s="1"/>
  <c r="J125" i="4"/>
  <c r="J127" i="4" s="1"/>
  <c r="J40" i="5"/>
  <c r="L31" i="9"/>
  <c r="L30" i="9"/>
  <c r="M29" i="9"/>
  <c r="M29" i="4"/>
  <c r="M15" i="5" s="1"/>
  <c r="M31" i="9"/>
  <c r="L29" i="9"/>
  <c r="M40" i="5"/>
  <c r="M30" i="9"/>
  <c r="L44" i="5"/>
  <c r="H125" i="4"/>
  <c r="H127" i="4" s="1"/>
  <c r="I44" i="5"/>
  <c r="F40" i="5"/>
  <c r="H40" i="5"/>
  <c r="G125" i="4"/>
  <c r="G127" i="4" s="1"/>
  <c r="M33" i="9"/>
  <c r="I125" i="4"/>
  <c r="I127" i="4" s="1"/>
  <c r="G44" i="5"/>
  <c r="R13" i="5"/>
  <c r="G32" i="9"/>
  <c r="I40" i="5"/>
  <c r="I32" i="9"/>
  <c r="Q22" i="5"/>
  <c r="I30" i="9"/>
  <c r="F125" i="4"/>
  <c r="F127" i="4" s="1"/>
  <c r="N44" i="5"/>
  <c r="N40" i="5"/>
  <c r="K125" i="4"/>
  <c r="K127" i="4" s="1"/>
  <c r="N42" i="5"/>
  <c r="G42" i="5"/>
  <c r="F44" i="5"/>
  <c r="R9" i="5"/>
  <c r="R32" i="5"/>
  <c r="E41" i="9"/>
  <c r="E40" i="9"/>
  <c r="E36" i="9"/>
  <c r="E37" i="9"/>
  <c r="I39" i="9"/>
  <c r="J44" i="5"/>
  <c r="K41" i="9"/>
  <c r="Q13" i="5"/>
  <c r="R22" i="5"/>
  <c r="Q9" i="5"/>
  <c r="L35" i="9"/>
  <c r="L42" i="9"/>
  <c r="L36" i="9"/>
  <c r="L39" i="9"/>
  <c r="L38" i="9"/>
  <c r="L37" i="9"/>
  <c r="L40" i="9"/>
  <c r="L41" i="9"/>
  <c r="L43" i="5"/>
  <c r="J38" i="9"/>
  <c r="J35" i="9"/>
  <c r="J41" i="9"/>
  <c r="J43" i="5"/>
  <c r="J40" i="9"/>
  <c r="J39" i="9"/>
  <c r="J36" i="9"/>
  <c r="J37" i="9"/>
  <c r="J42" i="9"/>
  <c r="K33" i="9"/>
  <c r="K29" i="9"/>
  <c r="M44" i="5"/>
  <c r="M42" i="5"/>
  <c r="M125" i="4"/>
  <c r="M127" i="4" s="1"/>
  <c r="O29" i="12"/>
  <c r="O31" i="12" s="1"/>
  <c r="L19" i="6"/>
  <c r="N18" i="6"/>
  <c r="O18" i="6" s="1"/>
  <c r="K35" i="9"/>
  <c r="K38" i="9"/>
  <c r="K37" i="9"/>
  <c r="H33" i="9"/>
  <c r="H29" i="9"/>
  <c r="I33" i="9"/>
  <c r="I29" i="9"/>
  <c r="L40" i="5"/>
  <c r="E42" i="9"/>
  <c r="Q35" i="5"/>
  <c r="R35" i="5"/>
  <c r="E33" i="9"/>
  <c r="E29" i="9"/>
  <c r="G37" i="5"/>
  <c r="R31" i="5"/>
  <c r="K36" i="9"/>
  <c r="M11" i="12"/>
  <c r="N11" i="12"/>
  <c r="G29" i="4"/>
  <c r="G15" i="5" s="1"/>
  <c r="G34" i="4"/>
  <c r="E30" i="9"/>
  <c r="D18" i="6"/>
  <c r="E18" i="6" s="1"/>
  <c r="B19" i="6"/>
  <c r="Q33" i="5"/>
  <c r="E39" i="5"/>
  <c r="R33" i="5"/>
  <c r="H44" i="5"/>
  <c r="N34" i="4"/>
  <c r="N29" i="4"/>
  <c r="N15" i="5" s="1"/>
  <c r="K32" i="9"/>
  <c r="L34" i="4"/>
  <c r="L29" i="4"/>
  <c r="L15" i="5" s="1"/>
  <c r="E44" i="5"/>
  <c r="J34" i="4"/>
  <c r="J29" i="4"/>
  <c r="J15" i="5" s="1"/>
  <c r="H31" i="9"/>
  <c r="K44" i="5"/>
  <c r="J33" i="9"/>
  <c r="J29" i="9"/>
  <c r="J30" i="9"/>
  <c r="J32" i="9"/>
  <c r="H34" i="4"/>
  <c r="H29" i="4"/>
  <c r="H15" i="5" s="1"/>
  <c r="H30" i="9"/>
  <c r="E38" i="9"/>
  <c r="M25" i="5"/>
  <c r="M43" i="4"/>
  <c r="M35" i="4"/>
  <c r="M16" i="5" s="1"/>
  <c r="M23" i="9"/>
  <c r="Q31" i="5"/>
  <c r="K40" i="5"/>
  <c r="G33" i="9"/>
  <c r="G29" i="9"/>
  <c r="N10" i="12"/>
  <c r="M10" i="12"/>
  <c r="Q21" i="5"/>
  <c r="R21" i="5"/>
  <c r="K30" i="9"/>
  <c r="F34" i="4"/>
  <c r="F29" i="4"/>
  <c r="F15" i="5" s="1"/>
  <c r="Q38" i="5"/>
  <c r="R38" i="5"/>
  <c r="I34" i="4"/>
  <c r="I29" i="4"/>
  <c r="I15" i="5" s="1"/>
  <c r="K40" i="9"/>
  <c r="E35" i="9"/>
  <c r="E39" i="9"/>
  <c r="H32" i="9"/>
  <c r="E43" i="5"/>
  <c r="E32" i="9"/>
  <c r="E34" i="4"/>
  <c r="E43" i="4" s="1"/>
  <c r="E29" i="4"/>
  <c r="E15" i="5" s="1"/>
  <c r="K31" i="9"/>
  <c r="K34" i="4"/>
  <c r="K29" i="4"/>
  <c r="K15" i="5" s="1"/>
  <c r="N12" i="12"/>
  <c r="M12" i="12"/>
  <c r="I31" i="9"/>
  <c r="F33" i="9"/>
  <c r="F29" i="9"/>
  <c r="F30" i="9"/>
  <c r="F32" i="9"/>
  <c r="G10" i="6"/>
  <c r="F31" i="9"/>
  <c r="G30" i="9"/>
  <c r="Q34" i="5"/>
  <c r="R34" i="5"/>
  <c r="Q32" i="5"/>
  <c r="I39" i="10" l="1"/>
  <c r="F48" i="10"/>
  <c r="F49" i="10" s="1"/>
  <c r="G39" i="10"/>
  <c r="G48" i="10"/>
  <c r="G49" i="10" s="1"/>
  <c r="K42" i="9"/>
  <c r="K43" i="5"/>
  <c r="I40" i="9"/>
  <c r="I37" i="9"/>
  <c r="K39" i="9"/>
  <c r="H36" i="9"/>
  <c r="I41" i="9"/>
  <c r="I94" i="4"/>
  <c r="I43" i="5"/>
  <c r="H37" i="9"/>
  <c r="H43" i="5"/>
  <c r="M36" i="9"/>
  <c r="G42" i="9"/>
  <c r="M38" i="9"/>
  <c r="M39" i="9"/>
  <c r="M35" i="9"/>
  <c r="H35" i="9"/>
  <c r="F43" i="5"/>
  <c r="H38" i="9"/>
  <c r="F42" i="9"/>
  <c r="H40" i="9"/>
  <c r="M43" i="5"/>
  <c r="M37" i="9"/>
  <c r="F37" i="9"/>
  <c r="M41" i="9"/>
  <c r="M40" i="9"/>
  <c r="M42" i="9"/>
  <c r="N35" i="9"/>
  <c r="I38" i="9"/>
  <c r="I35" i="9"/>
  <c r="I36" i="9"/>
  <c r="F94" i="4"/>
  <c r="F38" i="9"/>
  <c r="F35" i="9"/>
  <c r="N94" i="4"/>
  <c r="F39" i="9"/>
  <c r="F36" i="9"/>
  <c r="F41" i="9"/>
  <c r="N40" i="9"/>
  <c r="N42" i="9"/>
  <c r="N36" i="9"/>
  <c r="G43" i="5"/>
  <c r="G38" i="9"/>
  <c r="G37" i="9"/>
  <c r="G94" i="4"/>
  <c r="N37" i="9"/>
  <c r="G41" i="9"/>
  <c r="G39" i="9"/>
  <c r="G35" i="9"/>
  <c r="G40" i="9"/>
  <c r="N38" i="9"/>
  <c r="N43" i="5"/>
  <c r="K20" i="4"/>
  <c r="K17" i="4" s="1"/>
  <c r="L63" i="4"/>
  <c r="L97" i="4"/>
  <c r="N41" i="9"/>
  <c r="Q42" i="5"/>
  <c r="I35" i="4"/>
  <c r="I16" i="5" s="1"/>
  <c r="I23" i="9"/>
  <c r="I25" i="5"/>
  <c r="I43" i="4"/>
  <c r="I10" i="5"/>
  <c r="H10" i="5"/>
  <c r="H23" i="9"/>
  <c r="H25" i="5"/>
  <c r="H43" i="4"/>
  <c r="H35" i="4"/>
  <c r="H16" i="5" s="1"/>
  <c r="L23" i="9"/>
  <c r="L43" i="4"/>
  <c r="M11" i="5" s="1"/>
  <c r="L35" i="4"/>
  <c r="L16" i="5" s="1"/>
  <c r="L25" i="5"/>
  <c r="L10" i="5"/>
  <c r="K23" i="9"/>
  <c r="K25" i="5"/>
  <c r="K43" i="4"/>
  <c r="K10" i="5"/>
  <c r="K35" i="4"/>
  <c r="K16" i="5" s="1"/>
  <c r="R39" i="5"/>
  <c r="Q39" i="5"/>
  <c r="E40" i="5"/>
  <c r="F23" i="9"/>
  <c r="F10" i="5"/>
  <c r="F25" i="5"/>
  <c r="F43" i="4"/>
  <c r="F35" i="4"/>
  <c r="F16" i="5" s="1"/>
  <c r="G11" i="6"/>
  <c r="G12" i="6" s="1"/>
  <c r="G13" i="6" s="1"/>
  <c r="G14" i="6" s="1"/>
  <c r="G15" i="6" s="1"/>
  <c r="G16" i="6" s="1"/>
  <c r="G17" i="6" s="1"/>
  <c r="Q15" i="5"/>
  <c r="R15" i="5"/>
  <c r="M10" i="5"/>
  <c r="R42" i="5"/>
  <c r="B20" i="6"/>
  <c r="D19" i="6"/>
  <c r="E19" i="6" s="1"/>
  <c r="G40" i="5"/>
  <c r="R37" i="5"/>
  <c r="Q37" i="5"/>
  <c r="E23" i="9"/>
  <c r="E25" i="5"/>
  <c r="E35" i="4"/>
  <c r="E16" i="5" s="1"/>
  <c r="M29" i="5"/>
  <c r="M23" i="5"/>
  <c r="M17" i="5"/>
  <c r="M44" i="4"/>
  <c r="M18" i="5" s="1"/>
  <c r="H40" i="10"/>
  <c r="H42" i="10" s="1"/>
  <c r="H64" i="10" s="1"/>
  <c r="H51" i="10"/>
  <c r="H53" i="10" s="1"/>
  <c r="H55" i="10" s="1"/>
  <c r="H63" i="10" s="1"/>
  <c r="M49" i="4"/>
  <c r="M47" i="4"/>
  <c r="J10" i="5"/>
  <c r="J23" i="9"/>
  <c r="J25" i="5"/>
  <c r="J43" i="4"/>
  <c r="J35" i="4"/>
  <c r="J16" i="5" s="1"/>
  <c r="N23" i="9"/>
  <c r="N35" i="4"/>
  <c r="N16" i="5" s="1"/>
  <c r="N43" i="4"/>
  <c r="N10" i="5"/>
  <c r="N25" i="5"/>
  <c r="G23" i="9"/>
  <c r="G25" i="5"/>
  <c r="G43" i="4"/>
  <c r="G10" i="5"/>
  <c r="G35" i="4"/>
  <c r="G16" i="5" s="1"/>
  <c r="M19" i="12"/>
  <c r="M18" i="12"/>
  <c r="M17" i="12"/>
  <c r="M23" i="12" s="1"/>
  <c r="M25" i="12" s="1"/>
  <c r="M15" i="12"/>
  <c r="M16" i="12"/>
  <c r="M14" i="12"/>
  <c r="O19" i="6"/>
  <c r="L20" i="6"/>
  <c r="N17" i="12"/>
  <c r="N23" i="12" s="1"/>
  <c r="N25" i="12" s="1"/>
  <c r="N29" i="12" s="1"/>
  <c r="N31" i="12" s="1"/>
  <c r="N16" i="12"/>
  <c r="N15" i="12"/>
  <c r="N14" i="12"/>
  <c r="N19" i="12"/>
  <c r="N18" i="12"/>
  <c r="Q44" i="5"/>
  <c r="R44" i="5"/>
  <c r="O20" i="6" l="1"/>
  <c r="M29" i="12"/>
  <c r="R43" i="5"/>
  <c r="Q43" i="5"/>
  <c r="J20" i="4"/>
  <c r="J17" i="4" s="1"/>
  <c r="K97" i="4"/>
  <c r="K63" i="4"/>
  <c r="H65" i="10"/>
  <c r="H29" i="5"/>
  <c r="H11" i="5"/>
  <c r="H23" i="5"/>
  <c r="H44" i="4"/>
  <c r="H18" i="5" s="1"/>
  <c r="H49" i="4"/>
  <c r="H17" i="5"/>
  <c r="H47" i="4"/>
  <c r="F23" i="5"/>
  <c r="F47" i="4"/>
  <c r="F29" i="5"/>
  <c r="F11" i="5"/>
  <c r="F17" i="5"/>
  <c r="F44" i="4"/>
  <c r="F18" i="5" s="1"/>
  <c r="F49" i="4"/>
  <c r="M27" i="5"/>
  <c r="M54" i="4"/>
  <c r="M50" i="4"/>
  <c r="M19" i="5" s="1"/>
  <c r="F15" i="11"/>
  <c r="I40" i="10"/>
  <c r="I42" i="10" s="1"/>
  <c r="I64" i="10" s="1"/>
  <c r="I51" i="10"/>
  <c r="I53" i="10" s="1"/>
  <c r="I55" i="10" s="1"/>
  <c r="I63" i="10" s="1"/>
  <c r="N49" i="4"/>
  <c r="N17" i="5"/>
  <c r="N44" i="4"/>
  <c r="N18" i="5" s="1"/>
  <c r="N11" i="5"/>
  <c r="N29" i="5"/>
  <c r="N47" i="4"/>
  <c r="N23" i="5"/>
  <c r="K11" i="5"/>
  <c r="K29" i="5"/>
  <c r="K23" i="5"/>
  <c r="K17" i="5"/>
  <c r="F40" i="10"/>
  <c r="F42" i="10" s="1"/>
  <c r="F64" i="10" s="1"/>
  <c r="F51" i="10"/>
  <c r="F53" i="10" s="1"/>
  <c r="F55" i="10" s="1"/>
  <c r="F63" i="10" s="1"/>
  <c r="K47" i="4"/>
  <c r="K49" i="4"/>
  <c r="K44" i="4"/>
  <c r="K18" i="5" s="1"/>
  <c r="D20" i="6"/>
  <c r="E20" i="6" s="1"/>
  <c r="E64" i="10"/>
  <c r="J29" i="5"/>
  <c r="J11" i="5"/>
  <c r="E51" i="10"/>
  <c r="E53" i="10" s="1"/>
  <c r="E55" i="10" s="1"/>
  <c r="J17" i="5"/>
  <c r="J49" i="4"/>
  <c r="J44" i="4"/>
  <c r="J18" i="5" s="1"/>
  <c r="J23" i="5"/>
  <c r="J47" i="4"/>
  <c r="I49" i="4"/>
  <c r="I11" i="5"/>
  <c r="I44" i="4"/>
  <c r="I18" i="5" s="1"/>
  <c r="I29" i="5"/>
  <c r="I23" i="5"/>
  <c r="I17" i="5"/>
  <c r="I47" i="4"/>
  <c r="R25" i="5"/>
  <c r="Q25" i="5"/>
  <c r="G49" i="4"/>
  <c r="G29" i="5"/>
  <c r="G23" i="5"/>
  <c r="G17" i="5"/>
  <c r="G11" i="5"/>
  <c r="G44" i="4"/>
  <c r="G18" i="5" s="1"/>
  <c r="G47" i="4"/>
  <c r="Q16" i="5"/>
  <c r="R16" i="5"/>
  <c r="R10" i="5"/>
  <c r="Q10" i="5"/>
  <c r="E29" i="5"/>
  <c r="E23" i="5"/>
  <c r="E44" i="4"/>
  <c r="E18" i="5" s="1"/>
  <c r="E17" i="5"/>
  <c r="E49" i="4"/>
  <c r="E47" i="4"/>
  <c r="G18" i="6"/>
  <c r="I17" i="6"/>
  <c r="J17" i="6" s="1"/>
  <c r="Q40" i="5"/>
  <c r="R40" i="5"/>
  <c r="G40" i="10"/>
  <c r="G42" i="10" s="1"/>
  <c r="G64" i="10" s="1"/>
  <c r="L11" i="5"/>
  <c r="G51" i="10"/>
  <c r="G53" i="10" s="1"/>
  <c r="G55" i="10" s="1"/>
  <c r="G63" i="10" s="1"/>
  <c r="L44" i="4"/>
  <c r="L18" i="5" s="1"/>
  <c r="L17" i="5"/>
  <c r="L49" i="4"/>
  <c r="L29" i="5"/>
  <c r="L23" i="5"/>
  <c r="L47" i="4"/>
  <c r="I20" i="4" l="1"/>
  <c r="I17" i="4" s="1"/>
  <c r="J63" i="4"/>
  <c r="J97" i="4"/>
  <c r="F65" i="10"/>
  <c r="G65" i="10"/>
  <c r="I65" i="10"/>
  <c r="Q18" i="5"/>
  <c r="R18" i="5"/>
  <c r="N54" i="4"/>
  <c r="N27" i="5"/>
  <c r="N12" i="5"/>
  <c r="N50" i="4"/>
  <c r="N19" i="5" s="1"/>
  <c r="R23" i="5"/>
  <c r="Q23" i="5"/>
  <c r="G27" i="5"/>
  <c r="G50" i="4"/>
  <c r="G19" i="5" s="1"/>
  <c r="G54" i="4"/>
  <c r="G12" i="5"/>
  <c r="R29" i="5"/>
  <c r="Q29" i="5"/>
  <c r="J12" i="5"/>
  <c r="J54" i="4"/>
  <c r="J27" i="5"/>
  <c r="J50" i="4"/>
  <c r="J19" i="5" s="1"/>
  <c r="G19" i="6"/>
  <c r="J18" i="6"/>
  <c r="F12" i="5"/>
  <c r="F50" i="4"/>
  <c r="F19" i="5" s="1"/>
  <c r="F54" i="4"/>
  <c r="F27" i="5"/>
  <c r="E50" i="4"/>
  <c r="E19" i="5" s="1"/>
  <c r="E27" i="5"/>
  <c r="E54" i="4"/>
  <c r="I50" i="4"/>
  <c r="I19" i="5" s="1"/>
  <c r="I54" i="4"/>
  <c r="I12" i="5"/>
  <c r="I27" i="5"/>
  <c r="K50" i="4"/>
  <c r="K19" i="5" s="1"/>
  <c r="K27" i="5"/>
  <c r="K54" i="4"/>
  <c r="K12" i="5"/>
  <c r="L12" i="5"/>
  <c r="L54" i="4"/>
  <c r="M55" i="4" s="1"/>
  <c r="L27" i="5"/>
  <c r="L50" i="4"/>
  <c r="L19" i="5" s="1"/>
  <c r="R17" i="5"/>
  <c r="Q17" i="5"/>
  <c r="Q11" i="5"/>
  <c r="R11" i="5"/>
  <c r="F18" i="11"/>
  <c r="F21" i="11" s="1"/>
  <c r="E63" i="10"/>
  <c r="E65" i="10" s="1"/>
  <c r="I58" i="10"/>
  <c r="I57" i="10"/>
  <c r="M12" i="5"/>
  <c r="H54" i="4"/>
  <c r="H27" i="5"/>
  <c r="H50" i="4"/>
  <c r="H19" i="5" s="1"/>
  <c r="H12" i="5"/>
  <c r="M58" i="4"/>
  <c r="M60" i="4" s="1"/>
  <c r="M26" i="5" s="1"/>
  <c r="M28" i="5" s="1"/>
  <c r="H20" i="4" l="1"/>
  <c r="H17" i="4" s="1"/>
  <c r="I63" i="4"/>
  <c r="I97" i="4"/>
  <c r="F55" i="4"/>
  <c r="F58" i="4"/>
  <c r="F60" i="4" s="1"/>
  <c r="F26" i="5" s="1"/>
  <c r="F28" i="5" s="1"/>
  <c r="G55" i="4"/>
  <c r="G58" i="4"/>
  <c r="G60" i="4" s="1"/>
  <c r="G26" i="5" s="1"/>
  <c r="G28" i="5" s="1"/>
  <c r="I67" i="10"/>
  <c r="I68" i="10"/>
  <c r="D28" i="11" s="1"/>
  <c r="G15" i="11" s="1"/>
  <c r="K55" i="4"/>
  <c r="K58" i="4"/>
  <c r="K60" i="4" s="1"/>
  <c r="K26" i="5" s="1"/>
  <c r="K28" i="5" s="1"/>
  <c r="R12" i="5"/>
  <c r="Q12" i="5"/>
  <c r="G20" i="6"/>
  <c r="J19" i="6"/>
  <c r="E58" i="4"/>
  <c r="E60" i="4" s="1"/>
  <c r="E26" i="5" s="1"/>
  <c r="N58" i="4"/>
  <c r="N60" i="4" s="1"/>
  <c r="N26" i="5" s="1"/>
  <c r="N28" i="5" s="1"/>
  <c r="N55" i="4"/>
  <c r="R27" i="5"/>
  <c r="Q27" i="5"/>
  <c r="I58" i="4"/>
  <c r="I60" i="4" s="1"/>
  <c r="I26" i="5" s="1"/>
  <c r="I28" i="5" s="1"/>
  <c r="I55" i="4"/>
  <c r="J55" i="4"/>
  <c r="J58" i="4"/>
  <c r="J60" i="4" s="1"/>
  <c r="J26" i="5" s="1"/>
  <c r="J28" i="5" s="1"/>
  <c r="H55" i="4"/>
  <c r="H58" i="4"/>
  <c r="H60" i="4" s="1"/>
  <c r="H26" i="5" s="1"/>
  <c r="H28" i="5" s="1"/>
  <c r="L55" i="4"/>
  <c r="L58" i="4"/>
  <c r="L60" i="4" s="1"/>
  <c r="L26" i="5" s="1"/>
  <c r="L28" i="5" s="1"/>
  <c r="R19" i="5"/>
  <c r="Q19" i="5"/>
  <c r="J20" i="6" l="1"/>
  <c r="G20" i="4"/>
  <c r="G17" i="4" s="1"/>
  <c r="H63" i="4"/>
  <c r="H97" i="4"/>
  <c r="Q26" i="5"/>
  <c r="E28" i="5"/>
  <c r="R26" i="5"/>
  <c r="H15" i="11"/>
  <c r="G18" i="11"/>
  <c r="G21" i="11" s="1"/>
  <c r="F20" i="4" l="1"/>
  <c r="F17" i="4" s="1"/>
  <c r="G63" i="4"/>
  <c r="G97" i="4"/>
  <c r="H18" i="11"/>
  <c r="H21" i="11" s="1"/>
  <c r="I15" i="11"/>
  <c r="R28" i="5"/>
  <c r="Q28" i="5"/>
  <c r="E20" i="4" l="1"/>
  <c r="E17" i="4" s="1"/>
  <c r="F63" i="4"/>
  <c r="F97" i="4"/>
  <c r="I18" i="11"/>
  <c r="I21" i="11" s="1"/>
  <c r="J15" i="11"/>
  <c r="E97" i="4" l="1"/>
  <c r="E63" i="4"/>
  <c r="J18" i="11"/>
  <c r="J21" i="11" s="1"/>
  <c r="K15" i="11"/>
  <c r="K18" i="11" s="1"/>
  <c r="K21" i="11" s="1"/>
  <c r="D43" i="11" l="1"/>
  <c r="D34" i="11"/>
  <c r="D30" i="11" l="1"/>
  <c r="J23" i="11" l="1"/>
  <c r="J25" i="11" s="1"/>
  <c r="H23" i="11"/>
  <c r="H25" i="11" s="1"/>
  <c r="D35" i="11"/>
  <c r="K23" i="11"/>
  <c r="K25" i="11" s="1"/>
  <c r="G23" i="11"/>
  <c r="G25" i="11" s="1"/>
  <c r="I23" i="11"/>
  <c r="I25" i="11" s="1"/>
  <c r="D38" i="11"/>
  <c r="I34" i="11"/>
  <c r="D44" i="11" l="1"/>
  <c r="D45" i="11" s="1"/>
  <c r="D49" i="11" s="1"/>
  <c r="D52" i="11" s="1"/>
  <c r="D55" i="11" s="1"/>
  <c r="G34" i="11" l="1"/>
</calcChain>
</file>

<file path=xl/sharedStrings.xml><?xml version="1.0" encoding="utf-8"?>
<sst xmlns="http://schemas.openxmlformats.org/spreadsheetml/2006/main" count="1154" uniqueCount="807">
  <si>
    <t>Sales</t>
  </si>
  <si>
    <t>Sales Growth</t>
  </si>
  <si>
    <t>COGS</t>
  </si>
  <si>
    <t>COGS (% sales)</t>
  </si>
  <si>
    <t>Gross Profit</t>
  </si>
  <si>
    <t>Gross Margins</t>
  </si>
  <si>
    <t>Selling &amp; General expenses</t>
  </si>
  <si>
    <t>S&amp;G Expenses (% sales)</t>
  </si>
  <si>
    <t>EBITDA</t>
  </si>
  <si>
    <t>EBITDA Margins</t>
  </si>
  <si>
    <t>Interest</t>
  </si>
  <si>
    <t>Interest (% sales)</t>
  </si>
  <si>
    <t>Depreciation</t>
  </si>
  <si>
    <t>Depreciation (% sales)</t>
  </si>
  <si>
    <t>Earnings Before Tax</t>
  </si>
  <si>
    <t>EBT (% sales)</t>
  </si>
  <si>
    <t>Tax</t>
  </si>
  <si>
    <t>Effective tax rate</t>
  </si>
  <si>
    <t>Net Profit</t>
  </si>
  <si>
    <t>Net margins</t>
  </si>
  <si>
    <t>No of Equity Shares</t>
  </si>
  <si>
    <t>EPS</t>
  </si>
  <si>
    <t>EPS Growth %</t>
  </si>
  <si>
    <t>Dividend per share</t>
  </si>
  <si>
    <t>Dividend payout ratio</t>
  </si>
  <si>
    <t>Retained earnings</t>
  </si>
  <si>
    <t>Equity Share Capital</t>
  </si>
  <si>
    <t>Reserves</t>
  </si>
  <si>
    <t>Borrowings</t>
  </si>
  <si>
    <t>Other Liabilities</t>
  </si>
  <si>
    <t>Total Liabilities</t>
  </si>
  <si>
    <t>Fixed Assets 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</si>
  <si>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</si>
  <si>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</si>
  <si>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</si>
  <si>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</si>
  <si>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</si>
  <si>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</si>
  <si>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Total Current Assets</t>
  </si>
  <si>
    <t>Total Assets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</si>
  <si>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</si>
  <si>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</si>
  <si>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</si>
  <si>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</si>
  <si>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</si>
  <si>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</si>
  <si>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Operating Activities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</si>
  <si>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</si>
  <si>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</si>
  <si>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</si>
  <si>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</si>
  <si>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</si>
  <si>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</si>
  <si>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Redemp n Canc of Shares</t>
  </si>
  <si>
    <t>Other investing items</t>
  </si>
  <si>
    <t>Cash from Investing Activities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</si>
  <si>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</si>
  <si>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</si>
  <si>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</si>
  <si>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</si>
  <si>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</si>
  <si>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</si>
  <si>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</si>
  <si>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 from Financing Activities</t>
  </si>
  <si>
    <t>Net Cash Flow</t>
  </si>
  <si>
    <t>Trend</t>
  </si>
  <si>
    <t>Mean</t>
  </si>
  <si>
    <t>Median</t>
  </si>
  <si>
    <t>EBITDA Growth</t>
  </si>
  <si>
    <t>EBIT Growth</t>
  </si>
  <si>
    <t>Net ProfitGrowth</t>
  </si>
  <si>
    <t>Dividend Growth</t>
  </si>
  <si>
    <t>Gross Margin</t>
  </si>
  <si>
    <t>EBITDA Margin</t>
  </si>
  <si>
    <t>EBIT Margin</t>
  </si>
  <si>
    <t>EBT Margin</t>
  </si>
  <si>
    <t>Net Profit Margin</t>
  </si>
  <si>
    <t>SalesExpenses%Sales</t>
  </si>
  <si>
    <t>Depreciation%Sales</t>
  </si>
  <si>
    <t>OperatingIncome%Sales</t>
  </si>
  <si>
    <t>Return on Capital Employed</t>
  </si>
  <si>
    <t>Retained Earnings%</t>
  </si>
  <si>
    <t>Return on Equity %</t>
  </si>
  <si>
    <t>Self Sustained Growth Rate</t>
  </si>
  <si>
    <t>Interest Coverage Ratio</t>
  </si>
  <si>
    <t>Debtor Turnover Ratio</t>
  </si>
  <si>
    <t>Credit Turnover Ratio</t>
  </si>
  <si>
    <t>Inventory Turnover Ratio</t>
  </si>
  <si>
    <t>Fixed Asset Turnover</t>
  </si>
  <si>
    <t>Capital Turnover Ratio</t>
  </si>
  <si>
    <t>Debtor Days</t>
  </si>
  <si>
    <t>Payable Days</t>
  </si>
  <si>
    <t>Inventory Days</t>
  </si>
  <si>
    <t>Cash Conversion Cycle (in days)</t>
  </si>
  <si>
    <t>CFO/Sales</t>
  </si>
  <si>
    <t>CFO/Total Assets</t>
  </si>
  <si>
    <t>CFO/Total Debt</t>
  </si>
  <si>
    <t>Year Weight</t>
  </si>
  <si>
    <t>Year</t>
  </si>
  <si>
    <t>EPS Growth</t>
  </si>
  <si>
    <t>Average</t>
  </si>
  <si>
    <t>NIFTY Weekly Returns</t>
  </si>
  <si>
    <t>Date</t>
  </si>
  <si>
    <t>Closing Price</t>
  </si>
  <si>
    <t>Weekly Return</t>
  </si>
  <si>
    <t>Levered Raw Beta</t>
  </si>
  <si>
    <t>Raw Beta Weight</t>
  </si>
  <si>
    <t>Market Beta</t>
  </si>
  <si>
    <t>Market Beta Weight</t>
  </si>
  <si>
    <t>Adjusted Beta</t>
  </si>
  <si>
    <t>Total</t>
  </si>
  <si>
    <t xml:space="preserve"> 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</si>
  <si>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</si>
  <si>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</si>
  <si>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</si>
  <si>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</si>
  <si>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</si>
  <si>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</si>
  <si>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</si>
  <si>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</si>
  <si>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Profit before tax</t>
  </si>
  <si>
    <t>Net profit</t>
  </si>
  <si>
    <t>Net Block</t>
  </si>
  <si>
    <t>Current Assets</t>
  </si>
  <si>
    <t>Inventories</t>
  </si>
  <si>
    <t>Trade receivables </t>
  </si>
  <si>
    <t>Other asset items</t>
  </si>
  <si>
    <t>Current Liabilities</t>
  </si>
  <si>
    <t>Trade Payables</t>
  </si>
  <si>
    <t>Advance from Customers</t>
  </si>
  <si>
    <t>Other liability items</t>
  </si>
  <si>
    <t>Total Current Liability</t>
  </si>
  <si>
    <t>Net Working Capital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</si>
  <si>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</si>
  <si>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</si>
  <si>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</si>
  <si>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</si>
  <si>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</si>
  <si>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</si>
  <si>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</si>
  <si>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</si>
  <si>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</si>
  <si>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</si>
  <si>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Net Non Current Assets</t>
  </si>
  <si>
    <t>Invested Capital</t>
  </si>
  <si>
    <t>EBIT</t>
  </si>
  <si>
    <t>ROIC</t>
  </si>
  <si>
    <t>Net Capex</t>
  </si>
  <si>
    <t>Change in Working Capital</t>
  </si>
  <si>
    <t>Marginal Tax Rate</t>
  </si>
  <si>
    <t>EBIT*(1-T)</t>
  </si>
  <si>
    <t>Reinvestment</t>
  </si>
  <si>
    <t>Reinvestment rate</t>
  </si>
  <si>
    <t>Growth Rate</t>
  </si>
  <si>
    <t>COMPANY NAME</t>
  </si>
  <si>
    <t>SRF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</si>
  <si>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</si>
  <si>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</si>
  <si>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</si>
  <si>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</si>
  <si>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</si>
  <si>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</si>
  <si>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</si>
  <si>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</si>
  <si>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</si>
  <si>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</si>
  <si>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Dividend Amount</t>
  </si>
  <si>
    <t>Quarters</t>
  </si>
  <si>
    <t>Expenses</t>
  </si>
  <si>
    <t>Operating Profit</t>
  </si>
  <si>
    <t>BALANCE SHEET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</si>
  <si>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</si>
  <si>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</si>
  <si>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</si>
  <si>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</si>
  <si>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</si>
  <si>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</si>
  <si>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</si>
  <si>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PRICE:</t>
  </si>
  <si>
    <t>DERIVED:</t>
  </si>
  <si>
    <t>Adjusted Equity Shares in Cr</t>
  </si>
  <si>
    <t>Cash from Operating Activity -</t>
  </si>
  <si>
    <t>Cash from Investing Activity -</t>
  </si>
  <si>
    <t>Cash from Financing Activity -</t>
  </si>
  <si>
    <t>Tata Chemicals</t>
  </si>
  <si>
    <t>UPL Ltd.</t>
  </si>
  <si>
    <t>Pidilite Industries</t>
  </si>
  <si>
    <t>Tata Chemicals Weekly Returns</t>
  </si>
  <si>
    <t>UPL Ltd. Weekly Returns</t>
  </si>
  <si>
    <t>Pidilite Industries Weekly Returns</t>
  </si>
  <si>
    <t>12/31/2024</t>
  </si>
  <si>
    <t>12/30/2024</t>
  </si>
  <si>
    <t>12/27/2024</t>
  </si>
  <si>
    <t>12/26/2024</t>
  </si>
  <si>
    <t>12/24/2024</t>
  </si>
  <si>
    <t>12/23/2024</t>
  </si>
  <si>
    <t>12/20/2024</t>
  </si>
  <si>
    <t>12/19/2024</t>
  </si>
  <si>
    <t>12/18/2024</t>
  </si>
  <si>
    <t>12/17/2024</t>
  </si>
  <si>
    <t>12/16/2024</t>
  </si>
  <si>
    <t>12/13/2024</t>
  </si>
  <si>
    <t>11/29/2024</t>
  </si>
  <si>
    <t>11/28/2024</t>
  </si>
  <si>
    <t>11/27/2024</t>
  </si>
  <si>
    <t>11/26/2024</t>
  </si>
  <si>
    <t>11/25/2024</t>
  </si>
  <si>
    <t>11/22/2024</t>
  </si>
  <si>
    <t>11/21/2024</t>
  </si>
  <si>
    <t>11/19/2024</t>
  </si>
  <si>
    <t>11/18/2024</t>
  </si>
  <si>
    <t>11/14/2024</t>
  </si>
  <si>
    <t>11/13/2024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</si>
  <si>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</si>
  <si>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</si>
  <si>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</si>
  <si>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</si>
  <si>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</si>
  <si>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</si>
  <si>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</si>
  <si>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</si>
  <si>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</si>
  <si>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</si>
  <si>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</si>
  <si>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</si>
  <si>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</si>
  <si>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</si>
  <si>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</si>
  <si>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</si>
  <si>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</si>
  <si>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</si>
  <si>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</si>
  <si>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</si>
  <si>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</si>
  <si>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</si>
  <si>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</si>
  <si>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</si>
  <si>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</si>
  <si>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</si>
  <si>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</si>
  <si>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</si>
  <si>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</si>
  <si>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</si>
  <si>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</si>
  <si>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</si>
  <si>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</si>
  <si>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</si>
  <si>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</si>
  <si>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</si>
  <si>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</si>
  <si>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</si>
  <si>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</si>
  <si>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</si>
  <si>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</si>
  <si>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</si>
  <si>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</si>
  <si>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</si>
  <si>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</si>
  <si>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</si>
  <si>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</si>
  <si>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</si>
  <si>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</si>
  <si>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07/16/2024</t>
  </si>
  <si>
    <t>07/15/2024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</si>
  <si>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</si>
  <si>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</si>
  <si>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</si>
  <si>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</si>
  <si>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</si>
  <si>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</si>
  <si>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</si>
  <si>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06/19/2024</t>
  </si>
  <si>
    <t>06/18/2024</t>
  </si>
  <si>
    <t>06/14/2024</t>
  </si>
  <si>
    <t>06/13/2024</t>
  </si>
  <si>
    <t>05/31/2024</t>
  </si>
  <si>
    <t>05/30/2024</t>
  </si>
  <si>
    <t>05/29/2024</t>
  </si>
  <si>
    <t>05/28/2024</t>
  </si>
  <si>
    <t>05/27/2024</t>
  </si>
  <si>
    <t>05/24/2024</t>
  </si>
  <si>
    <t>05/23/2024</t>
  </si>
  <si>
    <t>05/22/2024</t>
  </si>
  <si>
    <t>05/21/2024</t>
  </si>
  <si>
    <t>05/18/2024</t>
  </si>
  <si>
    <t>05/17/2024</t>
  </si>
  <si>
    <t>05/16/2024</t>
  </si>
  <si>
    <t>05/15/2024</t>
  </si>
  <si>
    <t>05/14/2024</t>
  </si>
  <si>
    <t>05/13/2024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</si>
  <si>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</si>
  <si>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</si>
  <si>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</si>
  <si>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</si>
  <si>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</si>
  <si>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</si>
  <si>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</si>
  <si>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</si>
  <si>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</si>
  <si>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04/16/2024</t>
  </si>
  <si>
    <t>04/15/2024</t>
  </si>
  <si>
    <t>03/28/2024</t>
  </si>
  <si>
    <t>03/27/2024</t>
  </si>
  <si>
    <t>03/26/2024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</si>
  <si>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</si>
  <si>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</si>
  <si>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</si>
  <si>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</si>
  <si>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</si>
  <si>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</si>
  <si>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</si>
  <si>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</si>
  <si>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</si>
  <si>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</si>
  <si>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</si>
  <si>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</si>
  <si>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</si>
  <si>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</si>
  <si>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</si>
  <si>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</si>
  <si>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02/19/2024</t>
  </si>
  <si>
    <t>02/16/2024</t>
  </si>
  <si>
    <t>02/15/2024</t>
  </si>
  <si>
    <t>02/14/2024</t>
  </si>
  <si>
    <t>02/13/2024</t>
  </si>
  <si>
    <t>01/31/2024</t>
  </si>
  <si>
    <t>01/30/2024</t>
  </si>
  <si>
    <t>01/29/2024</t>
  </si>
  <si>
    <t>01/25/2024</t>
  </si>
  <si>
    <t>01/24/2024</t>
  </si>
  <si>
    <t>01/23/2024</t>
  </si>
  <si>
    <t>01/20/2024</t>
  </si>
  <si>
    <t>01/19/2024</t>
  </si>
  <si>
    <t>01/18/2024</t>
  </si>
  <si>
    <t>01/17/2024</t>
  </si>
  <si>
    <t>01/16/2024</t>
  </si>
  <si>
    <t>01/15/2024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</si>
  <si>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</si>
  <si>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</si>
  <si>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</si>
  <si>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</si>
  <si>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</si>
  <si>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</si>
  <si>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</si>
  <si>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</si>
  <si>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</si>
  <si>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</si>
  <si>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</si>
  <si>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</si>
  <si>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11/30/2023</t>
  </si>
  <si>
    <t>11/29/2023</t>
  </si>
  <si>
    <t>11/28/2023</t>
  </si>
  <si>
    <t>11/24/2023</t>
  </si>
  <si>
    <t>11/23/2023</t>
  </si>
  <si>
    <t>11/22/2023</t>
  </si>
  <si>
    <t>11/21/2023</t>
  </si>
  <si>
    <t>11/20/2023</t>
  </si>
  <si>
    <t>11/17/2023</t>
  </si>
  <si>
    <t>11/16/2023</t>
  </si>
  <si>
    <t>11/15/2023</t>
  </si>
  <si>
    <t>11/13/2023</t>
  </si>
  <si>
    <t>10/31/2023</t>
  </si>
  <si>
    <t>10/30/2023</t>
  </si>
  <si>
    <t>10/27/2023</t>
  </si>
  <si>
    <t>10/26/2023</t>
  </si>
  <si>
    <t>10/25/2023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</si>
  <si>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</si>
  <si>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</si>
  <si>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</si>
  <si>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</si>
  <si>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</si>
  <si>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</si>
  <si>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</si>
  <si>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</si>
  <si>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</si>
  <si>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</si>
  <si>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</si>
  <si>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</si>
  <si>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</si>
  <si>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</si>
  <si>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</si>
  <si>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09/18/2023</t>
  </si>
  <si>
    <t>09/15/2023</t>
  </si>
  <si>
    <t>09/14/2023</t>
  </si>
  <si>
    <t>09/13/2023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</si>
  <si>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</si>
  <si>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</si>
  <si>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</si>
  <si>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</si>
  <si>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</si>
  <si>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</si>
  <si>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</si>
  <si>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</si>
  <si>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</si>
  <si>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</si>
  <si>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</si>
  <si>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</si>
  <si>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08/14/2023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</si>
  <si>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</si>
  <si>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</si>
  <si>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</si>
  <si>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</si>
  <si>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</si>
  <si>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</si>
  <si>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</si>
  <si>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</si>
  <si>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</si>
  <si>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</si>
  <si>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</si>
  <si>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</si>
  <si>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</si>
  <si>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06/30/2023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</si>
  <si>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</si>
  <si>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</si>
  <si>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</si>
  <si>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</si>
  <si>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</si>
  <si>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</si>
  <si>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</si>
  <si>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06/19/2023</t>
  </si>
  <si>
    <t>06/16/2023</t>
  </si>
  <si>
    <t>06/15/2023</t>
  </si>
  <si>
    <t>06/14/2023</t>
  </si>
  <si>
    <t>06/13/2023</t>
  </si>
  <si>
    <t>05/31/2023</t>
  </si>
  <si>
    <t>05/30/2023</t>
  </si>
  <si>
    <t>05/29/2023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</si>
  <si>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</si>
  <si>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</si>
  <si>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</si>
  <si>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</si>
  <si>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</si>
  <si>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</si>
  <si>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</si>
  <si>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</si>
  <si>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</si>
  <si>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</si>
  <si>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</si>
  <si>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</si>
  <si>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</si>
  <si>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</si>
  <si>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</si>
  <si>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</si>
  <si>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</si>
  <si>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</si>
  <si>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</si>
  <si>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</si>
  <si>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04/13/2023</t>
  </si>
  <si>
    <t>03/31/2023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</si>
  <si>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</si>
  <si>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</si>
  <si>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</si>
  <si>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</si>
  <si>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</si>
  <si>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</si>
  <si>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</si>
  <si>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</si>
  <si>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</si>
  <si>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</si>
  <si>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</si>
  <si>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</si>
  <si>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</si>
  <si>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02/28/2023</t>
  </si>
  <si>
    <t>02/27/2023</t>
  </si>
  <si>
    <t>02/24/2023</t>
  </si>
  <si>
    <t>02/23/2023</t>
  </si>
  <si>
    <t>02/22/2023</t>
  </si>
  <si>
    <t>02/21/2023</t>
  </si>
  <si>
    <t>02/20/2023</t>
  </si>
  <si>
    <t>02/17/2023</t>
  </si>
  <si>
    <t>02/16/2023</t>
  </si>
  <si>
    <t>02/15/2023</t>
  </si>
  <si>
    <t>02/14/2023</t>
  </si>
  <si>
    <t>02/13/2023</t>
  </si>
  <si>
    <t>01/31/2023</t>
  </si>
  <si>
    <t>01/30/2023</t>
  </si>
  <si>
    <t>01/27/2023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</si>
  <si>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</si>
  <si>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</si>
  <si>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</si>
  <si>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</si>
  <si>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</si>
  <si>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</si>
  <si>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</si>
  <si>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01/16/2023</t>
  </si>
  <si>
    <t>01/13/2023</t>
  </si>
  <si>
    <t>12/30/2022</t>
  </si>
  <si>
    <t>12/29/2022</t>
  </si>
  <si>
    <t>12/28/2022</t>
  </si>
  <si>
    <t>12/27/2022</t>
  </si>
  <si>
    <t>12/26/2022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</si>
  <si>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</si>
  <si>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</si>
  <si>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</si>
  <si>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</si>
  <si>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</si>
  <si>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</si>
  <si>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</si>
  <si>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</si>
  <si>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</si>
  <si>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11/30/2022</t>
  </si>
  <si>
    <t>11/29/2022</t>
  </si>
  <si>
    <t>11/28/2022</t>
  </si>
  <si>
    <t>11/25/2022</t>
  </si>
  <si>
    <t>11/24/2022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</si>
  <si>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</si>
  <si>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</si>
  <si>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</si>
  <si>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</si>
  <si>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</si>
  <si>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</si>
  <si>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</si>
  <si>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</si>
  <si>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10/31/2022</t>
  </si>
  <si>
    <t>10/28/2022</t>
  </si>
  <si>
    <t>10/27/2022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</si>
  <si>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</si>
  <si>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</si>
  <si>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</si>
  <si>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</si>
  <si>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</si>
  <si>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</si>
  <si>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</si>
  <si>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</si>
  <si>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</si>
  <si>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</si>
  <si>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</si>
  <si>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</si>
  <si>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</si>
  <si>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</si>
  <si>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</si>
  <si>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</si>
  <si>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</si>
  <si>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</si>
  <si>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</si>
  <si>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</si>
  <si>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</si>
  <si>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</si>
  <si>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</si>
  <si>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</si>
  <si>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</si>
  <si>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</si>
  <si>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</si>
  <si>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</si>
  <si>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</si>
  <si>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</si>
  <si>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</si>
  <si>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</si>
  <si>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</si>
  <si>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</si>
  <si>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</si>
  <si>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</si>
  <si>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</si>
  <si>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</si>
  <si>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</si>
  <si>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</si>
  <si>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</si>
  <si>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</si>
  <si>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</si>
  <si>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</si>
  <si>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</si>
  <si>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</si>
  <si>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</si>
  <si>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</si>
  <si>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</si>
  <si>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</si>
  <si>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</si>
  <si>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</si>
  <si>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</si>
  <si>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</si>
  <si>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</si>
  <si>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06/20/2022</t>
  </si>
  <si>
    <t>06/17/2022</t>
  </si>
  <si>
    <t>06/16/2022</t>
  </si>
  <si>
    <t>06/15/2022</t>
  </si>
  <si>
    <t>06/14/2022</t>
  </si>
  <si>
    <t>06/13/2022</t>
  </si>
  <si>
    <t>05/31/2022</t>
  </si>
  <si>
    <t>05/30/2022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</si>
  <si>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</si>
  <si>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</si>
  <si>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</si>
  <si>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</si>
  <si>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</si>
  <si>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</si>
  <si>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</si>
  <si>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</si>
  <si>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</si>
  <si>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</si>
  <si>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</si>
  <si>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</si>
  <si>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</si>
  <si>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</si>
  <si>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</si>
  <si>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</si>
  <si>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</si>
  <si>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</si>
  <si>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</si>
  <si>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</si>
  <si>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</si>
  <si>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04/13/2022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</si>
  <si>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</si>
  <si>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</si>
  <si>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</si>
  <si>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</si>
  <si>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</si>
  <si>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</si>
  <si>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</si>
  <si>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</si>
  <si>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</si>
  <si>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03/17/2022</t>
  </si>
  <si>
    <t>03/16/2022</t>
  </si>
  <si>
    <t>03/15/2022</t>
  </si>
  <si>
    <t>03/14/2022</t>
  </si>
  <si>
    <t>02/28/2022</t>
  </si>
  <si>
    <t>02/25/2022</t>
  </si>
  <si>
    <t>02/24/2022</t>
  </si>
  <si>
    <t>02/23/2022</t>
  </si>
  <si>
    <t>02/22/2022</t>
  </si>
  <si>
    <t>02/21/2022</t>
  </si>
  <si>
    <t>02/18/2022</t>
  </si>
  <si>
    <t>02/17/2022</t>
  </si>
  <si>
    <t>02/16/2022</t>
  </si>
  <si>
    <t>02/15/2022</t>
  </si>
  <si>
    <t>02/14/2022</t>
  </si>
  <si>
    <t>01/31/2022</t>
  </si>
  <si>
    <t>01/28/2022</t>
  </si>
  <si>
    <t>01/27/2022</t>
  </si>
  <si>
    <t>01/25/2022</t>
  </si>
  <si>
    <t>01/24/2022</t>
  </si>
  <si>
    <t>01/21/2022</t>
  </si>
  <si>
    <t>01/20/2022</t>
  </si>
  <si>
    <t>01/19/2022</t>
  </si>
  <si>
    <t>01/18/2022</t>
  </si>
  <si>
    <t>01/17/2022</t>
  </si>
  <si>
    <t>01/14/2022</t>
  </si>
  <si>
    <t>01/13/2022</t>
  </si>
  <si>
    <t>TATA CHEMICALS</t>
  </si>
  <si>
    <t>SRF Ltd.</t>
  </si>
  <si>
    <t>SRF Ltd. Weekly Returns</t>
  </si>
  <si>
    <t>Return on Markets</t>
  </si>
  <si>
    <t>Annual</t>
  </si>
  <si>
    <t>Average Return</t>
  </si>
  <si>
    <t>Dividend Yield</t>
  </si>
  <si>
    <t xml:space="preserve">Total Market Return </t>
  </si>
  <si>
    <t>Less: Reinvestment Rate</t>
  </si>
  <si>
    <t>Free Cash Flow to the Firm (FCFF)</t>
  </si>
  <si>
    <t>Mid Year Convention</t>
  </si>
  <si>
    <t>Discounting Factor</t>
  </si>
  <si>
    <t>PV OF FCFF</t>
  </si>
  <si>
    <t>Expected Growth</t>
  </si>
  <si>
    <t>Terminal Growth</t>
  </si>
  <si>
    <t>WACC</t>
  </si>
  <si>
    <t>Calculation of Terminal Value</t>
  </si>
  <si>
    <t>FCFF(n+1)</t>
  </si>
  <si>
    <t>TGR</t>
  </si>
  <si>
    <t>Terminal Growth Rate</t>
  </si>
  <si>
    <t>Terminal Value</t>
  </si>
  <si>
    <t>Calculation of Equity Value Per Share</t>
  </si>
  <si>
    <t>PV OF Terminal Value</t>
  </si>
  <si>
    <t>Value of Operating Assets</t>
  </si>
  <si>
    <t>Add: Cash</t>
  </si>
  <si>
    <t>Less: Debt</t>
  </si>
  <si>
    <t>Value of Equity</t>
  </si>
  <si>
    <t>No. of Shares</t>
  </si>
  <si>
    <t>Equity Value per share</t>
  </si>
  <si>
    <t>Share Price</t>
  </si>
  <si>
    <t>Discount/Premium</t>
  </si>
  <si>
    <t>Equity Capital</t>
  </si>
  <si>
    <t>Borrowings -</t>
  </si>
  <si>
    <t>Long term Borrowings</t>
  </si>
  <si>
    <t>Short term Borrowings</t>
  </si>
  <si>
    <t>Lease Liabilities</t>
  </si>
  <si>
    <t>Other Borrowings</t>
  </si>
  <si>
    <t>Other Liabilities -</t>
  </si>
  <si>
    <t>Fixed Assets -</t>
  </si>
  <si>
    <t>CWIP</t>
  </si>
  <si>
    <t>Other Assets -</t>
  </si>
  <si>
    <t>Trade receivables</t>
  </si>
  <si>
    <t>Cash Equivalents</t>
  </si>
  <si>
    <t>Loans n Advances</t>
  </si>
  <si>
    <t>Cash from Operating Activity -</t>
  </si>
  <si>
    <t>Deposits</t>
  </si>
  <si>
    <t>Cash from Investing Activity -</t>
  </si>
  <si>
    <t>Cash from Financing Activity -</t>
  </si>
  <si>
    <t>Sensitivity Analysis - Value of operating assests</t>
  </si>
  <si>
    <t>Market Data</t>
  </si>
  <si>
    <t>Financials</t>
  </si>
  <si>
    <t>Valuation</t>
  </si>
  <si>
    <t>Equity Value</t>
  </si>
  <si>
    <t>Net debt</t>
  </si>
  <si>
    <t>Enterprise Value</t>
  </si>
  <si>
    <t>Revenue</t>
  </si>
  <si>
    <t>Net income</t>
  </si>
  <si>
    <t>EV/Revenue</t>
  </si>
  <si>
    <t>EV/EBITDA</t>
  </si>
  <si>
    <t>P/E</t>
  </si>
  <si>
    <t>High</t>
  </si>
  <si>
    <t>75th Percentile</t>
  </si>
  <si>
    <t>25th Percentile</t>
  </si>
  <si>
    <t>Low</t>
  </si>
  <si>
    <t>Implied Enterprise Value</t>
  </si>
  <si>
    <t>Net Debt</t>
  </si>
  <si>
    <t>Implied Market Value</t>
  </si>
  <si>
    <t>Shares Outstanding</t>
  </si>
  <si>
    <t>Implied Value Per share (₹)</t>
  </si>
  <si>
    <t>Source: Screener</t>
  </si>
  <si>
    <t>Name</t>
  </si>
  <si>
    <t>Pidilite Inds.</t>
  </si>
  <si>
    <t>SRF</t>
  </si>
  <si>
    <t xml:space="preserve">Equity Value </t>
  </si>
  <si>
    <t>EBITDA Rs.Cr.</t>
  </si>
  <si>
    <t>Sales Forecast - SRF Ltd.</t>
  </si>
  <si>
    <t>EBITDA Forecast - SRF Ltd.</t>
  </si>
  <si>
    <t>EPS Forecast - SRF Ltd.</t>
  </si>
  <si>
    <t>Regression Beta Calculation - 2 Years Daily</t>
  </si>
  <si>
    <t>Trendline</t>
  </si>
  <si>
    <t>SRF Ltd. Comparable Valuation</t>
  </si>
  <si>
    <t>5 Year Average</t>
  </si>
  <si>
    <t>5 Year Median</t>
  </si>
  <si>
    <t>Assumptions:</t>
  </si>
  <si>
    <t>Company Name:</t>
  </si>
  <si>
    <t>Periods in Model:</t>
  </si>
  <si>
    <t>Sector:</t>
  </si>
  <si>
    <t>Units (for Conversions):</t>
  </si>
  <si>
    <t>Industry:</t>
  </si>
  <si>
    <t>Market Cap:</t>
  </si>
  <si>
    <t>Current Share Price:</t>
  </si>
  <si>
    <t>Last Full Historical Year:</t>
  </si>
  <si>
    <t>Agro Chemicals</t>
  </si>
  <si>
    <t>Pesticides / Agrochemicals - Indian</t>
  </si>
  <si>
    <t>Historical</t>
  </si>
  <si>
    <t>Units:</t>
  </si>
  <si>
    <t>Consolidated Income Statement:</t>
  </si>
  <si>
    <t>₹</t>
  </si>
  <si>
    <t>₹ Cr</t>
  </si>
  <si>
    <t>%</t>
  </si>
  <si>
    <t># Shares</t>
  </si>
  <si>
    <t>ASSETS:</t>
  </si>
  <si>
    <t>LIABILITIES AND EQUITY:</t>
  </si>
  <si>
    <t>EQUITY:</t>
  </si>
  <si>
    <t>Total Equity:</t>
  </si>
  <si>
    <t>LIABILITIES:</t>
  </si>
  <si>
    <t>Total Liabilities:</t>
  </si>
  <si>
    <t>Total Liabilities &amp; Equity:</t>
  </si>
  <si>
    <t>Non-Current Assets:</t>
  </si>
  <si>
    <t>Current Assets:</t>
  </si>
  <si>
    <t>Total Non Current Assets:</t>
  </si>
  <si>
    <t>Total Current Assets:</t>
  </si>
  <si>
    <t>Total Assets:</t>
  </si>
  <si>
    <t>Balance Check:</t>
  </si>
  <si>
    <t>Consolidated Statement of Cash Flows:</t>
  </si>
  <si>
    <t>CASH FLOWS FROM OPERATING ACTIVITIES:</t>
  </si>
  <si>
    <t>Fiscal Year:</t>
  </si>
  <si>
    <t>Changes in Operating Assets and Liabilities:</t>
  </si>
  <si>
    <t>Account Receivables</t>
  </si>
  <si>
    <t>(+/-) Direct taxes:</t>
  </si>
  <si>
    <t>Adjustments for Non-Cash Charges:</t>
  </si>
  <si>
    <t>Accounts Payables</t>
  </si>
  <si>
    <t>Other Working Capital Items</t>
  </si>
  <si>
    <t>(-) CapEx:</t>
  </si>
  <si>
    <t>CASH FLOWS FROM INVESTING ACTIVITIES:</t>
  </si>
  <si>
    <t>(-) Financial Investment:</t>
  </si>
  <si>
    <t>(+/-) Proceeds from Sale and others:</t>
  </si>
  <si>
    <t>CASH FLOWS FROM FINANCING ACTIVITIES:</t>
  </si>
  <si>
    <t>(+) Share Issuances / (-) Repurchases:</t>
  </si>
  <si>
    <t>(-) Ordinary Dividends Paid:</t>
  </si>
  <si>
    <t>(+) Net Debt Proceeds:</t>
  </si>
  <si>
    <t>(-) Debt Repayments &amp; Maturities:</t>
  </si>
  <si>
    <t>(-) Interest Paid:</t>
  </si>
  <si>
    <t>(-) Decrease in Financial Liabilities:</t>
  </si>
  <si>
    <t>Net Change in Cash:</t>
  </si>
  <si>
    <t>Beginning Cash:</t>
  </si>
  <si>
    <t>Ending Cash:</t>
  </si>
  <si>
    <t>Traditional Ratios &amp; Matrics</t>
  </si>
  <si>
    <t>x</t>
  </si>
  <si>
    <t>days</t>
  </si>
  <si>
    <t>Key Metrics and Ratios:</t>
  </si>
  <si>
    <t>(₹ in Crore Except Per Share and Per Unit Data)</t>
  </si>
  <si>
    <t>Comp Beta Analysis:</t>
  </si>
  <si>
    <t>Beta Drifting:</t>
  </si>
  <si>
    <t>Common Size Income Statement:</t>
  </si>
  <si>
    <t>Particulars:</t>
  </si>
  <si>
    <t>Common Size Balance Sheet:</t>
  </si>
  <si>
    <t>Calculation of ROIC:</t>
  </si>
  <si>
    <t>Non Current Assets:</t>
  </si>
  <si>
    <t>Calculation of Reinvestment Rate:</t>
  </si>
  <si>
    <t>Calculation of Growth Rate:</t>
  </si>
  <si>
    <t>Projected</t>
  </si>
  <si>
    <t>Units</t>
  </si>
  <si>
    <t>Calculation of PV of FCFF:</t>
  </si>
  <si>
    <t>Assumtions:</t>
  </si>
  <si>
    <t>Reinvestment Rate:</t>
  </si>
  <si>
    <t>Tax Rate:</t>
  </si>
  <si>
    <t>Mid Year Convention:</t>
  </si>
  <si>
    <t>Share outstanding</t>
  </si>
  <si>
    <t xml:space="preserve">EV/ </t>
  </si>
  <si>
    <t>Name of the Company</t>
  </si>
  <si>
    <t>CMP Rs.</t>
  </si>
  <si>
    <t>No. Eq. Shares Cr.</t>
  </si>
  <si>
    <t>Debt Rs.Cr.</t>
  </si>
  <si>
    <t>Cash End Rs.Cr.</t>
  </si>
  <si>
    <t>EV Rs.Cr.</t>
  </si>
  <si>
    <t>Sales Rs.Cr.</t>
  </si>
  <si>
    <t>NP 12M Rs.Cr.</t>
  </si>
  <si>
    <t>Mar Cap Rs.Cr.</t>
  </si>
  <si>
    <t>Terminal Growth: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</si>
</sst>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8" formatCode="&quot;₹&quot;\ #,##0.00;[Red]&quot;₹&quot;\ \-#,##0.00"/>
    <numFmt numFmtId="43" formatCode="_ * #,##0.00_ ;_ * \-#,##0.00_ ;_ * &quot;-&quot;??_ ;_ @_ "/>
    <numFmt numFmtId="164" formatCode="mmm\-yy"/>
    <numFmt numFmtId="165" formatCode="[$-409]mmm\-yy;@"/>
    <numFmt numFmtId="166" formatCode="_(* #,##0.00_);_(* \(#,##0.00\);_(* &quot;-&quot;??_);_(@_)"/>
    <numFmt numFmtId="167" formatCode="&quot;₹&quot;\ #,##0.0;\(&quot;₹&quot;\ #,##0.0\);\ \-"/>
    <numFmt numFmtId="168" formatCode="&quot;₹&quot;\ #,##0.00;\(&quot;₹&quot;\ #,##0.0\);\-"/>
    <numFmt numFmtId="169" formatCode="&quot;₹&quot;\ #,##0.00"/>
    <numFmt numFmtId="170" formatCode="&quot;₹&quot;\ #,##0.0;\(&quot;₹&quot;\ #,##0.0\);\-"/>
    <numFmt numFmtId="171" formatCode="0.00&quot;x&quot;"/>
    <numFmt numFmtId="172" formatCode="0\ "/>
    <numFmt numFmtId="173" formatCode="0&quot;A&quot;"/>
    <numFmt numFmtId="174" formatCode="0&quot;E&quot;"/>
    <numFmt numFmtId="175" formatCode="0.0"/>
    <numFmt numFmtId="176" formatCode="m/d/yyyy"/>
    <numFmt numFmtId="177" formatCode="&quot;₹&quot;\ #,##0.0"/>
    <numFmt numFmtId="178" formatCode="0.000"/>
    <numFmt numFmtId="179" formatCode="_-[$₹-820]* #,##0.0_-;\-[$₹-820]* #,##0.0_-;_-[$₹-820]* &quot;-&quot;?_-;_-@_-"/>
    <numFmt numFmtId="180" formatCode="yyyy\-mm\-dd"/>
    <numFmt numFmtId="181" formatCode="&quot;  &quot;@"/>
    <numFmt numFmtId="182" formatCode="_ &quot;₹&quot;\ \ #,##0.00_ ;_ &quot;₹&quot;\ \ \(#,##0.00\)_ ;_ &quot;₹&quot;\ &quot;-&quot;??_ ;_ @_ "/>
    <numFmt numFmtId="183" formatCode="&quot;FY&quot;yy"/>
    <numFmt numFmtId="184" formatCode="_-[$-820]* #,##0.0_-;[$-820]* \(#,##0.0\)_-;_-[$-820]* &quot;-&quot;?_-;_-@_-"/>
    <numFmt numFmtId="185" formatCode="_-[$₹-820]* #,##0.0_-;[$₹-820]* \(#,##0.0\)_-;_-[$₹-820]* &quot;-&quot;?_-;_-@_-"/>
    <numFmt numFmtId="186" formatCode="&quot;₹&quot;#,##0.0;\(&quot;₹&quot;#,##0.0\);&quot;OK!&quot;;&quot;ERROR&quot;"/>
    <numFmt numFmtId="187" formatCode="_-[$₹-820]* #,##0.00_-;\-[$₹-820]* #,##0.00_-;_-[$₹-820]* &quot;-&quot;??_-;_-@_-"/>
    <numFmt numFmtId="188" formatCode="_(0.0%_);\(0.0%\);&quot;0.0%&quot;;_(@_)_%"/>
    <numFmt numFmtId="189" formatCode="0.0\ \x\ ;\(0.0\ \x\)\ "/>
    <numFmt numFmtId="190" formatCode="0.0%"/>
    <numFmt numFmtId="191" formatCode="_-[$-820]* #,##0.0_-;\-[$-820]* #,##0.0_-;_-[$-820]* &quot;-&quot;?_-;_-@_-"/>
    <numFmt numFmtId="192" formatCode="_(0.0%_);\(0.0%\);&quot;0.0&quot;\%;_(@_)_%"/>
    <numFmt numFmtId="193" formatCode="@&quot;  &quot;"/>
    <numFmt numFmtId="194" formatCode="&quot;FY&quot;yy&quot;  &quot;"/>
    <numFmt numFmtId="195" formatCode="_-[$₹-820]* #,##0.0_-;[$₹-820]* \(#,##0.0\)_-;_-[$-820]* &quot;-&quot;?_-;_-@_-"/>
  </numFmts>
  <fonts count="46" x14ac:knownFonts="1">
    <font>
      <sz val="11"/>
      <name val="Calibri"/>
    </font>
    <font>
      <sz val="11"/>
      <color theme="1"/>
      <name val="Calibri"/>
      <family val="2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463C1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i/>
      <sz val="11"/>
      <color rgb="FFA5A5A5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rgb="FF22222F"/>
      <name val="Arial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FF"/>
      <name val="Calibri"/>
      <family val="2"/>
    </font>
    <font>
      <sz val="12"/>
      <color rgb="FF0000FF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i/>
      <sz val="11"/>
      <name val="Calibri"/>
      <family val="2"/>
    </font>
    <font>
      <i/>
      <sz val="11"/>
      <color rgb="FF000000"/>
      <name val="Calibri"/>
      <family val="2"/>
    </font>
    <font>
      <i/>
      <sz val="11"/>
      <color theme="2" tint="-0.499984740745262"/>
      <name val="Calibri"/>
      <family val="2"/>
    </font>
    <font>
      <b/>
      <i/>
      <sz val="11"/>
      <color rgb="FF000000"/>
      <name val="Calibri"/>
      <family val="2"/>
    </font>
    <font>
      <b/>
      <i/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theme="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theme="0" tint="-0.499984740745262"/>
      <name val="Calibri"/>
      <family val="2"/>
    </font>
    <font>
      <sz val="11"/>
      <color rgb="FF00B05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70AD46"/>
      </patternFill>
    </fill>
    <fill>
      <patternFill patternType="solid">
        <fgColor rgb="FF0275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rgb="FF00206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B2B2B2"/>
      </left>
      <right style="thin">
        <color rgb="FFB2B2B2"/>
      </right>
      <top style="thin">
        <color theme="1"/>
      </top>
      <bottom style="thin">
        <color rgb="FFB2B2B2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medium">
        <color theme="1"/>
      </top>
      <bottom style="thin">
        <color rgb="FFB2B2B2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7" fillId="0" borderId="0">
      <alignment vertical="top"/>
      <protection locked="0"/>
    </xf>
    <xf numFmtId="0" fontId="7" fillId="0" borderId="0">
      <alignment vertical="top"/>
      <protection locked="0"/>
    </xf>
    <xf numFmtId="0" fontId="11" fillId="3" borderId="0">
      <alignment vertical="top"/>
      <protection locked="0"/>
    </xf>
    <xf numFmtId="9" fontId="17" fillId="0" borderId="0">
      <alignment vertical="top"/>
      <protection locked="0"/>
    </xf>
    <xf numFmtId="0" fontId="23" fillId="8" borderId="5" applyNumberFormat="0" applyAlignment="0" applyProtection="0"/>
  </cellStyleXfs>
  <cellXfs count="285">
    <xf numFmtId="0" fontId="0" fillId="0" borderId="0" xfId="0">
      <alignment vertical="center"/>
    </xf>
    <xf numFmtId="164" fontId="2" fillId="2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 wrapText="1"/>
    </xf>
    <xf numFmtId="3" fontId="3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left" vertical="center"/>
    </xf>
    <xf numFmtId="3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43" fontId="5" fillId="0" borderId="0" xfId="1" applyFont="1" applyAlignment="1" applyProtection="1"/>
    <xf numFmtId="43" fontId="6" fillId="0" borderId="0" xfId="1" applyFont="1" applyAlignment="1" applyProtection="1"/>
    <xf numFmtId="165" fontId="9" fillId="0" borderId="0" xfId="1" applyNumberFormat="1" applyFont="1" applyAlignment="1" applyProtection="1"/>
    <xf numFmtId="165" fontId="8" fillId="4" borderId="0" xfId="1" applyNumberFormat="1" applyFont="1" applyFill="1" applyAlignment="1" applyProtection="1"/>
    <xf numFmtId="165" fontId="8" fillId="4" borderId="0" xfId="0" applyNumberFormat="1" applyFont="1" applyFill="1" applyAlignment="1">
      <alignment horizontal="center"/>
    </xf>
    <xf numFmtId="43" fontId="10" fillId="0" borderId="0" xfId="1" applyFont="1" applyAlignment="1" applyProtection="1"/>
    <xf numFmtId="166" fontId="5" fillId="0" borderId="0" xfId="1" applyNumberFormat="1" applyFont="1" applyAlignment="1" applyProtection="1"/>
    <xf numFmtId="164" fontId="5" fillId="0" borderId="0" xfId="0" applyNumberFormat="1" applyFont="1" applyAlignment="1"/>
    <xf numFmtId="3" fontId="5" fillId="0" borderId="0" xfId="0" applyNumberFormat="1" applyFont="1" applyAlignment="1"/>
    <xf numFmtId="167" fontId="5" fillId="0" borderId="0" xfId="0" applyNumberFormat="1" applyFont="1" applyAlignment="1"/>
    <xf numFmtId="10" fontId="12" fillId="0" borderId="0" xfId="4" applyNumberFormat="1" applyFont="1" applyAlignment="1" applyProtection="1"/>
    <xf numFmtId="10" fontId="5" fillId="0" borderId="0" xfId="4" applyNumberFormat="1" applyFont="1" applyAlignment="1" applyProtection="1"/>
    <xf numFmtId="168" fontId="5" fillId="0" borderId="0" xfId="0" applyNumberFormat="1" applyFont="1" applyAlignment="1"/>
    <xf numFmtId="168" fontId="10" fillId="0" borderId="0" xfId="1" applyNumberFormat="1" applyFont="1" applyAlignment="1" applyProtection="1"/>
    <xf numFmtId="169" fontId="5" fillId="0" borderId="0" xfId="0" applyNumberFormat="1" applyFont="1" applyAlignment="1"/>
    <xf numFmtId="0" fontId="6" fillId="0" borderId="0" xfId="0" applyFont="1" applyAlignment="1"/>
    <xf numFmtId="170" fontId="5" fillId="0" borderId="0" xfId="0" applyNumberFormat="1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5" borderId="0" xfId="0" applyFont="1" applyFill="1" applyAlignment="1">
      <alignment horizontal="left"/>
    </xf>
    <xf numFmtId="174" fontId="5" fillId="0" borderId="0" xfId="0" applyNumberFormat="1" applyFont="1" applyAlignment="1">
      <alignment horizontal="left"/>
    </xf>
    <xf numFmtId="0" fontId="5" fillId="0" borderId="1" xfId="0" applyFont="1" applyBorder="1" applyAlignment="1"/>
    <xf numFmtId="0" fontId="6" fillId="0" borderId="2" xfId="0" applyFont="1" applyBorder="1" applyAlignment="1"/>
    <xf numFmtId="2" fontId="5" fillId="0" borderId="0" xfId="0" applyNumberFormat="1" applyFont="1" applyAlignment="1"/>
    <xf numFmtId="10" fontId="5" fillId="0" borderId="0" xfId="0" applyNumberFormat="1" applyFont="1" applyAlignment="1"/>
    <xf numFmtId="0" fontId="15" fillId="0" borderId="0" xfId="0" applyFont="1" applyAlignment="1">
      <alignment horizontal="left"/>
    </xf>
    <xf numFmtId="176" fontId="5" fillId="0" borderId="0" xfId="0" applyNumberFormat="1" applyFont="1" applyAlignment="1">
      <alignment horizontal="right"/>
    </xf>
    <xf numFmtId="4" fontId="5" fillId="0" borderId="0" xfId="0" applyNumberFormat="1" applyFont="1" applyAlignment="1"/>
    <xf numFmtId="9" fontId="5" fillId="0" borderId="0" xfId="4" applyFont="1" applyAlignment="1" applyProtection="1"/>
    <xf numFmtId="10" fontId="5" fillId="0" borderId="1" xfId="0" applyNumberFormat="1" applyFont="1" applyBorder="1" applyAlignment="1"/>
    <xf numFmtId="176" fontId="5" fillId="0" borderId="0" xfId="0" applyNumberFormat="1" applyFont="1" applyAlignment="1"/>
    <xf numFmtId="0" fontId="5" fillId="0" borderId="0" xfId="0" applyFont="1" applyAlignment="1">
      <alignment horizontal="center"/>
    </xf>
    <xf numFmtId="177" fontId="5" fillId="0" borderId="0" xfId="0" applyNumberFormat="1" applyFont="1" applyAlignment="1"/>
    <xf numFmtId="0" fontId="6" fillId="0" borderId="1" xfId="0" applyFont="1" applyBorder="1" applyAlignment="1"/>
    <xf numFmtId="0" fontId="5" fillId="2" borderId="0" xfId="0" applyFont="1" applyFill="1" applyAlignment="1"/>
    <xf numFmtId="2" fontId="13" fillId="0" borderId="0" xfId="0" applyNumberFormat="1" applyFont="1" applyAlignment="1">
      <alignment horizontal="left"/>
    </xf>
    <xf numFmtId="177" fontId="5" fillId="0" borderId="1" xfId="0" applyNumberFormat="1" applyFont="1" applyBorder="1" applyAlignment="1"/>
    <xf numFmtId="0" fontId="20" fillId="6" borderId="2" xfId="0" applyFont="1" applyFill="1" applyBorder="1" applyAlignment="1"/>
    <xf numFmtId="0" fontId="20" fillId="7" borderId="2" xfId="0" applyFont="1" applyFill="1" applyBorder="1" applyAlignment="1"/>
    <xf numFmtId="0" fontId="21" fillId="7" borderId="0" xfId="0" applyFont="1" applyFill="1" applyAlignment="1">
      <alignment horizontal="right"/>
    </xf>
    <xf numFmtId="0" fontId="22" fillId="0" borderId="0" xfId="0" applyFont="1" applyAlignment="1"/>
    <xf numFmtId="0" fontId="21" fillId="0" borderId="0" xfId="0" applyFont="1" applyAlignment="1">
      <alignment horizontal="right"/>
    </xf>
    <xf numFmtId="37" fontId="24" fillId="8" borderId="5" xfId="5" applyNumberFormat="1" applyFont="1" applyAlignment="1">
      <alignment horizontal="center"/>
    </xf>
    <xf numFmtId="0" fontId="21" fillId="0" borderId="0" xfId="0" applyFont="1" applyAlignment="1">
      <alignment horizontal="left"/>
    </xf>
    <xf numFmtId="180" fontId="24" fillId="8" borderId="5" xfId="0" applyNumberFormat="1" applyFont="1" applyFill="1" applyBorder="1" applyAlignment="1">
      <alignment horizontal="center"/>
    </xf>
    <xf numFmtId="37" fontId="24" fillId="0" borderId="0" xfId="5" applyNumberFormat="1" applyFont="1" applyFill="1" applyBorder="1" applyAlignment="1">
      <alignment horizontal="center"/>
    </xf>
    <xf numFmtId="0" fontId="24" fillId="0" borderId="0" xfId="5" applyFont="1" applyFill="1" applyBorder="1" applyAlignment="1">
      <alignment horizontal="center"/>
    </xf>
    <xf numFmtId="182" fontId="24" fillId="8" borderId="5" xfId="0" applyNumberFormat="1" applyFont="1" applyFill="1" applyBorder="1" applyAlignment="1">
      <alignment horizontal="left"/>
    </xf>
    <xf numFmtId="0" fontId="25" fillId="7" borderId="0" xfId="0" applyFont="1" applyFill="1" applyAlignment="1"/>
    <xf numFmtId="0" fontId="26" fillId="7" borderId="0" xfId="0" applyFont="1" applyFill="1" applyAlignment="1"/>
    <xf numFmtId="0" fontId="27" fillId="7" borderId="2" xfId="0" applyFont="1" applyFill="1" applyBorder="1" applyAlignment="1">
      <alignment horizontal="center"/>
    </xf>
    <xf numFmtId="183" fontId="20" fillId="7" borderId="2" xfId="0" applyNumberFormat="1" applyFont="1" applyFill="1" applyBorder="1" applyAlignment="1">
      <alignment horizontal="right"/>
    </xf>
    <xf numFmtId="183" fontId="20" fillId="7" borderId="12" xfId="0" applyNumberFormat="1" applyFont="1" applyFill="1" applyBorder="1" applyAlignment="1">
      <alignment horizontal="right"/>
    </xf>
    <xf numFmtId="183" fontId="20" fillId="7" borderId="13" xfId="0" applyNumberFormat="1" applyFont="1" applyFill="1" applyBorder="1" applyAlignment="1">
      <alignment horizontal="right"/>
    </xf>
    <xf numFmtId="0" fontId="20" fillId="0" borderId="0" xfId="0" applyFont="1" applyAlignment="1"/>
    <xf numFmtId="0" fontId="27" fillId="0" borderId="0" xfId="0" applyFont="1" applyAlignment="1">
      <alignment horizontal="center"/>
    </xf>
    <xf numFmtId="183" fontId="20" fillId="0" borderId="0" xfId="0" applyNumberFormat="1" applyFont="1" applyAlignment="1">
      <alignment horizontal="right"/>
    </xf>
    <xf numFmtId="179" fontId="5" fillId="0" borderId="0" xfId="0" applyNumberFormat="1" applyFont="1" applyAlignment="1"/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167" fontId="35" fillId="0" borderId="0" xfId="0" applyNumberFormat="1" applyFont="1" applyAlignment="1">
      <alignment horizontal="center"/>
    </xf>
    <xf numFmtId="168" fontId="35" fillId="0" borderId="0" xfId="1" applyNumberFormat="1" applyFont="1" applyAlignment="1" applyProtection="1">
      <alignment horizontal="center"/>
    </xf>
    <xf numFmtId="43" fontId="35" fillId="0" borderId="0" xfId="1" applyFont="1" applyAlignment="1" applyProtection="1">
      <alignment horizontal="center"/>
    </xf>
    <xf numFmtId="0" fontId="35" fillId="0" borderId="0" xfId="0" applyFont="1" applyAlignment="1">
      <alignment horizontal="center"/>
    </xf>
    <xf numFmtId="184" fontId="5" fillId="0" borderId="0" xfId="0" applyNumberFormat="1" applyFont="1" applyAlignment="1"/>
    <xf numFmtId="185" fontId="5" fillId="0" borderId="0" xfId="0" applyNumberFormat="1" applyFont="1" applyAlignment="1"/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10" fontId="36" fillId="0" borderId="0" xfId="4" applyNumberFormat="1" applyFont="1" applyAlignment="1" applyProtection="1"/>
    <xf numFmtId="8" fontId="34" fillId="0" borderId="0" xfId="0" applyNumberFormat="1" applyFont="1" applyAlignment="1">
      <alignment horizontal="center" vertical="center"/>
    </xf>
    <xf numFmtId="167" fontId="6" fillId="0" borderId="14" xfId="0" applyNumberFormat="1" applyFont="1" applyBorder="1" applyAlignment="1"/>
    <xf numFmtId="167" fontId="35" fillId="0" borderId="14" xfId="0" applyNumberFormat="1" applyFont="1" applyBorder="1" applyAlignment="1">
      <alignment horizontal="center"/>
    </xf>
    <xf numFmtId="185" fontId="6" fillId="0" borderId="14" xfId="0" applyNumberFormat="1" applyFont="1" applyBorder="1" applyAlignment="1"/>
    <xf numFmtId="0" fontId="6" fillId="0" borderId="14" xfId="0" applyFont="1" applyBorder="1" applyAlignment="1"/>
    <xf numFmtId="0" fontId="35" fillId="0" borderId="14" xfId="0" applyFont="1" applyBorder="1" applyAlignment="1">
      <alignment horizontal="center"/>
    </xf>
    <xf numFmtId="0" fontId="36" fillId="0" borderId="0" xfId="0" applyFont="1" applyAlignment="1">
      <alignment horizontal="left" indent="1"/>
    </xf>
    <xf numFmtId="167" fontId="5" fillId="0" borderId="0" xfId="0" applyNumberFormat="1" applyFont="1" applyAlignment="1">
      <alignment horizontal="left" indent="1"/>
    </xf>
    <xf numFmtId="49" fontId="30" fillId="9" borderId="2" xfId="0" applyNumberFormat="1" applyFont="1" applyFill="1" applyBorder="1" applyAlignment="1"/>
    <xf numFmtId="0" fontId="30" fillId="9" borderId="2" xfId="0" applyFont="1" applyFill="1" applyBorder="1" applyAlignment="1"/>
    <xf numFmtId="0" fontId="30" fillId="9" borderId="2" xfId="0" applyFont="1" applyFill="1" applyBorder="1" applyAlignment="1">
      <alignment horizontal="right"/>
    </xf>
    <xf numFmtId="168" fontId="10" fillId="0" borderId="0" xfId="1" applyNumberFormat="1" applyFont="1" applyAlignment="1" applyProtection="1">
      <alignment horizontal="left" indent="1"/>
    </xf>
    <xf numFmtId="168" fontId="31" fillId="0" borderId="0" xfId="1" applyNumberFormat="1" applyFont="1" applyAlignment="1" applyProtection="1"/>
    <xf numFmtId="168" fontId="31" fillId="0" borderId="1" xfId="1" applyNumberFormat="1" applyFont="1" applyBorder="1" applyAlignment="1" applyProtection="1"/>
    <xf numFmtId="167" fontId="31" fillId="0" borderId="1" xfId="0" applyNumberFormat="1" applyFont="1" applyBorder="1" applyAlignment="1"/>
    <xf numFmtId="43" fontId="10" fillId="0" borderId="0" xfId="1" applyFont="1" applyAlignment="1" applyProtection="1">
      <alignment horizontal="left" indent="1"/>
    </xf>
    <xf numFmtId="43" fontId="31" fillId="0" borderId="0" xfId="1" applyFont="1" applyAlignment="1" applyProtection="1"/>
    <xf numFmtId="43" fontId="5" fillId="0" borderId="0" xfId="1" applyFont="1" applyAlignment="1" applyProtection="1">
      <alignment horizontal="left" indent="1"/>
    </xf>
    <xf numFmtId="168" fontId="35" fillId="0" borderId="1" xfId="1" applyNumberFormat="1" applyFont="1" applyBorder="1" applyAlignment="1" applyProtection="1">
      <alignment horizontal="center"/>
    </xf>
    <xf numFmtId="43" fontId="37" fillId="0" borderId="0" xfId="1" applyFont="1" applyAlignment="1" applyProtection="1">
      <alignment horizontal="center"/>
    </xf>
    <xf numFmtId="0" fontId="38" fillId="9" borderId="2" xfId="0" applyFont="1" applyFill="1" applyBorder="1" applyAlignment="1"/>
    <xf numFmtId="0" fontId="34" fillId="0" borderId="0" xfId="0" applyFont="1">
      <alignment vertical="center"/>
    </xf>
    <xf numFmtId="186" fontId="34" fillId="0" borderId="0" xfId="0" applyNumberFormat="1" applyFont="1">
      <alignment vertical="center"/>
    </xf>
    <xf numFmtId="179" fontId="6" fillId="0" borderId="14" xfId="0" applyNumberFormat="1" applyFont="1" applyBorder="1" applyAlignment="1"/>
    <xf numFmtId="184" fontId="31" fillId="0" borderId="1" xfId="0" applyNumberFormat="1" applyFont="1" applyBorder="1" applyAlignment="1"/>
    <xf numFmtId="184" fontId="35" fillId="0" borderId="0" xfId="1" applyNumberFormat="1" applyFont="1" applyAlignment="1" applyProtection="1">
      <alignment horizontal="center"/>
    </xf>
    <xf numFmtId="185" fontId="31" fillId="0" borderId="0" xfId="0" applyNumberFormat="1" applyFont="1" applyAlignment="1"/>
    <xf numFmtId="170" fontId="0" fillId="0" borderId="0" xfId="0" applyNumberFormat="1">
      <alignment vertical="center"/>
    </xf>
    <xf numFmtId="3" fontId="0" fillId="0" borderId="0" xfId="0" applyNumberFormat="1">
      <alignment vertical="center"/>
    </xf>
    <xf numFmtId="183" fontId="29" fillId="0" borderId="0" xfId="0" applyNumberFormat="1" applyFont="1">
      <alignment vertical="center"/>
    </xf>
    <xf numFmtId="0" fontId="28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vertical="center"/>
    </xf>
    <xf numFmtId="3" fontId="31" fillId="0" borderId="0" xfId="0" applyNumberFormat="1" applyFont="1" applyAlignment="1"/>
    <xf numFmtId="0" fontId="0" fillId="10" borderId="0" xfId="0" applyFill="1">
      <alignment vertical="center"/>
    </xf>
    <xf numFmtId="3" fontId="5" fillId="10" borderId="0" xfId="0" applyNumberFormat="1" applyFont="1" applyFill="1" applyAlignment="1"/>
    <xf numFmtId="0" fontId="33" fillId="0" borderId="0" xfId="0" applyFont="1" applyAlignment="1"/>
    <xf numFmtId="0" fontId="23" fillId="0" borderId="0" xfId="0" applyFont="1">
      <alignment vertical="center"/>
    </xf>
    <xf numFmtId="0" fontId="39" fillId="0" borderId="0" xfId="0" applyFont="1" applyAlignment="1">
      <alignment horizontal="right"/>
    </xf>
    <xf numFmtId="0" fontId="39" fillId="0" borderId="9" xfId="0" applyFont="1" applyBorder="1" applyAlignment="1">
      <alignment horizontal="right"/>
    </xf>
    <xf numFmtId="0" fontId="23" fillId="0" borderId="8" xfId="0" applyFont="1" applyBorder="1">
      <alignment vertical="center"/>
    </xf>
    <xf numFmtId="187" fontId="0" fillId="0" borderId="0" xfId="0" applyNumberFormat="1">
      <alignment vertical="center"/>
    </xf>
    <xf numFmtId="0" fontId="30" fillId="9" borderId="3" xfId="0" applyFont="1" applyFill="1" applyBorder="1" applyAlignment="1">
      <alignment horizontal="right"/>
    </xf>
    <xf numFmtId="0" fontId="5" fillId="0" borderId="0" xfId="0" applyFont="1" applyAlignment="1"/>
    <xf numFmtId="10" fontId="5" fillId="0" borderId="0" xfId="4" applyNumberFormat="1" applyFont="1" applyAlignment="1" applyProtection="1">
      <alignment horizontal="right"/>
    </xf>
    <xf numFmtId="171" fontId="5" fillId="0" borderId="0" xfId="0" applyNumberFormat="1" applyFont="1" applyAlignment="1"/>
    <xf numFmtId="171" fontId="5" fillId="0" borderId="0" xfId="4" applyNumberFormat="1" applyFont="1" applyAlignment="1" applyProtection="1"/>
    <xf numFmtId="172" fontId="5" fillId="0" borderId="0" xfId="0" applyNumberFormat="1" applyFont="1" applyAlignment="1"/>
    <xf numFmtId="0" fontId="8" fillId="7" borderId="0" xfId="0" applyFont="1" applyFill="1" applyAlignment="1">
      <alignment horizontal="center"/>
    </xf>
    <xf numFmtId="0" fontId="8" fillId="7" borderId="0" xfId="0" applyFont="1" applyFill="1" applyAlignment="1"/>
    <xf numFmtId="0" fontId="8" fillId="7" borderId="0" xfId="0" applyFont="1" applyFill="1" applyAlignment="1">
      <alignment horizontal="right"/>
    </xf>
    <xf numFmtId="173" fontId="5" fillId="0" borderId="0" xfId="0" applyNumberFormat="1" applyFont="1" applyAlignment="1">
      <alignment horizontal="right"/>
    </xf>
    <xf numFmtId="174" fontId="5" fillId="5" borderId="0" xfId="0" applyNumberFormat="1" applyFont="1" applyFill="1" applyAlignment="1">
      <alignment horizontal="right"/>
    </xf>
    <xf numFmtId="188" fontId="10" fillId="5" borderId="0" xfId="4" applyNumberFormat="1" applyFont="1" applyFill="1" applyAlignment="1" applyProtection="1">
      <alignment horizontal="right"/>
    </xf>
    <xf numFmtId="188" fontId="5" fillId="0" borderId="0" xfId="0" applyNumberFormat="1" applyFont="1" applyAlignment="1">
      <alignment horizontal="right"/>
    </xf>
    <xf numFmtId="188" fontId="5" fillId="0" borderId="0" xfId="4" applyNumberFormat="1" applyFont="1" applyAlignment="1" applyProtection="1">
      <alignment horizontal="right"/>
    </xf>
    <xf numFmtId="188" fontId="5" fillId="0" borderId="0" xfId="4" applyNumberFormat="1" applyFont="1" applyAlignment="1" applyProtection="1"/>
    <xf numFmtId="188" fontId="0" fillId="0" borderId="0" xfId="0" applyNumberFormat="1">
      <alignment vertical="center"/>
    </xf>
    <xf numFmtId="188" fontId="5" fillId="0" borderId="0" xfId="0" applyNumberFormat="1" applyFont="1" applyAlignment="1"/>
    <xf numFmtId="188" fontId="6" fillId="0" borderId="0" xfId="4" applyNumberFormat="1" applyFont="1" applyAlignment="1" applyProtection="1"/>
    <xf numFmtId="188" fontId="6" fillId="0" borderId="0" xfId="0" applyNumberFormat="1" applyFont="1" applyAlignment="1"/>
    <xf numFmtId="188" fontId="6" fillId="0" borderId="2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left"/>
    </xf>
    <xf numFmtId="189" fontId="5" fillId="0" borderId="0" xfId="0" applyNumberFormat="1" applyFont="1" applyAlignment="1"/>
    <xf numFmtId="189" fontId="5" fillId="0" borderId="0" xfId="4" applyNumberFormat="1" applyFont="1" applyAlignment="1" applyProtection="1"/>
    <xf numFmtId="188" fontId="23" fillId="0" borderId="0" xfId="0" applyNumberFormat="1" applyFont="1" applyAlignment="1">
      <alignment horizontal="right"/>
    </xf>
    <xf numFmtId="3" fontId="23" fillId="0" borderId="0" xfId="0" applyNumberFormat="1" applyFont="1" applyAlignment="1">
      <alignment horizontal="right"/>
    </xf>
    <xf numFmtId="188" fontId="1" fillId="0" borderId="0" xfId="4" applyNumberFormat="1" applyFont="1" applyAlignment="1" applyProtection="1">
      <alignment horizontal="right"/>
    </xf>
    <xf numFmtId="188" fontId="1" fillId="5" borderId="0" xfId="4" applyNumberFormat="1" applyFont="1" applyFill="1" applyAlignment="1" applyProtection="1">
      <alignment horizontal="right"/>
    </xf>
    <xf numFmtId="0" fontId="8" fillId="7" borderId="18" xfId="0" applyFont="1" applyFill="1" applyBorder="1" applyAlignment="1"/>
    <xf numFmtId="0" fontId="8" fillId="7" borderId="18" xfId="0" applyFont="1" applyFill="1" applyBorder="1" applyAlignment="1">
      <alignment horizontal="right"/>
    </xf>
    <xf numFmtId="0" fontId="31" fillId="0" borderId="1" xfId="0" applyFont="1" applyBorder="1" applyAlignment="1"/>
    <xf numFmtId="190" fontId="17" fillId="0" borderId="0" xfId="4" applyNumberFormat="1">
      <alignment vertical="top"/>
      <protection locked="0"/>
    </xf>
    <xf numFmtId="0" fontId="31" fillId="9" borderId="2" xfId="0" applyFont="1" applyFill="1" applyBorder="1" applyAlignment="1"/>
    <xf numFmtId="179" fontId="1" fillId="0" borderId="0" xfId="0" applyNumberFormat="1" applyFont="1" applyAlignment="1">
      <alignment horizontal="right"/>
    </xf>
    <xf numFmtId="179" fontId="5" fillId="5" borderId="0" xfId="0" applyNumberFormat="1" applyFont="1" applyFill="1" applyAlignment="1">
      <alignment horizontal="right"/>
    </xf>
    <xf numFmtId="0" fontId="41" fillId="0" borderId="0" xfId="0" applyFont="1" applyAlignment="1"/>
    <xf numFmtId="0" fontId="0" fillId="7" borderId="0" xfId="0" applyFill="1">
      <alignment vertical="center"/>
    </xf>
    <xf numFmtId="0" fontId="5" fillId="7" borderId="0" xfId="0" applyFont="1" applyFill="1" applyAlignment="1">
      <alignment horizontal="right"/>
    </xf>
    <xf numFmtId="0" fontId="18" fillId="7" borderId="0" xfId="0" applyFont="1" applyFill="1">
      <alignment vertical="center"/>
    </xf>
    <xf numFmtId="0" fontId="40" fillId="7" borderId="0" xfId="0" applyFont="1" applyFill="1">
      <alignment vertical="center"/>
    </xf>
    <xf numFmtId="176" fontId="5" fillId="0" borderId="0" xfId="0" applyNumberFormat="1" applyFont="1" applyAlignment="1">
      <alignment horizontal="left"/>
    </xf>
    <xf numFmtId="0" fontId="15" fillId="9" borderId="2" xfId="0" applyFont="1" applyFill="1" applyBorder="1" applyAlignment="1">
      <alignment horizontal="left"/>
    </xf>
    <xf numFmtId="0" fontId="15" fillId="9" borderId="2" xfId="0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188" fontId="0" fillId="0" borderId="0" xfId="0" applyNumberFormat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15" fillId="11" borderId="2" xfId="0" applyFont="1" applyFill="1" applyBorder="1" applyAlignment="1">
      <alignment horizontal="left"/>
    </xf>
    <xf numFmtId="0" fontId="0" fillId="11" borderId="2" xfId="0" applyFill="1" applyBorder="1">
      <alignment vertical="center"/>
    </xf>
    <xf numFmtId="37" fontId="22" fillId="8" borderId="5" xfId="5" applyNumberFormat="1" applyFont="1" applyAlignment="1">
      <alignment horizontal="center"/>
    </xf>
    <xf numFmtId="10" fontId="33" fillId="0" borderId="19" xfId="4" applyNumberFormat="1" applyFont="1" applyBorder="1" applyAlignment="1" applyProtection="1"/>
    <xf numFmtId="39" fontId="22" fillId="8" borderId="20" xfId="5" applyNumberFormat="1" applyFont="1" applyBorder="1" applyAlignment="1">
      <alignment horizontal="center"/>
    </xf>
    <xf numFmtId="10" fontId="5" fillId="0" borderId="19" xfId="4" applyNumberFormat="1" applyFont="1" applyBorder="1" applyAlignment="1" applyProtection="1"/>
    <xf numFmtId="0" fontId="15" fillId="11" borderId="2" xfId="0" applyFont="1" applyFill="1" applyBorder="1" applyAlignment="1">
      <alignment horizontal="left" indent="1"/>
    </xf>
    <xf numFmtId="0" fontId="5" fillId="0" borderId="0" xfId="0" applyFont="1" applyAlignment="1">
      <alignment horizontal="left" indent="1"/>
    </xf>
    <xf numFmtId="0" fontId="31" fillId="11" borderId="2" xfId="0" applyFont="1" applyFill="1" applyBorder="1" applyAlignment="1">
      <alignment horizontal="right"/>
    </xf>
    <xf numFmtId="188" fontId="22" fillId="8" borderId="20" xfId="5" applyNumberFormat="1" applyFont="1" applyBorder="1" applyAlignment="1">
      <alignment horizontal="center"/>
    </xf>
    <xf numFmtId="188" fontId="1" fillId="0" borderId="0" xfId="0" applyNumberFormat="1" applyFont="1" applyAlignment="1"/>
    <xf numFmtId="0" fontId="0" fillId="0" borderId="1" xfId="0" applyBorder="1">
      <alignment vertical="center"/>
    </xf>
    <xf numFmtId="0" fontId="18" fillId="7" borderId="18" xfId="0" applyFont="1" applyFill="1" applyBorder="1">
      <alignment vertical="center"/>
    </xf>
    <xf numFmtId="0" fontId="5" fillId="7" borderId="18" xfId="0" applyFont="1" applyFill="1" applyBorder="1" applyAlignment="1">
      <alignment horizontal="right"/>
    </xf>
    <xf numFmtId="164" fontId="31" fillId="9" borderId="2" xfId="0" applyNumberFormat="1" applyFont="1" applyFill="1" applyBorder="1" applyAlignment="1"/>
    <xf numFmtId="0" fontId="20" fillId="0" borderId="16" xfId="0" applyFont="1" applyBorder="1">
      <alignment vertical="center"/>
    </xf>
    <xf numFmtId="0" fontId="31" fillId="0" borderId="0" xfId="0" applyFont="1" applyAlignment="1"/>
    <xf numFmtId="164" fontId="31" fillId="0" borderId="0" xfId="0" applyNumberFormat="1" applyFont="1" applyAlignment="1"/>
    <xf numFmtId="191" fontId="5" fillId="0" borderId="0" xfId="0" applyNumberFormat="1" applyFont="1" applyAlignment="1"/>
    <xf numFmtId="179" fontId="6" fillId="0" borderId="0" xfId="0" applyNumberFormat="1" applyFont="1" applyAlignment="1"/>
    <xf numFmtId="0" fontId="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77" fontId="6" fillId="0" borderId="0" xfId="0" applyNumberFormat="1" applyFont="1" applyAlignment="1"/>
    <xf numFmtId="179" fontId="6" fillId="0" borderId="1" xfId="0" applyNumberFormat="1" applyFont="1" applyBorder="1" applyAlignment="1"/>
    <xf numFmtId="0" fontId="29" fillId="0" borderId="1" xfId="0" applyFont="1" applyBorder="1">
      <alignment vertical="center"/>
    </xf>
    <xf numFmtId="191" fontId="31" fillId="0" borderId="1" xfId="0" applyNumberFormat="1" applyFont="1" applyBorder="1" applyAlignment="1"/>
    <xf numFmtId="0" fontId="6" fillId="11" borderId="2" xfId="0" applyFont="1" applyFill="1" applyBorder="1" applyAlignment="1"/>
    <xf numFmtId="177" fontId="5" fillId="11" borderId="2" xfId="0" applyNumberFormat="1" applyFont="1" applyFill="1" applyBorder="1" applyAlignment="1"/>
    <xf numFmtId="0" fontId="31" fillId="11" borderId="2" xfId="0" applyFont="1" applyFill="1" applyBorder="1" applyAlignment="1"/>
    <xf numFmtId="0" fontId="6" fillId="0" borderId="19" xfId="0" applyFont="1" applyBorder="1" applyAlignment="1"/>
    <xf numFmtId="0" fontId="5" fillId="0" borderId="19" xfId="0" applyFont="1" applyBorder="1" applyAlignment="1"/>
    <xf numFmtId="192" fontId="42" fillId="8" borderId="20" xfId="5" applyNumberFormat="1" applyFont="1" applyBorder="1" applyAlignment="1">
      <alignment horizontal="right"/>
    </xf>
    <xf numFmtId="192" fontId="42" fillId="8" borderId="5" xfId="5" applyNumberFormat="1" applyFont="1" applyAlignment="1">
      <alignment horizontal="right"/>
    </xf>
    <xf numFmtId="188" fontId="31" fillId="0" borderId="1" xfId="4" applyNumberFormat="1" applyFont="1" applyBorder="1" applyAlignment="1" applyProtection="1"/>
    <xf numFmtId="0" fontId="33" fillId="0" borderId="0" xfId="0" applyFont="1" applyAlignment="1">
      <alignment horizontal="left" indent="1"/>
    </xf>
    <xf numFmtId="183" fontId="20" fillId="7" borderId="22" xfId="0" applyNumberFormat="1" applyFont="1" applyFill="1" applyBorder="1" applyAlignment="1">
      <alignment horizontal="right"/>
    </xf>
    <xf numFmtId="193" fontId="20" fillId="7" borderId="11" xfId="0" applyNumberFormat="1" applyFont="1" applyFill="1" applyBorder="1" applyAlignment="1">
      <alignment horizontal="right"/>
    </xf>
    <xf numFmtId="194" fontId="20" fillId="7" borderId="12" xfId="0" applyNumberFormat="1" applyFont="1" applyFill="1" applyBorder="1" applyAlignment="1">
      <alignment horizontal="right"/>
    </xf>
    <xf numFmtId="178" fontId="5" fillId="0" borderId="0" xfId="0" applyNumberFormat="1" applyFont="1" applyAlignment="1"/>
    <xf numFmtId="188" fontId="28" fillId="0" borderId="0" xfId="4" applyNumberFormat="1" applyFont="1" applyAlignment="1" applyProtection="1"/>
    <xf numFmtId="0" fontId="28" fillId="0" borderId="0" xfId="0" applyFont="1" applyAlignment="1"/>
    <xf numFmtId="190" fontId="24" fillId="8" borderId="5" xfId="5" applyNumberFormat="1" applyFont="1" applyAlignment="1">
      <alignment horizontal="center"/>
    </xf>
    <xf numFmtId="175" fontId="24" fillId="8" borderId="5" xfId="5" applyNumberFormat="1" applyFont="1" applyAlignment="1">
      <alignment horizontal="center"/>
    </xf>
    <xf numFmtId="179" fontId="31" fillId="0" borderId="0" xfId="0" applyNumberFormat="1" applyFont="1" applyAlignment="1"/>
    <xf numFmtId="179" fontId="33" fillId="0" borderId="0" xfId="0" applyNumberFormat="1" applyFont="1" applyAlignment="1"/>
    <xf numFmtId="179" fontId="31" fillId="0" borderId="1" xfId="0" applyNumberFormat="1" applyFont="1" applyBorder="1" applyAlignment="1"/>
    <xf numFmtId="8" fontId="35" fillId="0" borderId="0" xfId="0" applyNumberFormat="1" applyFont="1" applyAlignment="1">
      <alignment horizontal="center"/>
    </xf>
    <xf numFmtId="0" fontId="35" fillId="0" borderId="1" xfId="0" applyFont="1" applyBorder="1" applyAlignment="1">
      <alignment horizontal="center"/>
    </xf>
    <xf numFmtId="0" fontId="0" fillId="0" borderId="2" xfId="0" applyBorder="1">
      <alignment vertical="center"/>
    </xf>
    <xf numFmtId="188" fontId="5" fillId="0" borderId="2" xfId="0" applyNumberFormat="1" applyFont="1" applyBorder="1" applyAlignment="1"/>
    <xf numFmtId="0" fontId="31" fillId="0" borderId="23" xfId="0" applyFont="1" applyBorder="1" applyAlignment="1"/>
    <xf numFmtId="0" fontId="35" fillId="0" borderId="23" xfId="0" applyFont="1" applyBorder="1" applyAlignment="1">
      <alignment horizontal="center"/>
    </xf>
    <xf numFmtId="179" fontId="6" fillId="0" borderId="23" xfId="0" applyNumberFormat="1" applyFont="1" applyBorder="1" applyAlignment="1"/>
    <xf numFmtId="0" fontId="6" fillId="0" borderId="23" xfId="0" applyFont="1" applyBorder="1" applyAlignment="1"/>
    <xf numFmtId="192" fontId="42" fillId="8" borderId="24" xfId="5" applyNumberFormat="1" applyFont="1" applyBorder="1" applyAlignment="1">
      <alignment horizontal="right"/>
    </xf>
    <xf numFmtId="179" fontId="43" fillId="8" borderId="25" xfId="5" applyNumberFormat="1" applyFont="1" applyBorder="1" applyAlignment="1">
      <alignment horizontal="right"/>
    </xf>
    <xf numFmtId="179" fontId="33" fillId="0" borderId="1" xfId="0" applyNumberFormat="1" applyFont="1" applyBorder="1" applyAlignment="1"/>
    <xf numFmtId="0" fontId="8" fillId="0" borderId="0" xfId="0" applyFont="1" applyAlignment="1"/>
    <xf numFmtId="179" fontId="43" fillId="0" borderId="0" xfId="5" applyNumberFormat="1" applyFont="1" applyFill="1" applyBorder="1" applyAlignment="1">
      <alignment horizontal="right"/>
    </xf>
    <xf numFmtId="192" fontId="42" fillId="0" borderId="0" xfId="5" applyNumberFormat="1" applyFont="1" applyFill="1" applyBorder="1" applyAlignment="1">
      <alignment horizontal="right"/>
    </xf>
    <xf numFmtId="0" fontId="19" fillId="0" borderId="0" xfId="0" applyFont="1">
      <alignment vertical="center"/>
    </xf>
    <xf numFmtId="179" fontId="42" fillId="9" borderId="5" xfId="5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32" fillId="7" borderId="0" xfId="0" applyFont="1" applyFill="1" applyAlignment="1">
      <alignment horizontal="right"/>
    </xf>
    <xf numFmtId="0" fontId="32" fillId="7" borderId="0" xfId="0" applyFont="1" applyFill="1" applyAlignment="1">
      <alignment horizontal="left"/>
    </xf>
    <xf numFmtId="0" fontId="29" fillId="0" borderId="0" xfId="0" applyFont="1" applyAlignment="1">
      <alignment horizontal="right"/>
    </xf>
    <xf numFmtId="189" fontId="29" fillId="0" borderId="0" xfId="0" applyNumberFormat="1" applyFont="1" applyAlignment="1">
      <alignment horizontal="right"/>
    </xf>
    <xf numFmtId="175" fontId="33" fillId="0" borderId="0" xfId="0" applyNumberFormat="1" applyFont="1" applyAlignment="1">
      <alignment horizontal="right"/>
    </xf>
    <xf numFmtId="189" fontId="28" fillId="0" borderId="0" xfId="0" applyNumberFormat="1" applyFont="1" applyAlignment="1">
      <alignment horizontal="right"/>
    </xf>
    <xf numFmtId="189" fontId="33" fillId="0" borderId="0" xfId="0" applyNumberFormat="1" applyFont="1" applyAlignment="1"/>
    <xf numFmtId="189" fontId="33" fillId="9" borderId="0" xfId="0" applyNumberFormat="1" applyFont="1" applyFill="1" applyAlignment="1"/>
    <xf numFmtId="177" fontId="33" fillId="0" borderId="0" xfId="0" applyNumberFormat="1" applyFont="1" applyAlignment="1"/>
    <xf numFmtId="0" fontId="44" fillId="0" borderId="0" xfId="0" applyFont="1">
      <alignment vertical="center"/>
    </xf>
    <xf numFmtId="0" fontId="34" fillId="0" borderId="1" xfId="0" applyFont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31" fillId="0" borderId="1" xfId="0" applyFont="1" applyBorder="1" applyAlignment="1">
      <alignment horizontal="center"/>
    </xf>
    <xf numFmtId="0" fontId="34" fillId="11" borderId="2" xfId="0" applyFont="1" applyFill="1" applyBorder="1" applyAlignment="1">
      <alignment horizontal="center" vertical="center"/>
    </xf>
    <xf numFmtId="0" fontId="37" fillId="0" borderId="0" xfId="0" applyFont="1" applyAlignment="1">
      <alignment horizontal="center"/>
    </xf>
    <xf numFmtId="195" fontId="5" fillId="0" borderId="0" xfId="0" applyNumberFormat="1" applyFont="1" applyAlignment="1"/>
    <xf numFmtId="0" fontId="0" fillId="0" borderId="28" xfId="0" applyBorder="1">
      <alignment vertical="center"/>
    </xf>
    <xf numFmtId="0" fontId="29" fillId="0" borderId="28" xfId="0" applyFont="1" applyBorder="1">
      <alignment vertical="center"/>
    </xf>
    <xf numFmtId="190" fontId="23" fillId="0" borderId="0" xfId="4" applyNumberFormat="1" applyFont="1">
      <alignment vertical="top"/>
      <protection locked="0"/>
    </xf>
    <xf numFmtId="2" fontId="23" fillId="0" borderId="0" xfId="4" applyNumberFormat="1" applyFont="1" applyAlignment="1" applyProtection="1"/>
    <xf numFmtId="188" fontId="23" fillId="0" borderId="0" xfId="4" applyNumberFormat="1" applyFont="1" applyAlignment="1" applyProtection="1"/>
    <xf numFmtId="188" fontId="23" fillId="0" borderId="0" xfId="0" applyNumberFormat="1" applyFont="1" applyAlignment="1"/>
    <xf numFmtId="43" fontId="23" fillId="0" borderId="0" xfId="1" applyFont="1" applyAlignment="1" applyProtection="1"/>
    <xf numFmtId="0" fontId="23" fillId="0" borderId="0" xfId="4" applyNumberFormat="1" applyFont="1" applyAlignment="1" applyProtection="1"/>
    <xf numFmtId="179" fontId="45" fillId="0" borderId="0" xfId="0" applyNumberFormat="1" applyFont="1" applyAlignment="1">
      <alignment horizontal="right"/>
    </xf>
    <xf numFmtId="191" fontId="45" fillId="0" borderId="0" xfId="0" applyNumberFormat="1" applyFont="1" applyAlignment="1">
      <alignment horizontal="right"/>
    </xf>
    <xf numFmtId="191" fontId="45" fillId="0" borderId="0" xfId="0" applyNumberFormat="1" applyFont="1" applyAlignment="1">
      <alignment horizontal="right" vertical="center"/>
    </xf>
    <xf numFmtId="179" fontId="45" fillId="0" borderId="0" xfId="0" applyNumberFormat="1" applyFont="1" applyAlignment="1">
      <alignment horizontal="right" vertical="center"/>
    </xf>
    <xf numFmtId="188" fontId="45" fillId="0" borderId="0" xfId="4" applyNumberFormat="1" applyFont="1" applyAlignment="1" applyProtection="1"/>
    <xf numFmtId="191" fontId="1" fillId="0" borderId="0" xfId="0" applyNumberFormat="1" applyFont="1" applyAlignment="1">
      <alignment horizontal="right"/>
    </xf>
    <xf numFmtId="191" fontId="5" fillId="5" borderId="0" xfId="0" applyNumberFormat="1" applyFont="1" applyFill="1" applyAlignment="1">
      <alignment horizontal="right"/>
    </xf>
    <xf numFmtId="0" fontId="20" fillId="7" borderId="10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181" fontId="24" fillId="8" borderId="6" xfId="5" applyNumberFormat="1" applyFont="1" applyBorder="1" applyAlignment="1"/>
    <xf numFmtId="181" fontId="24" fillId="8" borderId="7" xfId="5" applyNumberFormat="1" applyFont="1" applyBorder="1" applyAlignment="1"/>
    <xf numFmtId="0" fontId="20" fillId="7" borderId="0" xfId="0" applyFont="1" applyFill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18" fillId="7" borderId="4" xfId="0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center"/>
    </xf>
    <xf numFmtId="0" fontId="20" fillId="7" borderId="0" xfId="0" applyFont="1" applyFill="1" applyAlignment="1">
      <alignment horizontal="center"/>
    </xf>
    <xf numFmtId="0" fontId="8" fillId="7" borderId="26" xfId="0" applyFont="1" applyFill="1" applyBorder="1" applyAlignment="1">
      <alignment horizontal="center"/>
    </xf>
    <xf numFmtId="0" fontId="32" fillId="7" borderId="27" xfId="0" applyFont="1" applyFill="1" applyBorder="1" applyAlignment="1">
      <alignment horizontal="right" wrapText="1"/>
    </xf>
    <xf numFmtId="0" fontId="32" fillId="7" borderId="0" xfId="0" applyFont="1" applyFill="1" applyAlignment="1">
      <alignment horizontal="right" wrapText="1"/>
    </xf>
    <xf numFmtId="0" fontId="8" fillId="7" borderId="27" xfId="0" applyFont="1" applyFill="1" applyBorder="1" applyAlignment="1">
      <alignment horizontal="right" wrapText="1"/>
    </xf>
    <xf numFmtId="0" fontId="8" fillId="7" borderId="0" xfId="0" applyFont="1" applyFill="1" applyAlignment="1">
      <alignment horizontal="right" wrapText="1"/>
    </xf>
    <xf numFmtId="43" fontId="7" fillId="0" borderId="0" xfId="2" applyNumberFormat="1" applyAlignment="1" applyProtection="1">
      <alignment horizontal="center"/>
    </xf>
    <xf numFmtId="43" fontId="8" fillId="3" borderId="0" xfId="3" applyNumberFormat="1" applyFont="1" applyAlignment="1" applyProtection="1">
      <alignment horizontal="center"/>
    </xf>
  </cellXfs>
  <cellStyles count="6">
    <cellStyle name="Accent6" xfId="3" xr:uid="{00000000-0005-0000-0000-000003000000}"/>
    <cellStyle name="Comma" xfId="1" builtinId="3"/>
    <cellStyle name="Hyperlink" xfId="2" xr:uid="{00000000-0005-0000-0000-000002000000}"/>
    <cellStyle name="Normal" xfId="0" builtinId="0"/>
    <cellStyle name="Note 2" xfId="5" xr:uid="{2FC129AD-B579-4871-97FC-7C88C45EE5D9}"/>
    <cellStyle name="Percent" xfId="4" builtinId="5"/>
  </cellStyles>
  <dxfs count="1">
    <dxf>
      <font>
        <b/>
        <color rgb="FFFFFFFF"/>
      </font>
      <fill>
        <patternFill>
          <bgColor rgb="FFED7B30"/>
        </patternFill>
      </fill>
    </dxf>
  </dxfs>
  <tableStyles count="0" defaultTableStyle="TableStyleMedium2" defaultPivotStyle="PivotStyleLight16"/>
  <colors>
    <mruColors>
      <color rgb="FFF2B800"/>
      <color rgb="FF0000FF"/>
      <color rgb="FFFFFF66"/>
      <color rgb="FF9EE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www.wps.cn/officeDocument/2020/cellImage" Target="NUL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solidFill>
                  <a:sysClr val="windowText" lastClr="000000"/>
                </a:solidFill>
              </a:rPr>
              <a:t>Cash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'3-FInancial Statements'!$C$108:$D$108</c:f>
              <c:strCache>
                <c:ptCount val="2"/>
                <c:pt idx="0">
                  <c:v>Cash from Operating Activities</c:v>
                </c:pt>
                <c:pt idx="1">
                  <c:v>₹ Cr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'3-FInancial Statements'!$E$20:$N$20</c:f>
              <c:numCache>
                <c:formatCode>"FY"yy</c:formatCode>
                <c:ptCount val="10"/>
                <c:pt idx="0">
                  <c:v>42094</c:v>
                </c:pt>
                <c:pt idx="1">
                  <c:v>42460</c:v>
                </c:pt>
                <c:pt idx="2">
                  <c:v>42825</c:v>
                </c:pt>
                <c:pt idx="3">
                  <c:v>43190</c:v>
                </c:pt>
                <c:pt idx="4">
                  <c:v>43555</c:v>
                </c:pt>
                <c:pt idx="5">
                  <c:v>43921</c:v>
                </c:pt>
                <c:pt idx="6">
                  <c:v>44286</c:v>
                </c:pt>
                <c:pt idx="7">
                  <c:v>44651</c:v>
                </c:pt>
                <c:pt idx="8">
                  <c:v>45016</c:v>
                </c:pt>
                <c:pt idx="9">
                  <c:v>45382</c:v>
                </c:pt>
              </c:numCache>
            </c:numRef>
          </c:cat>
          <c:val>
            <c:numRef>
              <c:f>'3-FInancial Statements'!$E$108:$N$108</c:f>
              <c:numCache>
                <c:formatCode>_-[$-820]* #,##0.0_-;[$-820]* \(#,##0.0\)_-;_-[$-820]* "-"?_-;_-@_-</c:formatCode>
                <c:ptCount val="10"/>
                <c:pt idx="0">
                  <c:v>541</c:v>
                </c:pt>
                <c:pt idx="1">
                  <c:v>1090</c:v>
                </c:pt>
                <c:pt idx="2">
                  <c:v>646</c:v>
                </c:pt>
                <c:pt idx="3">
                  <c:v>677</c:v>
                </c:pt>
                <c:pt idx="4">
                  <c:v>896</c:v>
                </c:pt>
                <c:pt idx="5">
                  <c:v>1304</c:v>
                </c:pt>
                <c:pt idx="6">
                  <c:v>1772</c:v>
                </c:pt>
                <c:pt idx="7">
                  <c:v>2106</c:v>
                </c:pt>
                <c:pt idx="8">
                  <c:v>2901</c:v>
                </c:pt>
                <c:pt idx="9">
                  <c:v>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7-48E1-BCA9-83AE8F00972F}"/>
            </c:ext>
          </c:extLst>
        </c:ser>
        <c:ser>
          <c:idx val="1"/>
          <c:order val="1"/>
          <c:tx>
            <c:strRef>
              <c:f>'3-FInancial Statements'!$C$114:$D$114</c:f>
              <c:strCache>
                <c:ptCount val="2"/>
                <c:pt idx="0">
                  <c:v>Cash from Investing Activities</c:v>
                </c:pt>
                <c:pt idx="1">
                  <c:v>₹ Cr</c:v>
                </c:pt>
              </c:strCache>
            </c:strRef>
          </c:tx>
          <c:spPr>
            <a:solidFill>
              <a:srgbClr val="F2B800"/>
            </a:solidFill>
            <a:ln>
              <a:noFill/>
            </a:ln>
            <a:effectLst/>
          </c:spPr>
          <c:invertIfNegative val="0"/>
          <c:cat>
            <c:numRef>
              <c:f>'3-FInancial Statements'!$E$20:$N$20</c:f>
              <c:numCache>
                <c:formatCode>"FY"yy</c:formatCode>
                <c:ptCount val="10"/>
                <c:pt idx="0">
                  <c:v>42094</c:v>
                </c:pt>
                <c:pt idx="1">
                  <c:v>42460</c:v>
                </c:pt>
                <c:pt idx="2">
                  <c:v>42825</c:v>
                </c:pt>
                <c:pt idx="3">
                  <c:v>43190</c:v>
                </c:pt>
                <c:pt idx="4">
                  <c:v>43555</c:v>
                </c:pt>
                <c:pt idx="5">
                  <c:v>43921</c:v>
                </c:pt>
                <c:pt idx="6">
                  <c:v>44286</c:v>
                </c:pt>
                <c:pt idx="7">
                  <c:v>44651</c:v>
                </c:pt>
                <c:pt idx="8">
                  <c:v>45016</c:v>
                </c:pt>
                <c:pt idx="9">
                  <c:v>45382</c:v>
                </c:pt>
              </c:numCache>
            </c:numRef>
          </c:cat>
          <c:val>
            <c:numRef>
              <c:f>'3-FInancial Statements'!$E$114:$N$114</c:f>
              <c:numCache>
                <c:formatCode>_-[$-820]* #,##0.0_-;[$-820]* \(#,##0.0\)_-;_-[$-820]* "-"?_-;_-@_-</c:formatCode>
                <c:ptCount val="10"/>
                <c:pt idx="0">
                  <c:v>-501</c:v>
                </c:pt>
                <c:pt idx="1">
                  <c:v>-667</c:v>
                </c:pt>
                <c:pt idx="2">
                  <c:v>-613</c:v>
                </c:pt>
                <c:pt idx="3">
                  <c:v>-1174</c:v>
                </c:pt>
                <c:pt idx="4">
                  <c:v>-1039</c:v>
                </c:pt>
                <c:pt idx="5">
                  <c:v>-1178</c:v>
                </c:pt>
                <c:pt idx="6">
                  <c:v>-1498</c:v>
                </c:pt>
                <c:pt idx="7">
                  <c:v>-1585</c:v>
                </c:pt>
                <c:pt idx="8">
                  <c:v>-2964</c:v>
                </c:pt>
                <c:pt idx="9">
                  <c:v>-2231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7-48E1-BCA9-83AE8F00972F}"/>
            </c:ext>
          </c:extLst>
        </c:ser>
        <c:ser>
          <c:idx val="2"/>
          <c:order val="2"/>
          <c:tx>
            <c:strRef>
              <c:f>'3-FInancial Statements'!$C$123:$D$123</c:f>
              <c:strCache>
                <c:ptCount val="2"/>
                <c:pt idx="0">
                  <c:v>Cash from Financing Activities</c:v>
                </c:pt>
                <c:pt idx="1">
                  <c:v>₹ Cr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'3-FInancial Statements'!$E$20:$N$20</c:f>
              <c:numCache>
                <c:formatCode>"FY"yy</c:formatCode>
                <c:ptCount val="10"/>
                <c:pt idx="0">
                  <c:v>42094</c:v>
                </c:pt>
                <c:pt idx="1">
                  <c:v>42460</c:v>
                </c:pt>
                <c:pt idx="2">
                  <c:v>42825</c:v>
                </c:pt>
                <c:pt idx="3">
                  <c:v>43190</c:v>
                </c:pt>
                <c:pt idx="4">
                  <c:v>43555</c:v>
                </c:pt>
                <c:pt idx="5">
                  <c:v>43921</c:v>
                </c:pt>
                <c:pt idx="6">
                  <c:v>44286</c:v>
                </c:pt>
                <c:pt idx="7">
                  <c:v>44651</c:v>
                </c:pt>
                <c:pt idx="8">
                  <c:v>45016</c:v>
                </c:pt>
                <c:pt idx="9">
                  <c:v>45382</c:v>
                </c:pt>
              </c:numCache>
            </c:numRef>
          </c:cat>
          <c:val>
            <c:numRef>
              <c:f>'3-FInancial Statements'!$E$123:$N$123</c:f>
              <c:numCache>
                <c:formatCode>_-[$-820]* #,##0.0_-;[$-820]* \(#,##0.0\)_-;_-[$-820]* "-"?_-;_-@_-</c:formatCode>
                <c:ptCount val="10"/>
                <c:pt idx="0">
                  <c:v>-18</c:v>
                </c:pt>
                <c:pt idx="1">
                  <c:v>-182</c:v>
                </c:pt>
                <c:pt idx="2">
                  <c:v>-284</c:v>
                </c:pt>
                <c:pt idx="3">
                  <c:v>495</c:v>
                </c:pt>
                <c:pt idx="4">
                  <c:v>246</c:v>
                </c:pt>
                <c:pt idx="5">
                  <c:v>-199</c:v>
                </c:pt>
                <c:pt idx="6">
                  <c:v>-250</c:v>
                </c:pt>
                <c:pt idx="7">
                  <c:v>-208</c:v>
                </c:pt>
                <c:pt idx="8">
                  <c:v>221</c:v>
                </c:pt>
                <c:pt idx="9">
                  <c:v>-71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7-48E1-BCA9-83AE8F009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6801343"/>
        <c:axId val="2073724367"/>
      </c:barChart>
      <c:lineChart>
        <c:grouping val="standard"/>
        <c:varyColors val="0"/>
        <c:ser>
          <c:idx val="3"/>
          <c:order val="3"/>
          <c:tx>
            <c:strRef>
              <c:f>'3-FInancial Statements'!$C$127:$D$127</c:f>
              <c:strCache>
                <c:ptCount val="2"/>
                <c:pt idx="0">
                  <c:v>Ending Cash:</c:v>
                </c:pt>
                <c:pt idx="1">
                  <c:v>₹ 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5511075019534906E-2"/>
                  <c:y val="-3.8736742067168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55-44DB-ABE4-D540E2D6E33E}"/>
                </c:ext>
              </c:extLst>
            </c:dLbl>
            <c:dLbl>
              <c:idx val="1"/>
              <c:layout>
                <c:manualLayout>
                  <c:x val="-1.5786433750555499E-2"/>
                  <c:y val="-4.1607721170509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55-44DB-ABE4-D540E2D6E33E}"/>
                </c:ext>
              </c:extLst>
            </c:dLbl>
            <c:dLbl>
              <c:idx val="2"/>
              <c:layout>
                <c:manualLayout>
                  <c:x val="-1.381958567183701E-2"/>
                  <c:y val="-3.87367420671681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55-44DB-ABE4-D540E2D6E33E}"/>
                </c:ext>
              </c:extLst>
            </c:dLbl>
            <c:dLbl>
              <c:idx val="4"/>
              <c:layout>
                <c:manualLayout>
                  <c:x val="-2.0703553947351815E-2"/>
                  <c:y val="-3.8736742067168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55-44DB-ABE4-D540E2D6E33E}"/>
                </c:ext>
              </c:extLst>
            </c:dLbl>
            <c:dLbl>
              <c:idx val="5"/>
              <c:layout>
                <c:manualLayout>
                  <c:x val="-1.7753281829274097E-2"/>
                  <c:y val="-3.8736742067168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55-44DB-ABE4-D540E2D6E33E}"/>
                </c:ext>
              </c:extLst>
            </c:dLbl>
            <c:dLbl>
              <c:idx val="6"/>
              <c:layout>
                <c:manualLayout>
                  <c:x val="-1.6769857789914761E-2"/>
                  <c:y val="-4.4478700273850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55-44DB-ABE4-D540E2D6E33E}"/>
                </c:ext>
              </c:extLst>
            </c:dLbl>
            <c:dLbl>
              <c:idx val="7"/>
              <c:layout>
                <c:manualLayout>
                  <c:x val="-1.6769857789914907E-2"/>
                  <c:y val="-3.8736742067168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55-44DB-ABE4-D540E2D6E33E}"/>
                </c:ext>
              </c:extLst>
            </c:dLbl>
            <c:dLbl>
              <c:idx val="8"/>
              <c:layout>
                <c:manualLayout>
                  <c:x val="-1.7753281829274169E-2"/>
                  <c:y val="-3.8736742067168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55-44DB-ABE4-D540E2D6E33E}"/>
                </c:ext>
              </c:extLst>
            </c:dLbl>
            <c:dLbl>
              <c:idx val="9"/>
              <c:layout>
                <c:manualLayout>
                  <c:x val="-1.7753281829274169E-2"/>
                  <c:y val="-3.8736742067168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55-44DB-ABE4-D540E2D6E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'3-FInancial Statements'!$E$127:$N$127</c:f>
              <c:numCache>
                <c:formatCode>_-[$₹-820]* #,##0.0_-;[$₹-820]* \(#,##0.0\)_-;_-[$₹-820]* "-"?_-;_-@_-</c:formatCode>
                <c:ptCount val="10"/>
                <c:pt idx="0">
                  <c:v>96.64</c:v>
                </c:pt>
                <c:pt idx="1">
                  <c:v>348.3</c:v>
                </c:pt>
                <c:pt idx="2">
                  <c:v>138.23000000000002</c:v>
                </c:pt>
                <c:pt idx="3">
                  <c:v>94.12</c:v>
                </c:pt>
                <c:pt idx="4">
                  <c:v>199.74</c:v>
                </c:pt>
                <c:pt idx="5">
                  <c:v>125.88</c:v>
                </c:pt>
                <c:pt idx="6">
                  <c:v>149.47</c:v>
                </c:pt>
                <c:pt idx="7">
                  <c:v>595</c:v>
                </c:pt>
                <c:pt idx="8">
                  <c:v>617.35</c:v>
                </c:pt>
                <c:pt idx="9">
                  <c:v>408.46000000000004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B7-48E1-BCA9-83AE8F009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801343"/>
        <c:axId val="2073724367"/>
      </c:lineChart>
      <c:dateAx>
        <c:axId val="193680134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FY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24367"/>
        <c:crosses val="autoZero"/>
        <c:auto val="1"/>
        <c:lblOffset val="100"/>
        <c:baseTimeUnit val="years"/>
      </c:dateAx>
      <c:valAx>
        <c:axId val="2073724367"/>
        <c:scaling>
          <c:orientation val="minMax"/>
        </c:scaling>
        <c:delete val="0"/>
        <c:axPos val="l"/>
        <c:numFmt formatCode="_-[$-820]* #,##0.0_-;[$-820]* \(#,##0.0\)_-;_-[$-820]* &quot;-&quot;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0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F2B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A-4E50-883E-6D2E96206983}"/>
              </c:ext>
            </c:extLst>
          </c:dPt>
          <c:dPt>
            <c:idx val="11"/>
            <c:invertIfNegative val="0"/>
            <c:bubble3D val="0"/>
            <c:spPr>
              <a:solidFill>
                <a:srgbClr val="F2B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CA-4E50-883E-6D2E96206983}"/>
              </c:ext>
            </c:extLst>
          </c:dPt>
          <c:dPt>
            <c:idx val="12"/>
            <c:invertIfNegative val="0"/>
            <c:bubble3D val="0"/>
            <c:spPr>
              <a:solidFill>
                <a:srgbClr val="F2B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CA-4E50-883E-6D2E96206983}"/>
              </c:ext>
            </c:extLst>
          </c:dPt>
          <c:dPt>
            <c:idx val="13"/>
            <c:invertIfNegative val="0"/>
            <c:bubble3D val="0"/>
            <c:spPr>
              <a:solidFill>
                <a:srgbClr val="F2B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CA-4E50-883E-6D2E96206983}"/>
              </c:ext>
            </c:extLst>
          </c:dPt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Forecasting!$C$7:$C$20</c:f>
              <c:numCache>
                <c:formatCode>0"A"</c:formatCode>
                <c:ptCount val="1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 formatCode="0&quot;E&quot;">
                  <c:v>2025</c:v>
                </c:pt>
                <c:pt idx="11" formatCode="0&quot;E&quot;">
                  <c:v>2026</c:v>
                </c:pt>
                <c:pt idx="12" formatCode="0&quot;E&quot;">
                  <c:v>2027</c:v>
                </c:pt>
                <c:pt idx="13" formatCode="0&quot;E&quot;">
                  <c:v>2028</c:v>
                </c:pt>
              </c:numCache>
            </c:numRef>
          </c:cat>
          <c:val>
            <c:numRef>
              <c:f>Forecasting!$D$7:$D$20</c:f>
              <c:numCache>
                <c:formatCode>_-[$-820]* #,##0.0_-;\-[$-820]* #,##0.0_-;_-[$-820]* "-"?_-;_-@_-</c:formatCode>
                <c:ptCount val="14"/>
                <c:pt idx="0" formatCode="_-[$₹-820]* #,##0.0_-;\-[$₹-820]* #,##0.0_-;_-[$₹-820]* &quot;-&quot;?_-;_-@_-">
                  <c:v>4539.8500000000004</c:v>
                </c:pt>
                <c:pt idx="1">
                  <c:v>4592.72</c:v>
                </c:pt>
                <c:pt idx="2">
                  <c:v>4821.8</c:v>
                </c:pt>
                <c:pt idx="3">
                  <c:v>5589.04</c:v>
                </c:pt>
                <c:pt idx="4">
                  <c:v>7099.59</c:v>
                </c:pt>
                <c:pt idx="5">
                  <c:v>7209.41</c:v>
                </c:pt>
                <c:pt idx="6">
                  <c:v>8400.0400000000009</c:v>
                </c:pt>
                <c:pt idx="7">
                  <c:v>12433.66</c:v>
                </c:pt>
                <c:pt idx="8">
                  <c:v>14870.25</c:v>
                </c:pt>
                <c:pt idx="9">
                  <c:v>13138.52</c:v>
                </c:pt>
                <c:pt idx="10" formatCode="_-[$₹-820]* #,##0.0_-;\-[$₹-820]* #,##0.0_-;_-[$₹-820]* &quot;-&quot;?_-;_-@_-">
                  <c:v>14800.583333333334</c:v>
                </c:pt>
                <c:pt idx="11">
                  <c:v>16418.451333333334</c:v>
                </c:pt>
                <c:pt idx="12">
                  <c:v>18013.516311111111</c:v>
                </c:pt>
                <c:pt idx="13">
                  <c:v>19519.313191111112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CA-4E50-883E-6D2E9620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2704"/>
        <c:axId val="19869824"/>
      </c:barChart>
      <c:catAx>
        <c:axId val="19872704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824"/>
        <c:crosses val="autoZero"/>
        <c:auto val="1"/>
        <c:lblAlgn val="ctr"/>
        <c:lblOffset val="100"/>
        <c:noMultiLvlLbl val="0"/>
      </c:catAx>
      <c:valAx>
        <c:axId val="19869824"/>
        <c:scaling>
          <c:orientation val="minMax"/>
        </c:scaling>
        <c:delete val="0"/>
        <c:axPos val="l"/>
        <c:numFmt formatCode="_-[$₹-820]* #,##0.0_-;\-[$₹-820]* #,##0.0_-;_-[$₹-820]* &quot;-&quot;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F2B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9-4365-A671-CA79BFDD9E2C}"/>
              </c:ext>
            </c:extLst>
          </c:dPt>
          <c:dPt>
            <c:idx val="11"/>
            <c:invertIfNegative val="0"/>
            <c:bubble3D val="0"/>
            <c:spPr>
              <a:solidFill>
                <a:srgbClr val="F2B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9-4365-A671-CA79BFDD9E2C}"/>
              </c:ext>
            </c:extLst>
          </c:dPt>
          <c:dPt>
            <c:idx val="12"/>
            <c:invertIfNegative val="0"/>
            <c:bubble3D val="0"/>
            <c:spPr>
              <a:solidFill>
                <a:srgbClr val="F2B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9-4365-A671-CA79BFDD9E2C}"/>
              </c:ext>
            </c:extLst>
          </c:dPt>
          <c:dPt>
            <c:idx val="13"/>
            <c:invertIfNegative val="0"/>
            <c:bubble3D val="0"/>
            <c:spPr>
              <a:solidFill>
                <a:srgbClr val="F2B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D9-4365-A671-CA79BFDD9E2C}"/>
              </c:ext>
            </c:extLst>
          </c:dPt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Forecasting!$H$7:$H$20</c:f>
              <c:numCache>
                <c:formatCode>0"A"</c:formatCode>
                <c:ptCount val="1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 formatCode="0&quot;E&quot;">
                  <c:v>2025</c:v>
                </c:pt>
                <c:pt idx="11" formatCode="0&quot;E&quot;">
                  <c:v>2026</c:v>
                </c:pt>
                <c:pt idx="12" formatCode="0&quot;E&quot;">
                  <c:v>2027</c:v>
                </c:pt>
                <c:pt idx="13" formatCode="0&quot;E&quot;">
                  <c:v>2028</c:v>
                </c:pt>
              </c:numCache>
            </c:numRef>
          </c:cat>
          <c:val>
            <c:numRef>
              <c:f>Forecasting!$I$7:$I$20</c:f>
              <c:numCache>
                <c:formatCode>_-[$-820]* #,##0.0_-;\-[$-820]* #,##0.0_-;_-[$-820]* "-"?_-;_-@_-</c:formatCode>
                <c:ptCount val="14"/>
                <c:pt idx="0" formatCode="_-[$₹-820]* #,##0.0_-;\-[$₹-820]* #,##0.0_-;_-[$₹-820]* &quot;-&quot;?_-;_-@_-">
                  <c:v>716.5400000000003</c:v>
                </c:pt>
                <c:pt idx="1">
                  <c:v>1032.28</c:v>
                </c:pt>
                <c:pt idx="2">
                  <c:v>999.54000000000065</c:v>
                </c:pt>
                <c:pt idx="3">
                  <c:v>959.16000000000042</c:v>
                </c:pt>
                <c:pt idx="4">
                  <c:v>1226.9600000000005</c:v>
                </c:pt>
                <c:pt idx="5">
                  <c:v>1423.5399999999997</c:v>
                </c:pt>
                <c:pt idx="6">
                  <c:v>2056.0500000000011</c:v>
                </c:pt>
                <c:pt idx="7">
                  <c:v>2659.2099999999991</c:v>
                </c:pt>
                <c:pt idx="8">
                  <c:v>3586.2900000000004</c:v>
                </c:pt>
                <c:pt idx="9">
                  <c:v>2456.3700000000003</c:v>
                </c:pt>
                <c:pt idx="10" formatCode="_-[$₹-820]* #,##0.0_-;\-[$₹-820]* #,##0.0_-;_-[$₹-820]* &quot;-&quot;?_-;_-@_-">
                  <c:v>3222.3320000000003</c:v>
                </c:pt>
                <c:pt idx="11">
                  <c:v>3561.2794666666668</c:v>
                </c:pt>
                <c:pt idx="12">
                  <c:v>3952.9504533333343</c:v>
                </c:pt>
                <c:pt idx="13">
                  <c:v>4323.9592035555561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D9-4365-A671-CA79BFDD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040656"/>
        <c:axId val="1433035376"/>
      </c:barChart>
      <c:catAx>
        <c:axId val="1433040656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35376"/>
        <c:crosses val="autoZero"/>
        <c:auto val="1"/>
        <c:lblAlgn val="ctr"/>
        <c:lblOffset val="100"/>
        <c:noMultiLvlLbl val="0"/>
      </c:catAx>
      <c:valAx>
        <c:axId val="1433035376"/>
        <c:scaling>
          <c:orientation val="minMax"/>
        </c:scaling>
        <c:delete val="0"/>
        <c:axPos val="l"/>
        <c:numFmt formatCode="_-[$₹-820]* #,##0.0_-;\-[$₹-820]* #,##0.0_-;_-[$₹-820]* &quot;-&quot;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F2B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5D-4E41-9EDA-85A68E55185C}"/>
              </c:ext>
            </c:extLst>
          </c:dPt>
          <c:dPt>
            <c:idx val="11"/>
            <c:invertIfNegative val="0"/>
            <c:bubble3D val="0"/>
            <c:spPr>
              <a:solidFill>
                <a:srgbClr val="F2B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5D-4E41-9EDA-85A68E55185C}"/>
              </c:ext>
            </c:extLst>
          </c:dPt>
          <c:dPt>
            <c:idx val="12"/>
            <c:invertIfNegative val="0"/>
            <c:bubble3D val="0"/>
            <c:spPr>
              <a:solidFill>
                <a:srgbClr val="F2B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5D-4E41-9EDA-85A68E55185C}"/>
              </c:ext>
            </c:extLst>
          </c:dPt>
          <c:dPt>
            <c:idx val="13"/>
            <c:invertIfNegative val="0"/>
            <c:bubble3D val="0"/>
            <c:spPr>
              <a:solidFill>
                <a:srgbClr val="F2B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5D-4E41-9EDA-85A68E55185C}"/>
              </c:ext>
            </c:extLst>
          </c:dPt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Forecasting!$M$7:$M$20</c:f>
              <c:numCache>
                <c:formatCode>0"A"</c:formatCode>
                <c:ptCount val="1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 formatCode="0&quot;E&quot;">
                  <c:v>2025</c:v>
                </c:pt>
                <c:pt idx="11" formatCode="0&quot;E&quot;">
                  <c:v>2026</c:v>
                </c:pt>
                <c:pt idx="12" formatCode="0&quot;E&quot;">
                  <c:v>2027</c:v>
                </c:pt>
                <c:pt idx="13" formatCode="0&quot;E&quot;">
                  <c:v>2028</c:v>
                </c:pt>
              </c:numCache>
            </c:numRef>
          </c:cat>
          <c:val>
            <c:numRef>
              <c:f>Forecasting!$N$7:$N$20</c:f>
              <c:numCache>
                <c:formatCode>_-[$-820]* #,##0.0_-;\-[$-820]* #,##0.0_-;_-[$-820]* "-"?_-;_-@_-</c:formatCode>
                <c:ptCount val="14"/>
                <c:pt idx="0" formatCode="_-[$₹-820]* #,##0.0_-;\-[$₹-820]* #,##0.0_-;_-[$₹-820]* &quot;-&quot;?_-;_-@_-">
                  <c:v>8.2657610588645163</c:v>
                </c:pt>
                <c:pt idx="1">
                  <c:v>16.433646812957157</c:v>
                </c:pt>
                <c:pt idx="2">
                  <c:v>16.444792755137605</c:v>
                </c:pt>
                <c:pt idx="3">
                  <c:v>13.915360501567415</c:v>
                </c:pt>
                <c:pt idx="4">
                  <c:v>17.173625608907464</c:v>
                </c:pt>
                <c:pt idx="5">
                  <c:v>29.069241475295751</c:v>
                </c:pt>
                <c:pt idx="6">
                  <c:v>35.604996623902807</c:v>
                </c:pt>
                <c:pt idx="7">
                  <c:v>44.852226720647742</c:v>
                </c:pt>
                <c:pt idx="8">
                  <c:v>72.351551956815129</c:v>
                </c:pt>
                <c:pt idx="9">
                  <c:v>37.9537786774629</c:v>
                </c:pt>
                <c:pt idx="10" formatCode="_-[$₹-820]* #,##0.0_-;\-[$₹-820]* #,##0.0_-;_-[$₹-820]* &quot;-&quot;?_-;_-@_-">
                  <c:v>58.460471173667059</c:v>
                </c:pt>
                <c:pt idx="11">
                  <c:v>64.577863779393851</c:v>
                </c:pt>
                <c:pt idx="12">
                  <c:v>71.974002287515901</c:v>
                </c:pt>
                <c:pt idx="13">
                  <c:v>79.121953985705773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5D-4E41-9EDA-85A68E551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883760"/>
        <c:axId val="1568884240"/>
      </c:barChart>
      <c:catAx>
        <c:axId val="1568883760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84240"/>
        <c:crosses val="autoZero"/>
        <c:auto val="1"/>
        <c:lblAlgn val="ctr"/>
        <c:lblOffset val="100"/>
        <c:noMultiLvlLbl val="0"/>
      </c:catAx>
      <c:valAx>
        <c:axId val="1568884240"/>
        <c:scaling>
          <c:orientation val="minMax"/>
        </c:scaling>
        <c:delete val="0"/>
        <c:axPos val="l"/>
        <c:numFmt formatCode="_-[$₹-820]* #,##0.0_-;\-[$₹-820]* #,##0.0_-;_-[$₹-820]* &quot;-&quot;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8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1619249</xdr:colOff>
      <xdr:row>129</xdr:row>
      <xdr:rowOff>110169</xdr:rowOff>
    </xdr:from>
    <xdr:to>
      <xdr:col>13</xdr:col>
      <xdr:colOff>514348</xdr:colOff>
      <xdr:row>153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5FE9E-67AE-DBA2-A54A-025435BEE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7581</xdr:colOff>
      <xdr:row>20</xdr:row>
      <xdr:rowOff>165020</xdr:rowOff>
    </xdr:from>
    <xdr:to>
      <xdr:col>5</xdr:col>
      <xdr:colOff>7589</xdr:colOff>
      <xdr:row>32</xdr:row>
      <xdr:rowOff>165020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180814</xdr:colOff>
      <xdr:row>20</xdr:row>
      <xdr:rowOff>165020</xdr:rowOff>
    </xdr:from>
    <xdr:to>
      <xdr:col>9</xdr:col>
      <xdr:colOff>1084881</xdr:colOff>
      <xdr:row>32</xdr:row>
      <xdr:rowOff>152161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187271</xdr:colOff>
      <xdr:row>21</xdr:row>
      <xdr:rowOff>0</xdr:rowOff>
    </xdr:from>
    <xdr:to>
      <xdr:col>15</xdr:col>
      <xdr:colOff>25831</xdr:colOff>
      <xdr:row>32</xdr:row>
      <xdr:rowOff>167898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e6cff3ac0620eec/Desktop/JP%20financilas1.0.xlsx" TargetMode="External"/><Relationship Id="rId1" Type="http://schemas.openxmlformats.org/officeDocument/2006/relationships/externalLinkPath" Target="/4e6cff3ac0620eec/Desktop/JP%20financilas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umption"/>
      <sheetName val="3-Statement Operating Model"/>
      <sheetName val="Depriciation &amp; Other Equity"/>
      <sheetName val="Notes"/>
      <sheetName val="Intangible Assets "/>
      <sheetName val="WACC"/>
      <sheetName val="Regression Beta and ERP"/>
      <sheetName val="Instrinsic Growth"/>
      <sheetName val="JP-DCF"/>
      <sheetName val="Comparative valuation"/>
      <sheetName val="Consolidated PL"/>
      <sheetName val="Consolidated BS"/>
      <sheetName val="Schedule E_Fixed Assets"/>
      <sheetName val="Sheet2"/>
      <sheetName val="Cash Flow Statemen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reener.in/company/SRF/consolidated/" TargetMode="External"/><Relationship Id="rId1" Type="http://schemas.openxmlformats.org/officeDocument/2006/relationships/hyperlink" Target="https://www.screener.in/company/PIDILITIND/consolidate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FFFF66"/>
  </sheetPr>
  <dimension ref="B1:Y130"/>
  <sheetViews>
    <sheetView showGridLines="0" zoomScale="83" workbookViewId="0">
      <selection sqref="A1:I16"/>
    </sheetView>
  </sheetViews>
  <sheetFormatPr defaultColWidth="10" defaultRowHeight="14.4" x14ac:dyDescent="0.3"/>
  <cols>
    <col min="1" max="2" width="2.6640625" customWidth="1"/>
    <col min="3" max="3" width="40.33203125" customWidth="1"/>
    <col min="4" max="4" width="20.5546875" style="69" customWidth="1"/>
    <col min="5" max="5" width="17.109375" customWidth="1"/>
    <col min="6" max="14" width="15.77734375" customWidth="1"/>
    <col min="15" max="15" width="10.88671875" bestFit="1" customWidth="1"/>
    <col min="16" max="24" width="9.44140625" bestFit="1" customWidth="1"/>
    <col min="25" max="25" width="10.109375" bestFit="1" customWidth="1"/>
  </cols>
  <sheetData>
    <row r="1" spans="2:14" x14ac:dyDescent="0.3">
      <c r="D1"/>
    </row>
    <row r="2" spans="2:14" ht="18" x14ac:dyDescent="0.35">
      <c r="B2" s="155" t="str">
        <f>Company_Name&amp;" - 3-Financial Statements"</f>
        <v>SRF LTD - 3-Financial Statements</v>
      </c>
      <c r="D2"/>
    </row>
    <row r="3" spans="2:14" ht="15.6" x14ac:dyDescent="0.3">
      <c r="B3" s="48" t="s">
        <v>778</v>
      </c>
      <c r="D3"/>
    </row>
    <row r="4" spans="2:14" x14ac:dyDescent="0.3">
      <c r="D4"/>
    </row>
    <row r="5" spans="2:14" ht="15.6" x14ac:dyDescent="0.3">
      <c r="B5" s="45" t="s">
        <v>720</v>
      </c>
      <c r="C5" s="45"/>
      <c r="D5" s="45"/>
      <c r="E5" s="46"/>
      <c r="F5" s="47"/>
      <c r="G5" s="47"/>
      <c r="H5" s="47"/>
      <c r="I5" s="47"/>
      <c r="J5" s="47"/>
      <c r="K5" s="47"/>
      <c r="L5" s="47"/>
      <c r="M5" s="47"/>
      <c r="N5" s="47"/>
    </row>
    <row r="6" spans="2:14" x14ac:dyDescent="0.3">
      <c r="B6" t="s">
        <v>111</v>
      </c>
      <c r="D6"/>
    </row>
    <row r="7" spans="2:14" ht="15.6" x14ac:dyDescent="0.3">
      <c r="C7" s="48" t="s">
        <v>721</v>
      </c>
      <c r="D7" s="263" t="str">
        <f>+'Data Sheet'!B1</f>
        <v>SRF LTD</v>
      </c>
      <c r="E7" s="264"/>
      <c r="H7" s="49"/>
      <c r="I7" s="49"/>
      <c r="J7" s="49"/>
      <c r="K7" s="49"/>
      <c r="L7" s="49"/>
      <c r="M7" s="49"/>
    </row>
    <row r="8" spans="2:14" ht="15.6" x14ac:dyDescent="0.3">
      <c r="C8" s="48" t="s">
        <v>722</v>
      </c>
      <c r="D8" s="50">
        <v>1</v>
      </c>
      <c r="E8" s="117"/>
      <c r="F8" s="49"/>
      <c r="H8" s="49"/>
      <c r="I8" s="49"/>
      <c r="M8" s="49"/>
    </row>
    <row r="9" spans="2:14" ht="15.6" x14ac:dyDescent="0.3">
      <c r="C9" s="48" t="s">
        <v>724</v>
      </c>
      <c r="D9" s="50">
        <v>1</v>
      </c>
      <c r="E9" s="117"/>
      <c r="F9" s="49" t="s">
        <v>111</v>
      </c>
      <c r="H9" s="49" t="s">
        <v>111</v>
      </c>
      <c r="I9" s="49"/>
      <c r="M9" s="49"/>
    </row>
    <row r="10" spans="2:14" ht="15.6" x14ac:dyDescent="0.3">
      <c r="C10" s="48" t="s">
        <v>723</v>
      </c>
      <c r="D10" s="263" t="s">
        <v>729</v>
      </c>
      <c r="E10" s="264"/>
      <c r="F10" s="49"/>
      <c r="G10" s="49"/>
      <c r="H10" s="49"/>
      <c r="I10" s="49"/>
      <c r="J10" s="49"/>
      <c r="K10" s="54"/>
      <c r="L10" s="54"/>
      <c r="M10" s="49"/>
    </row>
    <row r="11" spans="2:14" ht="15.6" x14ac:dyDescent="0.3">
      <c r="C11" s="48" t="s">
        <v>725</v>
      </c>
      <c r="D11" s="263" t="s">
        <v>730</v>
      </c>
      <c r="E11" s="264"/>
      <c r="F11" s="49"/>
      <c r="G11" s="49"/>
      <c r="H11" s="49"/>
      <c r="I11" s="49"/>
      <c r="L11" s="49"/>
      <c r="M11" s="49"/>
    </row>
    <row r="12" spans="2:14" ht="15.6" x14ac:dyDescent="0.3">
      <c r="C12" s="48" t="s">
        <v>727</v>
      </c>
      <c r="D12" s="55">
        <f>+'Data Sheet'!B8</f>
        <v>2768.05</v>
      </c>
      <c r="E12" s="118"/>
      <c r="F12" s="49"/>
      <c r="H12" s="49"/>
      <c r="I12" s="49"/>
      <c r="J12" s="49"/>
      <c r="K12" s="49"/>
      <c r="L12" s="49"/>
      <c r="M12" s="49"/>
    </row>
    <row r="13" spans="2:14" ht="15.6" x14ac:dyDescent="0.3">
      <c r="C13" s="51" t="s">
        <v>726</v>
      </c>
      <c r="D13" s="55">
        <f>+'Data Sheet'!B9</f>
        <v>82051.87</v>
      </c>
      <c r="E13" s="53"/>
      <c r="F13" s="49"/>
      <c r="G13" s="49"/>
      <c r="H13" s="49" t="s">
        <v>111</v>
      </c>
      <c r="I13" s="49"/>
      <c r="J13" s="49"/>
      <c r="K13" s="49"/>
      <c r="L13" s="49"/>
      <c r="M13" s="49"/>
    </row>
    <row r="14" spans="2:14" ht="15.6" x14ac:dyDescent="0.3">
      <c r="C14" s="51"/>
      <c r="D14" s="117"/>
      <c r="E14" s="53"/>
      <c r="F14" s="49"/>
      <c r="G14" s="49"/>
      <c r="H14" s="49"/>
      <c r="I14" s="49"/>
      <c r="J14" s="49"/>
      <c r="K14" s="49"/>
      <c r="L14" s="49"/>
      <c r="M14" s="49"/>
    </row>
    <row r="15" spans="2:14" ht="15.6" x14ac:dyDescent="0.3">
      <c r="C15" s="48" t="s">
        <v>728</v>
      </c>
      <c r="D15" s="52">
        <v>45382</v>
      </c>
      <c r="E15" s="119"/>
      <c r="F15" s="49"/>
      <c r="G15" s="49"/>
      <c r="H15" s="49"/>
      <c r="I15" s="49"/>
      <c r="J15" s="49"/>
      <c r="K15" s="49"/>
      <c r="L15" s="49"/>
      <c r="M15" s="49"/>
    </row>
    <row r="16" spans="2:14" x14ac:dyDescent="0.3">
      <c r="D16"/>
    </row>
    <row r="17" spans="2:15" x14ac:dyDescent="0.3">
      <c r="C17" s="67" t="s">
        <v>753</v>
      </c>
      <c r="D17" s="67"/>
      <c r="E17" s="109">
        <f>+E20</f>
        <v>42094</v>
      </c>
      <c r="F17" s="109">
        <f t="shared" ref="F17:N17" si="0">+F20</f>
        <v>42460</v>
      </c>
      <c r="G17" s="109">
        <f t="shared" si="0"/>
        <v>42825</v>
      </c>
      <c r="H17" s="109">
        <f t="shared" si="0"/>
        <v>43190</v>
      </c>
      <c r="I17" s="109">
        <f t="shared" si="0"/>
        <v>43555</v>
      </c>
      <c r="J17" s="109">
        <f t="shared" si="0"/>
        <v>43921</v>
      </c>
      <c r="K17" s="109">
        <f t="shared" si="0"/>
        <v>44286</v>
      </c>
      <c r="L17" s="109">
        <f t="shared" si="0"/>
        <v>44651</v>
      </c>
      <c r="M17" s="109">
        <f t="shared" si="0"/>
        <v>45016</v>
      </c>
      <c r="N17" s="109">
        <f t="shared" si="0"/>
        <v>45382</v>
      </c>
    </row>
    <row r="18" spans="2:15" x14ac:dyDescent="0.3">
      <c r="D18"/>
    </row>
    <row r="19" spans="2:15" ht="15.6" x14ac:dyDescent="0.3">
      <c r="B19" s="56"/>
      <c r="C19" s="56"/>
      <c r="D19" s="56"/>
      <c r="E19" s="261" t="s">
        <v>731</v>
      </c>
      <c r="F19" s="261"/>
      <c r="G19" s="261"/>
      <c r="H19" s="261"/>
      <c r="I19" s="261"/>
      <c r="J19" s="261"/>
      <c r="K19" s="261"/>
      <c r="L19" s="261"/>
      <c r="M19" s="261"/>
      <c r="N19" s="262"/>
    </row>
    <row r="20" spans="2:15" ht="15.6" x14ac:dyDescent="0.3">
      <c r="B20" s="46" t="s">
        <v>733</v>
      </c>
      <c r="C20" s="46"/>
      <c r="D20" s="58" t="s">
        <v>732</v>
      </c>
      <c r="E20" s="61">
        <f t="shared" ref="E20:F20" si="1">EOMONTH(F20,-12)</f>
        <v>42094</v>
      </c>
      <c r="F20" s="61">
        <f t="shared" si="1"/>
        <v>42460</v>
      </c>
      <c r="G20" s="61">
        <f t="shared" ref="G20:M20" si="2">EOMONTH(H20,-12)</f>
        <v>42825</v>
      </c>
      <c r="H20" s="59">
        <f t="shared" si="2"/>
        <v>43190</v>
      </c>
      <c r="I20" s="59">
        <f t="shared" si="2"/>
        <v>43555</v>
      </c>
      <c r="J20" s="59">
        <f t="shared" si="2"/>
        <v>43921</v>
      </c>
      <c r="K20" s="59">
        <f t="shared" si="2"/>
        <v>44286</v>
      </c>
      <c r="L20" s="59">
        <f t="shared" si="2"/>
        <v>44651</v>
      </c>
      <c r="M20" s="59">
        <f t="shared" si="2"/>
        <v>45016</v>
      </c>
      <c r="N20" s="60">
        <f>Hist_Year</f>
        <v>45382</v>
      </c>
    </row>
    <row r="21" spans="2:15" ht="15.6" x14ac:dyDescent="0.3">
      <c r="C21" s="62"/>
      <c r="D21" s="63"/>
      <c r="E21" s="64"/>
      <c r="F21" s="64"/>
      <c r="G21" s="64"/>
      <c r="H21" s="64"/>
      <c r="I21" s="64"/>
      <c r="J21" s="64"/>
      <c r="K21" s="64"/>
      <c r="L21" s="64"/>
      <c r="M21" s="64"/>
      <c r="N21" s="64"/>
    </row>
    <row r="22" spans="2:15" x14ac:dyDescent="0.3">
      <c r="C22" t="s">
        <v>0</v>
      </c>
      <c r="D22" s="70" t="s">
        <v>735</v>
      </c>
      <c r="E22" s="65">
        <f>'Data Sheet'!B17</f>
        <v>4539.8500000000004</v>
      </c>
      <c r="F22" s="76">
        <f>'Data Sheet'!C17</f>
        <v>4592.72</v>
      </c>
      <c r="G22" s="76">
        <f>'Data Sheet'!D17</f>
        <v>4821.8</v>
      </c>
      <c r="H22" s="76">
        <f>'Data Sheet'!E17</f>
        <v>5589.04</v>
      </c>
      <c r="I22" s="76">
        <f>'Data Sheet'!F17</f>
        <v>7099.59</v>
      </c>
      <c r="J22" s="76">
        <f>'Data Sheet'!G17</f>
        <v>7209.41</v>
      </c>
      <c r="K22" s="76">
        <f>'Data Sheet'!H17</f>
        <v>8400.0400000000009</v>
      </c>
      <c r="L22" s="76">
        <f>'Data Sheet'!I17</f>
        <v>12433.66</v>
      </c>
      <c r="M22" s="76">
        <f>'Data Sheet'!J17</f>
        <v>14870.25</v>
      </c>
      <c r="N22" s="76">
        <f>'Data Sheet'!K17</f>
        <v>13138.52</v>
      </c>
      <c r="O22" s="17"/>
    </row>
    <row r="23" spans="2:15" x14ac:dyDescent="0.3">
      <c r="C23" s="86" t="s">
        <v>1</v>
      </c>
      <c r="D23" s="77" t="s">
        <v>736</v>
      </c>
      <c r="E23" s="78"/>
      <c r="F23" s="79">
        <f>(F22-E22)/E22</f>
        <v>1.1645759221119616E-2</v>
      </c>
      <c r="G23" s="79">
        <f t="shared" ref="G23:N23" si="3">(G22-F22)/F22</f>
        <v>4.9878938842341777E-2</v>
      </c>
      <c r="H23" s="79">
        <f t="shared" si="3"/>
        <v>0.15911900120287026</v>
      </c>
      <c r="I23" s="79">
        <f t="shared" si="3"/>
        <v>0.27027002848431936</v>
      </c>
      <c r="J23" s="79">
        <f t="shared" si="3"/>
        <v>1.5468498885146847E-2</v>
      </c>
      <c r="K23" s="79">
        <f t="shared" si="3"/>
        <v>0.16514943663905937</v>
      </c>
      <c r="L23" s="79">
        <f t="shared" si="3"/>
        <v>0.4801905705210926</v>
      </c>
      <c r="M23" s="79">
        <f t="shared" si="3"/>
        <v>0.19596723732191487</v>
      </c>
      <c r="N23" s="79">
        <f t="shared" si="3"/>
        <v>-0.11645601116322857</v>
      </c>
      <c r="O23" s="18"/>
    </row>
    <row r="24" spans="2:15" x14ac:dyDescent="0.3">
      <c r="D24" s="70"/>
    </row>
    <row r="25" spans="2:15" x14ac:dyDescent="0.3">
      <c r="C25" t="s">
        <v>2</v>
      </c>
      <c r="D25" s="70" t="s">
        <v>735</v>
      </c>
      <c r="E25" s="75">
        <f>SUM('Data Sheet'!B18:B22)</f>
        <v>3590.63</v>
      </c>
      <c r="F25" s="75">
        <f>SUM('Data Sheet'!C18:C22)</f>
        <v>3270.86</v>
      </c>
      <c r="G25" s="75">
        <f>SUM('Data Sheet'!D18:D22)</f>
        <v>3523.5199999999995</v>
      </c>
      <c r="H25" s="75">
        <f>SUM('Data Sheet'!E18:E22)</f>
        <v>4336.0599999999995</v>
      </c>
      <c r="I25" s="75">
        <f>SUM('Data Sheet'!F18:F22)</f>
        <v>5436.69</v>
      </c>
      <c r="J25" s="75">
        <f>SUM('Data Sheet'!G18:G22)</f>
        <v>5400.47</v>
      </c>
      <c r="K25" s="75">
        <f>SUM('Data Sheet'!H18:H22)</f>
        <v>5825.41</v>
      </c>
      <c r="L25" s="75">
        <f>SUM('Data Sheet'!I18:I22)</f>
        <v>8948.9600000000009</v>
      </c>
      <c r="M25" s="75">
        <f>SUM('Data Sheet'!J18:J22)</f>
        <v>10138.23</v>
      </c>
      <c r="N25" s="75">
        <f>SUM('Data Sheet'!K18:K22)</f>
        <v>9705.76</v>
      </c>
      <c r="O25" s="17"/>
    </row>
    <row r="26" spans="2:15" x14ac:dyDescent="0.3">
      <c r="C26" s="86" t="s">
        <v>3</v>
      </c>
      <c r="D26" s="77" t="s">
        <v>736</v>
      </c>
      <c r="E26" s="79">
        <f t="shared" ref="E26:N26" si="4">E25/E22</f>
        <v>0.7909137967113451</v>
      </c>
      <c r="F26" s="79">
        <f t="shared" si="4"/>
        <v>0.71218362974446514</v>
      </c>
      <c r="G26" s="79">
        <f t="shared" si="4"/>
        <v>0.73074785349869331</v>
      </c>
      <c r="H26" s="79">
        <f t="shared" si="4"/>
        <v>0.7758148089832958</v>
      </c>
      <c r="I26" s="79">
        <f t="shared" si="4"/>
        <v>0.76577520673729038</v>
      </c>
      <c r="J26" s="79">
        <f t="shared" si="4"/>
        <v>0.74908626364709463</v>
      </c>
      <c r="K26" s="79">
        <f t="shared" si="4"/>
        <v>0.69349788810529467</v>
      </c>
      <c r="L26" s="79">
        <f t="shared" si="4"/>
        <v>0.71973658600926849</v>
      </c>
      <c r="M26" s="79">
        <f t="shared" si="4"/>
        <v>0.6817793917385383</v>
      </c>
      <c r="N26" s="79">
        <f t="shared" si="4"/>
        <v>0.73872551855155677</v>
      </c>
      <c r="O26" s="18"/>
    </row>
    <row r="27" spans="2:15" x14ac:dyDescent="0.3">
      <c r="D27" s="70"/>
    </row>
    <row r="28" spans="2:15" s="17" customFormat="1" x14ac:dyDescent="0.3">
      <c r="C28" s="81" t="s">
        <v>4</v>
      </c>
      <c r="D28" s="82" t="s">
        <v>735</v>
      </c>
      <c r="E28" s="103">
        <f t="shared" ref="E28:N28" si="5">E22-E25</f>
        <v>949.22000000000025</v>
      </c>
      <c r="F28" s="83">
        <f t="shared" si="5"/>
        <v>1321.8600000000001</v>
      </c>
      <c r="G28" s="83">
        <f t="shared" si="5"/>
        <v>1298.2800000000007</v>
      </c>
      <c r="H28" s="83">
        <f t="shared" si="5"/>
        <v>1252.9800000000005</v>
      </c>
      <c r="I28" s="83">
        <f t="shared" si="5"/>
        <v>1662.9000000000005</v>
      </c>
      <c r="J28" s="83">
        <f t="shared" si="5"/>
        <v>1808.9399999999996</v>
      </c>
      <c r="K28" s="83">
        <f t="shared" si="5"/>
        <v>2574.630000000001</v>
      </c>
      <c r="L28" s="83">
        <f t="shared" si="5"/>
        <v>3484.6999999999989</v>
      </c>
      <c r="M28" s="83">
        <f t="shared" si="5"/>
        <v>4732.0200000000004</v>
      </c>
      <c r="N28" s="83">
        <f t="shared" si="5"/>
        <v>3432.76</v>
      </c>
    </row>
    <row r="29" spans="2:15" x14ac:dyDescent="0.3">
      <c r="C29" s="86" t="s">
        <v>5</v>
      </c>
      <c r="D29" s="77" t="s">
        <v>736</v>
      </c>
      <c r="E29" s="79">
        <f t="shared" ref="E29:N29" si="6">E28/E22</f>
        <v>0.20908620328865496</v>
      </c>
      <c r="F29" s="79">
        <f t="shared" si="6"/>
        <v>0.28781637025553486</v>
      </c>
      <c r="G29" s="79">
        <f t="shared" si="6"/>
        <v>0.26925214650130669</v>
      </c>
      <c r="H29" s="79">
        <f t="shared" si="6"/>
        <v>0.2241851910167042</v>
      </c>
      <c r="I29" s="79">
        <f t="shared" si="6"/>
        <v>0.23422479326270962</v>
      </c>
      <c r="J29" s="79">
        <f t="shared" si="6"/>
        <v>0.25091373635290537</v>
      </c>
      <c r="K29" s="79">
        <f t="shared" si="6"/>
        <v>0.30650211189470533</v>
      </c>
      <c r="L29" s="79">
        <f t="shared" si="6"/>
        <v>0.28026341399073151</v>
      </c>
      <c r="M29" s="79">
        <f t="shared" si="6"/>
        <v>0.31822060826146165</v>
      </c>
      <c r="N29" s="79">
        <f t="shared" si="6"/>
        <v>0.26127448144844323</v>
      </c>
      <c r="O29" s="18"/>
    </row>
    <row r="30" spans="2:15" x14ac:dyDescent="0.3">
      <c r="D30" s="70"/>
    </row>
    <row r="31" spans="2:15" s="17" customFormat="1" x14ac:dyDescent="0.3">
      <c r="C31" s="87" t="s">
        <v>6</v>
      </c>
      <c r="D31" s="71" t="s">
        <v>735</v>
      </c>
      <c r="E31" s="75">
        <f>SUM('Data Sheet'!B23:B24)</f>
        <v>297.26</v>
      </c>
      <c r="F31" s="75">
        <f>SUM('Data Sheet'!C23:C24)</f>
        <v>317.18</v>
      </c>
      <c r="G31" s="75">
        <f>SUM('Data Sheet'!D23:D24)</f>
        <v>371.75</v>
      </c>
      <c r="H31" s="75">
        <f>SUM('Data Sheet'!E23:E24)</f>
        <v>408.94</v>
      </c>
      <c r="I31" s="75">
        <f>SUM('Data Sheet'!F23:F24)</f>
        <v>513.96</v>
      </c>
      <c r="J31" s="75">
        <f>SUM('Data Sheet'!G23:G24)</f>
        <v>537.64</v>
      </c>
      <c r="K31" s="75">
        <f>SUM('Data Sheet'!H23:H24)</f>
        <v>584.62</v>
      </c>
      <c r="L31" s="75">
        <f>SUM('Data Sheet'!I23:I24)</f>
        <v>941</v>
      </c>
      <c r="M31" s="75">
        <f>SUM('Data Sheet'!J23:J24)</f>
        <v>1220.6600000000001</v>
      </c>
      <c r="N31" s="75">
        <f>SUM('Data Sheet'!K23:K24)</f>
        <v>1059.4100000000001</v>
      </c>
    </row>
    <row r="32" spans="2:15" x14ac:dyDescent="0.3">
      <c r="C32" s="86" t="s">
        <v>7</v>
      </c>
      <c r="D32" s="77" t="s">
        <v>736</v>
      </c>
      <c r="E32" s="79">
        <f t="shared" ref="E32:N32" si="7">E31/E22</f>
        <v>6.5477934292983236E-2</v>
      </c>
      <c r="F32" s="79">
        <f t="shared" si="7"/>
        <v>6.9061471197895796E-2</v>
      </c>
      <c r="G32" s="79">
        <f t="shared" si="7"/>
        <v>7.7097764320378279E-2</v>
      </c>
      <c r="H32" s="79">
        <f t="shared" si="7"/>
        <v>7.3168200621215804E-2</v>
      </c>
      <c r="I32" s="79">
        <f t="shared" si="7"/>
        <v>7.2392912830177528E-2</v>
      </c>
      <c r="J32" s="79">
        <f t="shared" si="7"/>
        <v>7.4574757157659224E-2</v>
      </c>
      <c r="K32" s="79">
        <f t="shared" si="7"/>
        <v>6.9597287631963656E-2</v>
      </c>
      <c r="L32" s="79">
        <f t="shared" si="7"/>
        <v>7.5681657693712073E-2</v>
      </c>
      <c r="M32" s="79">
        <f t="shared" si="7"/>
        <v>8.2087389250348849E-2</v>
      </c>
      <c r="N32" s="79">
        <f t="shared" si="7"/>
        <v>8.0633891792987342E-2</v>
      </c>
      <c r="O32" s="18"/>
    </row>
    <row r="33" spans="3:15" x14ac:dyDescent="0.3">
      <c r="D33" s="70"/>
    </row>
    <row r="34" spans="3:15" s="17" customFormat="1" x14ac:dyDescent="0.3">
      <c r="C34" s="81" t="s">
        <v>8</v>
      </c>
      <c r="D34" s="82" t="s">
        <v>735</v>
      </c>
      <c r="E34" s="83">
        <f>(E28-E31)+'Data Sheet'!B25</f>
        <v>716.5400000000003</v>
      </c>
      <c r="F34" s="83">
        <f>(F28-F31)+'Data Sheet'!C25</f>
        <v>1032.28</v>
      </c>
      <c r="G34" s="83">
        <f>(G28-G31)+'Data Sheet'!D25</f>
        <v>999.54000000000065</v>
      </c>
      <c r="H34" s="83">
        <f>(H28-H31)+'Data Sheet'!E25</f>
        <v>959.16000000000042</v>
      </c>
      <c r="I34" s="83">
        <f>(I28-I31)+'Data Sheet'!F25</f>
        <v>1226.9600000000005</v>
      </c>
      <c r="J34" s="83">
        <f>(J28-J31)+'Data Sheet'!G25</f>
        <v>1423.5399999999997</v>
      </c>
      <c r="K34" s="83">
        <f>(K28-K31)+'Data Sheet'!H25</f>
        <v>2056.0500000000011</v>
      </c>
      <c r="L34" s="83">
        <f>(L28-L31)+'Data Sheet'!I25</f>
        <v>2659.2099999999991</v>
      </c>
      <c r="M34" s="83">
        <f>(M28-M31)+'Data Sheet'!J25</f>
        <v>3586.2900000000004</v>
      </c>
      <c r="N34" s="83">
        <f>(N28-N31)+'Data Sheet'!K25</f>
        <v>2456.3700000000003</v>
      </c>
    </row>
    <row r="35" spans="3:15" x14ac:dyDescent="0.3">
      <c r="C35" s="86" t="s">
        <v>9</v>
      </c>
      <c r="D35" s="77" t="s">
        <v>736</v>
      </c>
      <c r="E35" s="79">
        <f t="shared" ref="E35:N35" si="8">E34/E22</f>
        <v>0.15783340859279496</v>
      </c>
      <c r="F35" s="79">
        <f t="shared" si="8"/>
        <v>0.22476440976153564</v>
      </c>
      <c r="G35" s="79">
        <f t="shared" si="8"/>
        <v>0.2072960305280187</v>
      </c>
      <c r="H35" s="79">
        <f t="shared" si="8"/>
        <v>0.17161444541459722</v>
      </c>
      <c r="I35" s="79">
        <f t="shared" si="8"/>
        <v>0.17282124742414709</v>
      </c>
      <c r="J35" s="79">
        <f t="shared" si="8"/>
        <v>0.19745582509525741</v>
      </c>
      <c r="K35" s="79">
        <f t="shared" si="8"/>
        <v>0.24476669158718303</v>
      </c>
      <c r="L35" s="79">
        <f t="shared" si="8"/>
        <v>0.21387186073931563</v>
      </c>
      <c r="M35" s="79">
        <f t="shared" si="8"/>
        <v>0.24117213900237053</v>
      </c>
      <c r="N35" s="79">
        <f t="shared" si="8"/>
        <v>0.18695941399792368</v>
      </c>
      <c r="O35" s="18"/>
    </row>
    <row r="36" spans="3:15" x14ac:dyDescent="0.3">
      <c r="D36" s="70"/>
    </row>
    <row r="37" spans="3:15" s="17" customFormat="1" x14ac:dyDescent="0.3">
      <c r="C37" s="17" t="s">
        <v>10</v>
      </c>
      <c r="D37" s="71" t="s">
        <v>735</v>
      </c>
      <c r="E37" s="75">
        <f>'Data Sheet'!B27</f>
        <v>137.58000000000001</v>
      </c>
      <c r="F37" s="75">
        <f>'Data Sheet'!C27</f>
        <v>130.46</v>
      </c>
      <c r="G37" s="75">
        <f>'Data Sheet'!D27</f>
        <v>101.77</v>
      </c>
      <c r="H37" s="75">
        <f>'Data Sheet'!E27</f>
        <v>123.89</v>
      </c>
      <c r="I37" s="75">
        <f>'Data Sheet'!F27</f>
        <v>198.37</v>
      </c>
      <c r="J37" s="75">
        <f>'Data Sheet'!G27</f>
        <v>200.68</v>
      </c>
      <c r="K37" s="75">
        <f>'Data Sheet'!H27</f>
        <v>133.94999999999999</v>
      </c>
      <c r="L37" s="75">
        <f>'Data Sheet'!I27</f>
        <v>115.93</v>
      </c>
      <c r="M37" s="75">
        <f>'Data Sheet'!J27</f>
        <v>204.82</v>
      </c>
      <c r="N37" s="75">
        <f>'Data Sheet'!K27</f>
        <v>302.29000000000002</v>
      </c>
    </row>
    <row r="38" spans="3:15" x14ac:dyDescent="0.3">
      <c r="C38" s="86" t="s">
        <v>11</v>
      </c>
      <c r="D38" s="77" t="s">
        <v>736</v>
      </c>
      <c r="E38" s="79">
        <f t="shared" ref="E38:N38" si="9">E37/E22</f>
        <v>3.0304966023106492E-2</v>
      </c>
      <c r="F38" s="79">
        <f t="shared" si="9"/>
        <v>2.840582487066488E-2</v>
      </c>
      <c r="G38" s="79">
        <f t="shared" si="9"/>
        <v>2.1106225890746191E-2</v>
      </c>
      <c r="H38" s="79">
        <f t="shared" si="9"/>
        <v>2.2166597483646567E-2</v>
      </c>
      <c r="I38" s="79">
        <f t="shared" si="9"/>
        <v>2.7941050116978585E-2</v>
      </c>
      <c r="J38" s="79">
        <f t="shared" si="9"/>
        <v>2.7835842322742086E-2</v>
      </c>
      <c r="K38" s="79">
        <f t="shared" si="9"/>
        <v>1.5946352636416014E-2</v>
      </c>
      <c r="L38" s="79">
        <f t="shared" si="9"/>
        <v>9.3238837156557289E-3</v>
      </c>
      <c r="M38" s="79">
        <f t="shared" si="9"/>
        <v>1.3773810124241354E-2</v>
      </c>
      <c r="N38" s="79">
        <f t="shared" si="9"/>
        <v>2.3007918700127566E-2</v>
      </c>
      <c r="O38" s="18"/>
    </row>
    <row r="39" spans="3:15" x14ac:dyDescent="0.3">
      <c r="D39" s="70"/>
    </row>
    <row r="40" spans="3:15" s="17" customFormat="1" x14ac:dyDescent="0.3">
      <c r="C40" s="17" t="s">
        <v>12</v>
      </c>
      <c r="D40" s="71" t="s">
        <v>735</v>
      </c>
      <c r="E40" s="75">
        <f>'Data Sheet'!B26</f>
        <v>245.03</v>
      </c>
      <c r="F40" s="75">
        <f>'Data Sheet'!C26</f>
        <v>274.95999999999998</v>
      </c>
      <c r="G40" s="75">
        <f>'Data Sheet'!D26</f>
        <v>283.44</v>
      </c>
      <c r="H40" s="75">
        <f>'Data Sheet'!E26</f>
        <v>315.8</v>
      </c>
      <c r="I40" s="75">
        <f>'Data Sheet'!F26</f>
        <v>358.17</v>
      </c>
      <c r="J40" s="75">
        <f>'Data Sheet'!G26</f>
        <v>388.61</v>
      </c>
      <c r="K40" s="75">
        <f>'Data Sheet'!H26</f>
        <v>453.08</v>
      </c>
      <c r="L40" s="75">
        <f>'Data Sheet'!I26</f>
        <v>517.23</v>
      </c>
      <c r="M40" s="75">
        <f>'Data Sheet'!J26</f>
        <v>575.32000000000005</v>
      </c>
      <c r="N40" s="75">
        <f>'Data Sheet'!K26</f>
        <v>672.62</v>
      </c>
    </row>
    <row r="41" spans="3:15" x14ac:dyDescent="0.3">
      <c r="C41" s="86" t="s">
        <v>13</v>
      </c>
      <c r="D41" s="77" t="s">
        <v>736</v>
      </c>
      <c r="E41" s="79">
        <f t="shared" ref="E41:N41" si="10">E40/E22</f>
        <v>5.3973148892584553E-2</v>
      </c>
      <c r="F41" s="79">
        <f t="shared" si="10"/>
        <v>5.9868661708094545E-2</v>
      </c>
      <c r="G41" s="79">
        <f t="shared" si="10"/>
        <v>5.8783027085320835E-2</v>
      </c>
      <c r="H41" s="79">
        <f t="shared" si="10"/>
        <v>5.6503442451655388E-2</v>
      </c>
      <c r="I41" s="79">
        <f t="shared" si="10"/>
        <v>5.0449392147997277E-2</v>
      </c>
      <c r="J41" s="79">
        <f t="shared" si="10"/>
        <v>5.3903162672118803E-2</v>
      </c>
      <c r="K41" s="79">
        <f t="shared" si="10"/>
        <v>5.3937838391245746E-2</v>
      </c>
      <c r="L41" s="79">
        <f t="shared" si="10"/>
        <v>4.1599175142315301E-2</v>
      </c>
      <c r="M41" s="79">
        <f t="shared" si="10"/>
        <v>3.86893293656798E-2</v>
      </c>
      <c r="N41" s="79">
        <f t="shared" si="10"/>
        <v>5.1194502881603099E-2</v>
      </c>
      <c r="O41" s="18"/>
    </row>
    <row r="42" spans="3:15" x14ac:dyDescent="0.3">
      <c r="D42" s="70"/>
    </row>
    <row r="43" spans="3:15" x14ac:dyDescent="0.3">
      <c r="C43" s="84" t="s">
        <v>14</v>
      </c>
      <c r="D43" s="85" t="s">
        <v>735</v>
      </c>
      <c r="E43" s="83">
        <f>E34-(E37+E40)</f>
        <v>333.93000000000029</v>
      </c>
      <c r="F43" s="83">
        <f t="shared" ref="F43:N43" si="11">F34-(F37+F40)</f>
        <v>626.86</v>
      </c>
      <c r="G43" s="83">
        <f t="shared" si="11"/>
        <v>614.33000000000061</v>
      </c>
      <c r="H43" s="83">
        <f t="shared" si="11"/>
        <v>519.47000000000048</v>
      </c>
      <c r="I43" s="83">
        <f t="shared" si="11"/>
        <v>670.42000000000053</v>
      </c>
      <c r="J43" s="83">
        <f t="shared" si="11"/>
        <v>834.24999999999977</v>
      </c>
      <c r="K43" s="83">
        <f t="shared" si="11"/>
        <v>1469.0200000000011</v>
      </c>
      <c r="L43" s="83">
        <f t="shared" si="11"/>
        <v>2026.049999999999</v>
      </c>
      <c r="M43" s="83">
        <f t="shared" si="11"/>
        <v>2806.1500000000005</v>
      </c>
      <c r="N43" s="83">
        <f t="shared" si="11"/>
        <v>1481.4600000000003</v>
      </c>
    </row>
    <row r="44" spans="3:15" x14ac:dyDescent="0.3">
      <c r="C44" s="86" t="s">
        <v>15</v>
      </c>
      <c r="D44" s="77" t="s">
        <v>736</v>
      </c>
      <c r="E44" s="79">
        <f t="shared" ref="E44:N44" si="12">E43/E22</f>
        <v>7.3555293677103922E-2</v>
      </c>
      <c r="F44" s="79">
        <f t="shared" si="12"/>
        <v>0.13648992318277622</v>
      </c>
      <c r="G44" s="79">
        <f t="shared" si="12"/>
        <v>0.12740677755195168</v>
      </c>
      <c r="H44" s="79">
        <f t="shared" si="12"/>
        <v>9.2944405479295278E-2</v>
      </c>
      <c r="I44" s="79">
        <f t="shared" si="12"/>
        <v>9.4430805159171238E-2</v>
      </c>
      <c r="J44" s="79">
        <f t="shared" si="12"/>
        <v>0.11571682010039654</v>
      </c>
      <c r="K44" s="79">
        <f t="shared" si="12"/>
        <v>0.17488250055952126</v>
      </c>
      <c r="L44" s="79">
        <f t="shared" si="12"/>
        <v>0.16294880188134458</v>
      </c>
      <c r="M44" s="79">
        <f t="shared" si="12"/>
        <v>0.18870899951244938</v>
      </c>
      <c r="N44" s="79">
        <f t="shared" si="12"/>
        <v>0.11275699241619301</v>
      </c>
      <c r="O44" s="18"/>
    </row>
    <row r="45" spans="3:15" x14ac:dyDescent="0.3">
      <c r="D45" s="70"/>
    </row>
    <row r="46" spans="3:15" x14ac:dyDescent="0.3">
      <c r="C46" t="s">
        <v>16</v>
      </c>
      <c r="D46" s="70" t="s">
        <v>735</v>
      </c>
      <c r="E46" s="75">
        <f>'Data Sheet'!B29</f>
        <v>96.62</v>
      </c>
      <c r="F46" s="75">
        <f>'Data Sheet'!C29</f>
        <v>155.05000000000001</v>
      </c>
      <c r="G46" s="75">
        <f>'Data Sheet'!D29</f>
        <v>142.19999999999999</v>
      </c>
      <c r="H46" s="75">
        <f>'Data Sheet'!E29</f>
        <v>119.96</v>
      </c>
      <c r="I46" s="75">
        <f>'Data Sheet'!F29</f>
        <v>176.85</v>
      </c>
      <c r="J46" s="75">
        <f>'Data Sheet'!G29</f>
        <v>-1.2</v>
      </c>
      <c r="K46" s="75">
        <f>'Data Sheet'!H29</f>
        <v>414.4</v>
      </c>
      <c r="L46" s="75">
        <f>'Data Sheet'!I29</f>
        <v>696.63</v>
      </c>
      <c r="M46" s="75">
        <f>'Data Sheet'!J29</f>
        <v>661.65</v>
      </c>
      <c r="N46" s="75">
        <f>'Data Sheet'!K29</f>
        <v>356.51</v>
      </c>
      <c r="O46" s="17"/>
    </row>
    <row r="47" spans="3:15" x14ac:dyDescent="0.3">
      <c r="C47" s="86" t="s">
        <v>17</v>
      </c>
      <c r="D47" s="77" t="s">
        <v>736</v>
      </c>
      <c r="E47" s="79">
        <f>E46/E43</f>
        <v>0.28934207768095088</v>
      </c>
      <c r="F47" s="79">
        <f t="shared" ref="F47:N47" si="13">F46/F43</f>
        <v>0.2473439045400887</v>
      </c>
      <c r="G47" s="79">
        <f t="shared" si="13"/>
        <v>0.23147168459948211</v>
      </c>
      <c r="H47" s="79">
        <f t="shared" si="13"/>
        <v>0.23092767628544456</v>
      </c>
      <c r="I47" s="79">
        <f t="shared" si="13"/>
        <v>0.26378986307091057</v>
      </c>
      <c r="J47" s="79">
        <f t="shared" si="13"/>
        <v>-1.4384177404854663E-3</v>
      </c>
      <c r="K47" s="79">
        <f t="shared" si="13"/>
        <v>0.28209282378728651</v>
      </c>
      <c r="L47" s="79">
        <f t="shared" si="13"/>
        <v>0.34383652920707797</v>
      </c>
      <c r="M47" s="79">
        <f t="shared" si="13"/>
        <v>0.23578568501327435</v>
      </c>
      <c r="N47" s="79">
        <f t="shared" si="13"/>
        <v>0.24064773939222114</v>
      </c>
      <c r="O47" s="18"/>
    </row>
    <row r="48" spans="3:15" x14ac:dyDescent="0.3">
      <c r="D48" s="70"/>
    </row>
    <row r="49" spans="2:15" x14ac:dyDescent="0.3">
      <c r="C49" s="84" t="s">
        <v>18</v>
      </c>
      <c r="D49" s="85" t="s">
        <v>735</v>
      </c>
      <c r="E49" s="103">
        <f>E43-E46</f>
        <v>237.31000000000029</v>
      </c>
      <c r="F49" s="83">
        <f t="shared" ref="F49:N49" si="14">F43-F46</f>
        <v>471.81</v>
      </c>
      <c r="G49" s="83">
        <f t="shared" si="14"/>
        <v>472.13000000000062</v>
      </c>
      <c r="H49" s="83">
        <f t="shared" si="14"/>
        <v>399.5100000000005</v>
      </c>
      <c r="I49" s="83">
        <f t="shared" si="14"/>
        <v>493.5700000000005</v>
      </c>
      <c r="J49" s="83">
        <f t="shared" si="14"/>
        <v>835.44999999999982</v>
      </c>
      <c r="K49" s="83">
        <f t="shared" si="14"/>
        <v>1054.6200000000013</v>
      </c>
      <c r="L49" s="83">
        <f t="shared" si="14"/>
        <v>1329.4199999999992</v>
      </c>
      <c r="M49" s="83">
        <f t="shared" si="14"/>
        <v>2144.5000000000005</v>
      </c>
      <c r="N49" s="83">
        <f t="shared" si="14"/>
        <v>1124.9500000000003</v>
      </c>
      <c r="O49" s="17"/>
    </row>
    <row r="50" spans="2:15" x14ac:dyDescent="0.3">
      <c r="C50" s="86" t="s">
        <v>19</v>
      </c>
      <c r="D50" s="77" t="s">
        <v>736</v>
      </c>
      <c r="E50" s="79">
        <f t="shared" ref="E50:N50" si="15">E49/E22</f>
        <v>5.2272652180138171E-2</v>
      </c>
      <c r="F50" s="79">
        <f t="shared" si="15"/>
        <v>0.10272997265237158</v>
      </c>
      <c r="G50" s="79">
        <f t="shared" si="15"/>
        <v>9.7915716122609936E-2</v>
      </c>
      <c r="H50" s="79">
        <f t="shared" si="15"/>
        <v>7.1480969898229482E-2</v>
      </c>
      <c r="I50" s="79">
        <f t="shared" si="15"/>
        <v>6.9520915996557617E-2</v>
      </c>
      <c r="J50" s="79">
        <f t="shared" si="15"/>
        <v>0.11588326922730152</v>
      </c>
      <c r="K50" s="79">
        <f t="shared" si="15"/>
        <v>0.1255494021457042</v>
      </c>
      <c r="L50" s="79">
        <f t="shared" si="15"/>
        <v>0.1069210514040113</v>
      </c>
      <c r="M50" s="79">
        <f t="shared" si="15"/>
        <v>0.14421411879423685</v>
      </c>
      <c r="N50" s="79">
        <f t="shared" si="15"/>
        <v>8.562227709057034E-2</v>
      </c>
      <c r="O50" s="18"/>
    </row>
    <row r="51" spans="2:15" x14ac:dyDescent="0.3">
      <c r="D51" s="70"/>
    </row>
    <row r="52" spans="2:15" x14ac:dyDescent="0.3">
      <c r="C52" t="s">
        <v>20</v>
      </c>
      <c r="D52" s="70" t="s">
        <v>737</v>
      </c>
      <c r="E52">
        <f>'Data Sheet'!B93</f>
        <v>28.71</v>
      </c>
      <c r="F52">
        <f>'Data Sheet'!C93</f>
        <v>28.71</v>
      </c>
      <c r="G52">
        <f>'Data Sheet'!D93</f>
        <v>28.71</v>
      </c>
      <c r="H52">
        <f>'Data Sheet'!E93</f>
        <v>28.71</v>
      </c>
      <c r="I52">
        <f>'Data Sheet'!F93</f>
        <v>28.74</v>
      </c>
      <c r="J52">
        <f>'Data Sheet'!G93</f>
        <v>28.74</v>
      </c>
      <c r="K52">
        <f>'Data Sheet'!H93</f>
        <v>29.62</v>
      </c>
      <c r="L52">
        <f>'Data Sheet'!I93</f>
        <v>29.64</v>
      </c>
      <c r="M52">
        <f>'Data Sheet'!J93</f>
        <v>29.64</v>
      </c>
      <c r="N52">
        <f>'Data Sheet'!K93</f>
        <v>29.64</v>
      </c>
    </row>
    <row r="53" spans="2:15" x14ac:dyDescent="0.3">
      <c r="D53" s="70"/>
    </row>
    <row r="54" spans="2:15" x14ac:dyDescent="0.3">
      <c r="C54" t="s">
        <v>21</v>
      </c>
      <c r="D54" s="80" t="s">
        <v>734</v>
      </c>
      <c r="E54" s="17">
        <f>'3-FInancial Statements'!E49/'3-FInancial Statements'!E52</f>
        <v>8.2657610588645163</v>
      </c>
      <c r="F54" s="17">
        <f>'3-FInancial Statements'!F49/'3-FInancial Statements'!F52</f>
        <v>16.433646812957157</v>
      </c>
      <c r="G54" s="17">
        <f>'3-FInancial Statements'!G49/'3-FInancial Statements'!G52</f>
        <v>16.444792755137605</v>
      </c>
      <c r="H54" s="17">
        <f>'3-FInancial Statements'!H49/'3-FInancial Statements'!H52</f>
        <v>13.915360501567415</v>
      </c>
      <c r="I54" s="17">
        <f>'3-FInancial Statements'!I49/'3-FInancial Statements'!I52</f>
        <v>17.173625608907464</v>
      </c>
      <c r="J54" s="17">
        <f>'3-FInancial Statements'!J49/'3-FInancial Statements'!J52</f>
        <v>29.069241475295751</v>
      </c>
      <c r="K54" s="17">
        <f>'3-FInancial Statements'!K49/'3-FInancial Statements'!K52</f>
        <v>35.604996623902807</v>
      </c>
      <c r="L54" s="17">
        <f>'3-FInancial Statements'!L49/'3-FInancial Statements'!L52</f>
        <v>44.852226720647742</v>
      </c>
      <c r="M54" s="17">
        <f>'3-FInancial Statements'!M49/'3-FInancial Statements'!M52</f>
        <v>72.351551956815129</v>
      </c>
      <c r="N54" s="17">
        <f>'3-FInancial Statements'!N49/'3-FInancial Statements'!N52</f>
        <v>37.9537786774629</v>
      </c>
      <c r="O54" s="17"/>
    </row>
    <row r="55" spans="2:15" x14ac:dyDescent="0.3">
      <c r="C55" s="86" t="s">
        <v>22</v>
      </c>
      <c r="D55" s="77" t="s">
        <v>736</v>
      </c>
      <c r="E55" s="79"/>
      <c r="F55" s="79">
        <f>(F54-E54)/E54</f>
        <v>0.98815894821119821</v>
      </c>
      <c r="G55" s="79">
        <f t="shared" ref="G55:N55" si="16">(G54-F54)/F54</f>
        <v>6.7823912168175817E-4</v>
      </c>
      <c r="H55" s="79">
        <f t="shared" si="16"/>
        <v>-0.15381356829686754</v>
      </c>
      <c r="I55" s="79">
        <f t="shared" si="16"/>
        <v>0.23414881037203752</v>
      </c>
      <c r="J55" s="79">
        <f t="shared" si="16"/>
        <v>0.69266770670826627</v>
      </c>
      <c r="K55" s="79">
        <f t="shared" si="16"/>
        <v>0.22483404509062996</v>
      </c>
      <c r="L55" s="79">
        <f t="shared" si="16"/>
        <v>0.2597172018979203</v>
      </c>
      <c r="M55" s="79">
        <f t="shared" si="16"/>
        <v>0.61310947631298007</v>
      </c>
      <c r="N55" s="79">
        <f t="shared" si="16"/>
        <v>-0.47542550711121467</v>
      </c>
      <c r="O55" s="18"/>
    </row>
    <row r="56" spans="2:15" x14ac:dyDescent="0.3">
      <c r="D56" s="70"/>
    </row>
    <row r="57" spans="2:15" x14ac:dyDescent="0.3">
      <c r="C57" t="s">
        <v>23</v>
      </c>
      <c r="D57" s="80" t="s">
        <v>734</v>
      </c>
      <c r="E57" s="17">
        <f>'Data Sheet'!B31/'Data Sheet'!B93</f>
        <v>2.0355276907001043</v>
      </c>
      <c r="F57" s="17">
        <f>'Data Sheet'!C31/'Data Sheet'!C93</f>
        <v>2.0355276907001043</v>
      </c>
      <c r="G57" s="17">
        <f>'Data Sheet'!D31/'Data Sheet'!D93</f>
        <v>2.4427028909787527</v>
      </c>
      <c r="H57" s="17">
        <f>'Data Sheet'!E31/'Data Sheet'!E93</f>
        <v>2.4427028909787527</v>
      </c>
      <c r="I57" s="17">
        <f>'Data Sheet'!F31/'Data Sheet'!F93</f>
        <v>2.44258872651357</v>
      </c>
      <c r="J57" s="17">
        <f>'Data Sheet'!G31/'Data Sheet'!G93</f>
        <v>2.8496868475991652</v>
      </c>
      <c r="K57" s="17">
        <f>'Data Sheet'!H31/'Data Sheet'!H93</f>
        <v>4.882511816340311</v>
      </c>
      <c r="L57" s="17">
        <f>'Data Sheet'!I31/'Data Sheet'!I93</f>
        <v>16.808704453441294</v>
      </c>
      <c r="M57" s="17">
        <f>'Data Sheet'!J31/'Data Sheet'!J93</f>
        <v>7.2253711201079618</v>
      </c>
      <c r="N57" s="17">
        <f>'Data Sheet'!K31/'Data Sheet'!K93</f>
        <v>7.2253711201079618</v>
      </c>
      <c r="O57" s="17"/>
    </row>
    <row r="58" spans="2:15" x14ac:dyDescent="0.3">
      <c r="C58" s="86" t="s">
        <v>24</v>
      </c>
      <c r="D58" s="77" t="s">
        <v>736</v>
      </c>
      <c r="E58" s="79">
        <f>E57/E54</f>
        <v>0.2462601660275586</v>
      </c>
      <c r="F58" s="79">
        <f t="shared" ref="F58:N58" si="17">F57/F54</f>
        <v>0.12386341959687161</v>
      </c>
      <c r="G58" s="79">
        <f t="shared" si="17"/>
        <v>0.14853959714485396</v>
      </c>
      <c r="H58" s="79">
        <f t="shared" si="17"/>
        <v>0.1755400365447671</v>
      </c>
      <c r="I58" s="79">
        <f t="shared" si="17"/>
        <v>0.14222906578600791</v>
      </c>
      <c r="J58" s="79">
        <f t="shared" si="17"/>
        <v>9.8031001256807734E-2</v>
      </c>
      <c r="K58" s="79">
        <f t="shared" si="17"/>
        <v>0.13712996150272122</v>
      </c>
      <c r="L58" s="79">
        <f t="shared" si="17"/>
        <v>0.3747574130071763</v>
      </c>
      <c r="M58" s="79">
        <f t="shared" si="17"/>
        <v>9.9864770342737205E-2</v>
      </c>
      <c r="N58" s="79">
        <f t="shared" si="17"/>
        <v>0.19037290546246494</v>
      </c>
      <c r="O58" s="18"/>
    </row>
    <row r="59" spans="2:15" x14ac:dyDescent="0.3">
      <c r="D59" s="70"/>
    </row>
    <row r="60" spans="2:15" x14ac:dyDescent="0.3">
      <c r="C60" s="66" t="s">
        <v>25</v>
      </c>
      <c r="D60" s="70" t="s">
        <v>736</v>
      </c>
      <c r="E60" s="19">
        <f>IF(E54&gt;E57,1-E58,0)</f>
        <v>0.75373983397244138</v>
      </c>
      <c r="F60" s="19">
        <f t="shared" ref="F60:N60" si="18">IF(F54&gt;F57,1-F58,0)</f>
        <v>0.87613658040312836</v>
      </c>
      <c r="G60" s="19">
        <f t="shared" si="18"/>
        <v>0.85146040285514601</v>
      </c>
      <c r="H60" s="19">
        <f t="shared" si="18"/>
        <v>0.82445996345523287</v>
      </c>
      <c r="I60" s="19">
        <f t="shared" si="18"/>
        <v>0.85777093421399209</v>
      </c>
      <c r="J60" s="19">
        <f t="shared" si="18"/>
        <v>0.90196899874319225</v>
      </c>
      <c r="K60" s="19">
        <f t="shared" si="18"/>
        <v>0.86287003849727872</v>
      </c>
      <c r="L60" s="19">
        <f t="shared" si="18"/>
        <v>0.62524258699282376</v>
      </c>
      <c r="M60" s="19">
        <f t="shared" si="18"/>
        <v>0.90013522965726278</v>
      </c>
      <c r="N60" s="19">
        <f t="shared" si="18"/>
        <v>0.80962709453753501</v>
      </c>
      <c r="O60" s="18"/>
    </row>
    <row r="62" spans="2:15" ht="15.6" x14ac:dyDescent="0.3">
      <c r="B62" s="56"/>
      <c r="C62" s="56"/>
      <c r="D62" s="56"/>
      <c r="E62" s="261" t="s">
        <v>731</v>
      </c>
      <c r="F62" s="261"/>
      <c r="G62" s="261"/>
      <c r="H62" s="261"/>
      <c r="I62" s="261"/>
      <c r="J62" s="261"/>
      <c r="K62" s="261"/>
      <c r="L62" s="261"/>
      <c r="M62" s="261"/>
      <c r="N62" s="262"/>
    </row>
    <row r="63" spans="2:15" ht="15.6" x14ac:dyDescent="0.3">
      <c r="B63" s="46" t="s">
        <v>733</v>
      </c>
      <c r="C63" s="46"/>
      <c r="D63" s="58" t="s">
        <v>732</v>
      </c>
      <c r="E63" s="61">
        <f>+E$20</f>
        <v>42094</v>
      </c>
      <c r="F63" s="61">
        <f t="shared" ref="F63:N63" si="19">+F$20</f>
        <v>42460</v>
      </c>
      <c r="G63" s="61">
        <f t="shared" si="19"/>
        <v>42825</v>
      </c>
      <c r="H63" s="61">
        <f t="shared" si="19"/>
        <v>43190</v>
      </c>
      <c r="I63" s="61">
        <f t="shared" si="19"/>
        <v>43555</v>
      </c>
      <c r="J63" s="61">
        <f t="shared" si="19"/>
        <v>43921</v>
      </c>
      <c r="K63" s="61">
        <f t="shared" si="19"/>
        <v>44286</v>
      </c>
      <c r="L63" s="61">
        <f t="shared" si="19"/>
        <v>44651</v>
      </c>
      <c r="M63" s="61">
        <f t="shared" si="19"/>
        <v>45016</v>
      </c>
      <c r="N63" s="61">
        <f t="shared" si="19"/>
        <v>45382</v>
      </c>
    </row>
    <row r="64" spans="2:15" ht="15.6" x14ac:dyDescent="0.3">
      <c r="B64" s="88" t="s">
        <v>739</v>
      </c>
      <c r="C64" s="89"/>
      <c r="D64" s="89"/>
      <c r="E64" s="90"/>
      <c r="F64" s="90"/>
      <c r="G64" s="90"/>
      <c r="H64" s="90"/>
      <c r="I64" s="90"/>
      <c r="J64" s="90"/>
      <c r="K64" s="90"/>
      <c r="L64" s="90"/>
      <c r="M64" s="90"/>
      <c r="N64" s="90"/>
    </row>
    <row r="65" spans="2:25" x14ac:dyDescent="0.3">
      <c r="C65" s="67" t="s">
        <v>740</v>
      </c>
      <c r="D65" s="70"/>
    </row>
    <row r="66" spans="2:25" s="20" customFormat="1" x14ac:dyDescent="0.3">
      <c r="C66" s="91" t="s">
        <v>26</v>
      </c>
      <c r="D66" s="72" t="s">
        <v>735</v>
      </c>
      <c r="E66" s="65">
        <f>'Data Sheet'!B57</f>
        <v>58.44</v>
      </c>
      <c r="F66" s="65">
        <f>'Data Sheet'!C57</f>
        <v>58.44</v>
      </c>
      <c r="G66" s="65">
        <f>'Data Sheet'!D57</f>
        <v>58.44</v>
      </c>
      <c r="H66" s="65">
        <f>'Data Sheet'!E57</f>
        <v>58.44</v>
      </c>
      <c r="I66" s="65">
        <f>'Data Sheet'!F57</f>
        <v>58.5</v>
      </c>
      <c r="J66" s="65">
        <f>'Data Sheet'!G57</f>
        <v>58.5</v>
      </c>
      <c r="K66" s="65">
        <f>'Data Sheet'!H57</f>
        <v>60.26</v>
      </c>
      <c r="L66" s="65">
        <f>'Data Sheet'!I57</f>
        <v>297.44</v>
      </c>
      <c r="M66" s="65">
        <f>'Data Sheet'!J57</f>
        <v>297.44</v>
      </c>
      <c r="N66" s="65">
        <f>'Data Sheet'!K57</f>
        <v>297.44</v>
      </c>
    </row>
    <row r="67" spans="2:25" s="20" customFormat="1" x14ac:dyDescent="0.3">
      <c r="C67" s="93" t="s">
        <v>741</v>
      </c>
      <c r="D67" s="98" t="s">
        <v>735</v>
      </c>
      <c r="E67" s="104">
        <f>+E66</f>
        <v>58.44</v>
      </c>
      <c r="F67" s="94">
        <f t="shared" ref="F67:N67" si="20">+F66</f>
        <v>58.44</v>
      </c>
      <c r="G67" s="94">
        <f t="shared" si="20"/>
        <v>58.44</v>
      </c>
      <c r="H67" s="94">
        <f t="shared" si="20"/>
        <v>58.44</v>
      </c>
      <c r="I67" s="94">
        <f t="shared" si="20"/>
        <v>58.5</v>
      </c>
      <c r="J67" s="94">
        <f t="shared" si="20"/>
        <v>58.5</v>
      </c>
      <c r="K67" s="94">
        <f t="shared" si="20"/>
        <v>60.26</v>
      </c>
      <c r="L67" s="94">
        <f t="shared" si="20"/>
        <v>297.44</v>
      </c>
      <c r="M67" s="94">
        <f t="shared" si="20"/>
        <v>297.44</v>
      </c>
      <c r="N67" s="94">
        <f t="shared" si="20"/>
        <v>297.44</v>
      </c>
    </row>
    <row r="68" spans="2:25" s="20" customFormat="1" x14ac:dyDescent="0.3">
      <c r="C68" s="21"/>
      <c r="D68" s="72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2:25" s="20" customFormat="1" x14ac:dyDescent="0.3">
      <c r="C69" s="92" t="s">
        <v>742</v>
      </c>
      <c r="D69" s="72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spans="2:25" x14ac:dyDescent="0.3">
      <c r="C70" s="95" t="s">
        <v>27</v>
      </c>
      <c r="D70" s="73" t="s">
        <v>735</v>
      </c>
      <c r="E70" s="75">
        <f>'Data Sheet'!B58</f>
        <v>2237.9</v>
      </c>
      <c r="F70" s="75">
        <f>'Data Sheet'!C58</f>
        <v>2704.54</v>
      </c>
      <c r="G70" s="75">
        <f>'Data Sheet'!D58</f>
        <v>3124.22</v>
      </c>
      <c r="H70" s="75">
        <f>'Data Sheet'!E58</f>
        <v>3506.09</v>
      </c>
      <c r="I70" s="75">
        <f>'Data Sheet'!F58</f>
        <v>4070.77</v>
      </c>
      <c r="J70" s="75">
        <f>'Data Sheet'!G58</f>
        <v>4874.82</v>
      </c>
      <c r="K70" s="75">
        <f>'Data Sheet'!H58</f>
        <v>6796.16</v>
      </c>
      <c r="L70" s="75">
        <f>'Data Sheet'!I58</f>
        <v>8267.92</v>
      </c>
      <c r="M70" s="75">
        <f>'Data Sheet'!J58</f>
        <v>10029.61</v>
      </c>
      <c r="N70" s="75">
        <f>'Data Sheet'!K58</f>
        <v>11181.58</v>
      </c>
    </row>
    <row r="71" spans="2:25" x14ac:dyDescent="0.3">
      <c r="C71" s="95" t="s">
        <v>28</v>
      </c>
      <c r="D71" s="105" t="s">
        <v>735</v>
      </c>
      <c r="E71" s="75">
        <f>'Data Sheet'!B59</f>
        <v>2434.89</v>
      </c>
      <c r="F71" s="75">
        <f>'Data Sheet'!C59</f>
        <v>2515.25</v>
      </c>
      <c r="G71" s="75">
        <f>'Data Sheet'!D59</f>
        <v>2396.21</v>
      </c>
      <c r="H71" s="75">
        <f>'Data Sheet'!E59</f>
        <v>3141.84</v>
      </c>
      <c r="I71" s="75">
        <f>'Data Sheet'!F59</f>
        <v>3730.19</v>
      </c>
      <c r="J71" s="75">
        <f>'Data Sheet'!G59</f>
        <v>4134.51</v>
      </c>
      <c r="K71" s="75">
        <f>'Data Sheet'!H59</f>
        <v>3468.59</v>
      </c>
      <c r="L71" s="75">
        <f>'Data Sheet'!I59</f>
        <v>3655.19</v>
      </c>
      <c r="M71" s="75">
        <f>'Data Sheet'!J59</f>
        <v>4477.53</v>
      </c>
      <c r="N71" s="75">
        <f>'Data Sheet'!K59</f>
        <v>5030.54</v>
      </c>
    </row>
    <row r="72" spans="2:25" x14ac:dyDescent="0.3">
      <c r="C72" s="95" t="s">
        <v>29</v>
      </c>
      <c r="D72" s="73" t="s">
        <v>735</v>
      </c>
      <c r="E72" s="75">
        <f>+'Data Sheet'!B60</f>
        <v>1151.9000000000001</v>
      </c>
      <c r="F72" s="75">
        <f>+'Data Sheet'!C60</f>
        <v>1145.71</v>
      </c>
      <c r="G72" s="75">
        <f>+'Data Sheet'!D60</f>
        <v>1389.46</v>
      </c>
      <c r="H72" s="75">
        <f>+'Data Sheet'!E60</f>
        <v>1656.64</v>
      </c>
      <c r="I72" s="75">
        <f>+'Data Sheet'!F60</f>
        <v>2028.44</v>
      </c>
      <c r="J72" s="75">
        <f>+'Data Sheet'!G60</f>
        <v>1794.67</v>
      </c>
      <c r="K72" s="75">
        <f>+'Data Sheet'!H60</f>
        <v>2586.2600000000002</v>
      </c>
      <c r="L72" s="75">
        <f>+'Data Sheet'!I60</f>
        <v>3544.46</v>
      </c>
      <c r="M72" s="75">
        <f>+'Data Sheet'!J60</f>
        <v>3931.29</v>
      </c>
      <c r="N72" s="75">
        <f>+'Data Sheet'!K60</f>
        <v>3944.82</v>
      </c>
    </row>
    <row r="73" spans="2:25" x14ac:dyDescent="0.3">
      <c r="C73" s="93" t="s">
        <v>743</v>
      </c>
      <c r="D73" s="98" t="s">
        <v>735</v>
      </c>
      <c r="E73" s="104">
        <f>+SUM(E70:E72)</f>
        <v>5824.6900000000005</v>
      </c>
      <c r="F73" s="104">
        <f t="shared" ref="F73:N73" si="21">+SUM(F70:F72)</f>
        <v>6365.5</v>
      </c>
      <c r="G73" s="104">
        <f t="shared" si="21"/>
        <v>6909.89</v>
      </c>
      <c r="H73" s="104">
        <f t="shared" si="21"/>
        <v>8304.57</v>
      </c>
      <c r="I73" s="104">
        <f t="shared" si="21"/>
        <v>9829.4</v>
      </c>
      <c r="J73" s="104">
        <f t="shared" si="21"/>
        <v>10804</v>
      </c>
      <c r="K73" s="104">
        <f t="shared" si="21"/>
        <v>12851.01</v>
      </c>
      <c r="L73" s="104">
        <f t="shared" si="21"/>
        <v>15467.57</v>
      </c>
      <c r="M73" s="104">
        <f t="shared" si="21"/>
        <v>18438.43</v>
      </c>
      <c r="N73" s="104">
        <f t="shared" si="21"/>
        <v>20156.939999999999</v>
      </c>
    </row>
    <row r="74" spans="2:25" x14ac:dyDescent="0.3">
      <c r="C74" s="95"/>
      <c r="D74" s="73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 spans="2:25" x14ac:dyDescent="0.3">
      <c r="C75" s="92" t="s">
        <v>744</v>
      </c>
      <c r="D75" s="72" t="s">
        <v>735</v>
      </c>
      <c r="E75" s="106">
        <f>+SUM(E67,E73)</f>
        <v>5883.13</v>
      </c>
      <c r="F75" s="106">
        <f t="shared" ref="F75:N75" si="22">+SUM(F67,F73)</f>
        <v>6423.94</v>
      </c>
      <c r="G75" s="106">
        <f t="shared" si="22"/>
        <v>6968.33</v>
      </c>
      <c r="H75" s="106">
        <f t="shared" si="22"/>
        <v>8363.01</v>
      </c>
      <c r="I75" s="106">
        <f t="shared" si="22"/>
        <v>9887.9</v>
      </c>
      <c r="J75" s="106">
        <f t="shared" si="22"/>
        <v>10862.5</v>
      </c>
      <c r="K75" s="106">
        <f t="shared" si="22"/>
        <v>12911.27</v>
      </c>
      <c r="L75" s="106">
        <f t="shared" si="22"/>
        <v>15765.01</v>
      </c>
      <c r="M75" s="106">
        <f t="shared" si="22"/>
        <v>18735.87</v>
      </c>
      <c r="N75" s="106">
        <f t="shared" si="22"/>
        <v>20454.379999999997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2:25" x14ac:dyDescent="0.3">
      <c r="C76" s="9"/>
      <c r="D76" s="99"/>
      <c r="E76" s="22"/>
      <c r="F76" s="22"/>
      <c r="G76" s="22"/>
      <c r="H76" s="22"/>
      <c r="I76" s="22"/>
      <c r="J76" s="22"/>
      <c r="K76" s="22"/>
      <c r="L76" s="22"/>
      <c r="M76" s="22"/>
      <c r="N76" s="22"/>
    </row>
    <row r="77" spans="2:25" ht="15.6" x14ac:dyDescent="0.3">
      <c r="B77" s="88" t="s">
        <v>738</v>
      </c>
      <c r="C77" s="89"/>
      <c r="D77" s="100"/>
      <c r="E77" s="90"/>
      <c r="F77" s="90"/>
      <c r="G77" s="90"/>
      <c r="H77" s="90"/>
      <c r="I77" s="90"/>
      <c r="J77" s="90"/>
      <c r="K77" s="90"/>
      <c r="L77" s="90"/>
      <c r="M77" s="90"/>
      <c r="N77" s="90"/>
    </row>
    <row r="78" spans="2:25" x14ac:dyDescent="0.3">
      <c r="C78" s="9"/>
      <c r="D78" s="99"/>
      <c r="E78" s="22"/>
      <c r="F78" s="22"/>
      <c r="G78" s="22"/>
      <c r="H78" s="22"/>
      <c r="I78" s="22"/>
      <c r="J78" s="22"/>
      <c r="K78" s="22"/>
      <c r="L78" s="22"/>
      <c r="M78" s="22"/>
      <c r="N78" s="22"/>
    </row>
    <row r="79" spans="2:25" x14ac:dyDescent="0.3">
      <c r="C79" s="96" t="s">
        <v>745</v>
      </c>
      <c r="D79" s="99"/>
      <c r="E79" s="22"/>
      <c r="F79" s="22"/>
      <c r="G79" s="22"/>
      <c r="H79" s="22"/>
      <c r="I79" s="22"/>
      <c r="J79" s="22"/>
      <c r="K79" s="22"/>
      <c r="L79" s="22"/>
      <c r="M79" s="22"/>
      <c r="N79" s="22"/>
    </row>
    <row r="80" spans="2:25" x14ac:dyDescent="0.3">
      <c r="C80" s="95" t="s">
        <v>31</v>
      </c>
      <c r="D80" s="73" t="s">
        <v>735</v>
      </c>
      <c r="E80" s="65">
        <f>'Data Sheet'!B62</f>
        <v>3922.33</v>
      </c>
      <c r="F80" s="65">
        <f>'Data Sheet'!C62</f>
        <v>4112.5200000000004</v>
      </c>
      <c r="G80" s="65">
        <f>'Data Sheet'!D62</f>
        <v>4404.91</v>
      </c>
      <c r="H80" s="65">
        <f>'Data Sheet'!E62</f>
        <v>5121.59</v>
      </c>
      <c r="I80" s="65">
        <f>'Data Sheet'!F62</f>
        <v>5609.39</v>
      </c>
      <c r="J80" s="65">
        <f>'Data Sheet'!G62</f>
        <v>6367.59</v>
      </c>
      <c r="K80" s="65">
        <f>'Data Sheet'!H62</f>
        <v>7826.96</v>
      </c>
      <c r="L80" s="65">
        <f>'Data Sheet'!I62</f>
        <v>8425.2900000000009</v>
      </c>
      <c r="M80" s="65">
        <f>'Data Sheet'!J62</f>
        <v>10049.799999999999</v>
      </c>
      <c r="N80" s="65">
        <f>'Data Sheet'!K62</f>
        <v>13241.62</v>
      </c>
    </row>
    <row r="81" spans="2:16" x14ac:dyDescent="0.3">
      <c r="C81" s="95" t="s">
        <v>32</v>
      </c>
      <c r="D81" s="73" t="s">
        <v>735</v>
      </c>
      <c r="E81" s="75">
        <f>'Data Sheet'!B63</f>
        <v>104.12</v>
      </c>
      <c r="F81" s="75">
        <f>'Data Sheet'!C63</f>
        <v>117.44</v>
      </c>
      <c r="G81" s="75">
        <f>'Data Sheet'!D63</f>
        <v>258.58</v>
      </c>
      <c r="H81" s="75">
        <f>'Data Sheet'!E63</f>
        <v>558.80999999999995</v>
      </c>
      <c r="I81" s="75">
        <f>'Data Sheet'!F63</f>
        <v>753.61</v>
      </c>
      <c r="J81" s="75">
        <f>'Data Sheet'!G63</f>
        <v>1393.29</v>
      </c>
      <c r="K81" s="75">
        <f>'Data Sheet'!H63</f>
        <v>772.26</v>
      </c>
      <c r="L81" s="75">
        <f>'Data Sheet'!I63</f>
        <v>1671.63</v>
      </c>
      <c r="M81" s="75">
        <f>'Data Sheet'!J63</f>
        <v>2405.54</v>
      </c>
      <c r="N81" s="75">
        <f>'Data Sheet'!K63</f>
        <v>805.33</v>
      </c>
    </row>
    <row r="82" spans="2:16" x14ac:dyDescent="0.3">
      <c r="C82" s="95" t="s">
        <v>33</v>
      </c>
      <c r="D82" s="73" t="s">
        <v>735</v>
      </c>
      <c r="E82" s="75">
        <f>'Data Sheet'!B64</f>
        <v>94.27</v>
      </c>
      <c r="F82" s="75">
        <f>'Data Sheet'!C64</f>
        <v>164.93</v>
      </c>
      <c r="G82" s="75">
        <f>'Data Sheet'!D64</f>
        <v>195.88</v>
      </c>
      <c r="H82" s="75">
        <f>'Data Sheet'!E64</f>
        <v>121.82</v>
      </c>
      <c r="I82" s="75">
        <f>'Data Sheet'!F64</f>
        <v>100.6</v>
      </c>
      <c r="J82" s="75">
        <f>'Data Sheet'!G64</f>
        <v>202.66</v>
      </c>
      <c r="K82" s="75">
        <f>'Data Sheet'!H64</f>
        <v>416.68</v>
      </c>
      <c r="L82" s="75">
        <f>'Data Sheet'!I64</f>
        <v>320.89999999999998</v>
      </c>
      <c r="M82" s="75">
        <f>'Data Sheet'!J64</f>
        <v>494.21</v>
      </c>
      <c r="N82" s="75">
        <f>'Data Sheet'!K64</f>
        <v>526.70000000000005</v>
      </c>
      <c r="P82" s="22"/>
    </row>
    <row r="83" spans="2:16" x14ac:dyDescent="0.3">
      <c r="C83" s="95" t="s">
        <v>34</v>
      </c>
      <c r="D83" s="73" t="s">
        <v>735</v>
      </c>
      <c r="E83" s="75">
        <f>+'Data Sheet'!B65-SUM('Data Sheet'!B67:B69)</f>
        <v>280.95000000000027</v>
      </c>
      <c r="F83" s="75">
        <f>+'Data Sheet'!C65-SUM('Data Sheet'!C67:C69)</f>
        <v>454.28999999999996</v>
      </c>
      <c r="G83" s="75">
        <f>+'Data Sheet'!D65-SUM('Data Sheet'!D67:D69)</f>
        <v>517.80999999999995</v>
      </c>
      <c r="H83" s="75">
        <f>+'Data Sheet'!E65-SUM('Data Sheet'!E67:E69)</f>
        <v>825.22</v>
      </c>
      <c r="I83" s="75">
        <f>+'Data Sheet'!F65-SUM('Data Sheet'!F67:F69)</f>
        <v>971.93000000000029</v>
      </c>
      <c r="J83" s="75">
        <f>+'Data Sheet'!G65-SUM('Data Sheet'!G67:G69)</f>
        <v>681.19</v>
      </c>
      <c r="K83" s="75">
        <f>+'Data Sheet'!H65-SUM('Data Sheet'!H67:H69)</f>
        <v>872.98999999999978</v>
      </c>
      <c r="L83" s="75">
        <f>+'Data Sheet'!I65-SUM('Data Sheet'!I67:I69)</f>
        <v>956.91999999999916</v>
      </c>
      <c r="M83" s="75">
        <f>+'Data Sheet'!J65-SUM('Data Sheet'!J67:J69)</f>
        <v>1109.9499999999998</v>
      </c>
      <c r="N83" s="75">
        <f>+'Data Sheet'!K65-SUM('Data Sheet'!K67:K69)</f>
        <v>1203.8999999999996</v>
      </c>
      <c r="P83" s="22"/>
    </row>
    <row r="84" spans="2:16" s="23" customFormat="1" x14ac:dyDescent="0.3">
      <c r="C84" s="93" t="s">
        <v>747</v>
      </c>
      <c r="D84" s="98" t="s">
        <v>735</v>
      </c>
      <c r="E84" s="104">
        <f>+SUM(E80:E83)</f>
        <v>4401.67</v>
      </c>
      <c r="F84" s="104">
        <f t="shared" ref="F84:N84" si="23">+SUM(F80:F83)</f>
        <v>4849.18</v>
      </c>
      <c r="G84" s="104">
        <f t="shared" si="23"/>
        <v>5377.18</v>
      </c>
      <c r="H84" s="104">
        <f t="shared" si="23"/>
        <v>6627.44</v>
      </c>
      <c r="I84" s="104">
        <f t="shared" si="23"/>
        <v>7435.5300000000007</v>
      </c>
      <c r="J84" s="104">
        <f t="shared" si="23"/>
        <v>8644.73</v>
      </c>
      <c r="K84" s="104">
        <f t="shared" si="23"/>
        <v>9888.89</v>
      </c>
      <c r="L84" s="104">
        <f t="shared" si="23"/>
        <v>11374.740000000002</v>
      </c>
      <c r="M84" s="104">
        <f t="shared" si="23"/>
        <v>14059.5</v>
      </c>
      <c r="N84" s="104">
        <f t="shared" si="23"/>
        <v>15777.550000000001</v>
      </c>
    </row>
    <row r="85" spans="2:16" x14ac:dyDescent="0.3">
      <c r="C85" s="9"/>
      <c r="D85" s="99"/>
    </row>
    <row r="86" spans="2:16" x14ac:dyDescent="0.3">
      <c r="C86" s="96" t="s">
        <v>746</v>
      </c>
      <c r="D86" s="99"/>
    </row>
    <row r="87" spans="2:16" x14ac:dyDescent="0.3">
      <c r="C87" s="95" t="s">
        <v>35</v>
      </c>
      <c r="D87" s="73" t="s">
        <v>735</v>
      </c>
      <c r="E87" s="75">
        <f>'Data Sheet'!B67</f>
        <v>610.66</v>
      </c>
      <c r="F87" s="75">
        <f>'Data Sheet'!C67</f>
        <v>514.48</v>
      </c>
      <c r="G87" s="75">
        <f>'Data Sheet'!D67</f>
        <v>656.89</v>
      </c>
      <c r="H87" s="75">
        <f>'Data Sheet'!E67</f>
        <v>680.65</v>
      </c>
      <c r="I87" s="75">
        <f>'Data Sheet'!F67</f>
        <v>1028.75</v>
      </c>
      <c r="J87" s="75">
        <f>'Data Sheet'!G67</f>
        <v>891.07</v>
      </c>
      <c r="K87" s="75">
        <f>'Data Sheet'!H67</f>
        <v>1274.56</v>
      </c>
      <c r="L87" s="75">
        <f>'Data Sheet'!I67</f>
        <v>1792.45</v>
      </c>
      <c r="M87" s="75">
        <f>'Data Sheet'!J67</f>
        <v>1785.62</v>
      </c>
      <c r="N87" s="75">
        <f>'Data Sheet'!K67</f>
        <v>1942.82</v>
      </c>
    </row>
    <row r="88" spans="2:16" x14ac:dyDescent="0.3">
      <c r="C88" s="95" t="s">
        <v>36</v>
      </c>
      <c r="D88" s="73" t="s">
        <v>735</v>
      </c>
      <c r="E88" s="75">
        <f>'Data Sheet'!B68</f>
        <v>763.5</v>
      </c>
      <c r="F88" s="75">
        <f>'Data Sheet'!C68</f>
        <v>671.05</v>
      </c>
      <c r="G88" s="75">
        <f>'Data Sheet'!D68</f>
        <v>838.14</v>
      </c>
      <c r="H88" s="75">
        <f>'Data Sheet'!E68</f>
        <v>958.18</v>
      </c>
      <c r="I88" s="75">
        <f>'Data Sheet'!F68</f>
        <v>1224.74</v>
      </c>
      <c r="J88" s="75">
        <f>'Data Sheet'!G68</f>
        <v>1201.23</v>
      </c>
      <c r="K88" s="75">
        <f>'Data Sheet'!H68</f>
        <v>1465.82</v>
      </c>
      <c r="L88" s="75">
        <f>'Data Sheet'!I68</f>
        <v>2138.4699999999998</v>
      </c>
      <c r="M88" s="75">
        <f>'Data Sheet'!J68</f>
        <v>2274.29</v>
      </c>
      <c r="N88" s="75">
        <f>'Data Sheet'!K68</f>
        <v>2326.4699999999998</v>
      </c>
    </row>
    <row r="89" spans="2:16" x14ac:dyDescent="0.3">
      <c r="C89" s="97" t="s">
        <v>37</v>
      </c>
      <c r="D89" s="73" t="s">
        <v>735</v>
      </c>
      <c r="E89" s="75">
        <f>'Data Sheet'!B69</f>
        <v>107.3</v>
      </c>
      <c r="F89" s="75">
        <f>'Data Sheet'!C69</f>
        <v>389.23</v>
      </c>
      <c r="G89" s="75">
        <f>'Data Sheet'!D69</f>
        <v>96.12</v>
      </c>
      <c r="H89" s="75">
        <f>'Data Sheet'!E69</f>
        <v>96.74</v>
      </c>
      <c r="I89" s="75">
        <f>'Data Sheet'!F69</f>
        <v>198.88</v>
      </c>
      <c r="J89" s="75">
        <f>'Data Sheet'!G69</f>
        <v>125.47</v>
      </c>
      <c r="K89" s="75">
        <f>'Data Sheet'!H69</f>
        <v>282</v>
      </c>
      <c r="L89" s="75">
        <f>'Data Sheet'!I69</f>
        <v>459.35</v>
      </c>
      <c r="M89" s="75">
        <f>'Data Sheet'!J69</f>
        <v>616.46</v>
      </c>
      <c r="N89" s="75">
        <f>'Data Sheet'!K69</f>
        <v>407.54</v>
      </c>
    </row>
    <row r="90" spans="2:16" s="23" customFormat="1" x14ac:dyDescent="0.3">
      <c r="C90" s="93" t="s">
        <v>748</v>
      </c>
      <c r="D90" s="98" t="s">
        <v>735</v>
      </c>
      <c r="E90" s="104">
        <f>+SUM(E87:E89)</f>
        <v>1481.4599999999998</v>
      </c>
      <c r="F90" s="104">
        <f t="shared" ref="F90:N90" si="24">+SUM(F87:F89)</f>
        <v>1574.76</v>
      </c>
      <c r="G90" s="104">
        <f t="shared" si="24"/>
        <v>1591.15</v>
      </c>
      <c r="H90" s="104">
        <f t="shared" si="24"/>
        <v>1735.57</v>
      </c>
      <c r="I90" s="104">
        <f t="shared" si="24"/>
        <v>2452.37</v>
      </c>
      <c r="J90" s="104">
        <f t="shared" si="24"/>
        <v>2217.77</v>
      </c>
      <c r="K90" s="104">
        <f t="shared" si="24"/>
        <v>3022.38</v>
      </c>
      <c r="L90" s="104">
        <f t="shared" si="24"/>
        <v>4390.2700000000004</v>
      </c>
      <c r="M90" s="104">
        <f t="shared" si="24"/>
        <v>4676.37</v>
      </c>
      <c r="N90" s="104">
        <f t="shared" si="24"/>
        <v>4676.83</v>
      </c>
    </row>
    <row r="91" spans="2:16" x14ac:dyDescent="0.3">
      <c r="D91" s="70"/>
    </row>
    <row r="92" spans="2:16" x14ac:dyDescent="0.3">
      <c r="C92" s="92" t="s">
        <v>749</v>
      </c>
      <c r="D92" s="72" t="s">
        <v>735</v>
      </c>
      <c r="E92" s="106">
        <f>+SUM(E84,E90)</f>
        <v>5883.13</v>
      </c>
      <c r="F92" s="106">
        <f t="shared" ref="F92:N92" si="25">+SUM(F84,F90)</f>
        <v>6423.9400000000005</v>
      </c>
      <c r="G92" s="106">
        <f t="shared" si="25"/>
        <v>6968.33</v>
      </c>
      <c r="H92" s="106">
        <f t="shared" si="25"/>
        <v>8363.01</v>
      </c>
      <c r="I92" s="106">
        <f t="shared" si="25"/>
        <v>9887.9000000000015</v>
      </c>
      <c r="J92" s="106">
        <f t="shared" si="25"/>
        <v>10862.5</v>
      </c>
      <c r="K92" s="106">
        <f t="shared" si="25"/>
        <v>12911.27</v>
      </c>
      <c r="L92" s="106">
        <f t="shared" si="25"/>
        <v>15765.010000000002</v>
      </c>
      <c r="M92" s="106">
        <f t="shared" si="25"/>
        <v>18735.87</v>
      </c>
      <c r="N92" s="106">
        <f t="shared" si="25"/>
        <v>20454.38</v>
      </c>
    </row>
    <row r="94" spans="2:16" x14ac:dyDescent="0.3">
      <c r="C94" s="101" t="s">
        <v>750</v>
      </c>
      <c r="D94" s="70"/>
      <c r="E94" s="102">
        <f>+E75-E92</f>
        <v>0</v>
      </c>
      <c r="F94" s="102">
        <f t="shared" ref="F94:N94" si="26">+F75-F92</f>
        <v>0</v>
      </c>
      <c r="G94" s="102">
        <f t="shared" si="26"/>
        <v>0</v>
      </c>
      <c r="H94" s="102">
        <f t="shared" si="26"/>
        <v>0</v>
      </c>
      <c r="I94" s="102">
        <f t="shared" si="26"/>
        <v>0</v>
      </c>
      <c r="J94" s="102">
        <f t="shared" si="26"/>
        <v>0</v>
      </c>
      <c r="K94" s="102">
        <f t="shared" si="26"/>
        <v>0</v>
      </c>
      <c r="L94" s="102">
        <f t="shared" si="26"/>
        <v>0</v>
      </c>
      <c r="M94" s="102">
        <f t="shared" si="26"/>
        <v>0</v>
      </c>
      <c r="N94" s="102">
        <f t="shared" si="26"/>
        <v>0</v>
      </c>
    </row>
    <row r="96" spans="2:16" ht="15.6" x14ac:dyDescent="0.3">
      <c r="B96" s="56"/>
      <c r="C96" s="56"/>
      <c r="D96" s="56"/>
      <c r="E96" s="261" t="s">
        <v>731</v>
      </c>
      <c r="F96" s="261"/>
      <c r="G96" s="261"/>
      <c r="H96" s="261"/>
      <c r="I96" s="261"/>
      <c r="J96" s="261"/>
      <c r="K96" s="261"/>
      <c r="L96" s="261"/>
      <c r="M96" s="261"/>
      <c r="N96" s="262"/>
    </row>
    <row r="97" spans="2:14" ht="15.6" x14ac:dyDescent="0.3">
      <c r="B97" s="46" t="s">
        <v>751</v>
      </c>
      <c r="C97" s="46"/>
      <c r="D97" s="58" t="s">
        <v>732</v>
      </c>
      <c r="E97" s="61">
        <f>+E$20</f>
        <v>42094</v>
      </c>
      <c r="F97" s="61">
        <f t="shared" ref="F97:N97" si="27">+F$20</f>
        <v>42460</v>
      </c>
      <c r="G97" s="61">
        <f t="shared" si="27"/>
        <v>42825</v>
      </c>
      <c r="H97" s="61">
        <f t="shared" si="27"/>
        <v>43190</v>
      </c>
      <c r="I97" s="61">
        <f t="shared" si="27"/>
        <v>43555</v>
      </c>
      <c r="J97" s="61">
        <f t="shared" si="27"/>
        <v>43921</v>
      </c>
      <c r="K97" s="61">
        <f t="shared" si="27"/>
        <v>44286</v>
      </c>
      <c r="L97" s="61">
        <f t="shared" si="27"/>
        <v>44651</v>
      </c>
      <c r="M97" s="61">
        <f t="shared" si="27"/>
        <v>45016</v>
      </c>
      <c r="N97" s="61">
        <f t="shared" si="27"/>
        <v>45382</v>
      </c>
    </row>
    <row r="98" spans="2:14" ht="15.6" x14ac:dyDescent="0.3">
      <c r="B98" s="88" t="s">
        <v>752</v>
      </c>
      <c r="C98" s="89"/>
      <c r="D98" s="89"/>
      <c r="E98" s="90"/>
      <c r="F98" s="90"/>
      <c r="G98" s="90"/>
      <c r="H98" s="90"/>
      <c r="I98" s="90"/>
      <c r="J98" s="90"/>
      <c r="K98" s="90"/>
      <c r="L98" s="90"/>
      <c r="M98" s="90"/>
      <c r="N98" s="90"/>
    </row>
    <row r="99" spans="2:14" x14ac:dyDescent="0.3">
      <c r="C99" s="67" t="s">
        <v>40</v>
      </c>
      <c r="D99" s="70" t="s">
        <v>735</v>
      </c>
      <c r="E99" s="65">
        <f>CFS!B3</f>
        <v>728</v>
      </c>
      <c r="F99" s="65">
        <f>CFS!C3</f>
        <v>977</v>
      </c>
      <c r="G99" s="65">
        <f>CFS!D3</f>
        <v>1017</v>
      </c>
      <c r="H99" s="65">
        <f>CFS!E3</f>
        <v>986</v>
      </c>
      <c r="I99" s="65">
        <f>CFS!F3</f>
        <v>1362</v>
      </c>
      <c r="J99" s="65">
        <f>CFS!G3</f>
        <v>1471</v>
      </c>
      <c r="K99" s="65">
        <f>CFS!H3</f>
        <v>2151</v>
      </c>
      <c r="L99" s="65">
        <f>CFS!I3</f>
        <v>3172</v>
      </c>
      <c r="M99" s="65">
        <f>CFS!J3</f>
        <v>3470</v>
      </c>
      <c r="N99" s="65">
        <f>CFS!K3</f>
        <v>2591</v>
      </c>
    </row>
    <row r="100" spans="2:14" x14ac:dyDescent="0.3">
      <c r="C100" s="67" t="s">
        <v>754</v>
      </c>
      <c r="D100" s="70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1" spans="2:14" x14ac:dyDescent="0.3">
      <c r="C101" s="110" t="s">
        <v>755</v>
      </c>
      <c r="D101" s="70" t="s">
        <v>735</v>
      </c>
      <c r="E101" s="75">
        <f>CFS!B4</f>
        <v>78</v>
      </c>
      <c r="F101" s="75">
        <f>CFS!C4</f>
        <v>87</v>
      </c>
      <c r="G101" s="75">
        <f>CFS!D4</f>
        <v>-142</v>
      </c>
      <c r="H101" s="75">
        <f>CFS!E4</f>
        <v>-26</v>
      </c>
      <c r="I101" s="75">
        <f>CFS!F4</f>
        <v>-350</v>
      </c>
      <c r="J101" s="75">
        <f>CFS!G4</f>
        <v>141</v>
      </c>
      <c r="K101" s="75">
        <f>CFS!H4</f>
        <v>-400</v>
      </c>
      <c r="L101" s="75">
        <f>CFS!I4</f>
        <v>-507</v>
      </c>
      <c r="M101" s="75">
        <f>CFS!J4</f>
        <v>-2</v>
      </c>
      <c r="N101" s="75">
        <f>CFS!K4</f>
        <v>-169</v>
      </c>
    </row>
    <row r="102" spans="2:14" x14ac:dyDescent="0.3">
      <c r="C102" s="110" t="s">
        <v>36</v>
      </c>
      <c r="D102" s="70" t="s">
        <v>735</v>
      </c>
      <c r="E102" s="75">
        <f>CFS!B5</f>
        <v>-17</v>
      </c>
      <c r="F102" s="75">
        <f>CFS!C5</f>
        <v>59</v>
      </c>
      <c r="G102" s="75">
        <f>CFS!D5</f>
        <v>-167</v>
      </c>
      <c r="H102" s="75">
        <f>CFS!E5</f>
        <v>-121</v>
      </c>
      <c r="I102" s="75">
        <f>CFS!F5</f>
        <v>-267</v>
      </c>
      <c r="J102" s="75">
        <f>CFS!G5</f>
        <v>5</v>
      </c>
      <c r="K102" s="75">
        <f>CFS!H5</f>
        <v>-260</v>
      </c>
      <c r="L102" s="75">
        <f>CFS!I5</f>
        <v>-666</v>
      </c>
      <c r="M102" s="75">
        <f>CFS!J5</f>
        <v>-131</v>
      </c>
      <c r="N102" s="75">
        <f>CFS!K5</f>
        <v>-74</v>
      </c>
    </row>
    <row r="103" spans="2:14" x14ac:dyDescent="0.3">
      <c r="C103" s="110" t="s">
        <v>758</v>
      </c>
      <c r="D103" s="70" t="s">
        <v>735</v>
      </c>
      <c r="E103" s="75">
        <f>CFS!B6</f>
        <v>-207</v>
      </c>
      <c r="F103" s="75">
        <f>CFS!C6</f>
        <v>133</v>
      </c>
      <c r="G103" s="75">
        <f>CFS!D6</f>
        <v>94</v>
      </c>
      <c r="H103" s="75">
        <f>CFS!E6</f>
        <v>235</v>
      </c>
      <c r="I103" s="75">
        <f>CFS!F6</f>
        <v>338</v>
      </c>
      <c r="J103" s="75">
        <f>CFS!G6</f>
        <v>-272</v>
      </c>
      <c r="K103" s="75">
        <f>CFS!H6</f>
        <v>480</v>
      </c>
      <c r="L103" s="75">
        <f>CFS!I6</f>
        <v>510</v>
      </c>
      <c r="M103" s="75">
        <f>CFS!J6</f>
        <v>122</v>
      </c>
      <c r="N103" s="75">
        <f>CFS!K6</f>
        <v>-14</v>
      </c>
    </row>
    <row r="104" spans="2:14" x14ac:dyDescent="0.3">
      <c r="C104" s="110" t="s">
        <v>42</v>
      </c>
      <c r="D104" s="70" t="s">
        <v>735</v>
      </c>
      <c r="E104" s="75">
        <f>CFS!B7</f>
        <v>18</v>
      </c>
      <c r="F104" s="75">
        <f>CFS!C7</f>
        <v>2</v>
      </c>
      <c r="G104" s="75">
        <f>CFS!D7</f>
        <v>-15</v>
      </c>
      <c r="H104" s="75">
        <f>CFS!E7</f>
        <v>10</v>
      </c>
      <c r="I104" s="75">
        <f>CFS!F7</f>
        <v>0</v>
      </c>
      <c r="J104" s="75">
        <f>CFS!G7</f>
        <v>-29</v>
      </c>
      <c r="K104" s="75">
        <f>CFS!H7</f>
        <v>0</v>
      </c>
      <c r="L104" s="75">
        <f>CFS!I7</f>
        <v>-5</v>
      </c>
      <c r="M104" s="75">
        <f>CFS!J7</f>
        <v>-33</v>
      </c>
      <c r="N104" s="75">
        <f>CFS!K7</f>
        <v>-7</v>
      </c>
    </row>
    <row r="105" spans="2:14" x14ac:dyDescent="0.3">
      <c r="C105" s="110" t="s">
        <v>759</v>
      </c>
      <c r="D105" s="70" t="s">
        <v>735</v>
      </c>
      <c r="E105" s="75">
        <f>CFS!B8</f>
        <v>26</v>
      </c>
      <c r="F105" s="75">
        <f>CFS!C8</f>
        <v>-59</v>
      </c>
      <c r="G105" s="75">
        <f>CFS!D8</f>
        <v>-25</v>
      </c>
      <c r="H105" s="75">
        <f>CFS!E8</f>
        <v>-289</v>
      </c>
      <c r="I105" s="75">
        <f>CFS!F8</f>
        <v>-37</v>
      </c>
      <c r="J105" s="75">
        <f>CFS!G8</f>
        <v>131</v>
      </c>
      <c r="K105" s="75">
        <f>CFS!H8</f>
        <v>56</v>
      </c>
      <c r="L105" s="75">
        <f>CFS!I8</f>
        <v>4</v>
      </c>
      <c r="M105" s="75">
        <f>CFS!J8</f>
        <v>-17</v>
      </c>
      <c r="N105" s="75">
        <f>CFS!K8</f>
        <v>150</v>
      </c>
    </row>
    <row r="106" spans="2:14" x14ac:dyDescent="0.3">
      <c r="C106" s="111" t="s">
        <v>757</v>
      </c>
      <c r="D106" s="70"/>
      <c r="E106" s="24"/>
      <c r="F106" s="24"/>
      <c r="G106" s="24"/>
      <c r="H106" s="24"/>
      <c r="I106" s="24"/>
      <c r="J106" s="24"/>
      <c r="K106" s="24"/>
      <c r="L106" s="24"/>
      <c r="M106" s="24"/>
      <c r="N106" s="24"/>
    </row>
    <row r="107" spans="2:14" x14ac:dyDescent="0.3">
      <c r="C107" s="110" t="s">
        <v>756</v>
      </c>
      <c r="D107" s="70" t="s">
        <v>735</v>
      </c>
      <c r="E107" s="75">
        <f>CFS!B10</f>
        <v>-85</v>
      </c>
      <c r="F107" s="75">
        <f>CFS!C10</f>
        <v>-109</v>
      </c>
      <c r="G107" s="75">
        <f>CFS!D10</f>
        <v>-116</v>
      </c>
      <c r="H107" s="75">
        <f>CFS!E10</f>
        <v>-118</v>
      </c>
      <c r="I107" s="75">
        <f>CFS!F10</f>
        <v>-150</v>
      </c>
      <c r="J107" s="75">
        <f>CFS!G10</f>
        <v>-143</v>
      </c>
      <c r="K107" s="75">
        <f>CFS!H10</f>
        <v>-255</v>
      </c>
      <c r="L107" s="75">
        <f>CFS!I10</f>
        <v>-402</v>
      </c>
      <c r="M107" s="75">
        <f>CFS!J10</f>
        <v>-508</v>
      </c>
      <c r="N107" s="75">
        <f>CFS!K10</f>
        <v>-383</v>
      </c>
    </row>
    <row r="108" spans="2:14" s="23" customFormat="1" x14ac:dyDescent="0.3">
      <c r="C108" s="93" t="s">
        <v>46</v>
      </c>
      <c r="D108" s="98" t="s">
        <v>735</v>
      </c>
      <c r="E108" s="104">
        <f t="shared" ref="E108:N108" si="28">SUM(E99:E107)</f>
        <v>541</v>
      </c>
      <c r="F108" s="104">
        <f t="shared" si="28"/>
        <v>1090</v>
      </c>
      <c r="G108" s="104">
        <f t="shared" si="28"/>
        <v>646</v>
      </c>
      <c r="H108" s="104">
        <f t="shared" si="28"/>
        <v>677</v>
      </c>
      <c r="I108" s="104">
        <f t="shared" si="28"/>
        <v>896</v>
      </c>
      <c r="J108" s="104">
        <f t="shared" si="28"/>
        <v>1304</v>
      </c>
      <c r="K108" s="104">
        <f t="shared" si="28"/>
        <v>1772</v>
      </c>
      <c r="L108" s="104">
        <f t="shared" si="28"/>
        <v>2106</v>
      </c>
      <c r="M108" s="104">
        <f t="shared" si="28"/>
        <v>2901</v>
      </c>
      <c r="N108" s="104">
        <f t="shared" si="28"/>
        <v>2094</v>
      </c>
    </row>
    <row r="109" spans="2:14" x14ac:dyDescent="0.3">
      <c r="D109" s="70"/>
      <c r="E109" s="107"/>
    </row>
    <row r="110" spans="2:14" ht="15.6" x14ac:dyDescent="0.3">
      <c r="B110" s="88" t="s">
        <v>761</v>
      </c>
      <c r="C110" s="89"/>
      <c r="D110" s="100"/>
      <c r="E110" s="90"/>
      <c r="F110" s="90"/>
      <c r="G110" s="90"/>
      <c r="H110" s="90"/>
      <c r="I110" s="90"/>
      <c r="J110" s="90"/>
      <c r="K110" s="90"/>
      <c r="L110" s="90"/>
      <c r="M110" s="90"/>
      <c r="N110" s="90"/>
    </row>
    <row r="111" spans="2:14" x14ac:dyDescent="0.3">
      <c r="C111" s="110" t="s">
        <v>760</v>
      </c>
      <c r="D111" s="70" t="s">
        <v>735</v>
      </c>
      <c r="E111" s="75">
        <f>+CFS!B12</f>
        <v>-512</v>
      </c>
      <c r="F111" s="75">
        <f>+CFS!C12</f>
        <v>-588</v>
      </c>
      <c r="G111" s="75">
        <f>+CFS!D12</f>
        <v>-674</v>
      </c>
      <c r="H111" s="75">
        <f>+CFS!E12</f>
        <v>-1300</v>
      </c>
      <c r="I111" s="75">
        <f>+CFS!F12</f>
        <v>-1056</v>
      </c>
      <c r="J111" s="75">
        <f>+CFS!G12</f>
        <v>-1389</v>
      </c>
      <c r="K111" s="75">
        <f>+CFS!H12</f>
        <v>-1214</v>
      </c>
      <c r="L111" s="75">
        <f>+CFS!I12</f>
        <v>-1832</v>
      </c>
      <c r="M111" s="75">
        <f>+CFS!J12</f>
        <v>-2866</v>
      </c>
      <c r="N111" s="75">
        <f>+CFS!K12</f>
        <v>-2217</v>
      </c>
    </row>
    <row r="112" spans="2:14" x14ac:dyDescent="0.3">
      <c r="C112" s="110" t="s">
        <v>762</v>
      </c>
      <c r="D112" s="70" t="s">
        <v>735</v>
      </c>
      <c r="E112" s="75">
        <f>+CFS!B14</f>
        <v>-691</v>
      </c>
      <c r="F112" s="75">
        <f>+CFS!C14</f>
        <v>-510</v>
      </c>
      <c r="G112" s="75">
        <f>+CFS!D14</f>
        <v>-649</v>
      </c>
      <c r="H112" s="75">
        <f>+CFS!E14</f>
        <v>-530</v>
      </c>
      <c r="I112" s="75">
        <f>+CFS!F14</f>
        <v>0</v>
      </c>
      <c r="J112" s="75">
        <f>+CFS!G14</f>
        <v>-93</v>
      </c>
      <c r="K112" s="75">
        <f>+CFS!H14</f>
        <v>-189</v>
      </c>
      <c r="L112" s="75">
        <f>+CFS!I14</f>
        <v>0</v>
      </c>
      <c r="M112" s="75">
        <f>+CFS!J14</f>
        <v>-164</v>
      </c>
      <c r="N112" s="75">
        <f>+CFS!K14</f>
        <v>-135</v>
      </c>
    </row>
    <row r="113" spans="2:14" x14ac:dyDescent="0.3">
      <c r="C113" s="110" t="s">
        <v>763</v>
      </c>
      <c r="D113" s="70" t="s">
        <v>735</v>
      </c>
      <c r="E113" s="75">
        <f>+SUM(CFS!B13,CFS!B15:B19)</f>
        <v>702</v>
      </c>
      <c r="F113" s="75">
        <f>+SUM(CFS!C13,CFS!C15:C19)</f>
        <v>431</v>
      </c>
      <c r="G113" s="75">
        <f>+SUM(CFS!D13,CFS!D15:D19)</f>
        <v>710</v>
      </c>
      <c r="H113" s="75">
        <f>+SUM(CFS!E13,CFS!E15:E19)</f>
        <v>656</v>
      </c>
      <c r="I113" s="75">
        <f>+SUM(CFS!F13,CFS!F15:F19)</f>
        <v>17</v>
      </c>
      <c r="J113" s="75">
        <f>+SUM(CFS!G13,CFS!G15:G19)</f>
        <v>304</v>
      </c>
      <c r="K113" s="75">
        <f>+SUM(CFS!H13,CFS!H15:H19)</f>
        <v>-95</v>
      </c>
      <c r="L113" s="75">
        <f>+SUM(CFS!I13,CFS!I15:I19)</f>
        <v>247</v>
      </c>
      <c r="M113" s="75">
        <f>+SUM(CFS!J13,CFS!J15:J19)</f>
        <v>66</v>
      </c>
      <c r="N113" s="75">
        <f>+SUM(CFS!K13,CFS!K15:K19)</f>
        <v>121</v>
      </c>
    </row>
    <row r="114" spans="2:14" s="23" customFormat="1" x14ac:dyDescent="0.3">
      <c r="C114" s="93" t="s">
        <v>55</v>
      </c>
      <c r="D114" s="98" t="s">
        <v>735</v>
      </c>
      <c r="E114" s="104">
        <f>+SUM(E111:E113)</f>
        <v>-501</v>
      </c>
      <c r="F114" s="104">
        <f t="shared" ref="F114:N114" si="29">+SUM(F111:F113)</f>
        <v>-667</v>
      </c>
      <c r="G114" s="104">
        <f t="shared" si="29"/>
        <v>-613</v>
      </c>
      <c r="H114" s="104">
        <f t="shared" si="29"/>
        <v>-1174</v>
      </c>
      <c r="I114" s="104">
        <f t="shared" si="29"/>
        <v>-1039</v>
      </c>
      <c r="J114" s="104">
        <f t="shared" si="29"/>
        <v>-1178</v>
      </c>
      <c r="K114" s="104">
        <f t="shared" si="29"/>
        <v>-1498</v>
      </c>
      <c r="L114" s="104">
        <f t="shared" si="29"/>
        <v>-1585</v>
      </c>
      <c r="M114" s="104">
        <f t="shared" si="29"/>
        <v>-2964</v>
      </c>
      <c r="N114" s="104">
        <f t="shared" si="29"/>
        <v>-2231</v>
      </c>
    </row>
    <row r="115" spans="2:14" x14ac:dyDescent="0.3">
      <c r="D115" s="70"/>
      <c r="E115" s="107"/>
    </row>
    <row r="116" spans="2:14" ht="15.6" x14ac:dyDescent="0.3">
      <c r="B116" s="88" t="s">
        <v>764</v>
      </c>
      <c r="C116" s="89"/>
      <c r="D116" s="100"/>
      <c r="E116" s="90"/>
      <c r="F116" s="90"/>
      <c r="G116" s="90"/>
      <c r="H116" s="90"/>
      <c r="I116" s="90"/>
      <c r="J116" s="90"/>
      <c r="K116" s="90"/>
      <c r="L116" s="90"/>
      <c r="M116" s="90"/>
      <c r="N116" s="90"/>
    </row>
    <row r="117" spans="2:14" x14ac:dyDescent="0.3">
      <c r="C117" s="68" t="s">
        <v>765</v>
      </c>
      <c r="D117" s="70" t="s">
        <v>735</v>
      </c>
      <c r="E117" s="107">
        <f>+CFS!B21</f>
        <v>0</v>
      </c>
      <c r="F117" s="107">
        <f>+CFS!C21</f>
        <v>0</v>
      </c>
      <c r="G117" s="107">
        <f>+CFS!D21</f>
        <v>0</v>
      </c>
      <c r="H117" s="107">
        <f>+CFS!E21</f>
        <v>0</v>
      </c>
      <c r="I117" s="107">
        <f>+CFS!F21</f>
        <v>0</v>
      </c>
      <c r="J117" s="107">
        <f>+CFS!G21</f>
        <v>0</v>
      </c>
      <c r="K117" s="107">
        <f>+CFS!H21</f>
        <v>750</v>
      </c>
      <c r="L117" s="107">
        <f>+CFS!I21</f>
        <v>0</v>
      </c>
      <c r="M117" s="107">
        <f>+CFS!J21</f>
        <v>0</v>
      </c>
      <c r="N117" s="107">
        <f>+CFS!K21</f>
        <v>0</v>
      </c>
    </row>
    <row r="118" spans="2:14" x14ac:dyDescent="0.3">
      <c r="C118" s="68" t="s">
        <v>766</v>
      </c>
      <c r="D118" s="70" t="s">
        <v>735</v>
      </c>
      <c r="E118" s="75">
        <f>+CFS!B25</f>
        <v>-57</v>
      </c>
      <c r="F118" s="75">
        <f>+CFS!C25</f>
        <v>-57</v>
      </c>
      <c r="G118" s="75">
        <f>+CFS!D25</f>
        <v>-69</v>
      </c>
      <c r="H118" s="75">
        <f>+CFS!E25</f>
        <v>-69</v>
      </c>
      <c r="I118" s="75">
        <f>+CFS!F25</f>
        <v>-69</v>
      </c>
      <c r="J118" s="75">
        <f>+CFS!G25</f>
        <v>-80</v>
      </c>
      <c r="K118" s="75">
        <f>+CFS!H25</f>
        <v>-141</v>
      </c>
      <c r="L118" s="75">
        <f>+CFS!I25</f>
        <v>-212</v>
      </c>
      <c r="M118" s="75">
        <f>+CFS!J25</f>
        <v>-213</v>
      </c>
      <c r="N118" s="75">
        <f>+CFS!K25</f>
        <v>-214</v>
      </c>
    </row>
    <row r="119" spans="2:14" x14ac:dyDescent="0.3">
      <c r="C119" s="68" t="s">
        <v>767</v>
      </c>
      <c r="D119" s="70" t="s">
        <v>735</v>
      </c>
      <c r="E119" s="75">
        <f>+CFS!B22</f>
        <v>636</v>
      </c>
      <c r="F119" s="75">
        <f>+CFS!C22</f>
        <v>687</v>
      </c>
      <c r="G119" s="75">
        <f>+CFS!D22</f>
        <v>365</v>
      </c>
      <c r="H119" s="75">
        <f>+CFS!E22</f>
        <v>1140</v>
      </c>
      <c r="I119" s="75">
        <f>+CFS!F22</f>
        <v>1468</v>
      </c>
      <c r="J119" s="75">
        <f>+CFS!G22</f>
        <v>1278</v>
      </c>
      <c r="K119" s="75">
        <f>+CFS!H22</f>
        <v>1320</v>
      </c>
      <c r="L119" s="75">
        <f>+CFS!I22</f>
        <v>618</v>
      </c>
      <c r="M119" s="75">
        <f>+CFS!J22</f>
        <v>1419</v>
      </c>
      <c r="N119" s="75">
        <f>+CFS!K22</f>
        <v>1038</v>
      </c>
    </row>
    <row r="120" spans="2:14" x14ac:dyDescent="0.3">
      <c r="C120" s="110" t="s">
        <v>770</v>
      </c>
      <c r="D120" s="70" t="s">
        <v>735</v>
      </c>
      <c r="E120" s="75">
        <f>+CFS!B26+CFS!B27</f>
        <v>-11</v>
      </c>
      <c r="F120" s="75">
        <f>+CFS!C26+CFS!C27</f>
        <v>-12</v>
      </c>
      <c r="G120" s="75">
        <f>+CFS!D26+CFS!D27</f>
        <v>-14</v>
      </c>
      <c r="H120" s="75">
        <f>+CFS!E26+CFS!E27</f>
        <v>-14</v>
      </c>
      <c r="I120" s="75">
        <f>+CFS!F26+CFS!F27</f>
        <v>-14</v>
      </c>
      <c r="J120" s="75">
        <f>+CFS!G26+CFS!G27</f>
        <v>-36</v>
      </c>
      <c r="K120" s="75">
        <f>+CFS!H26+CFS!H27</f>
        <v>-32</v>
      </c>
      <c r="L120" s="75">
        <f>+CFS!I26+CFS!I27</f>
        <v>-26</v>
      </c>
      <c r="M120" s="75">
        <f>+CFS!J26+CFS!J27</f>
        <v>-32</v>
      </c>
      <c r="N120" s="75">
        <f>+CFS!K26+CFS!K27</f>
        <v>-37</v>
      </c>
    </row>
    <row r="121" spans="2:14" x14ac:dyDescent="0.3">
      <c r="C121" s="110" t="s">
        <v>769</v>
      </c>
      <c r="D121" s="70" t="s">
        <v>735</v>
      </c>
      <c r="E121" s="75">
        <f>+CFS!B24</f>
        <v>-139</v>
      </c>
      <c r="F121" s="75">
        <f>+CFS!C24</f>
        <v>-132</v>
      </c>
      <c r="G121" s="75">
        <f>+CFS!D24</f>
        <v>-111</v>
      </c>
      <c r="H121" s="75">
        <f>+CFS!E24</f>
        <v>-130</v>
      </c>
      <c r="I121" s="75">
        <f>+CFS!F24</f>
        <v>-224</v>
      </c>
      <c r="J121" s="75">
        <f>+CFS!G24</f>
        <v>-204</v>
      </c>
      <c r="K121" s="75">
        <f>+CFS!H24</f>
        <v>-157</v>
      </c>
      <c r="L121" s="75">
        <f>+CFS!I24</f>
        <v>-117</v>
      </c>
      <c r="M121" s="75">
        <f>+CFS!J24</f>
        <v>-194</v>
      </c>
      <c r="N121" s="75">
        <f>+CFS!K24</f>
        <v>-361</v>
      </c>
    </row>
    <row r="122" spans="2:14" x14ac:dyDescent="0.3">
      <c r="C122" s="68" t="s">
        <v>768</v>
      </c>
      <c r="D122" s="70" t="s">
        <v>735</v>
      </c>
      <c r="E122" s="75">
        <f>+CFS!B23</f>
        <v>-447</v>
      </c>
      <c r="F122" s="75">
        <f>+CFS!C23</f>
        <v>-668</v>
      </c>
      <c r="G122" s="75">
        <f>+CFS!D23</f>
        <v>-455</v>
      </c>
      <c r="H122" s="75">
        <f>+CFS!E23</f>
        <v>-432</v>
      </c>
      <c r="I122" s="75">
        <f>+CFS!F23</f>
        <v>-915</v>
      </c>
      <c r="J122" s="75">
        <f>+CFS!G23</f>
        <v>-1157</v>
      </c>
      <c r="K122" s="75">
        <f>+CFS!H23</f>
        <v>-1990</v>
      </c>
      <c r="L122" s="75">
        <f>+CFS!I23</f>
        <v>-471</v>
      </c>
      <c r="M122" s="75">
        <f>+CFS!J23</f>
        <v>-759</v>
      </c>
      <c r="N122" s="75">
        <f>+CFS!K23</f>
        <v>-497</v>
      </c>
    </row>
    <row r="123" spans="2:14" s="23" customFormat="1" x14ac:dyDescent="0.3">
      <c r="C123" s="93" t="s">
        <v>63</v>
      </c>
      <c r="D123" s="98" t="s">
        <v>735</v>
      </c>
      <c r="E123" s="104">
        <f>+SUM(E117:E122)</f>
        <v>-18</v>
      </c>
      <c r="F123" s="104">
        <f t="shared" ref="F123:N123" si="30">+SUM(F117:F122)</f>
        <v>-182</v>
      </c>
      <c r="G123" s="104">
        <f t="shared" si="30"/>
        <v>-284</v>
      </c>
      <c r="H123" s="104">
        <f t="shared" si="30"/>
        <v>495</v>
      </c>
      <c r="I123" s="104">
        <f t="shared" si="30"/>
        <v>246</v>
      </c>
      <c r="J123" s="104">
        <f t="shared" si="30"/>
        <v>-199</v>
      </c>
      <c r="K123" s="104">
        <f t="shared" si="30"/>
        <v>-250</v>
      </c>
      <c r="L123" s="104">
        <f t="shared" si="30"/>
        <v>-208</v>
      </c>
      <c r="M123" s="104">
        <f t="shared" si="30"/>
        <v>221</v>
      </c>
      <c r="N123" s="104">
        <f t="shared" si="30"/>
        <v>-71</v>
      </c>
    </row>
    <row r="124" spans="2:14" x14ac:dyDescent="0.3">
      <c r="D124" s="70"/>
      <c r="E124" s="107"/>
    </row>
    <row r="125" spans="2:14" x14ac:dyDescent="0.3">
      <c r="B125" s="67"/>
      <c r="C125" s="115" t="s">
        <v>771</v>
      </c>
      <c r="D125" s="74" t="s">
        <v>735</v>
      </c>
      <c r="E125" s="75">
        <f t="shared" ref="E125:N125" si="31">E108+E114+E123</f>
        <v>22</v>
      </c>
      <c r="F125" s="75">
        <f t="shared" si="31"/>
        <v>241</v>
      </c>
      <c r="G125" s="75">
        <f t="shared" si="31"/>
        <v>-251</v>
      </c>
      <c r="H125" s="75">
        <f t="shared" si="31"/>
        <v>-2</v>
      </c>
      <c r="I125" s="75">
        <f t="shared" si="31"/>
        <v>103</v>
      </c>
      <c r="J125" s="75">
        <f t="shared" si="31"/>
        <v>-73</v>
      </c>
      <c r="K125" s="75">
        <f t="shared" si="31"/>
        <v>24</v>
      </c>
      <c r="L125" s="75">
        <f t="shared" si="31"/>
        <v>313</v>
      </c>
      <c r="M125" s="75">
        <f t="shared" si="31"/>
        <v>158</v>
      </c>
      <c r="N125" s="75">
        <f t="shared" si="31"/>
        <v>-208</v>
      </c>
    </row>
    <row r="126" spans="2:14" x14ac:dyDescent="0.3">
      <c r="C126" s="110" t="s">
        <v>772</v>
      </c>
      <c r="D126" s="70" t="s">
        <v>735</v>
      </c>
      <c r="E126" s="75">
        <v>74.64</v>
      </c>
      <c r="F126" s="75">
        <f>+E89</f>
        <v>107.3</v>
      </c>
      <c r="G126" s="75">
        <f t="shared" ref="G126:N126" si="32">+F89</f>
        <v>389.23</v>
      </c>
      <c r="H126" s="75">
        <f t="shared" si="32"/>
        <v>96.12</v>
      </c>
      <c r="I126" s="75">
        <f t="shared" si="32"/>
        <v>96.74</v>
      </c>
      <c r="J126" s="75">
        <f t="shared" si="32"/>
        <v>198.88</v>
      </c>
      <c r="K126" s="75">
        <f t="shared" si="32"/>
        <v>125.47</v>
      </c>
      <c r="L126" s="75">
        <f t="shared" si="32"/>
        <v>282</v>
      </c>
      <c r="M126" s="75">
        <f t="shared" si="32"/>
        <v>459.35</v>
      </c>
      <c r="N126" s="75">
        <f t="shared" si="32"/>
        <v>616.46</v>
      </c>
    </row>
    <row r="127" spans="2:14" x14ac:dyDescent="0.3">
      <c r="C127" s="93" t="s">
        <v>773</v>
      </c>
      <c r="D127" s="98" t="s">
        <v>735</v>
      </c>
      <c r="E127" s="83">
        <f>SUM(E125:E126)</f>
        <v>96.64</v>
      </c>
      <c r="F127" s="83">
        <f t="shared" ref="F127:N127" si="33">SUM(F125:F126)</f>
        <v>348.3</v>
      </c>
      <c r="G127" s="83">
        <f t="shared" si="33"/>
        <v>138.23000000000002</v>
      </c>
      <c r="H127" s="83">
        <f t="shared" si="33"/>
        <v>94.12</v>
      </c>
      <c r="I127" s="83">
        <f t="shared" si="33"/>
        <v>199.74</v>
      </c>
      <c r="J127" s="83">
        <f t="shared" si="33"/>
        <v>125.88</v>
      </c>
      <c r="K127" s="83">
        <f t="shared" si="33"/>
        <v>149.47</v>
      </c>
      <c r="L127" s="83">
        <f t="shared" si="33"/>
        <v>595</v>
      </c>
      <c r="M127" s="83">
        <f t="shared" si="33"/>
        <v>617.35</v>
      </c>
      <c r="N127" s="83">
        <f t="shared" si="33"/>
        <v>408.46000000000004</v>
      </c>
    </row>
    <row r="130" spans="5:14" x14ac:dyDescent="0.3"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</row>
  </sheetData>
  <mergeCells count="6">
    <mergeCell ref="E62:N62"/>
    <mergeCell ref="E96:N96"/>
    <mergeCell ref="D10:E10"/>
    <mergeCell ref="D11:E11"/>
    <mergeCell ref="D7:E7"/>
    <mergeCell ref="E19:N19"/>
  </mergeCells>
  <pageMargins left="0.7" right="0.7" top="0.75" bottom="0.75" header="0.3" footer="0.3"/>
  <ignoredErrors>
    <ignoredError sqref="E25:N25 E31:N31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6" tint="0.39997558519241921"/>
  </sheetPr>
  <dimension ref="A1:H63"/>
  <sheetViews>
    <sheetView topLeftCell="A28" zoomScale="102" workbookViewId="0">
      <selection activeCell="C53" sqref="C53"/>
    </sheetView>
  </sheetViews>
  <sheetFormatPr defaultColWidth="10" defaultRowHeight="14.4" x14ac:dyDescent="0.3"/>
  <cols>
    <col min="1" max="1" width="31.33203125" bestFit="1" customWidth="1"/>
  </cols>
  <sheetData>
    <row r="1" spans="1:6" x14ac:dyDescent="0.3">
      <c r="B1" s="1">
        <v>43891</v>
      </c>
      <c r="C1" s="1">
        <v>44256</v>
      </c>
      <c r="D1" s="1">
        <v>44621</v>
      </c>
      <c r="E1" s="1">
        <v>44986</v>
      </c>
      <c r="F1" s="1">
        <v>45352</v>
      </c>
    </row>
    <row r="2" spans="1:6" x14ac:dyDescent="0.3">
      <c r="A2" s="2" t="s">
        <v>668</v>
      </c>
      <c r="B2" s="3">
        <v>58</v>
      </c>
      <c r="C2" s="3">
        <v>60</v>
      </c>
      <c r="D2" s="3">
        <v>297</v>
      </c>
      <c r="E2" s="3">
        <v>297</v>
      </c>
      <c r="F2" s="3">
        <v>297</v>
      </c>
    </row>
    <row r="3" spans="1:6" x14ac:dyDescent="0.3">
      <c r="A3" s="2" t="s">
        <v>27</v>
      </c>
      <c r="B3" s="4">
        <v>4875</v>
      </c>
      <c r="C3" s="4">
        <v>6796</v>
      </c>
      <c r="D3" s="4">
        <v>8268</v>
      </c>
      <c r="E3" s="4">
        <v>10030</v>
      </c>
      <c r="F3" s="4">
        <v>11182</v>
      </c>
    </row>
    <row r="4" spans="1:6" x14ac:dyDescent="0.3">
      <c r="A4" s="5" t="s">
        <v>669</v>
      </c>
      <c r="B4" s="6">
        <v>4135</v>
      </c>
      <c r="C4" s="6">
        <v>3469</v>
      </c>
      <c r="D4" s="6">
        <v>3655</v>
      </c>
      <c r="E4" s="6">
        <v>4478</v>
      </c>
      <c r="F4" s="6">
        <v>5031</v>
      </c>
    </row>
    <row r="5" spans="1:6" x14ac:dyDescent="0.3">
      <c r="A5" s="2" t="s">
        <v>670</v>
      </c>
      <c r="B5" s="4">
        <v>2312</v>
      </c>
      <c r="C5" s="4">
        <v>1965</v>
      </c>
      <c r="D5" s="4">
        <v>1753</v>
      </c>
      <c r="E5" s="4">
        <v>2312</v>
      </c>
      <c r="F5" s="4">
        <v>2251</v>
      </c>
    </row>
    <row r="6" spans="1:6" x14ac:dyDescent="0.3">
      <c r="A6" s="2" t="s">
        <v>671</v>
      </c>
      <c r="B6" s="3">
        <v>955</v>
      </c>
      <c r="C6" s="4">
        <v>1426</v>
      </c>
      <c r="D6" s="4">
        <v>1786</v>
      </c>
      <c r="E6" s="4">
        <v>2043</v>
      </c>
      <c r="F6" s="4">
        <v>2669</v>
      </c>
    </row>
    <row r="7" spans="1:6" x14ac:dyDescent="0.3">
      <c r="A7" s="2" t="s">
        <v>672</v>
      </c>
      <c r="B7" s="3">
        <v>88</v>
      </c>
      <c r="C7" s="3">
        <v>78</v>
      </c>
      <c r="D7" s="3">
        <v>116</v>
      </c>
      <c r="E7" s="3">
        <v>123</v>
      </c>
      <c r="F7" s="3">
        <v>110</v>
      </c>
    </row>
    <row r="8" spans="1:6" x14ac:dyDescent="0.3">
      <c r="A8" s="2" t="s">
        <v>673</v>
      </c>
      <c r="B8" s="3">
        <v>780</v>
      </c>
      <c r="C8" s="3">
        <v>0</v>
      </c>
      <c r="D8" s="3">
        <v>0</v>
      </c>
      <c r="E8" s="3">
        <v>0</v>
      </c>
      <c r="F8" s="3">
        <v>0</v>
      </c>
    </row>
    <row r="9" spans="1:6" x14ac:dyDescent="0.3">
      <c r="A9" s="5" t="s">
        <v>674</v>
      </c>
      <c r="B9" s="6">
        <v>1795</v>
      </c>
      <c r="C9" s="6">
        <v>2586</v>
      </c>
      <c r="D9" s="6">
        <v>3544</v>
      </c>
      <c r="E9" s="6">
        <v>3931</v>
      </c>
      <c r="F9" s="6">
        <v>3945</v>
      </c>
    </row>
    <row r="10" spans="1:6" x14ac:dyDescent="0.3">
      <c r="A10" s="2" t="s">
        <v>128</v>
      </c>
      <c r="B10" s="4">
        <v>1112</v>
      </c>
      <c r="C10" s="4">
        <v>1585</v>
      </c>
      <c r="D10" s="4">
        <v>2096</v>
      </c>
      <c r="E10" s="4">
        <v>2231</v>
      </c>
      <c r="F10" s="4">
        <v>2198</v>
      </c>
    </row>
    <row r="11" spans="1:6" x14ac:dyDescent="0.3">
      <c r="A11" s="2" t="s">
        <v>129</v>
      </c>
      <c r="B11" s="3">
        <v>13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">
      <c r="A12" s="2" t="s">
        <v>130</v>
      </c>
      <c r="B12" s="3">
        <v>670</v>
      </c>
      <c r="C12" s="4">
        <v>1001</v>
      </c>
      <c r="D12" s="4">
        <v>1448</v>
      </c>
      <c r="E12" s="4">
        <v>1700</v>
      </c>
      <c r="F12" s="4">
        <v>1747</v>
      </c>
    </row>
    <row r="13" spans="1:6" x14ac:dyDescent="0.3">
      <c r="A13" s="5" t="s">
        <v>30</v>
      </c>
      <c r="B13" s="6">
        <v>10862</v>
      </c>
      <c r="C13" s="6">
        <v>12911</v>
      </c>
      <c r="D13" s="6">
        <v>15765</v>
      </c>
      <c r="E13" s="6">
        <v>18736</v>
      </c>
      <c r="F13" s="6">
        <v>20454</v>
      </c>
    </row>
    <row r="14" spans="1:6" x14ac:dyDescent="0.3">
      <c r="A14" s="5" t="s">
        <v>675</v>
      </c>
      <c r="B14" s="6">
        <v>6368</v>
      </c>
      <c r="C14" s="6">
        <v>7827</v>
      </c>
      <c r="D14" s="6">
        <v>8425</v>
      </c>
      <c r="E14" s="6">
        <v>10050</v>
      </c>
      <c r="F14" s="6">
        <v>13242</v>
      </c>
    </row>
    <row r="15" spans="1:6" x14ac:dyDescent="0.3">
      <c r="A15" s="2" t="s">
        <v>133</v>
      </c>
      <c r="B15" s="3">
        <v>531</v>
      </c>
      <c r="C15" s="3">
        <v>539</v>
      </c>
      <c r="D15" s="3">
        <v>556</v>
      </c>
      <c r="E15" s="3">
        <v>603</v>
      </c>
      <c r="F15" s="3">
        <v>610</v>
      </c>
    </row>
    <row r="16" spans="1:6" x14ac:dyDescent="0.3">
      <c r="A16" s="2" t="s">
        <v>134</v>
      </c>
      <c r="B16" s="3">
        <v>955</v>
      </c>
      <c r="C16" s="4">
        <v>1358</v>
      </c>
      <c r="D16" s="4">
        <v>1464</v>
      </c>
      <c r="E16" s="4">
        <v>1665</v>
      </c>
      <c r="F16" s="4">
        <v>1899</v>
      </c>
    </row>
    <row r="17" spans="1:6" x14ac:dyDescent="0.3">
      <c r="A17" s="2" t="s">
        <v>135</v>
      </c>
      <c r="B17" s="4">
        <v>6133</v>
      </c>
      <c r="C17" s="4">
        <v>7617</v>
      </c>
      <c r="D17" s="4">
        <v>8516</v>
      </c>
      <c r="E17" s="4">
        <v>10397</v>
      </c>
      <c r="F17" s="4">
        <v>13886</v>
      </c>
    </row>
    <row r="18" spans="1:6" x14ac:dyDescent="0.3">
      <c r="A18" s="2" t="s">
        <v>136</v>
      </c>
      <c r="B18" s="3">
        <v>64</v>
      </c>
      <c r="C18" s="3">
        <v>73</v>
      </c>
      <c r="D18" s="3">
        <v>83</v>
      </c>
      <c r="E18" s="3">
        <v>94</v>
      </c>
      <c r="F18" s="3">
        <v>130</v>
      </c>
    </row>
    <row r="19" spans="1:6" x14ac:dyDescent="0.3">
      <c r="A19" s="2" t="s">
        <v>137</v>
      </c>
      <c r="B19" s="3">
        <v>29</v>
      </c>
      <c r="C19" s="3">
        <v>33</v>
      </c>
      <c r="D19" s="3">
        <v>36</v>
      </c>
      <c r="E19" s="3">
        <v>39</v>
      </c>
      <c r="F19" s="3">
        <v>48</v>
      </c>
    </row>
    <row r="20" spans="1:6" x14ac:dyDescent="0.3">
      <c r="A20" s="2" t="s">
        <v>138</v>
      </c>
      <c r="B20" s="3">
        <v>42</v>
      </c>
      <c r="C20" s="3">
        <v>44</v>
      </c>
      <c r="D20" s="3">
        <v>50</v>
      </c>
      <c r="E20" s="3">
        <v>69</v>
      </c>
      <c r="F20" s="3">
        <v>84</v>
      </c>
    </row>
    <row r="21" spans="1:6" x14ac:dyDescent="0.3">
      <c r="A21" s="2" t="s">
        <v>139</v>
      </c>
      <c r="B21" s="3">
        <v>133</v>
      </c>
      <c r="C21" s="3">
        <v>137</v>
      </c>
      <c r="D21" s="3">
        <v>133</v>
      </c>
      <c r="E21" s="3">
        <v>128</v>
      </c>
      <c r="F21" s="3">
        <v>134</v>
      </c>
    </row>
    <row r="22" spans="1:6" x14ac:dyDescent="0.3">
      <c r="A22" s="2" t="s">
        <v>140</v>
      </c>
      <c r="B22" s="3">
        <v>50</v>
      </c>
      <c r="C22" s="3">
        <v>54</v>
      </c>
      <c r="D22" s="3">
        <v>63</v>
      </c>
      <c r="E22" s="3">
        <v>67</v>
      </c>
      <c r="F22" s="3">
        <v>74</v>
      </c>
    </row>
    <row r="23" spans="1:6" x14ac:dyDescent="0.3">
      <c r="A23" s="5" t="s">
        <v>141</v>
      </c>
      <c r="B23" s="6">
        <v>7938</v>
      </c>
      <c r="C23" s="6">
        <v>9856</v>
      </c>
      <c r="D23" s="6">
        <v>10900</v>
      </c>
      <c r="E23" s="6">
        <v>13063</v>
      </c>
      <c r="F23" s="6">
        <v>16864</v>
      </c>
    </row>
    <row r="24" spans="1:6" x14ac:dyDescent="0.3">
      <c r="A24" s="2" t="s">
        <v>142</v>
      </c>
      <c r="B24" s="4">
        <v>1570</v>
      </c>
      <c r="C24" s="4">
        <v>2029</v>
      </c>
      <c r="D24" s="4">
        <v>2474</v>
      </c>
      <c r="E24" s="4">
        <v>3013</v>
      </c>
      <c r="F24" s="4">
        <v>3623</v>
      </c>
    </row>
    <row r="25" spans="1:6" x14ac:dyDescent="0.3">
      <c r="A25" s="2" t="s">
        <v>676</v>
      </c>
      <c r="B25" s="4">
        <v>1393</v>
      </c>
      <c r="C25" s="3">
        <v>772</v>
      </c>
      <c r="D25" s="4">
        <v>1672</v>
      </c>
      <c r="E25" s="4">
        <v>2406</v>
      </c>
      <c r="F25" s="3">
        <v>805</v>
      </c>
    </row>
    <row r="26" spans="1:6" x14ac:dyDescent="0.3">
      <c r="A26" s="2" t="s">
        <v>33</v>
      </c>
      <c r="B26" s="3">
        <v>203</v>
      </c>
      <c r="C26" s="3">
        <v>417</v>
      </c>
      <c r="D26" s="3">
        <v>321</v>
      </c>
      <c r="E26" s="3">
        <v>494</v>
      </c>
      <c r="F26" s="3">
        <v>527</v>
      </c>
    </row>
    <row r="27" spans="1:6" x14ac:dyDescent="0.3">
      <c r="A27" s="5" t="s">
        <v>677</v>
      </c>
      <c r="B27" s="6">
        <v>2899</v>
      </c>
      <c r="C27" s="6">
        <v>3895</v>
      </c>
      <c r="D27" s="6">
        <v>5347</v>
      </c>
      <c r="E27" s="6">
        <v>5786</v>
      </c>
      <c r="F27" s="6">
        <v>5881</v>
      </c>
    </row>
    <row r="28" spans="1:6" x14ac:dyDescent="0.3">
      <c r="A28" s="2" t="s">
        <v>124</v>
      </c>
      <c r="B28" s="4">
        <v>1201</v>
      </c>
      <c r="C28" s="4">
        <v>1466</v>
      </c>
      <c r="D28" s="4">
        <v>2138</v>
      </c>
      <c r="E28" s="4">
        <v>2274</v>
      </c>
      <c r="F28" s="4">
        <v>2326</v>
      </c>
    </row>
    <row r="29" spans="1:6" x14ac:dyDescent="0.3">
      <c r="A29" s="2" t="s">
        <v>678</v>
      </c>
      <c r="B29" s="3">
        <v>891</v>
      </c>
      <c r="C29" s="4">
        <v>1275</v>
      </c>
      <c r="D29" s="4">
        <v>1792</v>
      </c>
      <c r="E29" s="4">
        <v>1786</v>
      </c>
      <c r="F29" s="4">
        <v>1943</v>
      </c>
    </row>
    <row r="30" spans="1:6" x14ac:dyDescent="0.3">
      <c r="A30" s="2" t="s">
        <v>679</v>
      </c>
      <c r="B30" s="3">
        <v>125</v>
      </c>
      <c r="C30" s="3">
        <v>282</v>
      </c>
      <c r="D30" s="3">
        <v>459</v>
      </c>
      <c r="E30" s="3">
        <v>616</v>
      </c>
      <c r="F30" s="3">
        <v>408</v>
      </c>
    </row>
    <row r="31" spans="1:6" x14ac:dyDescent="0.3">
      <c r="A31" s="2" t="s">
        <v>680</v>
      </c>
      <c r="B31" s="3">
        <v>80</v>
      </c>
      <c r="C31" s="3">
        <v>123</v>
      </c>
      <c r="D31" s="3">
        <v>150</v>
      </c>
      <c r="E31" s="3">
        <v>198</v>
      </c>
      <c r="F31" s="3">
        <v>155</v>
      </c>
    </row>
    <row r="32" spans="1:6" x14ac:dyDescent="0.3">
      <c r="A32" s="2" t="s">
        <v>126</v>
      </c>
      <c r="B32" s="3">
        <v>601</v>
      </c>
      <c r="C32" s="3">
        <v>750</v>
      </c>
      <c r="D32" s="3">
        <v>807</v>
      </c>
      <c r="E32" s="3">
        <v>912</v>
      </c>
      <c r="F32" s="4">
        <v>1049</v>
      </c>
    </row>
    <row r="33" spans="1:8" x14ac:dyDescent="0.3">
      <c r="A33" s="5" t="s">
        <v>39</v>
      </c>
      <c r="B33" s="6">
        <v>10862</v>
      </c>
      <c r="C33" s="6">
        <v>12911</v>
      </c>
      <c r="D33" s="6">
        <v>15765</v>
      </c>
      <c r="E33" s="6">
        <v>18736</v>
      </c>
      <c r="F33" s="6">
        <v>20454</v>
      </c>
    </row>
    <row r="35" spans="1:8" x14ac:dyDescent="0.3">
      <c r="B35" s="1">
        <v>43891</v>
      </c>
      <c r="C35" s="1">
        <v>44256</v>
      </c>
      <c r="D35" s="1">
        <v>44621</v>
      </c>
      <c r="E35" s="1">
        <v>44986</v>
      </c>
      <c r="F35" s="1">
        <v>45352</v>
      </c>
      <c r="G35" s="1"/>
    </row>
    <row r="36" spans="1:8" x14ac:dyDescent="0.3">
      <c r="A36" s="5" t="s">
        <v>681</v>
      </c>
      <c r="B36" s="6">
        <v>1304</v>
      </c>
      <c r="C36" s="6">
        <v>1772</v>
      </c>
      <c r="D36" s="6">
        <v>2106</v>
      </c>
      <c r="E36" s="6">
        <v>2902</v>
      </c>
      <c r="F36" s="6">
        <v>2094</v>
      </c>
      <c r="G36" s="7"/>
    </row>
    <row r="37" spans="1:8" x14ac:dyDescent="0.3">
      <c r="A37" s="5" t="s">
        <v>40</v>
      </c>
      <c r="B37" s="6">
        <v>1471</v>
      </c>
      <c r="C37" s="6">
        <v>2151</v>
      </c>
      <c r="D37" s="6">
        <v>3172</v>
      </c>
      <c r="E37" s="6">
        <v>3470</v>
      </c>
      <c r="F37" s="6">
        <v>2591</v>
      </c>
      <c r="G37" s="6"/>
    </row>
    <row r="38" spans="1:8" x14ac:dyDescent="0.3">
      <c r="A38" s="2" t="s">
        <v>35</v>
      </c>
      <c r="B38" s="3">
        <v>141</v>
      </c>
      <c r="C38" s="3">
        <v>-400</v>
      </c>
      <c r="D38" s="3">
        <v>-507</v>
      </c>
      <c r="E38" s="3">
        <v>-2</v>
      </c>
      <c r="F38" s="3">
        <v>-169</v>
      </c>
      <c r="G38" s="3"/>
    </row>
    <row r="39" spans="1:8" x14ac:dyDescent="0.3">
      <c r="A39" s="2" t="s">
        <v>36</v>
      </c>
      <c r="B39" s="3">
        <v>5</v>
      </c>
      <c r="C39" s="3">
        <v>-260</v>
      </c>
      <c r="D39" s="3">
        <v>-666</v>
      </c>
      <c r="E39" s="3">
        <v>-131</v>
      </c>
      <c r="F39" s="3">
        <v>-74</v>
      </c>
      <c r="G39" s="3"/>
    </row>
    <row r="40" spans="1:8" x14ac:dyDescent="0.3">
      <c r="A40" s="2" t="s">
        <v>41</v>
      </c>
      <c r="B40" s="3">
        <v>-272</v>
      </c>
      <c r="C40" s="3">
        <v>480</v>
      </c>
      <c r="D40" s="3">
        <v>510</v>
      </c>
      <c r="E40" s="3">
        <v>122</v>
      </c>
      <c r="F40" s="3">
        <v>-14</v>
      </c>
      <c r="G40" s="3"/>
    </row>
    <row r="41" spans="1:8" x14ac:dyDescent="0.3">
      <c r="A41" s="2" t="s">
        <v>42</v>
      </c>
      <c r="B41" s="3">
        <v>-29</v>
      </c>
      <c r="C41" s="3">
        <v>0</v>
      </c>
      <c r="D41" s="3">
        <v>-5</v>
      </c>
      <c r="E41" s="3">
        <v>-33</v>
      </c>
      <c r="F41" s="3">
        <v>-7</v>
      </c>
      <c r="G41" s="3"/>
    </row>
    <row r="42" spans="1:8" x14ac:dyDescent="0.3">
      <c r="A42" s="2" t="s">
        <v>682</v>
      </c>
      <c r="B42" s="4">
        <v>1395</v>
      </c>
      <c r="C42" s="4">
        <v>1158</v>
      </c>
      <c r="D42" s="4">
        <v>1708</v>
      </c>
      <c r="E42" s="3">
        <v>984</v>
      </c>
      <c r="F42" s="4">
        <v>1208</v>
      </c>
      <c r="G42" s="4"/>
    </row>
    <row r="43" spans="1:8" x14ac:dyDescent="0.3">
      <c r="A43" s="2" t="s">
        <v>43</v>
      </c>
      <c r="B43" s="3">
        <v>131</v>
      </c>
      <c r="C43" s="3">
        <v>56</v>
      </c>
      <c r="D43" s="3">
        <v>4</v>
      </c>
      <c r="E43" s="3">
        <v>-17</v>
      </c>
      <c r="F43" s="3">
        <v>150</v>
      </c>
      <c r="G43" s="3"/>
    </row>
    <row r="44" spans="1:8" x14ac:dyDescent="0.3">
      <c r="A44" s="5" t="s">
        <v>44</v>
      </c>
      <c r="B44" s="7">
        <v>-24</v>
      </c>
      <c r="C44" s="7">
        <v>-124</v>
      </c>
      <c r="D44" s="7">
        <v>-664</v>
      </c>
      <c r="E44" s="7">
        <v>-60</v>
      </c>
      <c r="F44" s="7">
        <v>-114</v>
      </c>
      <c r="G44" s="7"/>
      <c r="H44" s="108"/>
    </row>
    <row r="45" spans="1:8" x14ac:dyDescent="0.3">
      <c r="A45" s="2" t="s">
        <v>45</v>
      </c>
      <c r="B45" s="3">
        <v>-143</v>
      </c>
      <c r="C45" s="3">
        <v>-255</v>
      </c>
      <c r="D45" s="3">
        <v>-402</v>
      </c>
      <c r="E45" s="3">
        <v>-508</v>
      </c>
      <c r="F45" s="3">
        <v>-383</v>
      </c>
      <c r="G45" s="3"/>
    </row>
    <row r="46" spans="1:8" x14ac:dyDescent="0.3">
      <c r="A46" s="5" t="s">
        <v>683</v>
      </c>
      <c r="B46" s="6">
        <v>-1179</v>
      </c>
      <c r="C46" s="6">
        <v>-1499</v>
      </c>
      <c r="D46" s="6">
        <v>-1586</v>
      </c>
      <c r="E46" s="6">
        <v>-2964</v>
      </c>
      <c r="F46" s="6">
        <v>-2231</v>
      </c>
      <c r="G46" s="6"/>
    </row>
    <row r="47" spans="1:8" x14ac:dyDescent="0.3">
      <c r="A47" s="2" t="s">
        <v>47</v>
      </c>
      <c r="B47" s="4">
        <v>-1389</v>
      </c>
      <c r="C47" s="4">
        <v>-1214</v>
      </c>
      <c r="D47" s="4">
        <v>-1832</v>
      </c>
      <c r="E47" s="4">
        <v>-2866</v>
      </c>
      <c r="F47" s="4">
        <v>-2217</v>
      </c>
      <c r="G47" s="4"/>
    </row>
    <row r="48" spans="1:8" x14ac:dyDescent="0.3">
      <c r="A48" s="2" t="s">
        <v>48</v>
      </c>
      <c r="B48" s="3">
        <v>16</v>
      </c>
      <c r="C48" s="3">
        <v>10</v>
      </c>
      <c r="D48" s="3">
        <v>15</v>
      </c>
      <c r="E48" s="3">
        <v>14</v>
      </c>
      <c r="F48" s="3">
        <v>15</v>
      </c>
      <c r="G48" s="3"/>
    </row>
    <row r="49" spans="1:7" x14ac:dyDescent="0.3">
      <c r="A49" s="2" t="s">
        <v>49</v>
      </c>
      <c r="B49" s="3">
        <v>-93</v>
      </c>
      <c r="C49" s="3">
        <v>-189</v>
      </c>
      <c r="D49" s="3">
        <v>0</v>
      </c>
      <c r="E49" s="3">
        <v>-164</v>
      </c>
      <c r="F49" s="3">
        <v>-135</v>
      </c>
      <c r="G49" s="3"/>
    </row>
    <row r="50" spans="1:7" x14ac:dyDescent="0.3">
      <c r="A50" s="2" t="s">
        <v>50</v>
      </c>
      <c r="B50" s="3">
        <v>0</v>
      </c>
      <c r="C50" s="3">
        <v>0</v>
      </c>
      <c r="D50" s="3">
        <v>103</v>
      </c>
      <c r="E50" s="3">
        <v>0</v>
      </c>
      <c r="F50" s="3">
        <v>111</v>
      </c>
      <c r="G50" s="3"/>
    </row>
    <row r="51" spans="1:7" x14ac:dyDescent="0.3">
      <c r="A51" s="2" t="s">
        <v>51</v>
      </c>
      <c r="B51" s="3">
        <v>16</v>
      </c>
      <c r="C51" s="3">
        <v>0</v>
      </c>
      <c r="D51" s="3">
        <v>32</v>
      </c>
      <c r="E51" s="3">
        <v>27</v>
      </c>
      <c r="F51" s="3">
        <v>27</v>
      </c>
      <c r="G51" s="3"/>
    </row>
    <row r="52" spans="1:7" x14ac:dyDescent="0.3">
      <c r="A52" s="2" t="s">
        <v>52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/>
    </row>
    <row r="53" spans="1:7" x14ac:dyDescent="0.3">
      <c r="A53" s="2" t="s">
        <v>53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/>
    </row>
    <row r="54" spans="1:7" x14ac:dyDescent="0.3">
      <c r="A54" s="2" t="s">
        <v>54</v>
      </c>
      <c r="B54" s="3">
        <v>272</v>
      </c>
      <c r="C54" s="3">
        <v>-105</v>
      </c>
      <c r="D54" s="3">
        <v>97</v>
      </c>
      <c r="E54" s="3">
        <v>25</v>
      </c>
      <c r="F54" s="3">
        <v>-32</v>
      </c>
      <c r="G54" s="3"/>
    </row>
    <row r="55" spans="1:7" x14ac:dyDescent="0.3">
      <c r="A55" s="5" t="s">
        <v>684</v>
      </c>
      <c r="B55" s="7">
        <v>-199</v>
      </c>
      <c r="C55" s="7">
        <v>-251</v>
      </c>
      <c r="D55" s="7">
        <v>-207</v>
      </c>
      <c r="E55" s="7">
        <v>220</v>
      </c>
      <c r="F55" s="7">
        <v>-72</v>
      </c>
      <c r="G55" s="7"/>
    </row>
    <row r="56" spans="1:7" x14ac:dyDescent="0.3">
      <c r="A56" s="2" t="s">
        <v>56</v>
      </c>
      <c r="B56" s="3">
        <v>0</v>
      </c>
      <c r="C56" s="3">
        <v>750</v>
      </c>
      <c r="D56" s="3">
        <v>0</v>
      </c>
      <c r="E56" s="3">
        <v>0</v>
      </c>
      <c r="F56" s="3">
        <v>0</v>
      </c>
      <c r="G56" s="3"/>
    </row>
    <row r="57" spans="1:7" x14ac:dyDescent="0.3">
      <c r="A57" s="2" t="s">
        <v>57</v>
      </c>
      <c r="B57" s="4">
        <v>1278</v>
      </c>
      <c r="C57" s="4">
        <v>1320</v>
      </c>
      <c r="D57" s="3">
        <v>618</v>
      </c>
      <c r="E57" s="4">
        <v>1419</v>
      </c>
      <c r="F57" s="4">
        <v>1038</v>
      </c>
      <c r="G57" s="4"/>
    </row>
    <row r="58" spans="1:7" x14ac:dyDescent="0.3">
      <c r="A58" s="2" t="s">
        <v>58</v>
      </c>
      <c r="B58" s="4">
        <v>-1157</v>
      </c>
      <c r="C58" s="4">
        <v>-1990</v>
      </c>
      <c r="D58" s="3">
        <v>-471</v>
      </c>
      <c r="E58" s="3">
        <v>-759</v>
      </c>
      <c r="F58" s="3">
        <v>-497</v>
      </c>
      <c r="G58" s="3"/>
    </row>
    <row r="59" spans="1:7" x14ac:dyDescent="0.3">
      <c r="A59" s="2" t="s">
        <v>59</v>
      </c>
      <c r="B59" s="3">
        <v>-204</v>
      </c>
      <c r="C59" s="3">
        <v>-157</v>
      </c>
      <c r="D59" s="3">
        <v>-117</v>
      </c>
      <c r="E59" s="3">
        <v>-194</v>
      </c>
      <c r="F59" s="3">
        <v>-361</v>
      </c>
      <c r="G59" s="3"/>
    </row>
    <row r="60" spans="1:7" x14ac:dyDescent="0.3">
      <c r="A60" s="2" t="s">
        <v>60</v>
      </c>
      <c r="B60" s="3">
        <v>-80</v>
      </c>
      <c r="C60" s="3">
        <v>-141</v>
      </c>
      <c r="D60" s="3">
        <v>-212</v>
      </c>
      <c r="E60" s="3">
        <v>-213</v>
      </c>
      <c r="F60" s="3">
        <v>-214</v>
      </c>
      <c r="G60" s="3"/>
    </row>
    <row r="61" spans="1:7" x14ac:dyDescent="0.3">
      <c r="A61" s="2" t="s">
        <v>61</v>
      </c>
      <c r="B61" s="3">
        <v>-19</v>
      </c>
      <c r="C61" s="3">
        <v>-20</v>
      </c>
      <c r="D61" s="3">
        <v>-26</v>
      </c>
      <c r="E61" s="3">
        <v>-32</v>
      </c>
      <c r="F61" s="3">
        <v>-37</v>
      </c>
      <c r="G61" s="3"/>
    </row>
    <row r="62" spans="1:7" x14ac:dyDescent="0.3">
      <c r="A62" s="2" t="s">
        <v>62</v>
      </c>
      <c r="B62" s="3">
        <v>-17</v>
      </c>
      <c r="C62" s="3">
        <v>-12</v>
      </c>
      <c r="D62" s="3">
        <v>0</v>
      </c>
      <c r="E62" s="3">
        <v>0</v>
      </c>
      <c r="F62" s="3">
        <v>0</v>
      </c>
      <c r="G62" s="3"/>
    </row>
    <row r="63" spans="1:7" x14ac:dyDescent="0.3">
      <c r="A63" s="5" t="s">
        <v>64</v>
      </c>
      <c r="B63" s="7">
        <v>-73</v>
      </c>
      <c r="C63" s="7">
        <v>22</v>
      </c>
      <c r="D63" s="7">
        <v>312</v>
      </c>
      <c r="E63" s="7">
        <v>158</v>
      </c>
      <c r="F63" s="7">
        <v>-209</v>
      </c>
      <c r="G63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6" tint="0.39997558519241921"/>
  </sheetPr>
  <dimension ref="A1:M28"/>
  <sheetViews>
    <sheetView zoomScale="88" workbookViewId="0">
      <selection activeCell="L21" sqref="L21"/>
    </sheetView>
  </sheetViews>
  <sheetFormatPr defaultColWidth="10" defaultRowHeight="14.4" x14ac:dyDescent="0.3"/>
  <cols>
    <col min="1" max="1" width="25.77734375" bestFit="1" customWidth="1"/>
  </cols>
  <sheetData>
    <row r="1" spans="1:13" x14ac:dyDescent="0.3">
      <c r="B1" s="15">
        <v>42064</v>
      </c>
      <c r="C1" s="15">
        <v>42430</v>
      </c>
      <c r="D1" s="15">
        <v>42795</v>
      </c>
      <c r="E1" s="15">
        <v>43160</v>
      </c>
      <c r="F1" s="15">
        <v>43525</v>
      </c>
      <c r="G1" s="15">
        <v>43891</v>
      </c>
      <c r="H1" s="15">
        <v>44256</v>
      </c>
      <c r="I1" s="15">
        <v>44621</v>
      </c>
      <c r="J1" s="15">
        <v>44986</v>
      </c>
      <c r="K1" s="15">
        <v>45352</v>
      </c>
    </row>
    <row r="2" spans="1:13" x14ac:dyDescent="0.3">
      <c r="A2" s="67" t="s">
        <v>181</v>
      </c>
      <c r="B2" s="67">
        <v>542</v>
      </c>
      <c r="C2" s="112">
        <v>1090</v>
      </c>
      <c r="D2" s="67">
        <v>645</v>
      </c>
      <c r="E2" s="67">
        <v>678</v>
      </c>
      <c r="F2" s="67">
        <v>896</v>
      </c>
      <c r="G2" s="112">
        <v>1304</v>
      </c>
      <c r="H2" s="112">
        <v>1772</v>
      </c>
      <c r="I2" s="112">
        <v>2106</v>
      </c>
      <c r="J2" s="112">
        <v>2902</v>
      </c>
      <c r="K2" s="112">
        <v>2094</v>
      </c>
    </row>
    <row r="3" spans="1:13" x14ac:dyDescent="0.3">
      <c r="A3" t="s">
        <v>40</v>
      </c>
      <c r="B3">
        <v>728</v>
      </c>
      <c r="C3">
        <v>977</v>
      </c>
      <c r="D3" s="16">
        <v>1017</v>
      </c>
      <c r="E3">
        <v>986</v>
      </c>
      <c r="F3" s="16">
        <v>1362</v>
      </c>
      <c r="G3" s="16">
        <v>1471</v>
      </c>
      <c r="H3" s="16">
        <v>2151</v>
      </c>
      <c r="I3" s="16">
        <v>3172</v>
      </c>
      <c r="J3" s="16">
        <v>3470</v>
      </c>
      <c r="K3" s="16">
        <v>2591</v>
      </c>
      <c r="M3" s="16"/>
    </row>
    <row r="4" spans="1:13" x14ac:dyDescent="0.3">
      <c r="A4" t="s">
        <v>35</v>
      </c>
      <c r="B4">
        <v>78</v>
      </c>
      <c r="C4">
        <v>87</v>
      </c>
      <c r="D4">
        <v>-142</v>
      </c>
      <c r="E4">
        <v>-26</v>
      </c>
      <c r="F4">
        <v>-350</v>
      </c>
      <c r="G4">
        <v>141</v>
      </c>
      <c r="H4">
        <v>-400</v>
      </c>
      <c r="I4">
        <v>-507</v>
      </c>
      <c r="J4">
        <v>-2</v>
      </c>
      <c r="K4">
        <v>-169</v>
      </c>
    </row>
    <row r="5" spans="1:13" x14ac:dyDescent="0.3">
      <c r="A5" t="s">
        <v>36</v>
      </c>
      <c r="B5">
        <v>-17</v>
      </c>
      <c r="C5">
        <v>59</v>
      </c>
      <c r="D5">
        <v>-167</v>
      </c>
      <c r="E5">
        <v>-121</v>
      </c>
      <c r="F5">
        <v>-267</v>
      </c>
      <c r="G5">
        <v>5</v>
      </c>
      <c r="H5">
        <v>-260</v>
      </c>
      <c r="I5">
        <v>-666</v>
      </c>
      <c r="J5">
        <v>-131</v>
      </c>
      <c r="K5">
        <v>-74</v>
      </c>
    </row>
    <row r="6" spans="1:13" x14ac:dyDescent="0.3">
      <c r="A6" t="s">
        <v>41</v>
      </c>
      <c r="B6">
        <v>-207</v>
      </c>
      <c r="C6">
        <v>133</v>
      </c>
      <c r="D6">
        <v>94</v>
      </c>
      <c r="E6">
        <v>235</v>
      </c>
      <c r="F6">
        <v>338</v>
      </c>
      <c r="G6">
        <v>-272</v>
      </c>
      <c r="H6">
        <v>480</v>
      </c>
      <c r="I6">
        <v>510</v>
      </c>
      <c r="J6">
        <v>122</v>
      </c>
      <c r="K6">
        <v>-14</v>
      </c>
    </row>
    <row r="7" spans="1:13" x14ac:dyDescent="0.3">
      <c r="A7" t="s">
        <v>42</v>
      </c>
      <c r="B7">
        <v>18</v>
      </c>
      <c r="C7">
        <v>2</v>
      </c>
      <c r="D7">
        <v>-15</v>
      </c>
      <c r="E7">
        <v>10</v>
      </c>
      <c r="F7">
        <v>0</v>
      </c>
      <c r="G7">
        <v>-29</v>
      </c>
      <c r="H7">
        <v>0</v>
      </c>
      <c r="I7">
        <v>-5</v>
      </c>
      <c r="J7">
        <v>-33</v>
      </c>
      <c r="K7">
        <v>-7</v>
      </c>
    </row>
    <row r="8" spans="1:13" x14ac:dyDescent="0.3">
      <c r="A8" t="s">
        <v>43</v>
      </c>
      <c r="B8">
        <v>26</v>
      </c>
      <c r="C8">
        <v>-59</v>
      </c>
      <c r="D8">
        <v>-25</v>
      </c>
      <c r="E8">
        <v>-289</v>
      </c>
      <c r="F8">
        <v>-37</v>
      </c>
      <c r="G8">
        <v>131</v>
      </c>
      <c r="H8">
        <v>56</v>
      </c>
      <c r="I8">
        <v>4</v>
      </c>
      <c r="J8">
        <v>-17</v>
      </c>
      <c r="K8">
        <v>150</v>
      </c>
    </row>
    <row r="9" spans="1:13" x14ac:dyDescent="0.3">
      <c r="A9" s="67" t="s">
        <v>44</v>
      </c>
      <c r="B9" s="67">
        <v>-101</v>
      </c>
      <c r="C9" s="67">
        <v>221</v>
      </c>
      <c r="D9" s="67">
        <v>-256</v>
      </c>
      <c r="E9" s="67">
        <v>-191</v>
      </c>
      <c r="F9" s="67">
        <v>-317</v>
      </c>
      <c r="G9" s="67">
        <v>-24</v>
      </c>
      <c r="H9" s="67">
        <v>-124</v>
      </c>
      <c r="I9" s="67">
        <v>-664</v>
      </c>
      <c r="J9" s="67">
        <v>-60</v>
      </c>
      <c r="K9" s="67">
        <v>-114</v>
      </c>
    </row>
    <row r="10" spans="1:13" x14ac:dyDescent="0.3">
      <c r="A10" t="s">
        <v>45</v>
      </c>
      <c r="B10">
        <v>-85</v>
      </c>
      <c r="C10">
        <v>-109</v>
      </c>
      <c r="D10">
        <v>-116</v>
      </c>
      <c r="E10">
        <v>-118</v>
      </c>
      <c r="F10">
        <v>-150</v>
      </c>
      <c r="G10">
        <v>-143</v>
      </c>
      <c r="H10">
        <v>-255</v>
      </c>
      <c r="I10">
        <v>-402</v>
      </c>
      <c r="J10">
        <v>-508</v>
      </c>
      <c r="K10">
        <v>-383</v>
      </c>
    </row>
    <row r="11" spans="1:13" x14ac:dyDescent="0.3">
      <c r="A11" s="67" t="s">
        <v>182</v>
      </c>
      <c r="B11" s="67">
        <v>-500</v>
      </c>
      <c r="C11" s="67">
        <v>-667</v>
      </c>
      <c r="D11" s="67">
        <v>-613</v>
      </c>
      <c r="E11" s="112">
        <v>-1174</v>
      </c>
      <c r="F11" s="112">
        <v>-1039</v>
      </c>
      <c r="G11" s="112">
        <v>-1179</v>
      </c>
      <c r="H11" s="112">
        <v>-1499</v>
      </c>
      <c r="I11" s="112">
        <v>-1586</v>
      </c>
      <c r="J11" s="112">
        <v>-2964</v>
      </c>
      <c r="K11" s="112">
        <v>-2231</v>
      </c>
    </row>
    <row r="12" spans="1:13" x14ac:dyDescent="0.3">
      <c r="A12" t="s">
        <v>47</v>
      </c>
      <c r="B12">
        <v>-512</v>
      </c>
      <c r="C12">
        <v>-588</v>
      </c>
      <c r="D12">
        <v>-674</v>
      </c>
      <c r="E12" s="16">
        <v>-1300</v>
      </c>
      <c r="F12" s="16">
        <v>-1056</v>
      </c>
      <c r="G12" s="16">
        <v>-1389</v>
      </c>
      <c r="H12" s="16">
        <v>-1214</v>
      </c>
      <c r="I12" s="16">
        <v>-1832</v>
      </c>
      <c r="J12" s="16">
        <v>-2866</v>
      </c>
      <c r="K12" s="16">
        <v>-2217</v>
      </c>
    </row>
    <row r="13" spans="1:13" x14ac:dyDescent="0.3">
      <c r="A13" t="s">
        <v>48</v>
      </c>
      <c r="B13">
        <v>27</v>
      </c>
      <c r="C13">
        <v>9</v>
      </c>
      <c r="D13">
        <v>33</v>
      </c>
      <c r="E13">
        <v>17</v>
      </c>
      <c r="F13">
        <v>4</v>
      </c>
      <c r="G13">
        <v>16</v>
      </c>
      <c r="H13">
        <v>10</v>
      </c>
      <c r="I13">
        <v>15</v>
      </c>
      <c r="J13">
        <v>14</v>
      </c>
      <c r="K13">
        <v>15</v>
      </c>
    </row>
    <row r="14" spans="1:13" x14ac:dyDescent="0.3">
      <c r="A14" t="s">
        <v>49</v>
      </c>
      <c r="B14">
        <v>-691</v>
      </c>
      <c r="C14">
        <v>-510</v>
      </c>
      <c r="D14">
        <v>-649</v>
      </c>
      <c r="E14">
        <v>-530</v>
      </c>
      <c r="F14">
        <v>0</v>
      </c>
      <c r="G14">
        <v>-93</v>
      </c>
      <c r="H14">
        <v>-189</v>
      </c>
      <c r="I14">
        <v>0</v>
      </c>
      <c r="J14">
        <v>-164</v>
      </c>
      <c r="K14">
        <v>-135</v>
      </c>
    </row>
    <row r="15" spans="1:13" x14ac:dyDescent="0.3">
      <c r="A15" t="s">
        <v>50</v>
      </c>
      <c r="B15">
        <v>628</v>
      </c>
      <c r="C15">
        <v>452</v>
      </c>
      <c r="D15">
        <v>628</v>
      </c>
      <c r="E15">
        <v>614</v>
      </c>
      <c r="F15">
        <v>33</v>
      </c>
      <c r="G15">
        <v>0</v>
      </c>
      <c r="H15">
        <v>0</v>
      </c>
      <c r="I15">
        <v>103</v>
      </c>
      <c r="J15">
        <v>0</v>
      </c>
      <c r="K15">
        <v>111</v>
      </c>
    </row>
    <row r="16" spans="1:13" x14ac:dyDescent="0.3">
      <c r="A16" t="s">
        <v>51</v>
      </c>
      <c r="B16">
        <v>3</v>
      </c>
      <c r="C16">
        <v>5</v>
      </c>
      <c r="D16">
        <v>5</v>
      </c>
      <c r="E16">
        <v>5</v>
      </c>
      <c r="F16">
        <v>4</v>
      </c>
      <c r="G16">
        <v>16</v>
      </c>
      <c r="H16">
        <v>0</v>
      </c>
      <c r="I16">
        <v>32</v>
      </c>
      <c r="J16">
        <v>27</v>
      </c>
      <c r="K16">
        <v>27</v>
      </c>
    </row>
    <row r="17" spans="1:11" x14ac:dyDescent="0.3">
      <c r="A17" t="s">
        <v>52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t="s">
        <v>53</v>
      </c>
      <c r="B18">
        <v>32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54</v>
      </c>
      <c r="B19">
        <v>9</v>
      </c>
      <c r="C19">
        <v>-35</v>
      </c>
      <c r="D19">
        <v>44</v>
      </c>
      <c r="E19">
        <v>20</v>
      </c>
      <c r="F19">
        <v>-24</v>
      </c>
      <c r="G19">
        <v>272</v>
      </c>
      <c r="H19">
        <v>-105</v>
      </c>
      <c r="I19">
        <v>97</v>
      </c>
      <c r="J19">
        <v>25</v>
      </c>
      <c r="K19">
        <v>-32</v>
      </c>
    </row>
    <row r="20" spans="1:11" x14ac:dyDescent="0.3">
      <c r="A20" s="67" t="s">
        <v>183</v>
      </c>
      <c r="B20" s="67">
        <v>-18</v>
      </c>
      <c r="C20" s="67">
        <v>-182</v>
      </c>
      <c r="D20" s="67">
        <v>-284</v>
      </c>
      <c r="E20" s="67">
        <v>495</v>
      </c>
      <c r="F20" s="67">
        <v>246</v>
      </c>
      <c r="G20" s="67">
        <v>-199</v>
      </c>
      <c r="H20" s="67">
        <v>-251</v>
      </c>
      <c r="I20" s="67">
        <v>-207</v>
      </c>
      <c r="J20" s="67">
        <v>220</v>
      </c>
      <c r="K20" s="67">
        <v>-72</v>
      </c>
    </row>
    <row r="21" spans="1:11" x14ac:dyDescent="0.3">
      <c r="A21" t="s">
        <v>56</v>
      </c>
      <c r="B21" s="113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750</v>
      </c>
      <c r="I21">
        <v>0</v>
      </c>
      <c r="J21">
        <v>0</v>
      </c>
      <c r="K21" s="113">
        <v>0</v>
      </c>
    </row>
    <row r="22" spans="1:11" x14ac:dyDescent="0.3">
      <c r="A22" t="s">
        <v>57</v>
      </c>
      <c r="B22" s="113">
        <v>636</v>
      </c>
      <c r="C22">
        <v>687</v>
      </c>
      <c r="D22">
        <v>365</v>
      </c>
      <c r="E22" s="16">
        <v>1140</v>
      </c>
      <c r="F22" s="16">
        <v>1468</v>
      </c>
      <c r="G22" s="16">
        <v>1278</v>
      </c>
      <c r="H22" s="16">
        <v>1320</v>
      </c>
      <c r="I22">
        <v>618</v>
      </c>
      <c r="J22" s="16">
        <v>1419</v>
      </c>
      <c r="K22" s="114">
        <v>1038</v>
      </c>
    </row>
    <row r="23" spans="1:11" x14ac:dyDescent="0.3">
      <c r="A23" t="s">
        <v>58</v>
      </c>
      <c r="B23">
        <v>-447</v>
      </c>
      <c r="C23">
        <v>-668</v>
      </c>
      <c r="D23">
        <v>-455</v>
      </c>
      <c r="E23">
        <v>-432</v>
      </c>
      <c r="F23">
        <v>-915</v>
      </c>
      <c r="G23" s="16">
        <v>-1157</v>
      </c>
      <c r="H23" s="16">
        <v>-1990</v>
      </c>
      <c r="I23">
        <v>-471</v>
      </c>
      <c r="J23">
        <v>-759</v>
      </c>
      <c r="K23">
        <v>-497</v>
      </c>
    </row>
    <row r="24" spans="1:11" x14ac:dyDescent="0.3">
      <c r="A24" t="s">
        <v>59</v>
      </c>
      <c r="B24" s="113">
        <v>-139</v>
      </c>
      <c r="C24">
        <v>-132</v>
      </c>
      <c r="D24">
        <v>-111</v>
      </c>
      <c r="E24">
        <v>-130</v>
      </c>
      <c r="F24">
        <v>-224</v>
      </c>
      <c r="G24">
        <v>-204</v>
      </c>
      <c r="H24">
        <v>-157</v>
      </c>
      <c r="I24">
        <v>-117</v>
      </c>
      <c r="J24">
        <v>-194</v>
      </c>
      <c r="K24">
        <v>-361</v>
      </c>
    </row>
    <row r="25" spans="1:11" x14ac:dyDescent="0.3">
      <c r="A25" t="s">
        <v>60</v>
      </c>
      <c r="B25" s="113">
        <v>-57</v>
      </c>
      <c r="C25">
        <v>-57</v>
      </c>
      <c r="D25">
        <v>-69</v>
      </c>
      <c r="E25">
        <v>-69</v>
      </c>
      <c r="F25">
        <v>-69</v>
      </c>
      <c r="G25">
        <v>-80</v>
      </c>
      <c r="H25">
        <v>-141</v>
      </c>
      <c r="I25">
        <v>-212</v>
      </c>
      <c r="J25">
        <v>-213</v>
      </c>
      <c r="K25" s="113">
        <v>-214</v>
      </c>
    </row>
    <row r="26" spans="1:11" x14ac:dyDescent="0.3">
      <c r="A26" t="s">
        <v>61</v>
      </c>
      <c r="B26" s="113">
        <v>0</v>
      </c>
      <c r="C26">
        <v>0</v>
      </c>
      <c r="D26">
        <v>0</v>
      </c>
      <c r="E26">
        <v>0</v>
      </c>
      <c r="F26">
        <v>0</v>
      </c>
      <c r="G26">
        <v>-19</v>
      </c>
      <c r="H26">
        <v>-20</v>
      </c>
      <c r="I26">
        <v>-26</v>
      </c>
      <c r="J26">
        <v>-32</v>
      </c>
      <c r="K26">
        <v>-37</v>
      </c>
    </row>
    <row r="27" spans="1:11" x14ac:dyDescent="0.3">
      <c r="A27" t="s">
        <v>62</v>
      </c>
      <c r="B27" s="113">
        <v>-11</v>
      </c>
      <c r="C27">
        <v>-12</v>
      </c>
      <c r="D27">
        <v>-14</v>
      </c>
      <c r="E27">
        <v>-14</v>
      </c>
      <c r="F27">
        <v>-14</v>
      </c>
      <c r="G27">
        <v>-17</v>
      </c>
      <c r="H27">
        <v>-12</v>
      </c>
      <c r="I27">
        <v>0</v>
      </c>
      <c r="J27">
        <v>0</v>
      </c>
      <c r="K27">
        <v>0</v>
      </c>
    </row>
    <row r="28" spans="1:11" x14ac:dyDescent="0.3">
      <c r="A28" s="67" t="s">
        <v>64</v>
      </c>
      <c r="B28" s="67">
        <v>24</v>
      </c>
      <c r="C28" s="67">
        <v>241</v>
      </c>
      <c r="D28" s="67">
        <v>-252</v>
      </c>
      <c r="E28" s="67">
        <v>-1</v>
      </c>
      <c r="F28" s="67">
        <v>103</v>
      </c>
      <c r="G28" s="67">
        <v>-73</v>
      </c>
      <c r="H28" s="67">
        <v>22</v>
      </c>
      <c r="I28" s="67">
        <v>312</v>
      </c>
      <c r="J28" s="67">
        <v>158</v>
      </c>
      <c r="K28" s="67">
        <v>-209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theme="6" tint="0.39997558519241921"/>
  </sheetPr>
  <dimension ref="A2:L6"/>
  <sheetViews>
    <sheetView workbookViewId="0">
      <selection activeCell="B3" sqref="B3"/>
    </sheetView>
  </sheetViews>
  <sheetFormatPr defaultColWidth="10" defaultRowHeight="14.4" x14ac:dyDescent="0.3"/>
  <cols>
    <col min="2" max="2" width="13.44140625" bestFit="1" customWidth="1"/>
    <col min="3" max="3" width="8.21875" bestFit="1" customWidth="1"/>
    <col min="4" max="4" width="16" bestFit="1" customWidth="1"/>
    <col min="5" max="5" width="16" customWidth="1"/>
    <col min="6" max="6" width="11" bestFit="1" customWidth="1"/>
    <col min="7" max="7" width="14.5546875" bestFit="1" customWidth="1"/>
    <col min="8" max="8" width="14.5546875" customWidth="1"/>
    <col min="9" max="9" width="10" bestFit="1" customWidth="1"/>
    <col min="10" max="10" width="11.21875" bestFit="1" customWidth="1"/>
    <col min="11" max="11" width="13.6640625" bestFit="1" customWidth="1"/>
    <col min="12" max="12" width="14.109375" bestFit="1" customWidth="1"/>
  </cols>
  <sheetData>
    <row r="2" spans="1:12" x14ac:dyDescent="0.3">
      <c r="A2" s="247"/>
      <c r="B2" s="247" t="s">
        <v>707</v>
      </c>
      <c r="C2" s="247" t="s">
        <v>798</v>
      </c>
      <c r="D2" s="247" t="s">
        <v>799</v>
      </c>
      <c r="E2" s="247" t="s">
        <v>710</v>
      </c>
      <c r="F2" s="247" t="s">
        <v>800</v>
      </c>
      <c r="G2" s="247" t="s">
        <v>801</v>
      </c>
      <c r="H2" s="247" t="s">
        <v>711</v>
      </c>
      <c r="I2" s="247" t="s">
        <v>802</v>
      </c>
      <c r="J2" s="247" t="s">
        <v>803</v>
      </c>
      <c r="K2" s="247" t="s">
        <v>804</v>
      </c>
      <c r="L2" s="247" t="s">
        <v>805</v>
      </c>
    </row>
    <row r="3" spans="1:12" x14ac:dyDescent="0.3">
      <c r="A3" s="246">
        <v>1</v>
      </c>
      <c r="B3" s="246" t="s">
        <v>708</v>
      </c>
      <c r="C3" s="246">
        <v>2751.2</v>
      </c>
      <c r="D3" s="246">
        <v>50.86</v>
      </c>
      <c r="E3" s="246">
        <f>C3*D3</f>
        <v>139926.03199999998</v>
      </c>
      <c r="F3" s="246">
        <v>378.88</v>
      </c>
      <c r="G3" s="246">
        <v>533.29</v>
      </c>
      <c r="H3" s="246">
        <v>2771</v>
      </c>
      <c r="I3" s="246">
        <v>139931.17000000001</v>
      </c>
      <c r="J3" s="246">
        <v>12901.02</v>
      </c>
      <c r="K3" s="246">
        <v>1972.94</v>
      </c>
      <c r="L3" s="246">
        <v>139939.12</v>
      </c>
    </row>
    <row r="4" spans="1:12" x14ac:dyDescent="0.3">
      <c r="A4" s="246">
        <v>2</v>
      </c>
      <c r="B4" s="246" t="s">
        <v>709</v>
      </c>
      <c r="C4" s="246">
        <v>2935.35</v>
      </c>
      <c r="D4" s="246">
        <v>29.64</v>
      </c>
      <c r="E4" s="246">
        <f t="shared" ref="E4:E6" si="0">C4*D4</f>
        <v>87003.774000000005</v>
      </c>
      <c r="F4" s="246">
        <v>5246.44</v>
      </c>
      <c r="G4" s="246">
        <v>407.54</v>
      </c>
      <c r="H4" s="246">
        <v>2456.4</v>
      </c>
      <c r="I4" s="246">
        <v>92102.99</v>
      </c>
      <c r="J4" s="246">
        <v>13949.47</v>
      </c>
      <c r="K4" s="246">
        <v>1146.93</v>
      </c>
      <c r="L4" s="246">
        <v>87011.06</v>
      </c>
    </row>
    <row r="5" spans="1:12" x14ac:dyDescent="0.3">
      <c r="A5" s="246">
        <v>3</v>
      </c>
      <c r="B5" s="246" t="s">
        <v>184</v>
      </c>
      <c r="C5" s="246">
        <v>815.3</v>
      </c>
      <c r="D5" s="246">
        <v>25.48</v>
      </c>
      <c r="E5" s="246">
        <f t="shared" si="0"/>
        <v>20773.844000000001</v>
      </c>
      <c r="F5" s="246">
        <v>6479</v>
      </c>
      <c r="G5" s="246">
        <v>645</v>
      </c>
      <c r="H5" s="246">
        <v>2340</v>
      </c>
      <c r="I5" s="246">
        <v>26694.58</v>
      </c>
      <c r="J5" s="246">
        <v>14853</v>
      </c>
      <c r="K5" s="246">
        <v>-405</v>
      </c>
      <c r="L5" s="246">
        <v>20770.580000000002</v>
      </c>
    </row>
    <row r="6" spans="1:12" x14ac:dyDescent="0.3">
      <c r="A6" s="246">
        <v>4</v>
      </c>
      <c r="B6" s="246" t="s">
        <v>185</v>
      </c>
      <c r="C6" s="246">
        <v>630</v>
      </c>
      <c r="D6" s="246">
        <v>84.4</v>
      </c>
      <c r="E6" s="246">
        <f t="shared" si="0"/>
        <v>53172</v>
      </c>
      <c r="F6" s="246">
        <v>33217</v>
      </c>
      <c r="G6" s="246">
        <v>6036</v>
      </c>
      <c r="H6" s="246">
        <v>4528</v>
      </c>
      <c r="I6" s="246">
        <v>76584</v>
      </c>
      <c r="J6" s="246">
        <v>45142</v>
      </c>
      <c r="K6" s="246">
        <v>-339</v>
      </c>
      <c r="L6" s="246">
        <v>47277</v>
      </c>
    </row>
  </sheetData>
  <hyperlinks>
    <hyperlink ref="B3" r:id="rId1" xr:uid="{00000000-0004-0000-0C00-000000000000}"/>
    <hyperlink ref="B4" r:id="rId2" xr:uid="{00000000-0004-0000-0C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rgb="FF9EE0F4"/>
  </sheetPr>
  <dimension ref="B2:T44"/>
  <sheetViews>
    <sheetView showGridLines="0" zoomScaleNormal="55" workbookViewId="0">
      <selection activeCell="H32" sqref="H32"/>
    </sheetView>
  </sheetViews>
  <sheetFormatPr defaultColWidth="10" defaultRowHeight="14.4" x14ac:dyDescent="0.3"/>
  <cols>
    <col min="1" max="2" width="2.6640625" customWidth="1"/>
    <col min="3" max="3" width="34" customWidth="1"/>
    <col min="4" max="4" width="12.33203125" customWidth="1"/>
    <col min="5" max="14" width="13.77734375" customWidth="1"/>
    <col min="15" max="15" width="2" customWidth="1"/>
    <col min="16" max="16" width="13.44140625" customWidth="1"/>
    <col min="17" max="17" width="11.5546875" customWidth="1"/>
    <col min="18" max="18" width="11.21875" customWidth="1"/>
    <col min="19" max="20" width="10" bestFit="1" customWidth="1"/>
  </cols>
  <sheetData>
    <row r="2" spans="2:20" ht="18" x14ac:dyDescent="0.35">
      <c r="B2" s="155" t="str">
        <f>Company_Name&amp;" - Key Matrics and Ratio Analysis"</f>
        <v>SRF LTD - Key Matrics and Ratio Analysis</v>
      </c>
    </row>
    <row r="3" spans="2:20" ht="15.6" x14ac:dyDescent="0.3">
      <c r="B3" s="48" t="s">
        <v>778</v>
      </c>
    </row>
    <row r="5" spans="2:20" ht="15.6" x14ac:dyDescent="0.3">
      <c r="B5" s="56"/>
      <c r="C5" s="56"/>
      <c r="D5" s="56"/>
      <c r="E5" s="261" t="s">
        <v>731</v>
      </c>
      <c r="F5" s="261"/>
      <c r="G5" s="261"/>
      <c r="H5" s="261"/>
      <c r="I5" s="261"/>
      <c r="J5" s="261"/>
      <c r="K5" s="261"/>
      <c r="L5" s="261"/>
      <c r="M5" s="261"/>
      <c r="N5" s="261"/>
      <c r="O5" s="267" t="s">
        <v>65</v>
      </c>
      <c r="P5" s="268"/>
      <c r="Q5" s="265" t="s">
        <v>66</v>
      </c>
      <c r="R5" s="266" t="s">
        <v>67</v>
      </c>
      <c r="T5" s="66"/>
    </row>
    <row r="6" spans="2:20" ht="15.6" x14ac:dyDescent="0.3">
      <c r="B6" s="46" t="s">
        <v>777</v>
      </c>
      <c r="C6" s="46"/>
      <c r="D6" s="58" t="s">
        <v>732</v>
      </c>
      <c r="E6" s="61">
        <f>+'3-FInancial Statements'!E$20</f>
        <v>42094</v>
      </c>
      <c r="F6" s="61">
        <f>+'3-FInancial Statements'!F$20</f>
        <v>42460</v>
      </c>
      <c r="G6" s="61">
        <f>+'3-FInancial Statements'!G$20</f>
        <v>42825</v>
      </c>
      <c r="H6" s="61">
        <f>+'3-FInancial Statements'!H$20</f>
        <v>43190</v>
      </c>
      <c r="I6" s="61">
        <f>+'3-FInancial Statements'!I$20</f>
        <v>43555</v>
      </c>
      <c r="J6" s="61">
        <f>+'3-FInancial Statements'!J$20</f>
        <v>43921</v>
      </c>
      <c r="K6" s="61">
        <f>+'3-FInancial Statements'!K$20</f>
        <v>44286</v>
      </c>
      <c r="L6" s="61">
        <f>+'3-FInancial Statements'!L$20</f>
        <v>44651</v>
      </c>
      <c r="M6" s="61">
        <f>+'3-FInancial Statements'!M$20</f>
        <v>45016</v>
      </c>
      <c r="N6" s="61">
        <f>+'3-FInancial Statements'!N$20</f>
        <v>45382</v>
      </c>
      <c r="O6" s="267"/>
      <c r="P6" s="268"/>
      <c r="Q6" s="265"/>
      <c r="R6" s="266"/>
    </row>
    <row r="7" spans="2:20" ht="15.6" x14ac:dyDescent="0.3">
      <c r="B7" s="89" t="s">
        <v>774</v>
      </c>
      <c r="C7" s="89"/>
      <c r="D7" s="89"/>
      <c r="E7" s="90"/>
      <c r="F7" s="90"/>
      <c r="G7" s="90"/>
      <c r="H7" s="90"/>
      <c r="I7" s="90"/>
      <c r="J7" s="90"/>
      <c r="K7" s="90"/>
      <c r="L7" s="90"/>
      <c r="M7" s="90"/>
      <c r="N7" s="90"/>
      <c r="O7" s="121"/>
      <c r="P7" s="121"/>
      <c r="Q7" s="121"/>
      <c r="R7" s="121"/>
    </row>
    <row r="9" spans="2:20" x14ac:dyDescent="0.3">
      <c r="C9" s="122" t="s">
        <v>1</v>
      </c>
      <c r="D9" s="74" t="s">
        <v>736</v>
      </c>
      <c r="E9" s="123"/>
      <c r="F9" s="134">
        <f>'3-FInancial Statements'!F23</f>
        <v>1.1645759221119616E-2</v>
      </c>
      <c r="G9" s="134">
        <f>'3-FInancial Statements'!G23</f>
        <v>4.9878938842341777E-2</v>
      </c>
      <c r="H9" s="134">
        <f>'3-FInancial Statements'!H23</f>
        <v>0.15911900120287026</v>
      </c>
      <c r="I9" s="134">
        <f>'3-FInancial Statements'!I23</f>
        <v>0.27027002848431936</v>
      </c>
      <c r="J9" s="134">
        <f>'3-FInancial Statements'!J23</f>
        <v>1.5468498885146847E-2</v>
      </c>
      <c r="K9" s="134">
        <f>'3-FInancial Statements'!K23</f>
        <v>0.16514943663905937</v>
      </c>
      <c r="L9" s="134">
        <f>'3-FInancial Statements'!L23</f>
        <v>0.4801905705210926</v>
      </c>
      <c r="M9" s="134">
        <f>'3-FInancial Statements'!M23</f>
        <v>0.19596723732191487</v>
      </c>
      <c r="N9" s="134">
        <f>'3-FInancial Statements'!N23</f>
        <v>-0.11645601116322857</v>
      </c>
      <c r="O9" s="123"/>
      <c r="P9" s="122"/>
      <c r="Q9" s="135">
        <f>AVERAGE(E9:N9)</f>
        <v>0.13680371777273737</v>
      </c>
      <c r="R9" s="135">
        <f>MEDIAN(E9:N9)</f>
        <v>0.15911900120287026</v>
      </c>
    </row>
    <row r="10" spans="2:20" x14ac:dyDescent="0.3">
      <c r="C10" t="s">
        <v>68</v>
      </c>
      <c r="D10" s="74" t="s">
        <v>736</v>
      </c>
      <c r="E10" s="123"/>
      <c r="F10" s="135">
        <f>('3-FInancial Statements'!F34-'3-FInancial Statements'!E34)/'3-FInancial Statements'!E34</f>
        <v>0.44064532335947681</v>
      </c>
      <c r="G10" s="135">
        <f>('3-FInancial Statements'!G34-'3-FInancial Statements'!F34)/'3-FInancial Statements'!F34</f>
        <v>-3.1716201030727448E-2</v>
      </c>
      <c r="H10" s="135">
        <f>('3-FInancial Statements'!H34-'3-FInancial Statements'!G34)/'3-FInancial Statements'!G34</f>
        <v>-4.0398583348340435E-2</v>
      </c>
      <c r="I10" s="135">
        <f>('3-FInancial Statements'!I34-'3-FInancial Statements'!H34)/'3-FInancial Statements'!H34</f>
        <v>0.27920263563951786</v>
      </c>
      <c r="J10" s="135">
        <f>('3-FInancial Statements'!J34-'3-FInancial Statements'!I34)/'3-FInancial Statements'!I34</f>
        <v>0.16021712199256632</v>
      </c>
      <c r="K10" s="135">
        <f>('3-FInancial Statements'!K34-'3-FInancial Statements'!J34)/'3-FInancial Statements'!J34</f>
        <v>0.44432190173792196</v>
      </c>
      <c r="L10" s="135">
        <f>('3-FInancial Statements'!L34-'3-FInancial Statements'!K34)/'3-FInancial Statements'!K34</f>
        <v>0.29335862454706729</v>
      </c>
      <c r="M10" s="135">
        <f>('3-FInancial Statements'!M34-'3-FInancial Statements'!L34)/'3-FInancial Statements'!L34</f>
        <v>0.34862985623549914</v>
      </c>
      <c r="N10" s="135">
        <f>('3-FInancial Statements'!N34-'3-FInancial Statements'!M34)/'3-FInancial Statements'!M34</f>
        <v>-0.31506654509256082</v>
      </c>
      <c r="O10" s="19"/>
      <c r="P10" s="122"/>
      <c r="Q10" s="135">
        <f>AVERAGE(E10:N10)</f>
        <v>0.1754660148933801</v>
      </c>
      <c r="R10" s="135">
        <f>MEDIAN(E10:N10)</f>
        <v>0.27920263563951786</v>
      </c>
    </row>
    <row r="11" spans="2:20" x14ac:dyDescent="0.3">
      <c r="C11" t="s">
        <v>69</v>
      </c>
      <c r="D11" s="74" t="s">
        <v>736</v>
      </c>
      <c r="E11" s="123"/>
      <c r="F11" s="135">
        <f>(('3-FInancial Statements'!F43+'3-FInancial Statements'!F37)-('3-FInancial Statements'!E43+'3-FInancial Statements'!E37))/('3-FInancial Statements'!E43+'3-FInancial Statements'!E37)</f>
        <v>0.60615893618374905</v>
      </c>
      <c r="G11" s="135">
        <f>(('3-FInancial Statements'!G43+'3-FInancial Statements'!G37)-('3-FInancial Statements'!F43+'3-FInancial Statements'!F37))/('3-FInancial Statements'!F43+'3-FInancial Statements'!F37)</f>
        <v>-5.4428775154491439E-2</v>
      </c>
      <c r="H11" s="135">
        <f>(('3-FInancial Statements'!H43+'3-FInancial Statements'!H37)-('3-FInancial Statements'!G43+'3-FInancial Statements'!G37))/('3-FInancial Statements'!G43+'3-FInancial Statements'!G37)</f>
        <v>-0.10157799190057264</v>
      </c>
      <c r="I11" s="135">
        <f>(('3-FInancial Statements'!I43+'3-FInancial Statements'!I37)-('3-FInancial Statements'!H43+'3-FInancial Statements'!H37))/('3-FInancial Statements'!H43+'3-FInancial Statements'!H37)</f>
        <v>0.35039480228798792</v>
      </c>
      <c r="J11" s="135">
        <f>(('3-FInancial Statements'!J43+'3-FInancial Statements'!J37)-('3-FInancial Statements'!I43+'3-FInancial Statements'!I37))/('3-FInancial Statements'!I43+'3-FInancial Statements'!I37)</f>
        <v>0.191231482866975</v>
      </c>
      <c r="K11" s="135">
        <f>(('3-FInancial Statements'!K43+'3-FInancial Statements'!K37)-('3-FInancial Statements'!J43+'3-FInancial Statements'!J37))/('3-FInancial Statements'!J43+'3-FInancial Statements'!J37)</f>
        <v>0.5488680393843075</v>
      </c>
      <c r="L11" s="135">
        <f>(('3-FInancial Statements'!L43+'3-FInancial Statements'!L37)-('3-FInancial Statements'!K43+'3-FInancial Statements'!K37))/('3-FInancial Statements'!K43+'3-FInancial Statements'!K37)</f>
        <v>0.33625707280859751</v>
      </c>
      <c r="M11" s="135">
        <f>(('3-FInancial Statements'!M43+'3-FInancial Statements'!M37)-('3-FInancial Statements'!L43+'3-FInancial Statements'!L37))/('3-FInancial Statements'!L43+'3-FInancial Statements'!L37)</f>
        <v>0.40569473104324127</v>
      </c>
      <c r="N11" s="135">
        <f>(('3-FInancial Statements'!N43+'3-FInancial Statements'!N37)-('3-FInancial Statements'!M43+'3-FInancial Statements'!M37))/('3-FInancial Statements'!M43+'3-FInancial Statements'!M37)</f>
        <v>-0.40758293838862564</v>
      </c>
      <c r="O11" s="19"/>
      <c r="Q11" s="135">
        <f t="shared" ref="Q11:Q13" si="0">AVERAGE(E11:N11)</f>
        <v>0.20833503990346314</v>
      </c>
      <c r="R11" s="135">
        <f t="shared" ref="R11:R12" si="1">MEDIAN(E11:N11)</f>
        <v>0.33625707280859751</v>
      </c>
    </row>
    <row r="12" spans="2:20" x14ac:dyDescent="0.3">
      <c r="C12" t="s">
        <v>70</v>
      </c>
      <c r="D12" s="74" t="s">
        <v>736</v>
      </c>
      <c r="E12" s="123"/>
      <c r="F12" s="135">
        <f>('3-FInancial Statements'!F49-'3-FInancial Statements'!E49)/'3-FInancial Statements'!E49</f>
        <v>0.9881589482111981</v>
      </c>
      <c r="G12" s="135">
        <f>('3-FInancial Statements'!G49-'3-FInancial Statements'!F49)/'3-FInancial Statements'!F49</f>
        <v>6.7823912168164823E-4</v>
      </c>
      <c r="H12" s="135">
        <f>('3-FInancial Statements'!H49-'3-FInancial Statements'!G49)/'3-FInancial Statements'!G49</f>
        <v>-0.15381356829686743</v>
      </c>
      <c r="I12" s="135">
        <f>('3-FInancial Statements'!I49-'3-FInancial Statements'!H49)/'3-FInancial Statements'!H49</f>
        <v>0.23543841205476679</v>
      </c>
      <c r="J12" s="135">
        <f>('3-FInancial Statements'!J49-'3-FInancial Statements'!I49)/'3-FInancial Statements'!I49</f>
        <v>0.69266770670826627</v>
      </c>
      <c r="K12" s="135">
        <f>('3-FInancial Statements'!K49-'3-FInancial Statements'!J49)/'3-FInancial Statements'!J49</f>
        <v>0.26233766233766409</v>
      </c>
      <c r="L12" s="135">
        <f>('3-FInancial Statements'!L49-'3-FInancial Statements'!K49)/'3-FInancial Statements'!K49</f>
        <v>0.26056778744950559</v>
      </c>
      <c r="M12" s="135">
        <f>('3-FInancial Statements'!M49-'3-FInancial Statements'!L49)/'3-FInancial Statements'!L49</f>
        <v>0.61310947631297996</v>
      </c>
      <c r="N12" s="135">
        <f>('3-FInancial Statements'!N49-'3-FInancial Statements'!M49)/'3-FInancial Statements'!M49</f>
        <v>-0.47542550711121473</v>
      </c>
      <c r="O12" s="19"/>
      <c r="Q12" s="135">
        <f t="shared" si="0"/>
        <v>0.26930212853199781</v>
      </c>
      <c r="R12" s="135">
        <f t="shared" si="1"/>
        <v>0.26056778744950559</v>
      </c>
    </row>
    <row r="13" spans="2:20" x14ac:dyDescent="0.3">
      <c r="C13" s="122" t="s">
        <v>71</v>
      </c>
      <c r="D13" s="74" t="s">
        <v>736</v>
      </c>
      <c r="E13" s="123"/>
      <c r="F13" s="135">
        <f>('3-FInancial Statements'!F57-'3-FInancial Statements'!E57)/'3-FInancial Statements'!E57</f>
        <v>0</v>
      </c>
      <c r="G13" s="135">
        <f>('3-FInancial Statements'!G57-'3-FInancial Statements'!F57)/'3-FInancial Statements'!F57</f>
        <v>0.2000342231348391</v>
      </c>
      <c r="H13" s="135">
        <f>('3-FInancial Statements'!H57-'3-FInancial Statements'!G57)/'3-FInancial Statements'!G57</f>
        <v>0</v>
      </c>
      <c r="I13" s="135">
        <f>('3-FInancial Statements'!I57-'3-FInancial Statements'!H57)/'3-FInancial Statements'!H57</f>
        <v>-4.6736942754838864E-5</v>
      </c>
      <c r="J13" s="135">
        <f>('3-FInancial Statements'!J57-'3-FInancial Statements'!I57)/'3-FInancial Statements'!I57</f>
        <v>0.1666666666666668</v>
      </c>
      <c r="K13" s="135">
        <f>('3-FInancial Statements'!K57-'3-FInancial Statements'!J57)/'3-FInancial Statements'!J57</f>
        <v>0.71335030038608693</v>
      </c>
      <c r="L13" s="135">
        <f>('3-FInancial Statements'!L57-'3-FInancial Statements'!K57)/'3-FInancial Statements'!K57</f>
        <v>2.4426346695542183</v>
      </c>
      <c r="M13" s="135">
        <f>('3-FInancial Statements'!M57-'3-FInancial Statements'!L57)/'3-FInancial Statements'!L57</f>
        <v>-0.5701411051564601</v>
      </c>
      <c r="N13" s="135">
        <f>('3-FInancial Statements'!N57-'3-FInancial Statements'!M57)/'3-FInancial Statements'!M57</f>
        <v>0</v>
      </c>
      <c r="O13" s="19"/>
      <c r="P13" s="122"/>
      <c r="Q13" s="135">
        <f t="shared" si="0"/>
        <v>0.3280553352936218</v>
      </c>
      <c r="R13" s="135">
        <f>MEDIAN(F13:N13)</f>
        <v>0</v>
      </c>
    </row>
    <row r="14" spans="2:20" x14ac:dyDescent="0.3">
      <c r="D14" s="70"/>
      <c r="Q14" s="136"/>
      <c r="R14" s="136"/>
    </row>
    <row r="15" spans="2:20" x14ac:dyDescent="0.3">
      <c r="C15" s="122" t="s">
        <v>72</v>
      </c>
      <c r="D15" s="74" t="s">
        <v>736</v>
      </c>
      <c r="E15" s="135">
        <f>'3-FInancial Statements'!E29</f>
        <v>0.20908620328865496</v>
      </c>
      <c r="F15" s="135">
        <f>'3-FInancial Statements'!F29</f>
        <v>0.28781637025553486</v>
      </c>
      <c r="G15" s="135">
        <f>'3-FInancial Statements'!G29</f>
        <v>0.26925214650130669</v>
      </c>
      <c r="H15" s="135">
        <f>'3-FInancial Statements'!H29</f>
        <v>0.2241851910167042</v>
      </c>
      <c r="I15" s="135">
        <f>'3-FInancial Statements'!I29</f>
        <v>0.23422479326270962</v>
      </c>
      <c r="J15" s="135">
        <f>'3-FInancial Statements'!J29</f>
        <v>0.25091373635290537</v>
      </c>
      <c r="K15" s="135">
        <f>'3-FInancial Statements'!K29</f>
        <v>0.30650211189470533</v>
      </c>
      <c r="L15" s="135">
        <f>'3-FInancial Statements'!L29</f>
        <v>0.28026341399073151</v>
      </c>
      <c r="M15" s="135">
        <f>'3-FInancial Statements'!M29</f>
        <v>0.31822060826146165</v>
      </c>
      <c r="N15" s="135">
        <f>'3-FInancial Statements'!N29</f>
        <v>0.26127448144844323</v>
      </c>
      <c r="O15" s="19"/>
      <c r="P15" s="122"/>
      <c r="Q15" s="135">
        <f>AVERAGE(E15:N15)</f>
        <v>0.26417390562731574</v>
      </c>
      <c r="R15" s="135">
        <f>MEDIAN(E15:N15)</f>
        <v>0.26526331397487496</v>
      </c>
    </row>
    <row r="16" spans="2:20" x14ac:dyDescent="0.3">
      <c r="C16" t="s">
        <v>73</v>
      </c>
      <c r="D16" s="74" t="s">
        <v>736</v>
      </c>
      <c r="E16" s="135">
        <f>'3-FInancial Statements'!E35</f>
        <v>0.15783340859279496</v>
      </c>
      <c r="F16" s="135">
        <f>'3-FInancial Statements'!F35</f>
        <v>0.22476440976153564</v>
      </c>
      <c r="G16" s="135">
        <f>'3-FInancial Statements'!G35</f>
        <v>0.2072960305280187</v>
      </c>
      <c r="H16" s="135">
        <f>'3-FInancial Statements'!H35</f>
        <v>0.17161444541459722</v>
      </c>
      <c r="I16" s="135">
        <f>'3-FInancial Statements'!I35</f>
        <v>0.17282124742414709</v>
      </c>
      <c r="J16" s="135">
        <f>'3-FInancial Statements'!J35</f>
        <v>0.19745582509525741</v>
      </c>
      <c r="K16" s="135">
        <f>'3-FInancial Statements'!K35</f>
        <v>0.24476669158718303</v>
      </c>
      <c r="L16" s="135">
        <f>'3-FInancial Statements'!L35</f>
        <v>0.21387186073931563</v>
      </c>
      <c r="M16" s="135">
        <f>'3-FInancial Statements'!M35</f>
        <v>0.24117213900237053</v>
      </c>
      <c r="N16" s="135">
        <f>'3-FInancial Statements'!N35</f>
        <v>0.18695941399792368</v>
      </c>
      <c r="O16" s="19"/>
      <c r="Q16" s="135">
        <f t="shared" ref="Q16:Q28" si="2">AVERAGE(E16:N16)</f>
        <v>0.20185554721431437</v>
      </c>
      <c r="R16" s="135">
        <f t="shared" ref="R16:R35" si="3">MEDIAN(E16:N16)</f>
        <v>0.20237592781163805</v>
      </c>
    </row>
    <row r="17" spans="3:19" x14ac:dyDescent="0.3">
      <c r="C17" t="s">
        <v>74</v>
      </c>
      <c r="D17" s="74" t="s">
        <v>736</v>
      </c>
      <c r="E17" s="135">
        <f>('3-FInancial Statements'!E43+'3-FInancial Statements'!E37)/'3-FInancial Statements'!E22</f>
        <v>0.10386025970021043</v>
      </c>
      <c r="F17" s="135">
        <f>('3-FInancial Statements'!F43+'3-FInancial Statements'!F37)/'3-FInancial Statements'!F22</f>
        <v>0.16489574805344109</v>
      </c>
      <c r="G17" s="135">
        <f>('3-FInancial Statements'!G43+'3-FInancial Statements'!G37)/'3-FInancial Statements'!G22</f>
        <v>0.14851300344269786</v>
      </c>
      <c r="H17" s="135">
        <f>('3-FInancial Statements'!H43+'3-FInancial Statements'!H37)/'3-FInancial Statements'!H22</f>
        <v>0.11511100296294184</v>
      </c>
      <c r="I17" s="135">
        <f>('3-FInancial Statements'!I43+'3-FInancial Statements'!I37)/'3-FInancial Statements'!I22</f>
        <v>0.12237185527614983</v>
      </c>
      <c r="J17" s="135">
        <f>('3-FInancial Statements'!J43+'3-FInancial Statements'!J37)/'3-FInancial Statements'!J22</f>
        <v>0.14355266242313863</v>
      </c>
      <c r="K17" s="135">
        <f>('3-FInancial Statements'!K43+'3-FInancial Statements'!K37)/'3-FInancial Statements'!K22</f>
        <v>0.19082885319593729</v>
      </c>
      <c r="L17" s="135">
        <f>('3-FInancial Statements'!L43+'3-FInancial Statements'!L37)/'3-FInancial Statements'!L22</f>
        <v>0.17227268559700032</v>
      </c>
      <c r="M17" s="135">
        <f>('3-FInancial Statements'!M43+'3-FInancial Statements'!M37)/'3-FInancial Statements'!M22</f>
        <v>0.20248280963669077</v>
      </c>
      <c r="N17" s="135">
        <f>('3-FInancial Statements'!N43+'3-FInancial Statements'!N37)/'3-FInancial Statements'!N22</f>
        <v>0.13576491111632058</v>
      </c>
      <c r="O17" s="19"/>
      <c r="Q17" s="135">
        <f t="shared" si="2"/>
        <v>0.14996537914045285</v>
      </c>
      <c r="R17" s="135">
        <f t="shared" si="3"/>
        <v>0.14603283293291824</v>
      </c>
    </row>
    <row r="18" spans="3:19" x14ac:dyDescent="0.3">
      <c r="C18" t="s">
        <v>75</v>
      </c>
      <c r="D18" s="74" t="s">
        <v>736</v>
      </c>
      <c r="E18" s="135">
        <f>'3-FInancial Statements'!E44</f>
        <v>7.3555293677103922E-2</v>
      </c>
      <c r="F18" s="135">
        <f>'3-FInancial Statements'!F44</f>
        <v>0.13648992318277622</v>
      </c>
      <c r="G18" s="135">
        <f>'3-FInancial Statements'!G44</f>
        <v>0.12740677755195168</v>
      </c>
      <c r="H18" s="135">
        <f>'3-FInancial Statements'!H44</f>
        <v>9.2944405479295278E-2</v>
      </c>
      <c r="I18" s="135">
        <f>'3-FInancial Statements'!I44</f>
        <v>9.4430805159171238E-2</v>
      </c>
      <c r="J18" s="135">
        <f>'3-FInancial Statements'!J44</f>
        <v>0.11571682010039654</v>
      </c>
      <c r="K18" s="135">
        <f>'3-FInancial Statements'!K44</f>
        <v>0.17488250055952126</v>
      </c>
      <c r="L18" s="135">
        <f>'3-FInancial Statements'!L44</f>
        <v>0.16294880188134458</v>
      </c>
      <c r="M18" s="135">
        <f>'3-FInancial Statements'!M44</f>
        <v>0.18870899951244938</v>
      </c>
      <c r="N18" s="135">
        <f>'3-FInancial Statements'!N44</f>
        <v>0.11275699241619301</v>
      </c>
      <c r="O18" s="19"/>
      <c r="Q18" s="135">
        <f t="shared" si="2"/>
        <v>0.12798413195202032</v>
      </c>
      <c r="R18" s="135">
        <f t="shared" si="3"/>
        <v>0.1215617988261741</v>
      </c>
    </row>
    <row r="19" spans="3:19" x14ac:dyDescent="0.3">
      <c r="C19" s="122" t="s">
        <v>76</v>
      </c>
      <c r="D19" s="74" t="s">
        <v>736</v>
      </c>
      <c r="E19" s="135">
        <f>'3-FInancial Statements'!E50</f>
        <v>5.2272652180138171E-2</v>
      </c>
      <c r="F19" s="135">
        <f>'3-FInancial Statements'!F50</f>
        <v>0.10272997265237158</v>
      </c>
      <c r="G19" s="135">
        <f>'3-FInancial Statements'!G50</f>
        <v>9.7915716122609936E-2</v>
      </c>
      <c r="H19" s="135">
        <f>'3-FInancial Statements'!H50</f>
        <v>7.1480969898229482E-2</v>
      </c>
      <c r="I19" s="135">
        <f>'3-FInancial Statements'!I50</f>
        <v>6.9520915996557617E-2</v>
      </c>
      <c r="J19" s="135">
        <f>'3-FInancial Statements'!J50</f>
        <v>0.11588326922730152</v>
      </c>
      <c r="K19" s="135">
        <f>'3-FInancial Statements'!K50</f>
        <v>0.1255494021457042</v>
      </c>
      <c r="L19" s="135">
        <f>'3-FInancial Statements'!L50</f>
        <v>0.1069210514040113</v>
      </c>
      <c r="M19" s="135">
        <f>'3-FInancial Statements'!M50</f>
        <v>0.14421411879423685</v>
      </c>
      <c r="N19" s="135">
        <f>'3-FInancial Statements'!N50</f>
        <v>8.562227709057034E-2</v>
      </c>
      <c r="O19" s="19"/>
      <c r="P19" s="122"/>
      <c r="Q19" s="135">
        <f t="shared" si="2"/>
        <v>9.7211034551173109E-2</v>
      </c>
      <c r="R19" s="135">
        <f t="shared" si="3"/>
        <v>0.10032284438749076</v>
      </c>
    </row>
    <row r="20" spans="3:19" x14ac:dyDescent="0.3">
      <c r="D20" s="70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Q20" s="135"/>
      <c r="R20" s="135"/>
    </row>
    <row r="21" spans="3:19" x14ac:dyDescent="0.3">
      <c r="C21" s="122" t="s">
        <v>77</v>
      </c>
      <c r="D21" s="74" t="s">
        <v>736</v>
      </c>
      <c r="E21" s="135">
        <f>'3-FInancial Statements'!E32</f>
        <v>6.5477934292983236E-2</v>
      </c>
      <c r="F21" s="135">
        <f>'3-FInancial Statements'!F32</f>
        <v>6.9061471197895796E-2</v>
      </c>
      <c r="G21" s="135">
        <f>'3-FInancial Statements'!G32</f>
        <v>7.7097764320378279E-2</v>
      </c>
      <c r="H21" s="135">
        <f>'3-FInancial Statements'!H32</f>
        <v>7.3168200621215804E-2</v>
      </c>
      <c r="I21" s="135">
        <f>'3-FInancial Statements'!I32</f>
        <v>7.2392912830177528E-2</v>
      </c>
      <c r="J21" s="135">
        <f>'3-FInancial Statements'!J32</f>
        <v>7.4574757157659224E-2</v>
      </c>
      <c r="K21" s="135">
        <f>'3-FInancial Statements'!K32</f>
        <v>6.9597287631963656E-2</v>
      </c>
      <c r="L21" s="135">
        <f>'3-FInancial Statements'!L32</f>
        <v>7.5681657693712073E-2</v>
      </c>
      <c r="M21" s="135">
        <f>'3-FInancial Statements'!M32</f>
        <v>8.2087389250348849E-2</v>
      </c>
      <c r="N21" s="135">
        <f>'3-FInancial Statements'!N32</f>
        <v>8.0633891792987342E-2</v>
      </c>
      <c r="O21" s="19"/>
      <c r="P21" s="122"/>
      <c r="Q21" s="135">
        <f t="shared" si="2"/>
        <v>7.397732667893217E-2</v>
      </c>
      <c r="R21" s="135">
        <f t="shared" si="3"/>
        <v>7.3871478889437514E-2</v>
      </c>
    </row>
    <row r="22" spans="3:19" x14ac:dyDescent="0.3">
      <c r="C22" t="s">
        <v>78</v>
      </c>
      <c r="D22" s="74" t="s">
        <v>736</v>
      </c>
      <c r="E22" s="135">
        <f>'3-FInancial Statements'!E41</f>
        <v>5.3973148892584553E-2</v>
      </c>
      <c r="F22" s="135">
        <f>'3-FInancial Statements'!F41</f>
        <v>5.9868661708094545E-2</v>
      </c>
      <c r="G22" s="135">
        <f>'3-FInancial Statements'!G41</f>
        <v>5.8783027085320835E-2</v>
      </c>
      <c r="H22" s="135">
        <f>'3-FInancial Statements'!H41</f>
        <v>5.6503442451655388E-2</v>
      </c>
      <c r="I22" s="135">
        <f>'3-FInancial Statements'!I41</f>
        <v>5.0449392147997277E-2</v>
      </c>
      <c r="J22" s="135">
        <f>'3-FInancial Statements'!J41</f>
        <v>5.3903162672118803E-2</v>
      </c>
      <c r="K22" s="135">
        <f>'3-FInancial Statements'!K41</f>
        <v>5.3937838391245746E-2</v>
      </c>
      <c r="L22" s="135">
        <f>'3-FInancial Statements'!L41</f>
        <v>4.1599175142315301E-2</v>
      </c>
      <c r="M22" s="135">
        <f>'3-FInancial Statements'!M41</f>
        <v>3.86893293656798E-2</v>
      </c>
      <c r="N22" s="135">
        <f>'3-FInancial Statements'!N41</f>
        <v>5.1194502881603099E-2</v>
      </c>
      <c r="O22" s="19"/>
      <c r="Q22" s="135">
        <f t="shared" si="2"/>
        <v>5.1890168073861528E-2</v>
      </c>
      <c r="R22" s="135">
        <f t="shared" si="3"/>
        <v>5.3920500531682278E-2</v>
      </c>
    </row>
    <row r="23" spans="3:19" x14ac:dyDescent="0.3">
      <c r="C23" s="122" t="s">
        <v>79</v>
      </c>
      <c r="D23" s="74" t="s">
        <v>736</v>
      </c>
      <c r="E23" s="137">
        <f>('3-FInancial Statements'!E43+'3-FInancial Statements'!E37)/'3-FInancial Statements'!E22</f>
        <v>0.10386025970021043</v>
      </c>
      <c r="F23" s="137">
        <f>('3-FInancial Statements'!F43+'3-FInancial Statements'!F37)/'3-FInancial Statements'!F22</f>
        <v>0.16489574805344109</v>
      </c>
      <c r="G23" s="137">
        <f>('3-FInancial Statements'!G43+'3-FInancial Statements'!G37)/'3-FInancial Statements'!G22</f>
        <v>0.14851300344269786</v>
      </c>
      <c r="H23" s="137">
        <f>('3-FInancial Statements'!H43+'3-FInancial Statements'!H37)/'3-FInancial Statements'!H22</f>
        <v>0.11511100296294184</v>
      </c>
      <c r="I23" s="137">
        <f>('3-FInancial Statements'!I43+'3-FInancial Statements'!I37)/'3-FInancial Statements'!I22</f>
        <v>0.12237185527614983</v>
      </c>
      <c r="J23" s="137">
        <f>('3-FInancial Statements'!J43+'3-FInancial Statements'!J37)/'3-FInancial Statements'!J22</f>
        <v>0.14355266242313863</v>
      </c>
      <c r="K23" s="137">
        <f>('3-FInancial Statements'!K43+'3-FInancial Statements'!K37)/'3-FInancial Statements'!K22</f>
        <v>0.19082885319593729</v>
      </c>
      <c r="L23" s="137">
        <f>('3-FInancial Statements'!L43+'3-FInancial Statements'!L37)/'3-FInancial Statements'!L22</f>
        <v>0.17227268559700032</v>
      </c>
      <c r="M23" s="137">
        <f>('3-FInancial Statements'!M43+'3-FInancial Statements'!M37)/'3-FInancial Statements'!M22</f>
        <v>0.20248280963669077</v>
      </c>
      <c r="N23" s="137">
        <f>('3-FInancial Statements'!N43+'3-FInancial Statements'!N37)/'3-FInancial Statements'!N22</f>
        <v>0.13576491111632058</v>
      </c>
      <c r="O23" s="32"/>
      <c r="P23" s="122"/>
      <c r="Q23" s="135">
        <f t="shared" si="2"/>
        <v>0.14996537914045285</v>
      </c>
      <c r="R23" s="135">
        <f t="shared" si="3"/>
        <v>0.14603283293291824</v>
      </c>
    </row>
    <row r="24" spans="3:19" x14ac:dyDescent="0.3">
      <c r="D24" s="70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Q24" s="135"/>
      <c r="R24" s="135"/>
    </row>
    <row r="25" spans="3:19" x14ac:dyDescent="0.3">
      <c r="C25" s="122" t="s">
        <v>80</v>
      </c>
      <c r="D25" s="74" t="s">
        <v>736</v>
      </c>
      <c r="E25" s="135">
        <f>('3-FInancial Statements'!E34-'3-FInancial Statements'!E40)/(SUM('3-FInancial Statements'!E66:E72))</f>
        <v>7.9357812833981647E-2</v>
      </c>
      <c r="F25" s="135">
        <f>('3-FInancial Statements'!F34-'3-FInancial Statements'!F40)/(SUM('3-FInancial Statements'!F66:F72))</f>
        <v>0.11682746151876316</v>
      </c>
      <c r="G25" s="135">
        <f>('3-FInancial Statements'!G34-'3-FInancial Statements'!G40)/(SUM('3-FInancial Statements'!G66:G72))</f>
        <v>0.10191026602549971</v>
      </c>
      <c r="H25" s="135">
        <f>('3-FInancial Statements'!H34-'3-FInancial Statements'!H40)/(SUM('3-FInancial Statements'!H66:H72))</f>
        <v>7.6395395092294122E-2</v>
      </c>
      <c r="I25" s="135">
        <f>('3-FInancial Statements'!I34-'3-FInancial Statements'!I40)/(SUM('3-FInancial Statements'!I66:I72))</f>
        <v>8.734718088956811E-2</v>
      </c>
      <c r="J25" s="135">
        <f>('3-FInancial Statements'!J34-'3-FInancial Statements'!J40)/(SUM('3-FInancial Statements'!J66:J72))</f>
        <v>9.4765131398223595E-2</v>
      </c>
      <c r="K25" s="135">
        <f>('3-FInancial Statements'!K34-'3-FInancial Statements'!K40)/(SUM('3-FInancial Statements'!K66:K72))</f>
        <v>0.12357601609062316</v>
      </c>
      <c r="L25" s="135">
        <f>('3-FInancial Statements'!L34-'3-FInancial Statements'!L40)/(SUM('3-FInancial Statements'!L66:L72))</f>
        <v>0.13335325557433636</v>
      </c>
      <c r="M25" s="135">
        <f>('3-FInancial Statements'!M34-'3-FInancial Statements'!M40)/(SUM('3-FInancial Statements'!M66:M72))</f>
        <v>0.15819476486223363</v>
      </c>
      <c r="N25" s="135">
        <f>('3-FInancial Statements'!N34-'3-FInancial Statements'!N40)/(SUM('3-FInancial Statements'!N66:N72))</f>
        <v>8.5956316120706547E-2</v>
      </c>
      <c r="O25" s="19"/>
      <c r="P25" s="122"/>
      <c r="Q25" s="135">
        <f t="shared" si="2"/>
        <v>0.105768360040623</v>
      </c>
      <c r="R25" s="135">
        <f t="shared" si="3"/>
        <v>9.8337698711861654E-2</v>
      </c>
    </row>
    <row r="26" spans="3:19" x14ac:dyDescent="0.3">
      <c r="C26" t="s">
        <v>81</v>
      </c>
      <c r="D26" s="74" t="s">
        <v>736</v>
      </c>
      <c r="E26" s="135">
        <f>'3-FInancial Statements'!E60</f>
        <v>0.75373983397244138</v>
      </c>
      <c r="F26" s="135">
        <f>'3-FInancial Statements'!F60</f>
        <v>0.87613658040312836</v>
      </c>
      <c r="G26" s="135">
        <f>'3-FInancial Statements'!G60</f>
        <v>0.85146040285514601</v>
      </c>
      <c r="H26" s="135">
        <f>'3-FInancial Statements'!H60</f>
        <v>0.82445996345523287</v>
      </c>
      <c r="I26" s="135">
        <f>'3-FInancial Statements'!I60</f>
        <v>0.85777093421399209</v>
      </c>
      <c r="J26" s="135">
        <f>'3-FInancial Statements'!J60</f>
        <v>0.90196899874319225</v>
      </c>
      <c r="K26" s="135">
        <f>'3-FInancial Statements'!K60</f>
        <v>0.86287003849727872</v>
      </c>
      <c r="L26" s="135">
        <f>'3-FInancial Statements'!L60</f>
        <v>0.62524258699282376</v>
      </c>
      <c r="M26" s="135">
        <f>'3-FInancial Statements'!M60</f>
        <v>0.90013522965726278</v>
      </c>
      <c r="N26" s="135">
        <f>'3-FInancial Statements'!N60</f>
        <v>0.80962709453753501</v>
      </c>
      <c r="O26" s="19"/>
      <c r="Q26" s="135">
        <f t="shared" si="2"/>
        <v>0.82634116633280319</v>
      </c>
      <c r="R26" s="135">
        <f t="shared" si="3"/>
        <v>0.85461566853456905</v>
      </c>
    </row>
    <row r="27" spans="3:19" x14ac:dyDescent="0.3">
      <c r="C27" t="s">
        <v>82</v>
      </c>
      <c r="D27" s="74" t="s">
        <v>736</v>
      </c>
      <c r="E27" s="135">
        <f>'3-FInancial Statements'!E49/(SUM('3-FInancial Statements'!E66:E70))</f>
        <v>0.10077799199925269</v>
      </c>
      <c r="F27" s="135">
        <f>'3-FInancial Statements'!F49/(SUM('3-FInancial Statements'!F66:F70))</f>
        <v>0.16722430549156098</v>
      </c>
      <c r="G27" s="135">
        <f>'3-FInancial Statements'!G49/(SUM('3-FInancial Statements'!G66:G70))</f>
        <v>0.14566968004689784</v>
      </c>
      <c r="H27" s="135">
        <f>'3-FInancial Statements'!H49/(SUM('3-FInancial Statements'!H66:H70))</f>
        <v>0.11027140716042376</v>
      </c>
      <c r="I27" s="135">
        <f>'3-FInancial Statements'!I49/(SUM('3-FInancial Statements'!I66:I70))</f>
        <v>0.11785986336403395</v>
      </c>
      <c r="J27" s="135">
        <f>'3-FInancial Statements'!J49/(SUM('3-FInancial Statements'!J66:J70))</f>
        <v>0.16736380718856045</v>
      </c>
      <c r="K27" s="135">
        <f>'3-FInancial Statements'!K49/(SUM('3-FInancial Statements'!K66:K70))</f>
        <v>0.15247488679539911</v>
      </c>
      <c r="L27" s="135">
        <f>'3-FInancial Statements'!L49/(SUM('3-FInancial Statements'!L66:L70))</f>
        <v>0.14999999999999991</v>
      </c>
      <c r="M27" s="135">
        <f>'3-FInancial Statements'!M49/(SUM('3-FInancial Statements'!M66:M70))</f>
        <v>0.20184498267681558</v>
      </c>
      <c r="N27" s="135">
        <f>'3-FInancial Statements'!N49/(SUM('3-FInancial Statements'!N66:N70))</f>
        <v>9.5525310662117502E-2</v>
      </c>
      <c r="O27" s="19"/>
      <c r="Q27" s="135">
        <f t="shared" si="2"/>
        <v>0.14090122353850618</v>
      </c>
      <c r="R27" s="135">
        <f t="shared" si="3"/>
        <v>0.14783484002344888</v>
      </c>
    </row>
    <row r="28" spans="3:19" x14ac:dyDescent="0.3">
      <c r="C28" t="s">
        <v>83</v>
      </c>
      <c r="D28" s="74" t="s">
        <v>736</v>
      </c>
      <c r="E28" s="135">
        <f>E26*E27</f>
        <v>7.5960386957592746E-2</v>
      </c>
      <c r="F28" s="135">
        <f t="shared" ref="F28:N28" si="4">F26*F27</f>
        <v>0.1465113311736643</v>
      </c>
      <c r="G28" s="135">
        <f t="shared" si="4"/>
        <v>0.12403196445651186</v>
      </c>
      <c r="H28" s="135">
        <f t="shared" si="4"/>
        <v>9.0914360317640081E-2</v>
      </c>
      <c r="I28" s="135">
        <f t="shared" si="4"/>
        <v>0.10109676510410086</v>
      </c>
      <c r="J28" s="135">
        <f t="shared" si="4"/>
        <v>0.15095696559571456</v>
      </c>
      <c r="K28" s="135">
        <f t="shared" si="4"/>
        <v>0.13156601143901425</v>
      </c>
      <c r="L28" s="135">
        <f t="shared" si="4"/>
        <v>9.3786388048923502E-2</v>
      </c>
      <c r="M28" s="135">
        <f t="shared" si="4"/>
        <v>0.18168777983696163</v>
      </c>
      <c r="N28" s="135">
        <f t="shared" si="4"/>
        <v>7.7339879726165614E-2</v>
      </c>
      <c r="O28" s="19"/>
      <c r="Q28" s="135">
        <f t="shared" si="2"/>
        <v>0.11738518326562893</v>
      </c>
      <c r="R28" s="135">
        <f t="shared" si="3"/>
        <v>0.11256436478030636</v>
      </c>
    </row>
    <row r="29" spans="3:19" x14ac:dyDescent="0.3">
      <c r="C29" s="122" t="s">
        <v>84</v>
      </c>
      <c r="D29" s="74" t="s">
        <v>775</v>
      </c>
      <c r="E29" s="142">
        <f>('3-FInancial Statements'!E43+'3-FInancial Statements'!E37)/'3-FInancial Statements'!E37</f>
        <v>3.4271696467509836</v>
      </c>
      <c r="F29" s="142">
        <f>('3-FInancial Statements'!F43+'3-FInancial Statements'!F37)/'3-FInancial Statements'!F37</f>
        <v>5.8049977004445807</v>
      </c>
      <c r="G29" s="142">
        <f>('3-FInancial Statements'!G43+'3-FInancial Statements'!G37)/'3-FInancial Statements'!G37</f>
        <v>7.0364547509089181</v>
      </c>
      <c r="H29" s="142">
        <f>('3-FInancial Statements'!H43+'3-FInancial Statements'!H37)/'3-FInancial Statements'!H37</f>
        <v>5.1929937848091088</v>
      </c>
      <c r="I29" s="142">
        <f>('3-FInancial Statements'!I43+'3-FInancial Statements'!I37)/'3-FInancial Statements'!I37</f>
        <v>4.3796440994101955</v>
      </c>
      <c r="J29" s="142">
        <f>('3-FInancial Statements'!J43+'3-FInancial Statements'!J37)/'3-FInancial Statements'!J37</f>
        <v>5.1571158062587195</v>
      </c>
      <c r="K29" s="142">
        <f>('3-FInancial Statements'!K43+'3-FInancial Statements'!K37)/'3-FInancial Statements'!K37</f>
        <v>11.966927958193365</v>
      </c>
      <c r="L29" s="142">
        <f>('3-FInancial Statements'!L43+'3-FInancial Statements'!L37)/'3-FInancial Statements'!L37</f>
        <v>18.476494436297756</v>
      </c>
      <c r="M29" s="142">
        <f>('3-FInancial Statements'!M43+'3-FInancial Statements'!M37)/'3-FInancial Statements'!M37</f>
        <v>14.700566350942294</v>
      </c>
      <c r="N29" s="142">
        <f>('3-FInancial Statements'!N43+'3-FInancial Statements'!N37)/'3-FInancial Statements'!N37</f>
        <v>5.9007906315127858</v>
      </c>
      <c r="O29" s="124"/>
      <c r="P29" s="122"/>
      <c r="Q29" s="143">
        <f>AVERAGE(E29:N29)</f>
        <v>8.2043155165528709</v>
      </c>
      <c r="R29" s="143">
        <f t="shared" si="3"/>
        <v>5.8528941659786833</v>
      </c>
    </row>
    <row r="30" spans="3:19" x14ac:dyDescent="0.3">
      <c r="D30" s="70"/>
      <c r="Q30" s="125"/>
      <c r="R30" s="125"/>
    </row>
    <row r="31" spans="3:19" x14ac:dyDescent="0.3">
      <c r="C31" s="122" t="s">
        <v>85</v>
      </c>
      <c r="D31" s="74" t="s">
        <v>775</v>
      </c>
      <c r="E31" s="142">
        <f>'3-FInancial Statements'!E22/'3-FInancial Statements'!E87</f>
        <v>7.4343333442504838</v>
      </c>
      <c r="F31" s="142">
        <f>'3-FInancial Statements'!F22/'3-FInancial Statements'!F87</f>
        <v>8.9269164982117868</v>
      </c>
      <c r="G31" s="142">
        <f>'3-FInancial Statements'!G22/'3-FInancial Statements'!G87</f>
        <v>7.3403461766810274</v>
      </c>
      <c r="H31" s="142">
        <f>'3-FInancial Statements'!H22/'3-FInancial Statements'!H87</f>
        <v>8.2113274076250651</v>
      </c>
      <c r="I31" s="142">
        <f>'3-FInancial Statements'!I22/'3-FInancial Statements'!I87</f>
        <v>6.9011810449574726</v>
      </c>
      <c r="J31" s="142">
        <f>'3-FInancial Statements'!J22/'3-FInancial Statements'!J87</f>
        <v>8.0907336123985765</v>
      </c>
      <c r="K31" s="142">
        <f>'3-FInancial Statements'!K22/'3-FInancial Statements'!K87</f>
        <v>6.5905410494602066</v>
      </c>
      <c r="L31" s="142">
        <f>'3-FInancial Statements'!L22/'3-FInancial Statements'!L87</f>
        <v>6.936684426343831</v>
      </c>
      <c r="M31" s="142">
        <f>'3-FInancial Statements'!M22/'3-FInancial Statements'!M87</f>
        <v>8.3277797067685171</v>
      </c>
      <c r="N31" s="142">
        <f>'3-FInancial Statements'!N22/'3-FInancial Statements'!N87</f>
        <v>6.7626028144655708</v>
      </c>
      <c r="O31" s="124"/>
      <c r="P31" s="122"/>
      <c r="Q31" s="143">
        <f t="shared" ref="Q31:Q35" si="5">AVERAGE(E31:N31)</f>
        <v>7.5522446081162542</v>
      </c>
      <c r="R31" s="143">
        <f t="shared" si="3"/>
        <v>7.3873397604657551</v>
      </c>
    </row>
    <row r="32" spans="3:19" x14ac:dyDescent="0.3">
      <c r="C32" t="s">
        <v>86</v>
      </c>
      <c r="D32" s="74" t="s">
        <v>775</v>
      </c>
      <c r="E32" s="142">
        <f>'3-FInancial Statements'!E22/'3-FInancial Statements'!E72</f>
        <v>3.9411841305668895</v>
      </c>
      <c r="F32" s="142">
        <f>'3-FInancial Statements'!F22/'3-FInancial Statements'!F72</f>
        <v>4.0086234736538913</v>
      </c>
      <c r="G32" s="142">
        <f>'3-FInancial Statements'!G22/'3-FInancial Statements'!G72</f>
        <v>3.4702690253767652</v>
      </c>
      <c r="H32" s="142">
        <f>'3-FInancial Statements'!H22/'3-FInancial Statements'!H72</f>
        <v>3.3737203013328179</v>
      </c>
      <c r="I32" s="142">
        <f>'3-FInancial Statements'!I22/'3-FInancial Statements'!I72</f>
        <v>3.5000246494843328</v>
      </c>
      <c r="J32" s="142">
        <f>'3-FInancial Statements'!J22/'3-FInancial Statements'!J72</f>
        <v>4.0171229251060083</v>
      </c>
      <c r="K32" s="142">
        <f>'3-FInancial Statements'!K22/'3-FInancial Statements'!K72</f>
        <v>3.2479487754518108</v>
      </c>
      <c r="L32" s="142">
        <f>'3-FInancial Statements'!L22/'3-FInancial Statements'!L72</f>
        <v>3.5079137583722204</v>
      </c>
      <c r="M32" s="142">
        <f>'3-FInancial Statements'!M22/'3-FInancial Statements'!M72</f>
        <v>3.782537029829903</v>
      </c>
      <c r="N32" s="142">
        <f>'3-FInancial Statements'!N22/'3-FInancial Statements'!N72</f>
        <v>3.3305752860713542</v>
      </c>
      <c r="O32" s="124"/>
      <c r="Q32" s="143">
        <f t="shared" si="5"/>
        <v>3.6179919355245986</v>
      </c>
      <c r="R32" s="143">
        <f t="shared" si="3"/>
        <v>3.5039692039282766</v>
      </c>
      <c r="S32" s="19"/>
    </row>
    <row r="33" spans="3:20" x14ac:dyDescent="0.3">
      <c r="C33" t="s">
        <v>87</v>
      </c>
      <c r="D33" s="74" t="s">
        <v>775</v>
      </c>
      <c r="E33" s="142">
        <f>'3-FInancial Statements'!E22/'3-FInancial Statements'!E88</f>
        <v>5.9461034708578921</v>
      </c>
      <c r="F33" s="142">
        <f>'3-FInancial Statements'!F22/'3-FInancial Statements'!F88</f>
        <v>6.844080172863424</v>
      </c>
      <c r="G33" s="142">
        <f>'3-FInancial Statements'!G22/'3-FInancial Statements'!G88</f>
        <v>5.7529768296465988</v>
      </c>
      <c r="H33" s="142">
        <f>'3-FInancial Statements'!H22/'3-FInancial Statements'!H88</f>
        <v>5.8329750151328561</v>
      </c>
      <c r="I33" s="142">
        <f>'3-FInancial Statements'!I22/'3-FInancial Statements'!I88</f>
        <v>5.7968140176690568</v>
      </c>
      <c r="J33" s="142">
        <f>'3-FInancial Statements'!J22/'3-FInancial Statements'!J88</f>
        <v>6.0016899344838208</v>
      </c>
      <c r="K33" s="142">
        <f>'3-FInancial Statements'!K22/'3-FInancial Statements'!K88</f>
        <v>5.7306081237805468</v>
      </c>
      <c r="L33" s="142">
        <f>'3-FInancial Statements'!L22/'3-FInancial Statements'!L88</f>
        <v>5.8142784327112382</v>
      </c>
      <c r="M33" s="142">
        <f>'3-FInancial Statements'!M22/'3-FInancial Statements'!M88</f>
        <v>6.5384141864054275</v>
      </c>
      <c r="N33" s="142">
        <f>'3-FInancial Statements'!N22/'3-FInancial Statements'!N88</f>
        <v>5.6474057262719919</v>
      </c>
      <c r="O33" s="124"/>
      <c r="Q33" s="143">
        <f t="shared" si="5"/>
        <v>5.9905345909822856</v>
      </c>
      <c r="R33" s="143">
        <f t="shared" si="3"/>
        <v>5.8236267239220467</v>
      </c>
    </row>
    <row r="34" spans="3:20" x14ac:dyDescent="0.3">
      <c r="C34" t="s">
        <v>88</v>
      </c>
      <c r="D34" s="74" t="s">
        <v>775</v>
      </c>
      <c r="E34" s="142">
        <f>'3-FInancial Statements'!E22/'3-FInancial Statements'!E80</f>
        <v>1.1574370335999267</v>
      </c>
      <c r="F34" s="142">
        <f>'3-FInancial Statements'!F22/'3-FInancial Statements'!F80</f>
        <v>1.1167653895908105</v>
      </c>
      <c r="G34" s="142">
        <f>'3-FInancial Statements'!G22/'3-FInancial Statements'!G80</f>
        <v>1.094642115275908</v>
      </c>
      <c r="H34" s="142">
        <f>'3-FInancial Statements'!H22/'3-FInancial Statements'!H80</f>
        <v>1.0912704843613019</v>
      </c>
      <c r="I34" s="142">
        <f>'3-FInancial Statements'!I22/'3-FInancial Statements'!I80</f>
        <v>1.2656616851386693</v>
      </c>
      <c r="J34" s="142">
        <f>'3-FInancial Statements'!J22/'3-FInancial Statements'!J80</f>
        <v>1.1322038636281544</v>
      </c>
      <c r="K34" s="142">
        <f>'3-FInancial Statements'!K22/'3-FInancial Statements'!K80</f>
        <v>1.0732187209337982</v>
      </c>
      <c r="L34" s="142">
        <f>'3-FInancial Statements'!L22/'3-FInancial Statements'!L80</f>
        <v>1.4757545437605113</v>
      </c>
      <c r="M34" s="142">
        <f>'3-FInancial Statements'!M22/'3-FInancial Statements'!M80</f>
        <v>1.4796563115683896</v>
      </c>
      <c r="N34" s="142">
        <f>'3-FInancial Statements'!N22/'3-FInancial Statements'!N80</f>
        <v>0.99221394361112913</v>
      </c>
      <c r="O34" s="124"/>
      <c r="Q34" s="143">
        <f t="shared" si="5"/>
        <v>1.1878824091468598</v>
      </c>
      <c r="R34" s="143">
        <f t="shared" si="3"/>
        <v>1.1244846266094823</v>
      </c>
    </row>
    <row r="35" spans="3:20" x14ac:dyDescent="0.3">
      <c r="C35" s="122" t="s">
        <v>89</v>
      </c>
      <c r="D35" s="74" t="s">
        <v>775</v>
      </c>
      <c r="E35" s="142">
        <f>'3-FInancial Statements'!E22/(SUM('3-FInancial Statements'!E66:E70))</f>
        <v>1.9279295730386703</v>
      </c>
      <c r="F35" s="142">
        <f>'3-FInancial Statements'!F22/(SUM('3-FInancial Statements'!F66:F70))</f>
        <v>1.6278044388995612</v>
      </c>
      <c r="G35" s="142">
        <f>'3-FInancial Statements'!G22/(SUM('3-FInancial Statements'!G66:G70))</f>
        <v>1.4877047915831045</v>
      </c>
      <c r="H35" s="142">
        <f>'3-FInancial Statements'!H22/(SUM('3-FInancial Statements'!H66:H70))</f>
        <v>1.5426680320289705</v>
      </c>
      <c r="I35" s="142">
        <f>'3-FInancial Statements'!I22/(SUM('3-FInancial Statements'!I66:I70))</f>
        <v>1.6953151677384382</v>
      </c>
      <c r="J35" s="142">
        <f>'3-FInancial Statements'!J22/(SUM('3-FInancial Statements'!J66:J70))</f>
        <v>1.4442447844673887</v>
      </c>
      <c r="K35" s="142">
        <f>'3-FInancial Statements'!K22/(SUM('3-FInancial Statements'!K66:K70))</f>
        <v>1.2144612733276658</v>
      </c>
      <c r="L35" s="142">
        <f>'3-FInancial Statements'!L22/(SUM('3-FInancial Statements'!L66:L70))</f>
        <v>1.4029042740443203</v>
      </c>
      <c r="M35" s="142">
        <f>'3-FInancial Statements'!M22/(SUM('3-FInancial Statements'!M66:M70))</f>
        <v>1.3996201229423719</v>
      </c>
      <c r="N35" s="142">
        <f>'3-FInancial Statements'!N22/(SUM('3-FInancial Statements'!N66:N70))</f>
        <v>1.1156595445490411</v>
      </c>
      <c r="O35" s="124"/>
      <c r="P35" s="122"/>
      <c r="Q35" s="143">
        <f t="shared" si="5"/>
        <v>1.4858312002619534</v>
      </c>
      <c r="R35" s="143">
        <f t="shared" si="3"/>
        <v>1.4659747880252465</v>
      </c>
    </row>
    <row r="36" spans="3:20" x14ac:dyDescent="0.3">
      <c r="D36" s="70"/>
    </row>
    <row r="37" spans="3:20" x14ac:dyDescent="0.3">
      <c r="C37" s="122" t="s">
        <v>90</v>
      </c>
      <c r="D37" s="74" t="s">
        <v>776</v>
      </c>
      <c r="E37" s="126">
        <f>365/E31</f>
        <v>49.096534026454613</v>
      </c>
      <c r="F37" s="126">
        <f t="shared" ref="F37:N37" si="6">365/F31</f>
        <v>40.887578602658117</v>
      </c>
      <c r="G37" s="126">
        <f t="shared" si="6"/>
        <v>49.725175245758841</v>
      </c>
      <c r="H37" s="126">
        <f t="shared" si="6"/>
        <v>44.450791191331604</v>
      </c>
      <c r="I37" s="126">
        <f t="shared" si="6"/>
        <v>52.88949784424171</v>
      </c>
      <c r="J37" s="126">
        <f t="shared" si="6"/>
        <v>45.113337984661719</v>
      </c>
      <c r="K37" s="126">
        <f t="shared" si="6"/>
        <v>55.38240294093837</v>
      </c>
      <c r="L37" s="126">
        <f t="shared" si="6"/>
        <v>52.618798487331972</v>
      </c>
      <c r="M37" s="126">
        <f t="shared" si="6"/>
        <v>43.829209327348231</v>
      </c>
      <c r="N37" s="126">
        <f t="shared" si="6"/>
        <v>53.973301406855569</v>
      </c>
      <c r="O37" s="126"/>
      <c r="P37" s="122"/>
      <c r="Q37" s="126">
        <f>AVERAGE(E37:N37)</f>
        <v>48.796662705758074</v>
      </c>
      <c r="R37" s="126">
        <f>MEDIAN(E37:N37)</f>
        <v>49.410854636106727</v>
      </c>
      <c r="T37" s="19"/>
    </row>
    <row r="38" spans="3:20" x14ac:dyDescent="0.3">
      <c r="C38" t="s">
        <v>91</v>
      </c>
      <c r="D38" s="70" t="s">
        <v>776</v>
      </c>
      <c r="E38" s="126">
        <f>365/E32</f>
        <v>92.611760300450456</v>
      </c>
      <c r="F38" s="126">
        <f t="shared" ref="F38:N38" si="7">365/F32</f>
        <v>91.053700203800801</v>
      </c>
      <c r="G38" s="126">
        <f t="shared" si="7"/>
        <v>105.17916545688333</v>
      </c>
      <c r="H38" s="126">
        <f t="shared" si="7"/>
        <v>108.18917023317064</v>
      </c>
      <c r="I38" s="126">
        <f t="shared" si="7"/>
        <v>104.28497983686383</v>
      </c>
      <c r="J38" s="126">
        <f t="shared" si="7"/>
        <v>90.861048268859733</v>
      </c>
      <c r="K38" s="126">
        <f t="shared" si="7"/>
        <v>112.37861962562083</v>
      </c>
      <c r="L38" s="126">
        <f t="shared" si="7"/>
        <v>104.0504485404941</v>
      </c>
      <c r="M38" s="126">
        <f t="shared" si="7"/>
        <v>96.496081101528219</v>
      </c>
      <c r="N38" s="126">
        <f t="shared" si="7"/>
        <v>109.5906768798921</v>
      </c>
      <c r="O38" s="126"/>
      <c r="Q38" s="126">
        <f t="shared" ref="Q38:Q40" si="8">AVERAGE(E38:N38)</f>
        <v>101.46956504475641</v>
      </c>
      <c r="R38" s="126">
        <f t="shared" ref="R38:R40" si="9">MEDIAN(E38:N38)</f>
        <v>104.16771418867896</v>
      </c>
    </row>
    <row r="39" spans="3:20" x14ac:dyDescent="0.3">
      <c r="C39" t="s">
        <v>92</v>
      </c>
      <c r="D39" s="70" t="s">
        <v>776</v>
      </c>
      <c r="E39" s="126">
        <f>365/E33</f>
        <v>61.384737381191002</v>
      </c>
      <c r="F39" s="126">
        <f t="shared" ref="F39:N39" si="10">365/F33</f>
        <v>53.33076042083993</v>
      </c>
      <c r="G39" s="126">
        <f t="shared" si="10"/>
        <v>63.445414575469734</v>
      </c>
      <c r="H39" s="126">
        <f t="shared" si="10"/>
        <v>62.575272318680845</v>
      </c>
      <c r="I39" s="126">
        <f t="shared" si="10"/>
        <v>62.965621958451116</v>
      </c>
      <c r="J39" s="126">
        <f t="shared" si="10"/>
        <v>60.81620409991941</v>
      </c>
      <c r="K39" s="126">
        <f t="shared" si="10"/>
        <v>63.693065747305958</v>
      </c>
      <c r="L39" s="126">
        <f t="shared" si="10"/>
        <v>62.77649139513224</v>
      </c>
      <c r="M39" s="126">
        <f t="shared" si="10"/>
        <v>55.823933693112089</v>
      </c>
      <c r="N39" s="126">
        <f t="shared" si="10"/>
        <v>64.631446312065592</v>
      </c>
      <c r="O39" s="126"/>
      <c r="Q39" s="126">
        <f t="shared" si="8"/>
        <v>61.144294790216783</v>
      </c>
      <c r="R39" s="126">
        <f t="shared" si="9"/>
        <v>62.675881856906543</v>
      </c>
    </row>
    <row r="40" spans="3:20" x14ac:dyDescent="0.3">
      <c r="C40" s="122" t="s">
        <v>93</v>
      </c>
      <c r="D40" s="74" t="s">
        <v>776</v>
      </c>
      <c r="E40" s="126">
        <f>SUM(E37+E39)-E38</f>
        <v>17.869511107195152</v>
      </c>
      <c r="F40" s="126">
        <f t="shared" ref="F40:N40" si="11">SUM(F37+F39)-F38</f>
        <v>3.1646388196972453</v>
      </c>
      <c r="G40" s="126">
        <f t="shared" si="11"/>
        <v>7.9914243643452494</v>
      </c>
      <c r="H40" s="126">
        <f t="shared" si="11"/>
        <v>-1.1631067231581937</v>
      </c>
      <c r="I40" s="126">
        <f t="shared" si="11"/>
        <v>11.570139965829</v>
      </c>
      <c r="J40" s="126">
        <f t="shared" si="11"/>
        <v>15.068493815721396</v>
      </c>
      <c r="K40" s="126">
        <f t="shared" si="11"/>
        <v>6.6968490626234995</v>
      </c>
      <c r="L40" s="126">
        <f t="shared" si="11"/>
        <v>11.34484134197011</v>
      </c>
      <c r="M40" s="126">
        <f t="shared" si="11"/>
        <v>3.1570619189321008</v>
      </c>
      <c r="N40" s="126">
        <f t="shared" si="11"/>
        <v>9.0140708390290598</v>
      </c>
      <c r="O40" s="126"/>
      <c r="P40" s="122"/>
      <c r="Q40" s="126">
        <f t="shared" si="8"/>
        <v>8.4713924512184615</v>
      </c>
      <c r="R40" s="126">
        <f t="shared" si="9"/>
        <v>8.5027476016871546</v>
      </c>
    </row>
    <row r="41" spans="3:20" x14ac:dyDescent="0.3">
      <c r="D41" s="70"/>
    </row>
    <row r="42" spans="3:20" x14ac:dyDescent="0.3">
      <c r="C42" s="122" t="s">
        <v>94</v>
      </c>
      <c r="D42" s="74" t="s">
        <v>736</v>
      </c>
      <c r="E42" s="135">
        <f>'3-FInancial Statements'!E108/'3-FInancial Statements'!E22</f>
        <v>0.11916693282817713</v>
      </c>
      <c r="F42" s="135">
        <f>'3-FInancial Statements'!F108/'3-FInancial Statements'!F22</f>
        <v>0.237332125624902</v>
      </c>
      <c r="G42" s="135">
        <f>'3-FInancial Statements'!G108/'3-FInancial Statements'!G22</f>
        <v>0.13397486415861296</v>
      </c>
      <c r="H42" s="135">
        <f>'3-FInancial Statements'!H108/'3-FInancial Statements'!H22</f>
        <v>0.12112992571175014</v>
      </c>
      <c r="I42" s="135">
        <f>'3-FInancial Statements'!I108/'3-FInancial Statements'!I22</f>
        <v>0.12620447096240769</v>
      </c>
      <c r="J42" s="135">
        <f>'3-FInancial Statements'!J108/'3-FInancial Statements'!J22</f>
        <v>0.18087471790340681</v>
      </c>
      <c r="K42" s="135">
        <f>'3-FInancial Statements'!K108/'3-FInancial Statements'!K22</f>
        <v>0.21095137642201703</v>
      </c>
      <c r="L42" s="135">
        <f>'3-FInancial Statements'!L108/'3-FInancial Statements'!L22</f>
        <v>0.16937892784586356</v>
      </c>
      <c r="M42" s="135">
        <f>'3-FInancial Statements'!M108/'3-FInancial Statements'!M22</f>
        <v>0.19508750693498764</v>
      </c>
      <c r="N42" s="135">
        <f>'3-FInancial Statements'!N108/'3-FInancial Statements'!N22</f>
        <v>0.15937868192155585</v>
      </c>
      <c r="O42" s="19"/>
      <c r="P42" s="122"/>
      <c r="Q42" s="135">
        <f>AVERAGE(E42:N42)</f>
        <v>0.16534795303136809</v>
      </c>
      <c r="R42" s="135">
        <f>MEDIAN(E42:N42)</f>
        <v>0.16437880488370971</v>
      </c>
    </row>
    <row r="43" spans="3:20" x14ac:dyDescent="0.3">
      <c r="C43" t="s">
        <v>95</v>
      </c>
      <c r="D43" s="74" t="s">
        <v>736</v>
      </c>
      <c r="E43" s="135">
        <f>'3-FInancial Statements'!E108/'3-FInancial Statements'!E92</f>
        <v>9.1957852367702222E-2</v>
      </c>
      <c r="F43" s="135">
        <f>'3-FInancial Statements'!F108/'3-FInancial Statements'!F92</f>
        <v>0.16967779898317853</v>
      </c>
      <c r="G43" s="135">
        <f>'3-FInancial Statements'!G108/'3-FInancial Statements'!G92</f>
        <v>9.2705138820922656E-2</v>
      </c>
      <c r="H43" s="135">
        <f>'3-FInancial Statements'!H108/'3-FInancial Statements'!H92</f>
        <v>8.0951714753420112E-2</v>
      </c>
      <c r="I43" s="135">
        <f>'3-FInancial Statements'!I108/'3-FInancial Statements'!I92</f>
        <v>9.0615803153349023E-2</v>
      </c>
      <c r="J43" s="135">
        <f>'3-FInancial Statements'!J108/'3-FInancial Statements'!J92</f>
        <v>0.12004602991944764</v>
      </c>
      <c r="K43" s="135">
        <f>'3-FInancial Statements'!K108/'3-FInancial Statements'!K92</f>
        <v>0.1372444383859992</v>
      </c>
      <c r="L43" s="135">
        <f>'3-FInancial Statements'!L108/'3-FInancial Statements'!L92</f>
        <v>0.13358697520648574</v>
      </c>
      <c r="M43" s="135">
        <f>'3-FInancial Statements'!M108/'3-FInancial Statements'!M92</f>
        <v>0.15483668492576005</v>
      </c>
      <c r="N43" s="135">
        <f>'3-FInancial Statements'!N108/'3-FInancial Statements'!N92</f>
        <v>0.1023741614265502</v>
      </c>
      <c r="O43" s="19"/>
      <c r="Q43" s="135">
        <f t="shared" ref="Q43:Q44" si="12">AVERAGE(E43:N43)</f>
        <v>0.11739965979428155</v>
      </c>
      <c r="R43" s="135">
        <f t="shared" ref="R43:R44" si="13">MEDIAN(E43:N43)</f>
        <v>0.11121009567299892</v>
      </c>
    </row>
    <row r="44" spans="3:20" x14ac:dyDescent="0.3">
      <c r="C44" s="122" t="s">
        <v>96</v>
      </c>
      <c r="D44" s="74" t="s">
        <v>736</v>
      </c>
      <c r="E44" s="135">
        <f>'3-FInancial Statements'!E108/'3-FInancial Statements'!E75</f>
        <v>9.1957852367702222E-2</v>
      </c>
      <c r="F44" s="135">
        <f>'3-FInancial Statements'!F108/'3-FInancial Statements'!F75</f>
        <v>0.16967779898317856</v>
      </c>
      <c r="G44" s="135">
        <f>'3-FInancial Statements'!G108/'3-FInancial Statements'!G75</f>
        <v>9.2705138820922656E-2</v>
      </c>
      <c r="H44" s="135">
        <f>'3-FInancial Statements'!H108/'3-FInancial Statements'!H75</f>
        <v>8.0951714753420112E-2</v>
      </c>
      <c r="I44" s="135">
        <f>'3-FInancial Statements'!I108/'3-FInancial Statements'!I75</f>
        <v>9.061580315334905E-2</v>
      </c>
      <c r="J44" s="135">
        <f>'3-FInancial Statements'!J108/'3-FInancial Statements'!J75</f>
        <v>0.12004602991944764</v>
      </c>
      <c r="K44" s="135">
        <f>'3-FInancial Statements'!K108/'3-FInancial Statements'!K75</f>
        <v>0.1372444383859992</v>
      </c>
      <c r="L44" s="135">
        <f>'3-FInancial Statements'!L108/'3-FInancial Statements'!L75</f>
        <v>0.13358697520648574</v>
      </c>
      <c r="M44" s="135">
        <f>'3-FInancial Statements'!M108/'3-FInancial Statements'!M75</f>
        <v>0.15483668492576005</v>
      </c>
      <c r="N44" s="135">
        <f>'3-FInancial Statements'!N108/'3-FInancial Statements'!N75</f>
        <v>0.10237416142655022</v>
      </c>
      <c r="O44" s="19"/>
      <c r="P44" s="122"/>
      <c r="Q44" s="135">
        <f t="shared" si="12"/>
        <v>0.11739965979428155</v>
      </c>
      <c r="R44" s="135">
        <f t="shared" si="13"/>
        <v>0.11121009567299893</v>
      </c>
    </row>
  </sheetData>
  <mergeCells count="4">
    <mergeCell ref="E5:N5"/>
    <mergeCell ref="Q5:Q6"/>
    <mergeCell ref="R5:R6"/>
    <mergeCell ref="O5:P6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high="1" xr2:uid="{00000000-0003-0000-0400-000001000000}">
          <x14:colorSeries theme="3" tint="-0.249977111117893"/>
          <x14:colorNegative rgb="FFD00000"/>
          <x14:colorAxis rgb="FF000000"/>
          <x14:colorMarkers rgb="FFC00000"/>
          <x14:colorFirst rgb="FFD00000"/>
          <x14:colorLast rgb="FFD00000"/>
          <x14:colorHigh rgb="FFC00000"/>
          <x14:colorLow rgb="FFD00000"/>
          <x14:sparklines>
            <x14:sparkline>
              <xm:f>'Ratio Analysis'!F9:N9</xm:f>
              <xm:sqref>P9</xm:sqref>
            </x14:sparkline>
            <x14:sparkline>
              <xm:f>'Ratio Analysis'!F10:N10</xm:f>
              <xm:sqref>P10</xm:sqref>
            </x14:sparkline>
            <x14:sparkline>
              <xm:f>'Ratio Analysis'!F11:N11</xm:f>
              <xm:sqref>P11</xm:sqref>
            </x14:sparkline>
            <x14:sparkline>
              <xm:f>'Ratio Analysis'!F12:N12</xm:f>
              <xm:sqref>P12</xm:sqref>
            </x14:sparkline>
            <x14:sparkline>
              <xm:f>'Ratio Analysis'!F13:N13</xm:f>
              <xm:sqref>P13</xm:sqref>
            </x14:sparkline>
          </x14:sparklines>
        </x14:sparklineGroup>
        <x14:sparklineGroup manualMax="0" manualMin="0" displayEmptyCellsAs="gap" markers="1" high="1" xr2:uid="{00000000-0003-0000-0400-000000000000}">
          <x14:colorSeries theme="3" tint="-0.249977111117893"/>
          <x14:colorNegative rgb="FFD00000"/>
          <x14:colorAxis rgb="FF000000"/>
          <x14:colorMarkers rgb="FFC00000"/>
          <x14:colorFirst rgb="FFD00000"/>
          <x14:colorLast rgb="FFD00000"/>
          <x14:colorHigh rgb="FFC00000"/>
          <x14:colorLow rgb="FFD00000"/>
          <x14:sparklines>
            <x14:sparkline>
              <xm:f>'Ratio Analysis'!E15:N15</xm:f>
              <xm:sqref>P15</xm:sqref>
            </x14:sparkline>
            <x14:sparkline>
              <xm:f>'Ratio Analysis'!E16:N16</xm:f>
              <xm:sqref>P16</xm:sqref>
            </x14:sparkline>
            <x14:sparkline>
              <xm:f>'Ratio Analysis'!E17:N17</xm:f>
              <xm:sqref>P17</xm:sqref>
            </x14:sparkline>
            <x14:sparkline>
              <xm:f>'Ratio Analysis'!E18:N18</xm:f>
              <xm:sqref>P18</xm:sqref>
            </x14:sparkline>
            <x14:sparkline>
              <xm:f>'Ratio Analysis'!E19:N19</xm:f>
              <xm:sqref>P19</xm:sqref>
            </x14:sparkline>
            <x14:sparkline>
              <xm:f>'Ratio Analysis'!E20:N20</xm:f>
              <xm:sqref>P20</xm:sqref>
            </x14:sparkline>
            <x14:sparkline>
              <xm:f>'Ratio Analysis'!E21:N21</xm:f>
              <xm:sqref>P21</xm:sqref>
            </x14:sparkline>
            <x14:sparkline>
              <xm:f>'Ratio Analysis'!E22:N22</xm:f>
              <xm:sqref>P22</xm:sqref>
            </x14:sparkline>
            <x14:sparkline>
              <xm:f>'Ratio Analysis'!E23:N23</xm:f>
              <xm:sqref>P23</xm:sqref>
            </x14:sparkline>
            <x14:sparkline>
              <xm:f>'Ratio Analysis'!E24:N24</xm:f>
              <xm:sqref>P24</xm:sqref>
            </x14:sparkline>
            <x14:sparkline>
              <xm:f>'Ratio Analysis'!E25:N25</xm:f>
              <xm:sqref>P25</xm:sqref>
            </x14:sparkline>
            <x14:sparkline>
              <xm:f>'Ratio Analysis'!E26:N26</xm:f>
              <xm:sqref>P26</xm:sqref>
            </x14:sparkline>
            <x14:sparkline>
              <xm:f>'Ratio Analysis'!E27:N27</xm:f>
              <xm:sqref>P27</xm:sqref>
            </x14:sparkline>
            <x14:sparkline>
              <xm:f>'Ratio Analysis'!E28:N28</xm:f>
              <xm:sqref>P28</xm:sqref>
            </x14:sparkline>
            <x14:sparkline>
              <xm:f>'Ratio Analysis'!E29:N29</xm:f>
              <xm:sqref>P29</xm:sqref>
            </x14:sparkline>
            <x14:sparkline>
              <xm:f>'Ratio Analysis'!E30:N30</xm:f>
              <xm:sqref>P30</xm:sqref>
            </x14:sparkline>
            <x14:sparkline>
              <xm:f>'Ratio Analysis'!E31:N31</xm:f>
              <xm:sqref>P31</xm:sqref>
            </x14:sparkline>
            <x14:sparkline>
              <xm:f>'Ratio Analysis'!E32:N32</xm:f>
              <xm:sqref>P32</xm:sqref>
            </x14:sparkline>
            <x14:sparkline>
              <xm:f>'Ratio Analysis'!E33:N33</xm:f>
              <xm:sqref>P33</xm:sqref>
            </x14:sparkline>
            <x14:sparkline>
              <xm:f>'Ratio Analysis'!E34:N34</xm:f>
              <xm:sqref>P34</xm:sqref>
            </x14:sparkline>
            <x14:sparkline>
              <xm:f>'Ratio Analysis'!E35:N35</xm:f>
              <xm:sqref>P35</xm:sqref>
            </x14:sparkline>
            <x14:sparkline>
              <xm:f>'Ratio Analysis'!E36:N36</xm:f>
              <xm:sqref>P36</xm:sqref>
            </x14:sparkline>
            <x14:sparkline>
              <xm:f>'Ratio Analysis'!E37:N37</xm:f>
              <xm:sqref>P37</xm:sqref>
            </x14:sparkline>
            <x14:sparkline>
              <xm:f>'Ratio Analysis'!E38:N38</xm:f>
              <xm:sqref>P38</xm:sqref>
            </x14:sparkline>
            <x14:sparkline>
              <xm:f>'Ratio Analysis'!E39:N39</xm:f>
              <xm:sqref>P39</xm:sqref>
            </x14:sparkline>
            <x14:sparkline>
              <xm:f>'Ratio Analysis'!E40:N40</xm:f>
              <xm:sqref>P40</xm:sqref>
            </x14:sparkline>
            <x14:sparkline>
              <xm:f>'Ratio Analysis'!E41:N41</xm:f>
              <xm:sqref>P41</xm:sqref>
            </x14:sparkline>
            <x14:sparkline>
              <xm:f>'Ratio Analysis'!E42:N42</xm:f>
              <xm:sqref>P42</xm:sqref>
            </x14:sparkline>
            <x14:sparkline>
              <xm:f>'Ratio Analysis'!E43:N43</xm:f>
              <xm:sqref>P43</xm:sqref>
            </x14:sparkline>
            <x14:sparkline>
              <xm:f>'Ratio Analysis'!E44:N44</xm:f>
              <xm:sqref>P44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rgb="FFFFFF66"/>
  </sheetPr>
  <dimension ref="B2:AC28"/>
  <sheetViews>
    <sheetView showGridLines="0" zoomScale="79" workbookViewId="0">
      <selection activeCell="U30" sqref="U30"/>
    </sheetView>
  </sheetViews>
  <sheetFormatPr defaultColWidth="10" defaultRowHeight="14.4" x14ac:dyDescent="0.3"/>
  <cols>
    <col min="1" max="1" width="2" customWidth="1"/>
    <col min="2" max="2" width="11.6640625" customWidth="1"/>
    <col min="3" max="3" width="10.21875" style="25" customWidth="1"/>
    <col min="4" max="5" width="13.77734375" style="25" customWidth="1"/>
    <col min="6" max="6" width="2.77734375" customWidth="1"/>
    <col min="7" max="7" width="11.21875" bestFit="1" customWidth="1"/>
    <col min="8" max="9" width="13.77734375" style="25" customWidth="1"/>
    <col min="10" max="10" width="15.88671875" style="25" customWidth="1"/>
    <col min="11" max="11" width="2.77734375" customWidth="1"/>
    <col min="12" max="12" width="11.21875" bestFit="1" customWidth="1"/>
    <col min="13" max="13" width="11.6640625" style="26" customWidth="1"/>
    <col min="14" max="14" width="12.21875" style="26" customWidth="1"/>
    <col min="15" max="15" width="13.77734375" style="26" customWidth="1"/>
    <col min="16" max="16" width="13.6640625" bestFit="1" customWidth="1"/>
    <col min="17" max="18" width="12" bestFit="1" customWidth="1"/>
    <col min="19" max="19" width="12.6640625" bestFit="1" customWidth="1"/>
    <col min="20" max="20" width="12" bestFit="1" customWidth="1"/>
    <col min="21" max="21" width="12.6640625" bestFit="1" customWidth="1"/>
    <col min="22" max="22" width="12.109375" bestFit="1" customWidth="1"/>
  </cols>
  <sheetData>
    <row r="2" spans="2:29" ht="18" x14ac:dyDescent="0.35">
      <c r="B2" s="155" t="str">
        <f>Company_Name&amp;" - Forecasting"</f>
        <v>SRF LTD - Forecasting</v>
      </c>
    </row>
    <row r="3" spans="2:29" ht="15.6" x14ac:dyDescent="0.3">
      <c r="B3" s="48" t="s">
        <v>778</v>
      </c>
    </row>
    <row r="5" spans="2:29" x14ac:dyDescent="0.3">
      <c r="B5" s="269" t="s">
        <v>712</v>
      </c>
      <c r="C5" s="269"/>
      <c r="D5" s="269"/>
      <c r="E5" s="269"/>
      <c r="G5" s="269" t="s">
        <v>713</v>
      </c>
      <c r="H5" s="269"/>
      <c r="I5" s="269"/>
      <c r="J5" s="269"/>
      <c r="L5" s="269" t="s">
        <v>714</v>
      </c>
      <c r="M5" s="269"/>
      <c r="N5" s="269"/>
      <c r="O5" s="269"/>
    </row>
    <row r="6" spans="2:29" x14ac:dyDescent="0.3">
      <c r="B6" s="148" t="s">
        <v>97</v>
      </c>
      <c r="C6" s="149" t="s">
        <v>98</v>
      </c>
      <c r="D6" s="149" t="s">
        <v>0</v>
      </c>
      <c r="E6" s="149" t="s">
        <v>1</v>
      </c>
      <c r="G6" s="148" t="s">
        <v>97</v>
      </c>
      <c r="H6" s="149" t="s">
        <v>98</v>
      </c>
      <c r="I6" s="149" t="s">
        <v>8</v>
      </c>
      <c r="J6" s="149" t="s">
        <v>68</v>
      </c>
      <c r="L6" s="148" t="s">
        <v>97</v>
      </c>
      <c r="M6" s="149" t="s">
        <v>98</v>
      </c>
      <c r="N6" s="149" t="s">
        <v>21</v>
      </c>
      <c r="O6" s="149" t="s">
        <v>99</v>
      </c>
    </row>
    <row r="7" spans="2:29" x14ac:dyDescent="0.3">
      <c r="B7" s="25">
        <v>1</v>
      </c>
      <c r="C7" s="130">
        <v>2015</v>
      </c>
      <c r="D7" s="153">
        <f>+'3-FInancial Statements'!E22</f>
        <v>4539.8500000000004</v>
      </c>
      <c r="E7" s="144"/>
      <c r="F7" s="16"/>
      <c r="G7" s="25">
        <v>1</v>
      </c>
      <c r="H7" s="130">
        <v>2015</v>
      </c>
      <c r="I7" s="153">
        <f>+'3-FInancial Statements'!E34</f>
        <v>716.5400000000003</v>
      </c>
      <c r="J7" s="144"/>
      <c r="L7" s="25">
        <v>1</v>
      </c>
      <c r="M7" s="130">
        <v>2015</v>
      </c>
      <c r="N7" s="153">
        <f>+'3-FInancial Statements'!E54</f>
        <v>8.2657610588645163</v>
      </c>
      <c r="O7" s="145"/>
    </row>
    <row r="8" spans="2:29" x14ac:dyDescent="0.3">
      <c r="B8" s="25">
        <f>B7+1</f>
        <v>2</v>
      </c>
      <c r="C8" s="130">
        <v>2016</v>
      </c>
      <c r="D8" s="259">
        <f>+('3-FInancial Statements'!F22)</f>
        <v>4592.72</v>
      </c>
      <c r="E8" s="146">
        <f>+D8/D7-1</f>
        <v>1.1645759221119656E-2</v>
      </c>
      <c r="G8" s="25">
        <f>G7+1</f>
        <v>2</v>
      </c>
      <c r="H8" s="130">
        <v>2016</v>
      </c>
      <c r="I8" s="259">
        <f>+'3-FInancial Statements'!F34</f>
        <v>1032.28</v>
      </c>
      <c r="J8" s="146">
        <f t="shared" ref="J8:J16" si="0">+I8/I7-1</f>
        <v>0.44064532335947693</v>
      </c>
      <c r="L8" s="25">
        <f>L7+1</f>
        <v>2</v>
      </c>
      <c r="M8" s="130">
        <v>2016</v>
      </c>
      <c r="N8" s="259">
        <f>+'3-FInancial Statements'!F54</f>
        <v>16.433646812957157</v>
      </c>
      <c r="O8" s="146">
        <f t="shared" ref="O8:O16" si="1">+N8/N7-1</f>
        <v>0.98815894821119832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2:29" x14ac:dyDescent="0.3">
      <c r="B9" s="25">
        <f t="shared" ref="B9:B20" si="2">B8+1</f>
        <v>3</v>
      </c>
      <c r="C9" s="130">
        <v>2017</v>
      </c>
      <c r="D9" s="259">
        <f>+'3-FInancial Statements'!G22</f>
        <v>4821.8</v>
      </c>
      <c r="E9" s="146">
        <f t="shared" ref="E9:E16" si="3">+D9/D8-1</f>
        <v>4.9878938842341736E-2</v>
      </c>
      <c r="G9" s="25">
        <f t="shared" ref="G9:G20" si="4">G8+1</f>
        <v>3</v>
      </c>
      <c r="H9" s="130">
        <v>2017</v>
      </c>
      <c r="I9" s="259">
        <f>+'3-FInancial Statements'!G34</f>
        <v>999.54000000000065</v>
      </c>
      <c r="J9" s="146">
        <f t="shared" si="0"/>
        <v>-3.1716201030727476E-2</v>
      </c>
      <c r="L9" s="25">
        <f t="shared" ref="L9:L20" si="5">L8+1</f>
        <v>3</v>
      </c>
      <c r="M9" s="130">
        <v>2017</v>
      </c>
      <c r="N9" s="259">
        <f>+'3-FInancial Statements'!G54</f>
        <v>16.444792755137605</v>
      </c>
      <c r="O9" s="146">
        <f t="shared" si="1"/>
        <v>6.7823912168174516E-4</v>
      </c>
    </row>
    <row r="10" spans="2:29" x14ac:dyDescent="0.3">
      <c r="B10" s="25">
        <f t="shared" si="2"/>
        <v>4</v>
      </c>
      <c r="C10" s="130">
        <v>2018</v>
      </c>
      <c r="D10" s="259">
        <f>+'3-FInancial Statements'!H22</f>
        <v>5589.04</v>
      </c>
      <c r="E10" s="146">
        <f t="shared" si="3"/>
        <v>0.15911900120287026</v>
      </c>
      <c r="G10" s="25">
        <f t="shared" si="4"/>
        <v>4</v>
      </c>
      <c r="H10" s="130">
        <v>2018</v>
      </c>
      <c r="I10" s="259">
        <f>+'3-FInancial Statements'!H34</f>
        <v>959.16000000000042</v>
      </c>
      <c r="J10" s="146">
        <f t="shared" si="0"/>
        <v>-4.0398583348340456E-2</v>
      </c>
      <c r="L10" s="25">
        <f t="shared" si="5"/>
        <v>4</v>
      </c>
      <c r="M10" s="130">
        <v>2018</v>
      </c>
      <c r="N10" s="259">
        <f>+'3-FInancial Statements'!H54</f>
        <v>13.915360501567415</v>
      </c>
      <c r="O10" s="146">
        <f t="shared" si="1"/>
        <v>-0.15381356829686754</v>
      </c>
    </row>
    <row r="11" spans="2:29" x14ac:dyDescent="0.3">
      <c r="B11" s="25">
        <f t="shared" si="2"/>
        <v>5</v>
      </c>
      <c r="C11" s="130">
        <v>2019</v>
      </c>
      <c r="D11" s="259">
        <f>+'3-FInancial Statements'!I22</f>
        <v>7099.59</v>
      </c>
      <c r="E11" s="146">
        <f t="shared" si="3"/>
        <v>0.27027002848431936</v>
      </c>
      <c r="G11" s="25">
        <f t="shared" si="4"/>
        <v>5</v>
      </c>
      <c r="H11" s="130">
        <v>2019</v>
      </c>
      <c r="I11" s="259">
        <f>+'3-FInancial Statements'!I34</f>
        <v>1226.9600000000005</v>
      </c>
      <c r="J11" s="146">
        <f t="shared" si="0"/>
        <v>0.27920263563951786</v>
      </c>
      <c r="L11" s="25">
        <f t="shared" si="5"/>
        <v>5</v>
      </c>
      <c r="M11" s="130">
        <v>2019</v>
      </c>
      <c r="N11" s="259">
        <f>+'3-FInancial Statements'!I54</f>
        <v>17.173625608907464</v>
      </c>
      <c r="O11" s="146">
        <f t="shared" si="1"/>
        <v>0.2341488103720375</v>
      </c>
    </row>
    <row r="12" spans="2:29" x14ac:dyDescent="0.3">
      <c r="B12" s="25">
        <f t="shared" si="2"/>
        <v>6</v>
      </c>
      <c r="C12" s="130">
        <v>2020</v>
      </c>
      <c r="D12" s="259">
        <f>+'3-FInancial Statements'!J22</f>
        <v>7209.41</v>
      </c>
      <c r="E12" s="146">
        <f t="shared" si="3"/>
        <v>1.5468498885146786E-2</v>
      </c>
      <c r="G12" s="25">
        <f t="shared" si="4"/>
        <v>6</v>
      </c>
      <c r="H12" s="130">
        <v>2020</v>
      </c>
      <c r="I12" s="259">
        <f>+'3-FInancial Statements'!J34</f>
        <v>1423.5399999999997</v>
      </c>
      <c r="J12" s="146">
        <f t="shared" si="0"/>
        <v>0.16021712199256632</v>
      </c>
      <c r="L12" s="25">
        <f t="shared" si="5"/>
        <v>6</v>
      </c>
      <c r="M12" s="130">
        <v>2020</v>
      </c>
      <c r="N12" s="259">
        <f>+'3-FInancial Statements'!J54</f>
        <v>29.069241475295751</v>
      </c>
      <c r="O12" s="146">
        <f t="shared" si="1"/>
        <v>0.69266770670826627</v>
      </c>
    </row>
    <row r="13" spans="2:29" x14ac:dyDescent="0.3">
      <c r="B13" s="25">
        <f t="shared" si="2"/>
        <v>7</v>
      </c>
      <c r="C13" s="130">
        <v>2021</v>
      </c>
      <c r="D13" s="259">
        <f>+'3-FInancial Statements'!K22</f>
        <v>8400.0400000000009</v>
      </c>
      <c r="E13" s="146">
        <f t="shared" si="3"/>
        <v>0.16514943663905934</v>
      </c>
      <c r="G13" s="25">
        <f t="shared" si="4"/>
        <v>7</v>
      </c>
      <c r="H13" s="130">
        <v>2021</v>
      </c>
      <c r="I13" s="259">
        <f>+'3-FInancial Statements'!K34</f>
        <v>2056.0500000000011</v>
      </c>
      <c r="J13" s="146">
        <f t="shared" si="0"/>
        <v>0.44432190173792208</v>
      </c>
      <c r="L13" s="25">
        <f t="shared" si="5"/>
        <v>7</v>
      </c>
      <c r="M13" s="130">
        <v>2021</v>
      </c>
      <c r="N13" s="259">
        <f>+'3-FInancial Statements'!K54</f>
        <v>35.604996623902807</v>
      </c>
      <c r="O13" s="146">
        <f t="shared" si="1"/>
        <v>0.22483404509062987</v>
      </c>
    </row>
    <row r="14" spans="2:29" x14ac:dyDescent="0.3">
      <c r="B14" s="25">
        <f t="shared" si="2"/>
        <v>8</v>
      </c>
      <c r="C14" s="130">
        <v>2022</v>
      </c>
      <c r="D14" s="259">
        <f>+'3-FInancial Statements'!L22</f>
        <v>12433.66</v>
      </c>
      <c r="E14" s="146">
        <f t="shared" si="3"/>
        <v>0.48019057052109249</v>
      </c>
      <c r="G14" s="25">
        <f t="shared" si="4"/>
        <v>8</v>
      </c>
      <c r="H14" s="130">
        <v>2022</v>
      </c>
      <c r="I14" s="259">
        <f>+'3-FInancial Statements'!L34</f>
        <v>2659.2099999999991</v>
      </c>
      <c r="J14" s="146">
        <f t="shared" si="0"/>
        <v>0.2933586245470674</v>
      </c>
      <c r="L14" s="25">
        <f t="shared" si="5"/>
        <v>8</v>
      </c>
      <c r="M14" s="130">
        <v>2022</v>
      </c>
      <c r="N14" s="259">
        <f>+'3-FInancial Statements'!L54</f>
        <v>44.852226720647742</v>
      </c>
      <c r="O14" s="146">
        <f t="shared" si="1"/>
        <v>0.25971720189792036</v>
      </c>
    </row>
    <row r="15" spans="2:29" x14ac:dyDescent="0.3">
      <c r="B15" s="25">
        <f t="shared" si="2"/>
        <v>9</v>
      </c>
      <c r="C15" s="130">
        <v>2023</v>
      </c>
      <c r="D15" s="259">
        <f>+'3-FInancial Statements'!M22</f>
        <v>14870.25</v>
      </c>
      <c r="E15" s="146">
        <f t="shared" si="3"/>
        <v>0.19596723732191479</v>
      </c>
      <c r="G15" s="25">
        <f t="shared" si="4"/>
        <v>9</v>
      </c>
      <c r="H15" s="130">
        <v>2023</v>
      </c>
      <c r="I15" s="259">
        <f>+'3-FInancial Statements'!M34</f>
        <v>3586.2900000000004</v>
      </c>
      <c r="J15" s="146">
        <f t="shared" si="0"/>
        <v>0.34862985623549902</v>
      </c>
      <c r="L15" s="25">
        <f t="shared" si="5"/>
        <v>9</v>
      </c>
      <c r="M15" s="130">
        <v>2023</v>
      </c>
      <c r="N15" s="259">
        <f>+'3-FInancial Statements'!M54</f>
        <v>72.351551956815129</v>
      </c>
      <c r="O15" s="146">
        <f t="shared" si="1"/>
        <v>0.61310947631298007</v>
      </c>
      <c r="X15" s="16"/>
      <c r="Y15" s="16"/>
      <c r="Z15" s="16"/>
    </row>
    <row r="16" spans="2:29" x14ac:dyDescent="0.3">
      <c r="B16" s="25">
        <f t="shared" si="2"/>
        <v>10</v>
      </c>
      <c r="C16" s="130">
        <v>2024</v>
      </c>
      <c r="D16" s="259">
        <f>+'3-FInancial Statements'!N22</f>
        <v>13138.52</v>
      </c>
      <c r="E16" s="146">
        <f t="shared" si="3"/>
        <v>-0.11645601116322857</v>
      </c>
      <c r="G16" s="25">
        <f t="shared" si="4"/>
        <v>10</v>
      </c>
      <c r="H16" s="130">
        <v>2024</v>
      </c>
      <c r="I16" s="259">
        <f>+'3-FInancial Statements'!N34</f>
        <v>2456.3700000000003</v>
      </c>
      <c r="J16" s="146">
        <f t="shared" si="0"/>
        <v>-0.31506654509256082</v>
      </c>
      <c r="L16" s="25">
        <f t="shared" si="5"/>
        <v>10</v>
      </c>
      <c r="M16" s="130">
        <v>2024</v>
      </c>
      <c r="N16" s="259">
        <f>+'3-FInancial Statements'!N54</f>
        <v>37.9537786774629</v>
      </c>
      <c r="O16" s="146">
        <f t="shared" si="1"/>
        <v>-0.47542550711121467</v>
      </c>
    </row>
    <row r="17" spans="2:15" x14ac:dyDescent="0.3">
      <c r="B17" s="27">
        <f t="shared" si="2"/>
        <v>11</v>
      </c>
      <c r="C17" s="131">
        <v>2025</v>
      </c>
      <c r="D17" s="154">
        <f>FORECAST(B17,D7:D16,B7:B16)</f>
        <v>14800.583333333334</v>
      </c>
      <c r="E17" s="147">
        <f>(D17-D16)/D16</f>
        <v>0.1265030865982876</v>
      </c>
      <c r="G17" s="27">
        <f t="shared" si="4"/>
        <v>11</v>
      </c>
      <c r="H17" s="131">
        <v>2025</v>
      </c>
      <c r="I17" s="154">
        <f>FORECAST(G1:G17,I7:I16,G7:G16)</f>
        <v>3222.3320000000003</v>
      </c>
      <c r="J17" s="132">
        <f>(I17-I16)/I16</f>
        <v>0.31182680133693208</v>
      </c>
      <c r="L17" s="27">
        <f t="shared" si="5"/>
        <v>11</v>
      </c>
      <c r="M17" s="131">
        <v>2025</v>
      </c>
      <c r="N17" s="154">
        <f>FORECAST(L17,N7:N16,L7:L16)</f>
        <v>58.460471173667059</v>
      </c>
      <c r="O17" s="132">
        <f>(N17-N16)/N16</f>
        <v>0.54030700527800446</v>
      </c>
    </row>
    <row r="18" spans="2:15" x14ac:dyDescent="0.3">
      <c r="B18" s="27">
        <f t="shared" si="2"/>
        <v>12</v>
      </c>
      <c r="C18" s="131">
        <v>2026</v>
      </c>
      <c r="D18" s="260">
        <f t="shared" ref="D18:D20" si="6">FORECAST(B18,D8:D17,B8:B17)</f>
        <v>16418.451333333334</v>
      </c>
      <c r="E18" s="147">
        <f t="shared" ref="E18:E20" si="7">(D18-D17)/D17</f>
        <v>0.10931109697252926</v>
      </c>
      <c r="G18" s="27">
        <f t="shared" si="4"/>
        <v>12</v>
      </c>
      <c r="H18" s="131">
        <v>2026</v>
      </c>
      <c r="I18" s="260">
        <f t="shared" ref="I18:I20" si="8">FORECAST(G5:G18,I8:I17,G8:G17)</f>
        <v>3561.2794666666668</v>
      </c>
      <c r="J18" s="132">
        <f t="shared" ref="J18:J20" si="9">(I18-I17)/I17</f>
        <v>0.10518700949084901</v>
      </c>
      <c r="L18" s="27">
        <f t="shared" si="5"/>
        <v>12</v>
      </c>
      <c r="M18" s="131">
        <v>2026</v>
      </c>
      <c r="N18" s="260">
        <f t="shared" ref="N18:N20" si="10">FORECAST(L18,N8:N17,L8:L17)</f>
        <v>64.577863779393851</v>
      </c>
      <c r="O18" s="132">
        <f t="shared" ref="O18:O20" si="11">(N18-N17)/N17</f>
        <v>0.10464152072182256</v>
      </c>
    </row>
    <row r="19" spans="2:15" x14ac:dyDescent="0.3">
      <c r="B19" s="27">
        <f t="shared" si="2"/>
        <v>13</v>
      </c>
      <c r="C19" s="131">
        <v>2027</v>
      </c>
      <c r="D19" s="260">
        <f t="shared" si="6"/>
        <v>18013.516311111111</v>
      </c>
      <c r="E19" s="147">
        <f t="shared" si="7"/>
        <v>9.7150757120400111E-2</v>
      </c>
      <c r="G19" s="27">
        <f t="shared" si="4"/>
        <v>13</v>
      </c>
      <c r="H19" s="131">
        <v>2027</v>
      </c>
      <c r="I19" s="260">
        <f t="shared" si="8"/>
        <v>3952.9504533333343</v>
      </c>
      <c r="J19" s="132">
        <f t="shared" si="9"/>
        <v>0.10998041303208052</v>
      </c>
      <c r="L19" s="27">
        <f t="shared" si="5"/>
        <v>13</v>
      </c>
      <c r="M19" s="131">
        <v>2027</v>
      </c>
      <c r="N19" s="260">
        <f t="shared" si="10"/>
        <v>71.974002287515901</v>
      </c>
      <c r="O19" s="132">
        <f t="shared" si="11"/>
        <v>0.11453055389673765</v>
      </c>
    </row>
    <row r="20" spans="2:15" x14ac:dyDescent="0.3">
      <c r="B20" s="27">
        <f t="shared" si="2"/>
        <v>14</v>
      </c>
      <c r="C20" s="131">
        <v>2028</v>
      </c>
      <c r="D20" s="260">
        <f t="shared" si="6"/>
        <v>19519.313191111112</v>
      </c>
      <c r="E20" s="147">
        <f t="shared" si="7"/>
        <v>8.3592612013857329E-2</v>
      </c>
      <c r="G20" s="27">
        <f t="shared" si="4"/>
        <v>14</v>
      </c>
      <c r="H20" s="131">
        <v>2028</v>
      </c>
      <c r="I20" s="260">
        <f t="shared" si="8"/>
        <v>4323.9592035555561</v>
      </c>
      <c r="J20" s="132">
        <f t="shared" si="9"/>
        <v>9.3856160000530195E-2</v>
      </c>
      <c r="L20" s="27">
        <f t="shared" si="5"/>
        <v>14</v>
      </c>
      <c r="M20" s="131">
        <v>2028</v>
      </c>
      <c r="N20" s="260">
        <f t="shared" si="10"/>
        <v>79.121953985705773</v>
      </c>
      <c r="O20" s="132">
        <f t="shared" si="11"/>
        <v>9.9312966779807721E-2</v>
      </c>
    </row>
    <row r="21" spans="2:15" x14ac:dyDescent="0.3">
      <c r="M21"/>
      <c r="N21"/>
      <c r="O21"/>
    </row>
    <row r="22" spans="2:15" x14ac:dyDescent="0.3">
      <c r="M22"/>
      <c r="N22"/>
      <c r="O22"/>
    </row>
    <row r="25" spans="2:15" x14ac:dyDescent="0.3">
      <c r="I25" s="28"/>
    </row>
    <row r="26" spans="2:15" x14ac:dyDescent="0.3">
      <c r="I26" s="28"/>
    </row>
    <row r="27" spans="2:15" x14ac:dyDescent="0.3">
      <c r="I27" s="28"/>
    </row>
    <row r="28" spans="2:15" x14ac:dyDescent="0.3">
      <c r="I28" s="28"/>
    </row>
  </sheetData>
  <mergeCells count="3">
    <mergeCell ref="B5:E5"/>
    <mergeCell ref="G5:J5"/>
    <mergeCell ref="L5:O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tabColor rgb="FFFFFF66"/>
  </sheetPr>
  <dimension ref="B2:AC775"/>
  <sheetViews>
    <sheetView showGridLines="0" tabSelected="1" zoomScale="61" workbookViewId="0">
      <selection activeCell="AC16" sqref="AC16"/>
    </sheetView>
  </sheetViews>
  <sheetFormatPr defaultColWidth="10" defaultRowHeight="14.4" x14ac:dyDescent="0.3"/>
  <cols>
    <col min="1" max="2" width="2.6640625" customWidth="1"/>
    <col min="3" max="3" width="16.33203125" style="26" customWidth="1"/>
    <col min="4" max="5" width="15.77734375" style="26" customWidth="1"/>
    <col min="6" max="6" width="5.77734375" style="26" customWidth="1"/>
    <col min="7" max="8" width="15.77734375" customWidth="1"/>
    <col min="9" max="9" width="5.77734375" customWidth="1"/>
    <col min="10" max="11" width="15.77734375" customWidth="1"/>
    <col min="12" max="12" width="5.77734375" customWidth="1"/>
    <col min="13" max="14" width="15.77734375" customWidth="1"/>
    <col min="15" max="15" width="5.77734375" customWidth="1"/>
    <col min="16" max="17" width="15.77734375" customWidth="1"/>
    <col min="18" max="18" width="13.44140625" customWidth="1"/>
    <col min="19" max="19" width="18.33203125" bestFit="1" customWidth="1"/>
    <col min="20" max="20" width="13.44140625" customWidth="1"/>
    <col min="22" max="22" width="18.33203125" bestFit="1" customWidth="1"/>
    <col min="23" max="23" width="12.21875" customWidth="1"/>
    <col min="25" max="25" width="18.33203125" bestFit="1" customWidth="1"/>
    <col min="26" max="26" width="12.6640625" bestFit="1" customWidth="1"/>
    <col min="28" max="28" width="18.33203125" bestFit="1" customWidth="1"/>
  </cols>
  <sheetData>
    <row r="2" spans="2:29" ht="18" x14ac:dyDescent="0.35">
      <c r="B2" s="155" t="str">
        <f>Company_Name&amp;" - Regression Beta and  ERP"</f>
        <v>SRF LTD - Regression Beta and  ERP</v>
      </c>
    </row>
    <row r="3" spans="2:29" ht="15.6" x14ac:dyDescent="0.3">
      <c r="B3" s="48" t="s">
        <v>778</v>
      </c>
    </row>
    <row r="5" spans="2:29" ht="15.6" x14ac:dyDescent="0.3">
      <c r="B5" s="159" t="s">
        <v>779</v>
      </c>
      <c r="C5" s="157"/>
      <c r="D5" s="157"/>
      <c r="E5" s="157"/>
      <c r="F5" s="157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</row>
    <row r="6" spans="2:29" ht="15.6" x14ac:dyDescent="0.3">
      <c r="B6" s="178" t="s">
        <v>715</v>
      </c>
      <c r="C6" s="179"/>
      <c r="D6" s="179"/>
      <c r="E6" s="179"/>
      <c r="F6" s="157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S6" s="159" t="s">
        <v>780</v>
      </c>
      <c r="T6" s="156"/>
      <c r="U6" s="156"/>
      <c r="V6" s="156"/>
      <c r="W6" s="156"/>
      <c r="X6" s="156"/>
      <c r="Y6" s="156"/>
      <c r="Z6" s="156"/>
      <c r="AA6" s="156"/>
      <c r="AB6" s="156"/>
      <c r="AC6" s="156"/>
    </row>
    <row r="7" spans="2:29" x14ac:dyDescent="0.3">
      <c r="G7" s="25"/>
      <c r="H7" s="25"/>
      <c r="J7" s="25"/>
      <c r="K7" s="25"/>
      <c r="M7" s="25"/>
      <c r="N7" s="25"/>
    </row>
    <row r="8" spans="2:29" x14ac:dyDescent="0.3">
      <c r="B8" s="156"/>
      <c r="C8" s="157"/>
      <c r="D8" s="271" t="s">
        <v>639</v>
      </c>
      <c r="E8" s="272"/>
      <c r="F8" s="157"/>
      <c r="G8" s="271" t="s">
        <v>187</v>
      </c>
      <c r="H8" s="272"/>
      <c r="I8" s="156"/>
      <c r="J8" s="271" t="s">
        <v>188</v>
      </c>
      <c r="K8" s="272"/>
      <c r="L8" s="156"/>
      <c r="M8" s="271" t="s">
        <v>189</v>
      </c>
      <c r="N8" s="272"/>
      <c r="O8" s="156"/>
      <c r="P8" s="271" t="s">
        <v>101</v>
      </c>
      <c r="Q8" s="271"/>
      <c r="S8" s="270" t="s">
        <v>638</v>
      </c>
      <c r="T8" s="270"/>
      <c r="V8" s="270" t="s">
        <v>637</v>
      </c>
      <c r="W8" s="270"/>
      <c r="Y8" s="270" t="s">
        <v>185</v>
      </c>
      <c r="Z8" s="270"/>
      <c r="AB8" s="270" t="s">
        <v>186</v>
      </c>
      <c r="AC8" s="270"/>
    </row>
    <row r="9" spans="2:29" x14ac:dyDescent="0.3">
      <c r="B9" s="161" t="s">
        <v>102</v>
      </c>
      <c r="C9" s="161"/>
      <c r="D9" s="162" t="s">
        <v>103</v>
      </c>
      <c r="E9" s="162" t="s">
        <v>104</v>
      </c>
      <c r="F9" s="162"/>
      <c r="G9" s="162" t="s">
        <v>103</v>
      </c>
      <c r="H9" s="162" t="s">
        <v>104</v>
      </c>
      <c r="I9" s="165"/>
      <c r="J9" s="162" t="s">
        <v>103</v>
      </c>
      <c r="K9" s="162" t="s">
        <v>104</v>
      </c>
      <c r="L9" s="165"/>
      <c r="M9" s="162" t="s">
        <v>103</v>
      </c>
      <c r="N9" s="162" t="s">
        <v>104</v>
      </c>
      <c r="O9" s="165"/>
      <c r="P9" s="162" t="s">
        <v>103</v>
      </c>
      <c r="Q9" s="162" t="s">
        <v>104</v>
      </c>
      <c r="R9" s="33"/>
      <c r="S9" s="166" t="s">
        <v>105</v>
      </c>
      <c r="T9" s="167"/>
      <c r="V9" s="166" t="s">
        <v>105</v>
      </c>
      <c r="W9" s="167"/>
      <c r="Y9" s="166" t="s">
        <v>105</v>
      </c>
      <c r="Z9" s="167"/>
      <c r="AB9" s="166" t="s">
        <v>105</v>
      </c>
      <c r="AC9" s="167"/>
    </row>
    <row r="10" spans="2:29" x14ac:dyDescent="0.3">
      <c r="C10" s="160">
        <v>45839</v>
      </c>
      <c r="D10" s="254">
        <v>2308.4499999999998</v>
      </c>
      <c r="E10" s="133"/>
      <c r="F10" s="34"/>
      <c r="G10" s="254">
        <v>1012.2</v>
      </c>
      <c r="H10" s="133"/>
      <c r="I10" s="163"/>
      <c r="J10" s="257">
        <v>543.1</v>
      </c>
      <c r="K10" s="133"/>
      <c r="L10" s="163"/>
      <c r="M10" s="254">
        <v>2927.6</v>
      </c>
      <c r="N10" s="133"/>
      <c r="O10" s="163"/>
      <c r="P10" s="254">
        <v>23707.9</v>
      </c>
      <c r="Q10" s="164"/>
      <c r="S10" t="s">
        <v>105</v>
      </c>
      <c r="T10" s="249">
        <f>+_xlfn.COVARIANCE.S(E10:E757,Q10:Q757)/_xlfn.VAR.S(Q10:Q756)</f>
        <v>1.0576188085984417</v>
      </c>
      <c r="V10" t="s">
        <v>105</v>
      </c>
      <c r="W10" s="249">
        <f>+_xlfn.COVARIANCE.S(H10:H757,Q10:Q757)/_xlfn.VAR.S(Q10:Q756)</f>
        <v>1.1394664319117467</v>
      </c>
      <c r="Y10" t="s">
        <v>105</v>
      </c>
      <c r="Z10" s="249">
        <f>+_xlfn.COVARIANCE.S(K10:K757,Q10:Q757)/_xlfn.VAR.S(Q10:Q756)</f>
        <v>1.0647499362650319</v>
      </c>
      <c r="AB10" t="s">
        <v>105</v>
      </c>
      <c r="AC10" s="252">
        <v>0.65013503049140042</v>
      </c>
    </row>
    <row r="11" spans="2:29" x14ac:dyDescent="0.3">
      <c r="C11" s="160">
        <v>45809</v>
      </c>
      <c r="D11" s="255">
        <v>2277.4499999999998</v>
      </c>
      <c r="E11" s="134">
        <f>D11/D10-1</f>
        <v>-1.3428924169897605E-2</v>
      </c>
      <c r="F11" s="34"/>
      <c r="G11" s="256">
        <v>991.25</v>
      </c>
      <c r="H11" s="134">
        <f>G11/G10-1</f>
        <v>-2.06974906145031E-2</v>
      </c>
      <c r="I11" s="163"/>
      <c r="J11" s="256">
        <v>521</v>
      </c>
      <c r="K11" s="134">
        <f>J11/J10-1</f>
        <v>-4.0692321856011793E-2</v>
      </c>
      <c r="L11" s="163"/>
      <c r="M11" s="255">
        <v>2894.75</v>
      </c>
      <c r="N11" s="134">
        <f>M11/M10-1</f>
        <v>-1.1220795190599819E-2</v>
      </c>
      <c r="O11" s="163"/>
      <c r="P11" s="255">
        <v>23616.05</v>
      </c>
      <c r="Q11" s="134">
        <f>P11/P10-1</f>
        <v>-3.8742360141557075E-3</v>
      </c>
      <c r="R11" s="19"/>
      <c r="S11" s="19" t="s">
        <v>106</v>
      </c>
      <c r="T11" s="250">
        <v>0.75</v>
      </c>
      <c r="V11" s="19" t="s">
        <v>106</v>
      </c>
      <c r="W11" s="250">
        <v>0.75</v>
      </c>
      <c r="Y11" s="19" t="s">
        <v>106</v>
      </c>
      <c r="Z11" s="251">
        <f>W11</f>
        <v>0.75</v>
      </c>
      <c r="AB11" s="19" t="s">
        <v>106</v>
      </c>
      <c r="AC11" s="251">
        <f>Z11</f>
        <v>0.75</v>
      </c>
    </row>
    <row r="12" spans="2:29" x14ac:dyDescent="0.3">
      <c r="C12" s="160">
        <v>45717</v>
      </c>
      <c r="D12" s="255">
        <v>2284.9</v>
      </c>
      <c r="E12" s="134">
        <f t="shared" ref="E12:E75" si="0">D12/D11-1</f>
        <v>3.2712024413270591E-3</v>
      </c>
      <c r="F12" s="34"/>
      <c r="G12" s="255">
        <v>1027.9000000000001</v>
      </c>
      <c r="H12" s="134">
        <f t="shared" ref="H12:H75" si="1">G12/G11-1</f>
        <v>3.6973518284993734E-2</v>
      </c>
      <c r="I12" s="163"/>
      <c r="J12" s="256">
        <v>529.65</v>
      </c>
      <c r="K12" s="134">
        <f t="shared" ref="K12:K75" si="2">J12/J11-1</f>
        <v>1.6602687140115036E-2</v>
      </c>
      <c r="L12" s="163"/>
      <c r="M12" s="255">
        <v>2932.35</v>
      </c>
      <c r="N12" s="134">
        <f t="shared" ref="N12:N75" si="3">M12/M11-1</f>
        <v>1.2989031868037015E-2</v>
      </c>
      <c r="O12" s="163"/>
      <c r="P12" s="255">
        <v>24004.75</v>
      </c>
      <c r="Q12" s="134">
        <f t="shared" ref="Q12:Q75" si="4">P12/P11-1</f>
        <v>1.6459145369356998E-2</v>
      </c>
      <c r="R12" s="19"/>
      <c r="S12" s="19"/>
      <c r="T12" s="36"/>
      <c r="V12" s="19"/>
      <c r="Y12" s="19"/>
      <c r="AB12" s="19"/>
    </row>
    <row r="13" spans="2:29" x14ac:dyDescent="0.3">
      <c r="C13" s="160">
        <v>45689</v>
      </c>
      <c r="D13" s="255">
        <v>2224.75</v>
      </c>
      <c r="E13" s="134">
        <f t="shared" si="0"/>
        <v>-2.6325003282419379E-2</v>
      </c>
      <c r="F13" s="34"/>
      <c r="G13" s="255">
        <v>1031.45</v>
      </c>
      <c r="H13" s="134">
        <f t="shared" si="1"/>
        <v>3.4536433505203412E-3</v>
      </c>
      <c r="I13" s="163"/>
      <c r="J13" s="256">
        <v>509.35</v>
      </c>
      <c r="K13" s="134">
        <f t="shared" si="2"/>
        <v>-3.8327197205701768E-2</v>
      </c>
      <c r="L13" s="163"/>
      <c r="M13" s="255">
        <v>2926.65</v>
      </c>
      <c r="N13" s="134">
        <f t="shared" si="3"/>
        <v>-1.9438334441659322E-3</v>
      </c>
      <c r="O13" s="163"/>
      <c r="P13" s="255">
        <v>24188.65</v>
      </c>
      <c r="Q13" s="134">
        <f t="shared" si="4"/>
        <v>7.6609837636301137E-3</v>
      </c>
      <c r="R13" s="19"/>
      <c r="S13" s="19" t="s">
        <v>107</v>
      </c>
      <c r="T13" s="253">
        <v>1</v>
      </c>
      <c r="V13" s="19" t="s">
        <v>107</v>
      </c>
      <c r="W13" s="116">
        <v>1</v>
      </c>
      <c r="Y13" s="19" t="s">
        <v>107</v>
      </c>
      <c r="Z13" s="116">
        <v>1</v>
      </c>
      <c r="AB13" s="19" t="s">
        <v>107</v>
      </c>
      <c r="AC13" s="116">
        <v>1</v>
      </c>
    </row>
    <row r="14" spans="2:29" x14ac:dyDescent="0.3">
      <c r="C14" s="160">
        <v>45658</v>
      </c>
      <c r="D14" s="255">
        <v>2211.3000000000002</v>
      </c>
      <c r="E14" s="134">
        <f t="shared" si="0"/>
        <v>-6.0456231037194774E-3</v>
      </c>
      <c r="F14" s="34"/>
      <c r="G14" s="255">
        <v>1038.4000000000001</v>
      </c>
      <c r="H14" s="134">
        <f t="shared" si="1"/>
        <v>6.7380871588540447E-3</v>
      </c>
      <c r="I14" s="163"/>
      <c r="J14" s="256">
        <v>501.05</v>
      </c>
      <c r="K14" s="134">
        <f t="shared" si="2"/>
        <v>-1.6295278295867299E-2</v>
      </c>
      <c r="L14" s="163"/>
      <c r="M14" s="255">
        <v>2863.7</v>
      </c>
      <c r="N14" s="134">
        <f t="shared" si="3"/>
        <v>-2.1509234107255804E-2</v>
      </c>
      <c r="O14" s="163"/>
      <c r="P14" s="255">
        <v>23742.9</v>
      </c>
      <c r="Q14" s="134">
        <f t="shared" si="4"/>
        <v>-1.8428064402105981E-2</v>
      </c>
      <c r="R14" s="19"/>
      <c r="S14" s="19" t="s">
        <v>108</v>
      </c>
      <c r="T14" s="250">
        <v>0.25</v>
      </c>
      <c r="V14" s="19" t="s">
        <v>108</v>
      </c>
      <c r="W14" s="135">
        <v>0.25</v>
      </c>
      <c r="Y14" s="19" t="s">
        <v>108</v>
      </c>
      <c r="Z14" s="137">
        <f>W14</f>
        <v>0.25</v>
      </c>
      <c r="AB14" s="19" t="s">
        <v>108</v>
      </c>
      <c r="AC14" s="137">
        <f>Z14</f>
        <v>0.25</v>
      </c>
    </row>
    <row r="15" spans="2:29" x14ac:dyDescent="0.3">
      <c r="C15" s="25" t="s">
        <v>190</v>
      </c>
      <c r="D15" s="255">
        <v>2237.9499999999998</v>
      </c>
      <c r="E15" s="134">
        <f t="shared" si="0"/>
        <v>1.2051734273956338E-2</v>
      </c>
      <c r="G15" s="255">
        <v>1052.2</v>
      </c>
      <c r="H15" s="134">
        <f t="shared" si="1"/>
        <v>1.3289676425269681E-2</v>
      </c>
      <c r="I15" s="163"/>
      <c r="J15" s="256">
        <v>500.75</v>
      </c>
      <c r="K15" s="134">
        <f t="shared" si="2"/>
        <v>-5.9874264045511882E-4</v>
      </c>
      <c r="L15" s="163"/>
      <c r="M15" s="255">
        <v>2904.25</v>
      </c>
      <c r="N15" s="134">
        <f t="shared" si="3"/>
        <v>1.4160002793588866E-2</v>
      </c>
      <c r="O15" s="163"/>
      <c r="P15" s="255">
        <v>23644.799999999999</v>
      </c>
      <c r="Q15" s="134">
        <f t="shared" si="4"/>
        <v>-4.1317614950154846E-3</v>
      </c>
      <c r="R15" s="19"/>
      <c r="S15" s="19"/>
      <c r="T15" s="19"/>
      <c r="V15" s="19"/>
      <c r="Y15" s="19"/>
      <c r="AB15" s="19"/>
    </row>
    <row r="16" spans="2:29" ht="15.6" x14ac:dyDescent="0.3">
      <c r="C16" s="25" t="s">
        <v>191</v>
      </c>
      <c r="D16" s="255">
        <v>2255.15</v>
      </c>
      <c r="E16" s="134">
        <f t="shared" si="0"/>
        <v>7.6856051296947392E-3</v>
      </c>
      <c r="G16" s="255">
        <v>1031.8</v>
      </c>
      <c r="H16" s="134">
        <f t="shared" si="1"/>
        <v>-1.938794905911434E-2</v>
      </c>
      <c r="I16" s="163"/>
      <c r="J16" s="256">
        <v>500.45</v>
      </c>
      <c r="K16" s="134">
        <f t="shared" si="2"/>
        <v>-5.9910134797802606E-4</v>
      </c>
      <c r="L16" s="163"/>
      <c r="M16" s="255">
        <v>2910.55</v>
      </c>
      <c r="N16" s="134">
        <f t="shared" si="3"/>
        <v>2.1692347421882197E-3</v>
      </c>
      <c r="O16" s="163"/>
      <c r="P16" s="255">
        <v>23644.9</v>
      </c>
      <c r="Q16" s="134">
        <f t="shared" si="4"/>
        <v>4.2292597104420793E-6</v>
      </c>
      <c r="R16" s="19"/>
      <c r="S16" s="169" t="s">
        <v>109</v>
      </c>
      <c r="T16" s="170">
        <f>(T10*T11)+(T13*T14)</f>
        <v>1.0432141064488314</v>
      </c>
      <c r="V16" s="171" t="s">
        <v>109</v>
      </c>
      <c r="W16" s="170">
        <f>(W10*W11)+(W13*W14)</f>
        <v>1.10459982393381</v>
      </c>
      <c r="Y16" s="171" t="s">
        <v>109</v>
      </c>
      <c r="Z16" s="170">
        <f>(Z10*Z11)+(Z13*Z14)</f>
        <v>1.048562452198774</v>
      </c>
      <c r="AB16" s="171" t="s">
        <v>109</v>
      </c>
      <c r="AC16" s="170">
        <f>(AC10*AC11)+(AC13*AC14)</f>
        <v>0.73760127286855037</v>
      </c>
    </row>
    <row r="17" spans="3:24" x14ac:dyDescent="0.3">
      <c r="C17" s="25" t="s">
        <v>192</v>
      </c>
      <c r="D17" s="255">
        <v>2264.4499999999998</v>
      </c>
      <c r="E17" s="134">
        <f t="shared" si="0"/>
        <v>4.1238941977250754E-3</v>
      </c>
      <c r="G17" s="255">
        <v>1046.3499999999999</v>
      </c>
      <c r="H17" s="134">
        <f t="shared" si="1"/>
        <v>1.4101570071719305E-2</v>
      </c>
      <c r="I17" s="163"/>
      <c r="J17" s="256">
        <v>502.2</v>
      </c>
      <c r="K17" s="134">
        <f t="shared" si="2"/>
        <v>3.4968528324508252E-3</v>
      </c>
      <c r="L17" s="163"/>
      <c r="M17" s="255">
        <v>2914.4</v>
      </c>
      <c r="N17" s="134">
        <f t="shared" si="3"/>
        <v>1.3227740461425608E-3</v>
      </c>
      <c r="O17" s="163"/>
      <c r="P17" s="255">
        <v>23813.4</v>
      </c>
      <c r="Q17" s="134">
        <f t="shared" si="4"/>
        <v>7.126272473133799E-3</v>
      </c>
      <c r="R17" s="19"/>
      <c r="S17" s="19"/>
      <c r="T17" s="19"/>
    </row>
    <row r="18" spans="3:24" x14ac:dyDescent="0.3">
      <c r="C18" s="25" t="s">
        <v>193</v>
      </c>
      <c r="D18" s="255">
        <v>2262.15</v>
      </c>
      <c r="E18" s="134">
        <f t="shared" si="0"/>
        <v>-1.0156991764003198E-3</v>
      </c>
      <c r="G18" s="255">
        <v>1057.6500000000001</v>
      </c>
      <c r="H18" s="134">
        <f t="shared" si="1"/>
        <v>1.0799445692168286E-2</v>
      </c>
      <c r="I18" s="163"/>
      <c r="J18" s="256">
        <v>498.5</v>
      </c>
      <c r="K18" s="134">
        <f t="shared" si="2"/>
        <v>-7.3675826363998054E-3</v>
      </c>
      <c r="L18" s="163"/>
      <c r="M18" s="255">
        <v>2932.45</v>
      </c>
      <c r="N18" s="134">
        <f t="shared" si="3"/>
        <v>6.1933845731538817E-3</v>
      </c>
      <c r="O18" s="163"/>
      <c r="P18" s="255">
        <v>23750.2</v>
      </c>
      <c r="Q18" s="134">
        <f t="shared" si="4"/>
        <v>-2.6539679340203959E-3</v>
      </c>
      <c r="R18" s="19"/>
      <c r="S18" s="19"/>
      <c r="T18" s="19"/>
    </row>
    <row r="19" spans="3:24" x14ac:dyDescent="0.3">
      <c r="C19" s="25" t="s">
        <v>194</v>
      </c>
      <c r="D19" s="255">
        <v>2277.85</v>
      </c>
      <c r="E19" s="134">
        <f t="shared" si="0"/>
        <v>6.9403001569303679E-3</v>
      </c>
      <c r="G19" s="255">
        <v>1067.5999999999999</v>
      </c>
      <c r="H19" s="134">
        <f t="shared" si="1"/>
        <v>9.407649033233989E-3</v>
      </c>
      <c r="I19" s="163"/>
      <c r="J19" s="256">
        <v>504.4</v>
      </c>
      <c r="K19" s="134">
        <f t="shared" si="2"/>
        <v>1.1835506519558558E-2</v>
      </c>
      <c r="L19" s="163"/>
      <c r="M19" s="255">
        <v>2969.9</v>
      </c>
      <c r="N19" s="134">
        <f t="shared" si="3"/>
        <v>1.2770891234292314E-2</v>
      </c>
      <c r="O19" s="163"/>
      <c r="P19" s="255">
        <v>23727.65</v>
      </c>
      <c r="Q19" s="134">
        <f t="shared" si="4"/>
        <v>-9.4946568870990511E-4</v>
      </c>
      <c r="R19" s="19"/>
      <c r="S19" s="270" t="s">
        <v>640</v>
      </c>
      <c r="T19" s="270"/>
    </row>
    <row r="20" spans="3:24" x14ac:dyDescent="0.3">
      <c r="C20" s="25" t="s">
        <v>195</v>
      </c>
      <c r="D20" s="255">
        <v>2286.5500000000002</v>
      </c>
      <c r="E20" s="134">
        <f t="shared" si="0"/>
        <v>3.819391092477753E-3</v>
      </c>
      <c r="G20" s="255">
        <v>1034.25</v>
      </c>
      <c r="H20" s="134">
        <f t="shared" si="1"/>
        <v>-3.1238291494941839E-2</v>
      </c>
      <c r="I20" s="163"/>
      <c r="J20" s="256">
        <v>508.15</v>
      </c>
      <c r="K20" s="134">
        <f t="shared" si="2"/>
        <v>7.4345757335447793E-3</v>
      </c>
      <c r="L20" s="163"/>
      <c r="M20" s="255">
        <v>2951.8</v>
      </c>
      <c r="N20" s="134">
        <f t="shared" si="3"/>
        <v>-6.0944812956664762E-3</v>
      </c>
      <c r="O20" s="163"/>
      <c r="P20" s="255">
        <v>23753.45</v>
      </c>
      <c r="Q20" s="134">
        <f t="shared" si="4"/>
        <v>1.0873390327317267E-3</v>
      </c>
      <c r="R20" s="19"/>
      <c r="S20" s="172" t="s">
        <v>98</v>
      </c>
      <c r="T20" s="174" t="s">
        <v>641</v>
      </c>
    </row>
    <row r="21" spans="3:24" x14ac:dyDescent="0.3">
      <c r="C21" s="25" t="s">
        <v>196</v>
      </c>
      <c r="D21" s="255">
        <v>2277.6</v>
      </c>
      <c r="E21" s="134">
        <f t="shared" si="0"/>
        <v>-3.9141938728654013E-3</v>
      </c>
      <c r="G21" s="255">
        <v>1028.8499999999999</v>
      </c>
      <c r="H21" s="134">
        <f t="shared" si="1"/>
        <v>-5.2211747643220452E-3</v>
      </c>
      <c r="I21" s="163"/>
      <c r="J21" s="256">
        <v>504.65</v>
      </c>
      <c r="K21" s="134">
        <f t="shared" si="2"/>
        <v>-6.8877300009839715E-3</v>
      </c>
      <c r="L21" s="163"/>
      <c r="M21" s="255">
        <v>2976.8</v>
      </c>
      <c r="N21" s="134">
        <f t="shared" si="3"/>
        <v>8.4694084965106775E-3</v>
      </c>
      <c r="O21" s="163"/>
      <c r="P21" s="255">
        <v>23587.5</v>
      </c>
      <c r="Q21" s="134">
        <f t="shared" si="4"/>
        <v>-6.9863535612721961E-3</v>
      </c>
      <c r="R21" s="19"/>
      <c r="S21" s="173">
        <v>2000</v>
      </c>
      <c r="T21" s="258">
        <v>-0.14649999999999999</v>
      </c>
      <c r="V21" t="s">
        <v>642</v>
      </c>
      <c r="X21" s="137">
        <f>AVERAGE(T20:T43)</f>
        <v>0.15443478260869564</v>
      </c>
    </row>
    <row r="22" spans="3:24" x14ac:dyDescent="0.3">
      <c r="C22" s="25" t="s">
        <v>197</v>
      </c>
      <c r="D22" s="255">
        <v>2283.9499999999998</v>
      </c>
      <c r="E22" s="134">
        <f t="shared" si="0"/>
        <v>2.7880224798033648E-3</v>
      </c>
      <c r="G22" s="255">
        <v>1059.55</v>
      </c>
      <c r="H22" s="134">
        <f t="shared" si="1"/>
        <v>2.9839140788258778E-2</v>
      </c>
      <c r="I22" s="163"/>
      <c r="J22" s="256">
        <v>518.54999999999995</v>
      </c>
      <c r="K22" s="134">
        <f t="shared" si="2"/>
        <v>2.754384226691764E-2</v>
      </c>
      <c r="L22" s="163"/>
      <c r="M22" s="255">
        <v>2989</v>
      </c>
      <c r="N22" s="134">
        <f t="shared" si="3"/>
        <v>4.098360655737654E-3</v>
      </c>
      <c r="O22" s="163"/>
      <c r="P22" s="255">
        <v>23951.7</v>
      </c>
      <c r="Q22" s="134">
        <f t="shared" si="4"/>
        <v>1.5440381558028626E-2</v>
      </c>
      <c r="R22" s="19"/>
      <c r="S22" s="173">
        <v>2001</v>
      </c>
      <c r="T22" s="258">
        <v>-0.1618</v>
      </c>
      <c r="V22" t="s">
        <v>643</v>
      </c>
      <c r="X22" s="250">
        <v>1.2500000000000001E-2</v>
      </c>
    </row>
    <row r="23" spans="3:24" ht="15.6" x14ac:dyDescent="0.3">
      <c r="C23" s="25" t="s">
        <v>198</v>
      </c>
      <c r="D23" s="255">
        <v>2272.0500000000002</v>
      </c>
      <c r="E23" s="134">
        <f t="shared" si="0"/>
        <v>-5.2102716784516723E-3</v>
      </c>
      <c r="G23" s="255">
        <v>1057.1500000000001</v>
      </c>
      <c r="H23" s="134">
        <f t="shared" si="1"/>
        <v>-2.265112547779613E-3</v>
      </c>
      <c r="I23" s="163"/>
      <c r="J23" s="256">
        <v>532</v>
      </c>
      <c r="K23" s="134">
        <f t="shared" si="2"/>
        <v>2.593771092469388E-2</v>
      </c>
      <c r="L23" s="163"/>
      <c r="M23" s="255">
        <v>3057.65</v>
      </c>
      <c r="N23" s="134">
        <f t="shared" si="3"/>
        <v>2.2967547674807687E-2</v>
      </c>
      <c r="O23" s="163"/>
      <c r="P23" s="255">
        <v>24198.85</v>
      </c>
      <c r="Q23" s="134">
        <f t="shared" si="4"/>
        <v>1.0318683016236729E-2</v>
      </c>
      <c r="R23" s="19"/>
      <c r="S23" s="173">
        <v>2002</v>
      </c>
      <c r="T23" s="258">
        <v>3.2500000000000001E-2</v>
      </c>
      <c r="V23" s="29" t="s">
        <v>644</v>
      </c>
      <c r="W23" s="29"/>
      <c r="X23" s="175">
        <f>X21+X22</f>
        <v>0.16693478260869565</v>
      </c>
    </row>
    <row r="24" spans="3:24" x14ac:dyDescent="0.3">
      <c r="C24" s="25" t="s">
        <v>199</v>
      </c>
      <c r="D24" s="255">
        <v>2280</v>
      </c>
      <c r="E24" s="134">
        <f t="shared" si="0"/>
        <v>3.499042714729006E-3</v>
      </c>
      <c r="G24" s="255">
        <v>1072.6500000000001</v>
      </c>
      <c r="H24" s="134">
        <f t="shared" si="1"/>
        <v>1.4662063094168287E-2</v>
      </c>
      <c r="I24" s="163"/>
      <c r="J24" s="256">
        <v>539.54999999999995</v>
      </c>
      <c r="K24" s="134">
        <f t="shared" si="2"/>
        <v>1.4191729323308255E-2</v>
      </c>
      <c r="L24" s="163"/>
      <c r="M24" s="255">
        <v>3081.35</v>
      </c>
      <c r="N24" s="134">
        <f t="shared" si="3"/>
        <v>7.7510506434679272E-3</v>
      </c>
      <c r="O24" s="163"/>
      <c r="P24" s="255">
        <v>24336</v>
      </c>
      <c r="Q24" s="134">
        <f t="shared" si="4"/>
        <v>5.6676247011737679E-3</v>
      </c>
      <c r="R24" s="19"/>
      <c r="S24" s="173">
        <v>2003</v>
      </c>
      <c r="T24" s="258">
        <v>0.71900000000000008</v>
      </c>
    </row>
    <row r="25" spans="3:24" x14ac:dyDescent="0.3">
      <c r="C25" s="25" t="s">
        <v>200</v>
      </c>
      <c r="D25" s="255">
        <v>2306.4499999999998</v>
      </c>
      <c r="E25" s="134">
        <f t="shared" si="0"/>
        <v>1.1600877192982306E-2</v>
      </c>
      <c r="G25" s="255">
        <v>1084.75</v>
      </c>
      <c r="H25" s="134">
        <f t="shared" si="1"/>
        <v>1.1280473593436646E-2</v>
      </c>
      <c r="I25" s="163"/>
      <c r="J25" s="256">
        <v>547.79999999999995</v>
      </c>
      <c r="K25" s="134">
        <f t="shared" si="2"/>
        <v>1.5290519877675823E-2</v>
      </c>
      <c r="L25" s="163"/>
      <c r="M25" s="255">
        <v>3193.85</v>
      </c>
      <c r="N25" s="134">
        <f t="shared" si="3"/>
        <v>3.6509971278822606E-2</v>
      </c>
      <c r="O25" s="163"/>
      <c r="P25" s="255">
        <v>24668.25</v>
      </c>
      <c r="Q25" s="134">
        <f t="shared" si="4"/>
        <v>1.3652613412228787E-2</v>
      </c>
      <c r="R25" s="19"/>
      <c r="S25" s="173">
        <v>2004</v>
      </c>
      <c r="T25" s="258">
        <v>0.10679999999999999</v>
      </c>
    </row>
    <row r="26" spans="3:24" x14ac:dyDescent="0.3">
      <c r="C26" s="25" t="s">
        <v>201</v>
      </c>
      <c r="D26" s="255">
        <v>2296.6999999999998</v>
      </c>
      <c r="E26" s="134">
        <f t="shared" si="0"/>
        <v>-4.227275683409526E-3</v>
      </c>
      <c r="G26" s="255">
        <v>1093.55</v>
      </c>
      <c r="H26" s="134">
        <f t="shared" si="1"/>
        <v>8.1124683106705842E-3</v>
      </c>
      <c r="I26" s="163"/>
      <c r="J26" s="256">
        <v>549.79999999999995</v>
      </c>
      <c r="K26" s="134">
        <f t="shared" si="2"/>
        <v>3.6509675063891578E-3</v>
      </c>
      <c r="L26" s="163"/>
      <c r="M26" s="255">
        <v>3185.2</v>
      </c>
      <c r="N26" s="134">
        <f t="shared" si="3"/>
        <v>-2.7083300718568903E-3</v>
      </c>
      <c r="O26" s="163"/>
      <c r="P26" s="255">
        <v>24768.3</v>
      </c>
      <c r="Q26" s="134">
        <f t="shared" si="4"/>
        <v>4.0558207412362268E-3</v>
      </c>
      <c r="R26" s="19"/>
      <c r="S26" s="173">
        <v>2005</v>
      </c>
      <c r="T26" s="258">
        <v>0.36340000000000006</v>
      </c>
    </row>
    <row r="27" spans="3:24" x14ac:dyDescent="0.3">
      <c r="C27" s="160">
        <v>45638</v>
      </c>
      <c r="D27" s="255">
        <v>2298.8000000000002</v>
      </c>
      <c r="E27" s="134">
        <f t="shared" si="0"/>
        <v>9.1435537945772083E-4</v>
      </c>
      <c r="F27" s="34"/>
      <c r="G27" s="255">
        <v>1100.3</v>
      </c>
      <c r="H27" s="134">
        <f t="shared" si="1"/>
        <v>6.1725572676145646E-3</v>
      </c>
      <c r="I27" s="163"/>
      <c r="J27" s="256">
        <v>546.95000000000005</v>
      </c>
      <c r="K27" s="134">
        <f t="shared" si="2"/>
        <v>-5.1837031647870013E-3</v>
      </c>
      <c r="L27" s="163"/>
      <c r="M27" s="255">
        <v>3190.1</v>
      </c>
      <c r="N27" s="134">
        <f t="shared" si="3"/>
        <v>1.5383649378375441E-3</v>
      </c>
      <c r="O27" s="163"/>
      <c r="P27" s="255">
        <v>24548.7</v>
      </c>
      <c r="Q27" s="134">
        <f t="shared" si="4"/>
        <v>-8.8661716791220702E-3</v>
      </c>
      <c r="R27" s="19"/>
      <c r="S27" s="173">
        <v>2006</v>
      </c>
      <c r="T27" s="258">
        <v>0.39829999999999999</v>
      </c>
      <c r="W27" s="38"/>
      <c r="X27" s="35"/>
    </row>
    <row r="28" spans="3:24" x14ac:dyDescent="0.3">
      <c r="C28" s="160">
        <v>45608</v>
      </c>
      <c r="D28" s="255">
        <v>2336.4499999999998</v>
      </c>
      <c r="E28" s="134">
        <f t="shared" si="0"/>
        <v>1.6378110318426842E-2</v>
      </c>
      <c r="F28" s="34"/>
      <c r="G28" s="255">
        <v>1125.6500000000001</v>
      </c>
      <c r="H28" s="134">
        <f t="shared" si="1"/>
        <v>2.3039171135144976E-2</v>
      </c>
      <c r="I28" s="163"/>
      <c r="J28" s="256">
        <v>551.65</v>
      </c>
      <c r="K28" s="134">
        <f t="shared" si="2"/>
        <v>8.5931072310081458E-3</v>
      </c>
      <c r="L28" s="163"/>
      <c r="M28" s="255">
        <v>3191.2</v>
      </c>
      <c r="N28" s="134">
        <f t="shared" si="3"/>
        <v>3.4481677690356705E-4</v>
      </c>
      <c r="O28" s="163"/>
      <c r="P28" s="255">
        <v>24641.8</v>
      </c>
      <c r="Q28" s="134">
        <f t="shared" si="4"/>
        <v>3.7924615152735708E-3</v>
      </c>
      <c r="R28" s="19"/>
      <c r="S28" s="173">
        <v>2007</v>
      </c>
      <c r="T28" s="258">
        <v>0.54770000000000008</v>
      </c>
      <c r="W28" s="38"/>
      <c r="X28" s="35"/>
    </row>
    <row r="29" spans="3:24" x14ac:dyDescent="0.3">
      <c r="C29" s="160">
        <v>45577</v>
      </c>
      <c r="D29" s="255">
        <v>2343.6</v>
      </c>
      <c r="E29" s="134">
        <f t="shared" si="0"/>
        <v>3.0601981638811449E-3</v>
      </c>
      <c r="F29" s="34"/>
      <c r="G29" s="255">
        <v>1123.5</v>
      </c>
      <c r="H29" s="134">
        <f t="shared" si="1"/>
        <v>-1.9100075511927495E-3</v>
      </c>
      <c r="I29" s="163"/>
      <c r="J29" s="256">
        <v>550.25</v>
      </c>
      <c r="K29" s="134">
        <f t="shared" si="2"/>
        <v>-2.5378410223872994E-3</v>
      </c>
      <c r="L29" s="163"/>
      <c r="M29" s="255">
        <v>3213.15</v>
      </c>
      <c r="N29" s="134">
        <f t="shared" si="3"/>
        <v>6.878290298320433E-3</v>
      </c>
      <c r="O29" s="163"/>
      <c r="P29" s="255">
        <v>24610.05</v>
      </c>
      <c r="Q29" s="134">
        <f t="shared" si="4"/>
        <v>-1.2884610702140753E-3</v>
      </c>
      <c r="R29" s="19"/>
      <c r="S29" s="173">
        <v>2008</v>
      </c>
      <c r="T29" s="258">
        <v>-0.51790000000000003</v>
      </c>
      <c r="W29" s="38"/>
      <c r="X29" s="35"/>
    </row>
    <row r="30" spans="3:24" x14ac:dyDescent="0.3">
      <c r="C30" s="160">
        <v>45547</v>
      </c>
      <c r="D30" s="255">
        <v>2302.35</v>
      </c>
      <c r="E30" s="134">
        <f t="shared" si="0"/>
        <v>-1.760112647209422E-2</v>
      </c>
      <c r="F30" s="34"/>
      <c r="G30" s="255">
        <v>1106.05</v>
      </c>
      <c r="H30" s="134">
        <f t="shared" si="1"/>
        <v>-1.5531820204717439E-2</v>
      </c>
      <c r="I30" s="163"/>
      <c r="J30" s="256">
        <v>555.6</v>
      </c>
      <c r="K30" s="134">
        <f t="shared" si="2"/>
        <v>9.7228532485233998E-3</v>
      </c>
      <c r="L30" s="163"/>
      <c r="M30" s="255">
        <v>3160.75</v>
      </c>
      <c r="N30" s="134">
        <f t="shared" si="3"/>
        <v>-1.6307984376702001E-2</v>
      </c>
      <c r="O30" s="163"/>
      <c r="P30" s="255">
        <v>24619</v>
      </c>
      <c r="Q30" s="134">
        <f t="shared" si="4"/>
        <v>3.6367256466363074E-4</v>
      </c>
      <c r="R30" s="19"/>
      <c r="S30" s="173">
        <v>2009</v>
      </c>
      <c r="T30" s="258">
        <v>0.75760000000000005</v>
      </c>
      <c r="W30" s="38"/>
      <c r="X30" s="35"/>
    </row>
    <row r="31" spans="3:24" x14ac:dyDescent="0.3">
      <c r="C31" s="160">
        <v>45455</v>
      </c>
      <c r="D31" s="255">
        <v>2294.6999999999998</v>
      </c>
      <c r="E31" s="134">
        <f t="shared" si="0"/>
        <v>-3.3226920320542641E-3</v>
      </c>
      <c r="F31" s="34"/>
      <c r="G31" s="255">
        <v>1119.5</v>
      </c>
      <c r="H31" s="134">
        <f t="shared" si="1"/>
        <v>1.2160390579087688E-2</v>
      </c>
      <c r="I31" s="163"/>
      <c r="J31" s="256">
        <v>562.45000000000005</v>
      </c>
      <c r="K31" s="134">
        <f t="shared" si="2"/>
        <v>1.232901367890582E-2</v>
      </c>
      <c r="L31" s="163"/>
      <c r="M31" s="255">
        <v>3162.25</v>
      </c>
      <c r="N31" s="134">
        <f t="shared" si="3"/>
        <v>4.7457090880320685E-4</v>
      </c>
      <c r="O31" s="163"/>
      <c r="P31" s="255">
        <v>24677.8</v>
      </c>
      <c r="Q31" s="134">
        <f t="shared" si="4"/>
        <v>2.3883992038669088E-3</v>
      </c>
      <c r="R31" s="19"/>
      <c r="S31" s="173">
        <v>2010</v>
      </c>
      <c r="T31" s="258">
        <v>0.17949999999999999</v>
      </c>
      <c r="W31" s="38"/>
      <c r="X31" s="35"/>
    </row>
    <row r="32" spans="3:24" x14ac:dyDescent="0.3">
      <c r="C32" s="160">
        <v>45424</v>
      </c>
      <c r="D32" s="255">
        <v>2319.75</v>
      </c>
      <c r="E32" s="134">
        <f t="shared" si="0"/>
        <v>1.0916459667930534E-2</v>
      </c>
      <c r="F32" s="34"/>
      <c r="G32" s="255">
        <v>1136.7</v>
      </c>
      <c r="H32" s="134">
        <f t="shared" si="1"/>
        <v>1.5364001786511983E-2</v>
      </c>
      <c r="I32" s="163"/>
      <c r="J32" s="256">
        <v>558.6</v>
      </c>
      <c r="K32" s="134">
        <f t="shared" si="2"/>
        <v>-6.8450528935906085E-3</v>
      </c>
      <c r="L32" s="163"/>
      <c r="M32" s="255">
        <v>3191.95</v>
      </c>
      <c r="N32" s="134">
        <f t="shared" si="3"/>
        <v>9.392046802118692E-3</v>
      </c>
      <c r="O32" s="163"/>
      <c r="P32" s="255">
        <v>24708.400000000001</v>
      </c>
      <c r="Q32" s="134">
        <f t="shared" si="4"/>
        <v>1.239980873497748E-3</v>
      </c>
      <c r="R32" s="19"/>
      <c r="S32" s="173">
        <v>2011</v>
      </c>
      <c r="T32" s="258">
        <v>-0.2462</v>
      </c>
      <c r="X32" s="35"/>
    </row>
    <row r="33" spans="3:24" x14ac:dyDescent="0.3">
      <c r="C33" s="160">
        <v>45394</v>
      </c>
      <c r="D33" s="255">
        <v>2333.6999999999998</v>
      </c>
      <c r="E33" s="134">
        <f t="shared" si="0"/>
        <v>6.0135790494664221E-3</v>
      </c>
      <c r="F33" s="34"/>
      <c r="G33" s="255">
        <v>1125.95</v>
      </c>
      <c r="H33" s="134">
        <f t="shared" si="1"/>
        <v>-9.4572006686021171E-3</v>
      </c>
      <c r="I33" s="163"/>
      <c r="J33" s="256">
        <v>568.29999999999995</v>
      </c>
      <c r="K33" s="134">
        <f t="shared" si="2"/>
        <v>1.7364840673111281E-2</v>
      </c>
      <c r="L33" s="163"/>
      <c r="M33" s="255">
        <v>3204.75</v>
      </c>
      <c r="N33" s="134">
        <f t="shared" si="3"/>
        <v>4.0100878773163817E-3</v>
      </c>
      <c r="O33" s="163"/>
      <c r="P33" s="255">
        <v>24467.45</v>
      </c>
      <c r="Q33" s="134">
        <f t="shared" si="4"/>
        <v>-9.7517443460524156E-3</v>
      </c>
      <c r="R33" s="19"/>
      <c r="S33" s="173">
        <v>2012</v>
      </c>
      <c r="T33" s="258">
        <v>0.27699999999999997</v>
      </c>
      <c r="X33" s="35"/>
    </row>
    <row r="34" spans="3:24" x14ac:dyDescent="0.3">
      <c r="C34" s="160">
        <v>45363</v>
      </c>
      <c r="D34" s="255">
        <v>2311.25</v>
      </c>
      <c r="E34" s="134">
        <f t="shared" si="0"/>
        <v>-9.6199168702060245E-3</v>
      </c>
      <c r="F34" s="34"/>
      <c r="G34" s="255">
        <v>1136.4000000000001</v>
      </c>
      <c r="H34" s="134">
        <f t="shared" si="1"/>
        <v>9.2810515564634155E-3</v>
      </c>
      <c r="I34" s="163"/>
      <c r="J34" s="256">
        <v>562.6</v>
      </c>
      <c r="K34" s="134">
        <f t="shared" si="2"/>
        <v>-1.0029913777934052E-2</v>
      </c>
      <c r="L34" s="163"/>
      <c r="M34" s="255">
        <v>3149</v>
      </c>
      <c r="N34" s="134">
        <f t="shared" si="3"/>
        <v>-1.7396052734222622E-2</v>
      </c>
      <c r="O34" s="163"/>
      <c r="P34" s="255">
        <v>24457.15</v>
      </c>
      <c r="Q34" s="134">
        <f t="shared" si="4"/>
        <v>-4.2096744858988178E-4</v>
      </c>
      <c r="R34" s="19"/>
      <c r="S34" s="173">
        <v>2013</v>
      </c>
      <c r="T34" s="258">
        <v>6.7599999999999993E-2</v>
      </c>
      <c r="X34" s="35"/>
    </row>
    <row r="35" spans="3:24" x14ac:dyDescent="0.3">
      <c r="C35" s="160">
        <v>45334</v>
      </c>
      <c r="D35" s="255">
        <v>2296.9499999999998</v>
      </c>
      <c r="E35" s="134">
        <f t="shared" si="0"/>
        <v>-6.1871281773933084E-3</v>
      </c>
      <c r="F35" s="34"/>
      <c r="G35" s="255">
        <v>1129.8</v>
      </c>
      <c r="H35" s="134">
        <f t="shared" si="1"/>
        <v>-5.8078141499473546E-3</v>
      </c>
      <c r="I35" s="163"/>
      <c r="J35" s="256">
        <v>554</v>
      </c>
      <c r="K35" s="134">
        <f t="shared" si="2"/>
        <v>-1.5286171347316024E-2</v>
      </c>
      <c r="L35" s="163"/>
      <c r="M35" s="255">
        <v>3132.5</v>
      </c>
      <c r="N35" s="134">
        <f t="shared" si="3"/>
        <v>-5.2397586535407603E-3</v>
      </c>
      <c r="O35" s="163"/>
      <c r="P35" s="255">
        <v>24276.05</v>
      </c>
      <c r="Q35" s="134">
        <f t="shared" si="4"/>
        <v>-7.4047875570130151E-3</v>
      </c>
      <c r="R35" s="19"/>
      <c r="S35" s="173">
        <v>2014</v>
      </c>
      <c r="T35" s="258">
        <v>0.31390000000000001</v>
      </c>
      <c r="X35" s="35"/>
    </row>
    <row r="36" spans="3:24" x14ac:dyDescent="0.3">
      <c r="C36" s="25" t="s">
        <v>202</v>
      </c>
      <c r="D36" s="255">
        <v>2265</v>
      </c>
      <c r="E36" s="134">
        <f t="shared" si="0"/>
        <v>-1.3909749885717915E-2</v>
      </c>
      <c r="G36" s="255">
        <v>1111.75</v>
      </c>
      <c r="H36" s="134">
        <f t="shared" si="1"/>
        <v>-1.5976278987431369E-2</v>
      </c>
      <c r="I36" s="163"/>
      <c r="J36" s="256">
        <v>545.54999999999995</v>
      </c>
      <c r="K36" s="134">
        <f t="shared" si="2"/>
        <v>-1.5252707581227543E-2</v>
      </c>
      <c r="L36" s="163"/>
      <c r="M36" s="255">
        <v>3066.2</v>
      </c>
      <c r="N36" s="134">
        <f t="shared" si="3"/>
        <v>-2.116520351157225E-2</v>
      </c>
      <c r="O36" s="163"/>
      <c r="P36" s="255">
        <v>24131.1</v>
      </c>
      <c r="Q36" s="134">
        <f t="shared" si="4"/>
        <v>-5.9709054809163886E-3</v>
      </c>
      <c r="R36" s="19"/>
      <c r="S36" s="173">
        <v>2015</v>
      </c>
      <c r="T36" s="258">
        <v>-4.0599999999999997E-2</v>
      </c>
      <c r="X36" s="35"/>
    </row>
    <row r="37" spans="3:24" x14ac:dyDescent="0.3">
      <c r="C37" s="25" t="s">
        <v>203</v>
      </c>
      <c r="D37" s="255">
        <v>2262.4</v>
      </c>
      <c r="E37" s="134">
        <f t="shared" si="0"/>
        <v>-1.1479028697571891E-3</v>
      </c>
      <c r="G37" s="255">
        <v>1103.8499999999999</v>
      </c>
      <c r="H37" s="134">
        <f t="shared" si="1"/>
        <v>-7.1059140993929848E-3</v>
      </c>
      <c r="I37" s="163"/>
      <c r="J37" s="256">
        <v>546.85</v>
      </c>
      <c r="K37" s="134">
        <f t="shared" si="2"/>
        <v>2.3829163229769357E-3</v>
      </c>
      <c r="L37" s="163"/>
      <c r="M37" s="255">
        <v>3043.9</v>
      </c>
      <c r="N37" s="134">
        <f t="shared" si="3"/>
        <v>-7.2728458678493757E-3</v>
      </c>
      <c r="O37" s="163"/>
      <c r="P37" s="255">
        <v>23914.15</v>
      </c>
      <c r="Q37" s="134">
        <f t="shared" si="4"/>
        <v>-8.9904728752521201E-3</v>
      </c>
      <c r="R37" s="19"/>
      <c r="S37" s="173">
        <v>2016</v>
      </c>
      <c r="T37" s="258">
        <v>3.0099999999999998E-2</v>
      </c>
      <c r="X37" s="35"/>
    </row>
    <row r="38" spans="3:24" x14ac:dyDescent="0.3">
      <c r="C38" s="25" t="s">
        <v>204</v>
      </c>
      <c r="D38" s="255">
        <v>2296.6</v>
      </c>
      <c r="E38" s="134">
        <f t="shared" si="0"/>
        <v>1.5116690240452479E-2</v>
      </c>
      <c r="G38" s="255">
        <v>1107.1500000000001</v>
      </c>
      <c r="H38" s="134">
        <f t="shared" si="1"/>
        <v>2.989536621823774E-3</v>
      </c>
      <c r="I38" s="163"/>
      <c r="J38" s="256">
        <v>548</v>
      </c>
      <c r="K38" s="134">
        <f t="shared" si="2"/>
        <v>2.1029532778640281E-3</v>
      </c>
      <c r="L38" s="163"/>
      <c r="M38" s="255">
        <v>3045.75</v>
      </c>
      <c r="N38" s="134">
        <f t="shared" si="3"/>
        <v>6.0777292289504459E-4</v>
      </c>
      <c r="O38" s="163"/>
      <c r="P38" s="255">
        <v>24274.9</v>
      </c>
      <c r="Q38" s="134">
        <f t="shared" si="4"/>
        <v>1.5085211057052073E-2</v>
      </c>
      <c r="R38" s="19"/>
      <c r="S38" s="173">
        <v>2017</v>
      </c>
      <c r="T38" s="258">
        <v>0.28649999999999998</v>
      </c>
      <c r="X38" s="35"/>
    </row>
    <row r="39" spans="3:24" x14ac:dyDescent="0.3">
      <c r="C39" s="25" t="s">
        <v>205</v>
      </c>
      <c r="D39" s="255">
        <v>2234.65</v>
      </c>
      <c r="E39" s="134">
        <f t="shared" si="0"/>
        <v>-2.6974658190368261E-2</v>
      </c>
      <c r="G39" s="255">
        <v>1095.3</v>
      </c>
      <c r="H39" s="134">
        <f t="shared" si="1"/>
        <v>-1.0703156753827492E-2</v>
      </c>
      <c r="I39" s="163"/>
      <c r="J39" s="256">
        <v>551.79999999999995</v>
      </c>
      <c r="K39" s="134">
        <f t="shared" si="2"/>
        <v>6.9343065693430184E-3</v>
      </c>
      <c r="L39" s="163"/>
      <c r="M39" s="255">
        <v>3012.05</v>
      </c>
      <c r="N39" s="134">
        <f t="shared" si="3"/>
        <v>-1.1064598210621335E-2</v>
      </c>
      <c r="O39" s="163"/>
      <c r="P39" s="255">
        <v>24194.5</v>
      </c>
      <c r="Q39" s="134">
        <f t="shared" si="4"/>
        <v>-3.3120630774998716E-3</v>
      </c>
      <c r="R39" s="19"/>
      <c r="S39" s="173">
        <v>2018</v>
      </c>
      <c r="T39" s="258">
        <v>3.15E-2</v>
      </c>
      <c r="X39" s="35"/>
    </row>
    <row r="40" spans="3:24" x14ac:dyDescent="0.3">
      <c r="C40" s="25" t="s">
        <v>206</v>
      </c>
      <c r="D40" s="255">
        <v>2223.5500000000002</v>
      </c>
      <c r="E40" s="134">
        <f t="shared" si="0"/>
        <v>-4.9672208175776111E-3</v>
      </c>
      <c r="G40" s="255">
        <v>1081.95</v>
      </c>
      <c r="H40" s="134">
        <f t="shared" si="1"/>
        <v>-1.2188441522870352E-2</v>
      </c>
      <c r="I40" s="163"/>
      <c r="J40" s="256">
        <v>545.82000000000005</v>
      </c>
      <c r="K40" s="134">
        <f t="shared" si="2"/>
        <v>-1.0837259876766758E-2</v>
      </c>
      <c r="L40" s="163"/>
      <c r="M40" s="255">
        <v>2986.2</v>
      </c>
      <c r="N40" s="134">
        <f t="shared" si="3"/>
        <v>-8.5821948506832335E-3</v>
      </c>
      <c r="O40" s="163"/>
      <c r="P40" s="255">
        <v>24221.9</v>
      </c>
      <c r="Q40" s="134">
        <f t="shared" si="4"/>
        <v>1.1324887887744772E-3</v>
      </c>
      <c r="R40" s="19"/>
      <c r="S40" s="173">
        <v>2019</v>
      </c>
      <c r="T40" s="258">
        <v>0.1202</v>
      </c>
      <c r="X40" s="35"/>
    </row>
    <row r="41" spans="3:24" x14ac:dyDescent="0.3">
      <c r="C41" s="25" t="s">
        <v>207</v>
      </c>
      <c r="D41" s="255">
        <v>2163.25</v>
      </c>
      <c r="E41" s="134">
        <f t="shared" si="0"/>
        <v>-2.7118796519079891E-2</v>
      </c>
      <c r="G41" s="255">
        <v>1069.9000000000001</v>
      </c>
      <c r="H41" s="134">
        <f t="shared" si="1"/>
        <v>-1.1137298396413864E-2</v>
      </c>
      <c r="I41" s="163"/>
      <c r="J41" s="256">
        <v>542.99</v>
      </c>
      <c r="K41" s="134">
        <f t="shared" si="2"/>
        <v>-5.1848594774834833E-3</v>
      </c>
      <c r="L41" s="163"/>
      <c r="M41" s="255">
        <v>2956.55</v>
      </c>
      <c r="N41" s="134">
        <f t="shared" si="3"/>
        <v>-9.9290067644496327E-3</v>
      </c>
      <c r="O41" s="163"/>
      <c r="P41" s="255">
        <v>23907.25</v>
      </c>
      <c r="Q41" s="134">
        <f t="shared" si="4"/>
        <v>-1.2990310421560736E-2</v>
      </c>
      <c r="R41" s="19"/>
      <c r="S41" s="173">
        <v>2020</v>
      </c>
      <c r="T41" s="258">
        <v>0.14899999999999999</v>
      </c>
      <c r="X41" s="35"/>
    </row>
    <row r="42" spans="3:24" x14ac:dyDescent="0.3">
      <c r="C42" s="25" t="s">
        <v>208</v>
      </c>
      <c r="D42" s="255">
        <v>2143.65</v>
      </c>
      <c r="E42" s="134">
        <f t="shared" si="0"/>
        <v>-9.0604414653876475E-3</v>
      </c>
      <c r="G42" s="255">
        <v>1045.0999999999999</v>
      </c>
      <c r="H42" s="134">
        <f t="shared" si="1"/>
        <v>-2.3179736423964981E-2</v>
      </c>
      <c r="I42" s="163"/>
      <c r="J42" s="256">
        <v>532.83000000000004</v>
      </c>
      <c r="K42" s="134">
        <f t="shared" si="2"/>
        <v>-1.8711210151199809E-2</v>
      </c>
      <c r="L42" s="163"/>
      <c r="M42" s="255">
        <v>2938.05</v>
      </c>
      <c r="N42" s="134">
        <f t="shared" si="3"/>
        <v>-6.257293128815733E-3</v>
      </c>
      <c r="O42" s="163"/>
      <c r="P42" s="255">
        <v>23349.9</v>
      </c>
      <c r="Q42" s="134">
        <f t="shared" si="4"/>
        <v>-2.3313011743299583E-2</v>
      </c>
      <c r="R42" s="19"/>
      <c r="S42" s="173">
        <v>2021</v>
      </c>
      <c r="T42" s="258">
        <v>0.2412</v>
      </c>
      <c r="X42" s="35"/>
    </row>
    <row r="43" spans="3:24" x14ac:dyDescent="0.3">
      <c r="C43" s="25" t="s">
        <v>209</v>
      </c>
      <c r="D43" s="255">
        <v>2199.5</v>
      </c>
      <c r="E43" s="134">
        <f t="shared" si="0"/>
        <v>2.6053693466750572E-2</v>
      </c>
      <c r="G43" s="255">
        <v>1068.25</v>
      </c>
      <c r="H43" s="134">
        <f t="shared" si="1"/>
        <v>2.2150990335853216E-2</v>
      </c>
      <c r="I43" s="163"/>
      <c r="J43" s="256">
        <v>524.53</v>
      </c>
      <c r="K43" s="134">
        <f t="shared" si="2"/>
        <v>-1.5577200983428185E-2</v>
      </c>
      <c r="L43" s="163"/>
      <c r="M43" s="255">
        <v>3001.9</v>
      </c>
      <c r="N43" s="134">
        <f t="shared" si="3"/>
        <v>2.1732101223600697E-2</v>
      </c>
      <c r="O43" s="163"/>
      <c r="P43" s="255">
        <v>23518.5</v>
      </c>
      <c r="Q43" s="134">
        <f t="shared" si="4"/>
        <v>7.220587668469669E-3</v>
      </c>
      <c r="R43" s="19"/>
      <c r="S43" s="173">
        <v>2022</v>
      </c>
      <c r="T43" s="258">
        <v>4.3200000000000002E-2</v>
      </c>
      <c r="X43" s="35"/>
    </row>
    <row r="44" spans="3:24" x14ac:dyDescent="0.3">
      <c r="C44" s="25" t="s">
        <v>210</v>
      </c>
      <c r="D44" s="255">
        <v>2179.35</v>
      </c>
      <c r="E44" s="134">
        <f t="shared" si="0"/>
        <v>-9.161172993862321E-3</v>
      </c>
      <c r="G44" s="255">
        <v>1058.95</v>
      </c>
      <c r="H44" s="134">
        <f t="shared" si="1"/>
        <v>-8.7058272876199272E-3</v>
      </c>
      <c r="I44" s="163"/>
      <c r="J44" s="256">
        <v>514.6</v>
      </c>
      <c r="K44" s="134">
        <f t="shared" si="2"/>
        <v>-1.8931233675862136E-2</v>
      </c>
      <c r="L44" s="163"/>
      <c r="M44" s="255">
        <v>3019.3</v>
      </c>
      <c r="N44" s="134">
        <f t="shared" si="3"/>
        <v>5.7963289916387328E-3</v>
      </c>
      <c r="O44" s="163"/>
      <c r="P44" s="255">
        <v>23453.8</v>
      </c>
      <c r="Q44" s="134">
        <f t="shared" si="4"/>
        <v>-2.7510257882092937E-3</v>
      </c>
      <c r="R44" s="19"/>
      <c r="S44" s="173">
        <v>2023</v>
      </c>
      <c r="T44" s="258">
        <v>0.19420000000000001</v>
      </c>
      <c r="W44" s="38"/>
      <c r="X44" s="35"/>
    </row>
    <row r="45" spans="3:24" x14ac:dyDescent="0.3">
      <c r="C45" s="25" t="s">
        <v>211</v>
      </c>
      <c r="D45" s="255">
        <v>2235.1999999999998</v>
      </c>
      <c r="E45" s="134">
        <f t="shared" si="0"/>
        <v>2.5626907105329444E-2</v>
      </c>
      <c r="G45" s="255">
        <v>1058.55</v>
      </c>
      <c r="H45" s="134">
        <f t="shared" si="1"/>
        <v>-3.7773265971019487E-4</v>
      </c>
      <c r="I45" s="163"/>
      <c r="J45" s="256">
        <v>503.91</v>
      </c>
      <c r="K45" s="134">
        <f t="shared" si="2"/>
        <v>-2.0773416245627674E-2</v>
      </c>
      <c r="L45" s="163"/>
      <c r="M45" s="255">
        <v>3021.7</v>
      </c>
      <c r="N45" s="134">
        <f t="shared" si="3"/>
        <v>7.9488623190804297E-4</v>
      </c>
      <c r="O45" s="163"/>
      <c r="P45" s="255">
        <v>23532.7</v>
      </c>
      <c r="Q45" s="134">
        <f t="shared" si="4"/>
        <v>3.3640604081215386E-3</v>
      </c>
      <c r="R45" s="19"/>
      <c r="W45" s="38"/>
      <c r="X45" s="35"/>
    </row>
    <row r="46" spans="3:24" x14ac:dyDescent="0.3">
      <c r="C46" s="25" t="s">
        <v>212</v>
      </c>
      <c r="D46" s="255">
        <v>2197.9</v>
      </c>
      <c r="E46" s="134">
        <f t="shared" si="0"/>
        <v>-1.668754473872569E-2</v>
      </c>
      <c r="G46" s="255">
        <v>1041.1500000000001</v>
      </c>
      <c r="H46" s="134">
        <f t="shared" si="1"/>
        <v>-1.6437579708091121E-2</v>
      </c>
      <c r="I46" s="163"/>
      <c r="J46" s="256">
        <v>493.21</v>
      </c>
      <c r="K46" s="134">
        <f t="shared" si="2"/>
        <v>-2.1233950507035027E-2</v>
      </c>
      <c r="L46" s="163"/>
      <c r="M46" s="255">
        <v>2988.55</v>
      </c>
      <c r="N46" s="134">
        <f t="shared" si="3"/>
        <v>-1.0970645663037293E-2</v>
      </c>
      <c r="O46" s="163"/>
      <c r="P46" s="255">
        <v>23559.05</v>
      </c>
      <c r="Q46" s="134">
        <f t="shared" si="4"/>
        <v>1.1197185193367876E-3</v>
      </c>
      <c r="R46" s="19"/>
    </row>
    <row r="47" spans="3:24" x14ac:dyDescent="0.3">
      <c r="C47" s="160">
        <v>45637</v>
      </c>
      <c r="D47" s="255">
        <v>2253.0500000000002</v>
      </c>
      <c r="E47" s="134">
        <f t="shared" si="0"/>
        <v>2.5092133400063776E-2</v>
      </c>
      <c r="F47" s="34"/>
      <c r="G47" s="255">
        <v>1072.3499999999999</v>
      </c>
      <c r="H47" s="134">
        <f t="shared" si="1"/>
        <v>2.9966863564327761E-2</v>
      </c>
      <c r="I47" s="163"/>
      <c r="J47" s="256">
        <v>505.87</v>
      </c>
      <c r="K47" s="134">
        <f t="shared" si="2"/>
        <v>2.566857930698907E-2</v>
      </c>
      <c r="L47" s="163"/>
      <c r="M47" s="255">
        <v>3040.3</v>
      </c>
      <c r="N47" s="134">
        <f t="shared" si="3"/>
        <v>1.7316089742517304E-2</v>
      </c>
      <c r="O47" s="163"/>
      <c r="P47" s="255">
        <v>23883.45</v>
      </c>
      <c r="Q47" s="134">
        <f t="shared" si="4"/>
        <v>1.3769655397819491E-2</v>
      </c>
      <c r="R47" s="19"/>
      <c r="S47" s="19"/>
      <c r="T47" s="19"/>
      <c r="W47" s="38"/>
      <c r="X47" s="35"/>
    </row>
    <row r="48" spans="3:24" x14ac:dyDescent="0.3">
      <c r="C48" s="160">
        <v>45607</v>
      </c>
      <c r="D48" s="255">
        <v>2294.1999999999998</v>
      </c>
      <c r="E48" s="134">
        <f t="shared" si="0"/>
        <v>1.8264130844854565E-2</v>
      </c>
      <c r="F48" s="34"/>
      <c r="G48" s="255">
        <v>1096.55</v>
      </c>
      <c r="H48" s="134">
        <f t="shared" si="1"/>
        <v>2.2567258824077951E-2</v>
      </c>
      <c r="I48" s="163"/>
      <c r="J48" s="256">
        <v>494.07</v>
      </c>
      <c r="K48" s="134">
        <f t="shared" si="2"/>
        <v>-2.3326150987407868E-2</v>
      </c>
      <c r="L48" s="163"/>
      <c r="M48" s="255">
        <v>3099.65</v>
      </c>
      <c r="N48" s="134">
        <f t="shared" si="3"/>
        <v>1.9521099891458116E-2</v>
      </c>
      <c r="O48" s="163"/>
      <c r="P48" s="255">
        <v>24141.3</v>
      </c>
      <c r="Q48" s="134">
        <f t="shared" si="4"/>
        <v>1.0796178943996759E-2</v>
      </c>
      <c r="R48" s="19"/>
      <c r="S48" s="19"/>
      <c r="T48" s="19"/>
      <c r="W48" s="38"/>
      <c r="X48" s="35"/>
    </row>
    <row r="49" spans="3:24" x14ac:dyDescent="0.3">
      <c r="C49" s="160">
        <v>45515</v>
      </c>
      <c r="D49" s="255">
        <v>2305.9499999999998</v>
      </c>
      <c r="E49" s="134">
        <f t="shared" si="0"/>
        <v>5.1216110190916986E-3</v>
      </c>
      <c r="F49" s="34"/>
      <c r="G49" s="255">
        <v>1101.5</v>
      </c>
      <c r="H49" s="134">
        <f t="shared" si="1"/>
        <v>4.5141580411289794E-3</v>
      </c>
      <c r="I49" s="163"/>
      <c r="J49" s="256">
        <v>534.84</v>
      </c>
      <c r="K49" s="134">
        <f t="shared" si="2"/>
        <v>8.2518671443317926E-2</v>
      </c>
      <c r="L49" s="163"/>
      <c r="M49" s="255">
        <v>3125.7</v>
      </c>
      <c r="N49" s="134">
        <f t="shared" si="3"/>
        <v>8.4041746648815252E-3</v>
      </c>
      <c r="O49" s="163"/>
      <c r="P49" s="255">
        <v>24148.2</v>
      </c>
      <c r="Q49" s="134">
        <f t="shared" si="4"/>
        <v>2.8581725093523858E-4</v>
      </c>
      <c r="R49" s="19"/>
      <c r="S49" s="19"/>
      <c r="T49" s="19"/>
      <c r="W49" s="38"/>
      <c r="X49" s="35"/>
    </row>
    <row r="50" spans="3:24" x14ac:dyDescent="0.3">
      <c r="C50" s="160">
        <v>45484</v>
      </c>
      <c r="D50" s="255">
        <v>2378.4499999999998</v>
      </c>
      <c r="E50" s="134">
        <f t="shared" si="0"/>
        <v>3.1440404171816372E-2</v>
      </c>
      <c r="F50" s="34"/>
      <c r="G50" s="255">
        <v>1120.25</v>
      </c>
      <c r="H50" s="134">
        <f t="shared" si="1"/>
        <v>1.7022242396731668E-2</v>
      </c>
      <c r="I50" s="163"/>
      <c r="J50" s="256">
        <v>543.76</v>
      </c>
      <c r="K50" s="134">
        <f t="shared" si="2"/>
        <v>1.66778849749456E-2</v>
      </c>
      <c r="L50" s="163"/>
      <c r="M50" s="255">
        <v>3158.35</v>
      </c>
      <c r="N50" s="134">
        <f t="shared" si="3"/>
        <v>1.0445660172121451E-2</v>
      </c>
      <c r="O50" s="163"/>
      <c r="P50" s="255">
        <v>24199.35</v>
      </c>
      <c r="Q50" s="134">
        <f t="shared" si="4"/>
        <v>2.1181702984072182E-3</v>
      </c>
      <c r="R50" s="19"/>
      <c r="S50" s="19"/>
      <c r="T50" s="19"/>
      <c r="W50" s="38"/>
      <c r="X50" s="35"/>
    </row>
    <row r="51" spans="3:24" x14ac:dyDescent="0.3">
      <c r="C51" s="160">
        <v>45454</v>
      </c>
      <c r="D51" s="255">
        <v>2343.0500000000002</v>
      </c>
      <c r="E51" s="134">
        <f t="shared" si="0"/>
        <v>-1.4883642708486522E-2</v>
      </c>
      <c r="F51" s="34"/>
      <c r="G51" s="255">
        <v>1150.55</v>
      </c>
      <c r="H51" s="134">
        <f t="shared" si="1"/>
        <v>2.7047534032581977E-2</v>
      </c>
      <c r="I51" s="163"/>
      <c r="J51" s="256">
        <v>544.19000000000005</v>
      </c>
      <c r="K51" s="134">
        <f t="shared" si="2"/>
        <v>7.9079005443594141E-4</v>
      </c>
      <c r="L51" s="163"/>
      <c r="M51" s="255">
        <v>3180.8</v>
      </c>
      <c r="N51" s="134">
        <f t="shared" si="3"/>
        <v>7.1081419095415654E-3</v>
      </c>
      <c r="O51" s="163"/>
      <c r="P51" s="255">
        <v>24484.05</v>
      </c>
      <c r="Q51" s="134">
        <f t="shared" si="4"/>
        <v>1.1764778806042431E-2</v>
      </c>
      <c r="R51" s="19"/>
      <c r="S51" s="19"/>
      <c r="T51" s="19"/>
      <c r="W51" s="38"/>
      <c r="X51" s="35"/>
    </row>
    <row r="52" spans="3:24" x14ac:dyDescent="0.3">
      <c r="C52" s="160">
        <v>45423</v>
      </c>
      <c r="D52" s="255">
        <v>2299.15</v>
      </c>
      <c r="E52" s="134">
        <f t="shared" si="0"/>
        <v>-1.8736262563752382E-2</v>
      </c>
      <c r="F52" s="34"/>
      <c r="G52" s="255">
        <v>1129.8</v>
      </c>
      <c r="H52" s="134">
        <f t="shared" si="1"/>
        <v>-1.8034852896440801E-2</v>
      </c>
      <c r="I52" s="163"/>
      <c r="J52" s="256">
        <v>536.13</v>
      </c>
      <c r="K52" s="134">
        <f t="shared" si="2"/>
        <v>-1.4811003509803689E-2</v>
      </c>
      <c r="L52" s="163"/>
      <c r="M52" s="255">
        <v>3104.55</v>
      </c>
      <c r="N52" s="134">
        <f t="shared" si="3"/>
        <v>-2.3971956740442613E-2</v>
      </c>
      <c r="O52" s="163"/>
      <c r="P52" s="255">
        <v>24213.3</v>
      </c>
      <c r="Q52" s="134">
        <f t="shared" si="4"/>
        <v>-1.1058219534758384E-2</v>
      </c>
      <c r="R52" s="19"/>
      <c r="S52" s="19"/>
      <c r="T52" s="19"/>
      <c r="W52" s="38"/>
      <c r="X52" s="35"/>
    </row>
    <row r="53" spans="3:24" x14ac:dyDescent="0.3">
      <c r="C53" s="160">
        <v>45393</v>
      </c>
      <c r="D53" s="255">
        <v>2246.6999999999998</v>
      </c>
      <c r="E53" s="134">
        <f t="shared" si="0"/>
        <v>-2.2812778635582842E-2</v>
      </c>
      <c r="F53" s="34"/>
      <c r="G53" s="255">
        <v>1125.75</v>
      </c>
      <c r="H53" s="134">
        <f t="shared" si="1"/>
        <v>-3.5847052575677107E-3</v>
      </c>
      <c r="I53" s="163"/>
      <c r="J53" s="256">
        <v>529.9</v>
      </c>
      <c r="K53" s="134">
        <f t="shared" si="2"/>
        <v>-1.1620315968142059E-2</v>
      </c>
      <c r="L53" s="163"/>
      <c r="M53" s="255">
        <v>3120.55</v>
      </c>
      <c r="N53" s="134">
        <f t="shared" si="3"/>
        <v>5.1537259828315918E-3</v>
      </c>
      <c r="O53" s="163"/>
      <c r="P53" s="255">
        <v>23995.35</v>
      </c>
      <c r="Q53" s="134">
        <f t="shared" si="4"/>
        <v>-9.0012513783747083E-3</v>
      </c>
      <c r="R53" s="19"/>
      <c r="S53" s="19"/>
      <c r="T53" s="19"/>
      <c r="W53" s="38"/>
      <c r="X53" s="35"/>
    </row>
    <row r="54" spans="3:24" x14ac:dyDescent="0.3">
      <c r="C54" s="160">
        <v>45302</v>
      </c>
      <c r="D54" s="255">
        <v>2252.3000000000002</v>
      </c>
      <c r="E54" s="134">
        <f t="shared" si="0"/>
        <v>2.4925446209997926E-3</v>
      </c>
      <c r="F54" s="34"/>
      <c r="G54" s="255">
        <v>1154.75</v>
      </c>
      <c r="H54" s="134">
        <f t="shared" si="1"/>
        <v>2.5760604041749957E-2</v>
      </c>
      <c r="I54" s="163"/>
      <c r="J54" s="256">
        <v>535.41</v>
      </c>
      <c r="K54" s="134">
        <f t="shared" si="2"/>
        <v>1.0398188337422232E-2</v>
      </c>
      <c r="L54" s="163"/>
      <c r="M54" s="255">
        <v>3158.75</v>
      </c>
      <c r="N54" s="134">
        <f t="shared" si="3"/>
        <v>1.2241431798881486E-2</v>
      </c>
      <c r="O54" s="163"/>
      <c r="P54" s="255">
        <v>24304.35</v>
      </c>
      <c r="Q54" s="134">
        <f t="shared" si="4"/>
        <v>1.2877495014659068E-2</v>
      </c>
      <c r="R54" s="19"/>
      <c r="S54" s="19"/>
      <c r="T54" s="19"/>
      <c r="X54" s="35"/>
    </row>
    <row r="55" spans="3:24" x14ac:dyDescent="0.3">
      <c r="C55" s="25" t="s">
        <v>213</v>
      </c>
      <c r="D55" s="255">
        <v>2243.15</v>
      </c>
      <c r="E55" s="134">
        <f t="shared" si="0"/>
        <v>-4.0625138747059086E-3</v>
      </c>
      <c r="G55" s="255">
        <v>1148.9000000000001</v>
      </c>
      <c r="H55" s="134">
        <f t="shared" si="1"/>
        <v>-5.0660316085732182E-3</v>
      </c>
      <c r="I55" s="163"/>
      <c r="J55" s="256">
        <v>531.39</v>
      </c>
      <c r="K55" s="134">
        <f t="shared" si="2"/>
        <v>-7.5082646943464004E-3</v>
      </c>
      <c r="L55" s="163"/>
      <c r="M55" s="255">
        <v>3145.85</v>
      </c>
      <c r="N55" s="134">
        <f t="shared" si="3"/>
        <v>-4.0838939453897716E-3</v>
      </c>
      <c r="O55" s="163"/>
      <c r="P55" s="255">
        <v>24205.35</v>
      </c>
      <c r="Q55" s="134">
        <f t="shared" si="4"/>
        <v>-4.0733448950496243E-3</v>
      </c>
      <c r="R55" s="19"/>
      <c r="S55" s="19"/>
      <c r="T55" s="19"/>
      <c r="X55" s="35"/>
    </row>
    <row r="56" spans="3:24" x14ac:dyDescent="0.3">
      <c r="C56" s="25" t="s">
        <v>214</v>
      </c>
      <c r="D56" s="255">
        <v>2261.9499999999998</v>
      </c>
      <c r="E56" s="134">
        <f t="shared" si="0"/>
        <v>8.3810712613956451E-3</v>
      </c>
      <c r="G56" s="255">
        <v>1131.75</v>
      </c>
      <c r="H56" s="134">
        <f t="shared" si="1"/>
        <v>-1.4927321786056269E-2</v>
      </c>
      <c r="I56" s="163"/>
      <c r="J56" s="256">
        <v>522.99</v>
      </c>
      <c r="K56" s="134">
        <f t="shared" si="2"/>
        <v>-1.5807598938632594E-2</v>
      </c>
      <c r="L56" s="163"/>
      <c r="M56" s="255">
        <v>3153.6</v>
      </c>
      <c r="N56" s="134">
        <f t="shared" si="3"/>
        <v>2.463563106950506E-3</v>
      </c>
      <c r="O56" s="163"/>
      <c r="P56" s="255">
        <v>24340.85</v>
      </c>
      <c r="Q56" s="134">
        <f t="shared" si="4"/>
        <v>5.5979359934890116E-3</v>
      </c>
      <c r="R56" s="19"/>
      <c r="S56" s="19"/>
      <c r="T56" s="19"/>
      <c r="X56" s="35"/>
    </row>
    <row r="57" spans="3:24" x14ac:dyDescent="0.3">
      <c r="C57" s="25" t="s">
        <v>215</v>
      </c>
      <c r="D57" s="255">
        <v>2260.4499999999998</v>
      </c>
      <c r="E57" s="134">
        <f t="shared" si="0"/>
        <v>-6.6314463184424799E-4</v>
      </c>
      <c r="G57" s="255">
        <v>1096.2</v>
      </c>
      <c r="H57" s="134">
        <f t="shared" si="1"/>
        <v>-3.1411530815109279E-2</v>
      </c>
      <c r="I57" s="163"/>
      <c r="J57" s="256">
        <v>513.07000000000005</v>
      </c>
      <c r="K57" s="134">
        <f t="shared" si="2"/>
        <v>-1.8967857894032325E-2</v>
      </c>
      <c r="L57" s="163"/>
      <c r="M57" s="255">
        <v>3109</v>
      </c>
      <c r="N57" s="134">
        <f t="shared" si="3"/>
        <v>-1.4142567224758928E-2</v>
      </c>
      <c r="O57" s="163"/>
      <c r="P57" s="255">
        <v>24466.85</v>
      </c>
      <c r="Q57" s="134">
        <f t="shared" si="4"/>
        <v>5.1764831548610779E-3</v>
      </c>
      <c r="R57" s="19"/>
      <c r="S57" s="19"/>
      <c r="T57" s="19"/>
      <c r="X57" s="35"/>
    </row>
    <row r="58" spans="3:24" x14ac:dyDescent="0.3">
      <c r="C58" s="25" t="s">
        <v>216</v>
      </c>
      <c r="D58" s="255">
        <v>2257.25</v>
      </c>
      <c r="E58" s="134">
        <f t="shared" si="0"/>
        <v>-1.4156473268596148E-3</v>
      </c>
      <c r="G58" s="255">
        <v>1091.6500000000001</v>
      </c>
      <c r="H58" s="134">
        <f t="shared" si="1"/>
        <v>-4.1507024265644565E-3</v>
      </c>
      <c r="I58" s="163"/>
      <c r="J58" s="256">
        <v>510.28</v>
      </c>
      <c r="K58" s="134">
        <f t="shared" si="2"/>
        <v>-5.437854483793747E-3</v>
      </c>
      <c r="L58" s="163"/>
      <c r="M58" s="255">
        <v>3161.65</v>
      </c>
      <c r="N58" s="134">
        <f t="shared" si="3"/>
        <v>1.6934705693149033E-2</v>
      </c>
      <c r="O58" s="163"/>
      <c r="P58" s="255">
        <v>24339.15</v>
      </c>
      <c r="Q58" s="134">
        <f t="shared" si="4"/>
        <v>-5.2193069397979963E-3</v>
      </c>
      <c r="R58" s="19"/>
      <c r="S58" s="19"/>
      <c r="T58" s="19"/>
      <c r="X58" s="35"/>
    </row>
    <row r="59" spans="3:24" x14ac:dyDescent="0.3">
      <c r="C59" s="25" t="s">
        <v>217</v>
      </c>
      <c r="D59" s="255">
        <v>2206.9</v>
      </c>
      <c r="E59" s="134">
        <f t="shared" si="0"/>
        <v>-2.2305903200797395E-2</v>
      </c>
      <c r="G59" s="255">
        <v>1064.75</v>
      </c>
      <c r="H59" s="134">
        <f t="shared" si="1"/>
        <v>-2.4641597581642527E-2</v>
      </c>
      <c r="I59" s="163"/>
      <c r="J59" s="256">
        <v>500.55</v>
      </c>
      <c r="K59" s="134">
        <f t="shared" si="2"/>
        <v>-1.9067962687152051E-2</v>
      </c>
      <c r="L59" s="163"/>
      <c r="M59" s="255">
        <v>3178.95</v>
      </c>
      <c r="N59" s="134">
        <f t="shared" si="3"/>
        <v>5.4718264197490818E-3</v>
      </c>
      <c r="O59" s="163"/>
      <c r="P59" s="255">
        <v>24180.799999999999</v>
      </c>
      <c r="Q59" s="134">
        <f t="shared" si="4"/>
        <v>-6.5059790502134396E-3</v>
      </c>
      <c r="R59" s="19"/>
      <c r="S59" s="19"/>
      <c r="T59" s="19"/>
      <c r="X59" s="35"/>
    </row>
    <row r="60" spans="3:24" x14ac:dyDescent="0.3">
      <c r="C60" s="25" t="s">
        <v>218</v>
      </c>
      <c r="D60" s="255">
        <v>2257.3000000000002</v>
      </c>
      <c r="E60" s="134">
        <f t="shared" si="0"/>
        <v>2.2837464316461942E-2</v>
      </c>
      <c r="G60" s="255">
        <v>1107.25</v>
      </c>
      <c r="H60" s="134">
        <f t="shared" si="1"/>
        <v>3.991547311575494E-2</v>
      </c>
      <c r="I60" s="163"/>
      <c r="J60" s="256">
        <v>513.11</v>
      </c>
      <c r="K60" s="134">
        <f t="shared" si="2"/>
        <v>2.5092398361802104E-2</v>
      </c>
      <c r="L60" s="163"/>
      <c r="M60" s="255">
        <v>3121.55</v>
      </c>
      <c r="N60" s="134">
        <f t="shared" si="3"/>
        <v>-1.8056276443479624E-2</v>
      </c>
      <c r="O60" s="163"/>
      <c r="P60" s="255">
        <v>24399.4</v>
      </c>
      <c r="Q60" s="134">
        <f t="shared" si="4"/>
        <v>9.0402302653345146E-3</v>
      </c>
      <c r="R60" s="19"/>
      <c r="S60" s="19"/>
      <c r="T60" s="19"/>
      <c r="X60" s="35"/>
    </row>
    <row r="61" spans="3:24" x14ac:dyDescent="0.3">
      <c r="C61" s="25" t="s">
        <v>219</v>
      </c>
      <c r="D61" s="255">
        <v>2248.1999999999998</v>
      </c>
      <c r="E61" s="134">
        <f t="shared" si="0"/>
        <v>-4.0313649049751321E-3</v>
      </c>
      <c r="G61" s="255">
        <v>1124.8499999999999</v>
      </c>
      <c r="H61" s="134">
        <f t="shared" si="1"/>
        <v>1.5895235944908492E-2</v>
      </c>
      <c r="I61" s="163"/>
      <c r="J61" s="256">
        <v>510.33</v>
      </c>
      <c r="K61" s="134">
        <f t="shared" si="2"/>
        <v>-5.4179415719827206E-3</v>
      </c>
      <c r="L61" s="163"/>
      <c r="M61" s="255">
        <v>3090.7</v>
      </c>
      <c r="N61" s="134">
        <f t="shared" si="3"/>
        <v>-9.8829107334498234E-3</v>
      </c>
      <c r="O61" s="163"/>
      <c r="P61" s="255">
        <v>24435.5</v>
      </c>
      <c r="Q61" s="134">
        <f t="shared" si="4"/>
        <v>1.4795445789650419E-3</v>
      </c>
      <c r="R61" s="19"/>
      <c r="S61" s="19"/>
      <c r="T61" s="19"/>
      <c r="X61" s="35"/>
    </row>
    <row r="62" spans="3:24" x14ac:dyDescent="0.3">
      <c r="C62" s="25" t="s">
        <v>220</v>
      </c>
      <c r="D62" s="255">
        <v>2178.1</v>
      </c>
      <c r="E62" s="134">
        <f t="shared" si="0"/>
        <v>-3.1180499955519969E-2</v>
      </c>
      <c r="G62" s="255">
        <v>1143.3</v>
      </c>
      <c r="H62" s="134">
        <f t="shared" si="1"/>
        <v>1.6402186958261122E-2</v>
      </c>
      <c r="I62" s="163"/>
      <c r="J62" s="256">
        <v>508.56</v>
      </c>
      <c r="K62" s="134">
        <f t="shared" si="2"/>
        <v>-3.4683440126975773E-3</v>
      </c>
      <c r="L62" s="163"/>
      <c r="M62" s="255">
        <v>3127.45</v>
      </c>
      <c r="N62" s="134">
        <f t="shared" si="3"/>
        <v>1.1890510240398555E-2</v>
      </c>
      <c r="O62" s="163"/>
      <c r="P62" s="255">
        <v>24472.1</v>
      </c>
      <c r="Q62" s="134">
        <f t="shared" si="4"/>
        <v>1.497820793517679E-3</v>
      </c>
      <c r="R62" s="19"/>
      <c r="S62" s="19"/>
      <c r="T62" s="19"/>
      <c r="X62" s="35"/>
    </row>
    <row r="63" spans="3:24" x14ac:dyDescent="0.3">
      <c r="C63" s="25" t="s">
        <v>221</v>
      </c>
      <c r="D63" s="255">
        <v>2277.9499999999998</v>
      </c>
      <c r="E63" s="134">
        <f t="shared" si="0"/>
        <v>4.5842706946421119E-2</v>
      </c>
      <c r="G63" s="255">
        <v>1189</v>
      </c>
      <c r="H63" s="134">
        <f t="shared" si="1"/>
        <v>3.9972010845797268E-2</v>
      </c>
      <c r="I63" s="163"/>
      <c r="J63" s="256">
        <v>522.9</v>
      </c>
      <c r="K63" s="134">
        <f t="shared" si="2"/>
        <v>2.8197262859839478E-2</v>
      </c>
      <c r="L63" s="163"/>
      <c r="M63" s="255">
        <v>3153.5</v>
      </c>
      <c r="N63" s="134">
        <f t="shared" si="3"/>
        <v>8.3294696957585401E-3</v>
      </c>
      <c r="O63" s="163"/>
      <c r="P63" s="255">
        <v>24781.1</v>
      </c>
      <c r="Q63" s="134">
        <f t="shared" si="4"/>
        <v>1.2626623787905356E-2</v>
      </c>
      <c r="R63" s="19"/>
      <c r="S63" s="19"/>
      <c r="T63" s="19"/>
      <c r="X63" s="35"/>
    </row>
    <row r="64" spans="3:24" x14ac:dyDescent="0.3">
      <c r="C64" s="25" t="s">
        <v>222</v>
      </c>
      <c r="D64" s="255">
        <v>2325.6999999999998</v>
      </c>
      <c r="E64" s="134">
        <f t="shared" si="0"/>
        <v>2.096182971531424E-2</v>
      </c>
      <c r="G64" s="255">
        <v>1088.0999999999999</v>
      </c>
      <c r="H64" s="134">
        <f t="shared" si="1"/>
        <v>-8.4861227922624183E-2</v>
      </c>
      <c r="I64" s="163"/>
      <c r="J64" s="256">
        <v>533.11</v>
      </c>
      <c r="K64" s="134">
        <f t="shared" si="2"/>
        <v>1.9525721935360618E-2</v>
      </c>
      <c r="L64" s="163"/>
      <c r="M64" s="255">
        <v>3184</v>
      </c>
      <c r="N64" s="134">
        <f t="shared" si="3"/>
        <v>9.6717932456000799E-3</v>
      </c>
      <c r="O64" s="163"/>
      <c r="P64" s="255">
        <v>24854.05</v>
      </c>
      <c r="Q64" s="134">
        <f t="shared" si="4"/>
        <v>2.9437757000294607E-3</v>
      </c>
      <c r="R64" s="19"/>
      <c r="S64" s="19"/>
      <c r="T64" s="19"/>
      <c r="X64" s="35"/>
    </row>
    <row r="65" spans="3:24" x14ac:dyDescent="0.3">
      <c r="C65" s="25" t="s">
        <v>223</v>
      </c>
      <c r="D65" s="255">
        <v>2262.9499999999998</v>
      </c>
      <c r="E65" s="134">
        <f t="shared" si="0"/>
        <v>-2.6981123962677933E-2</v>
      </c>
      <c r="G65" s="255">
        <v>1073.8499999999999</v>
      </c>
      <c r="H65" s="134">
        <f t="shared" si="1"/>
        <v>-1.3096222773642086E-2</v>
      </c>
      <c r="I65" s="163"/>
      <c r="J65" s="256">
        <v>531.15</v>
      </c>
      <c r="K65" s="134">
        <f t="shared" si="2"/>
        <v>-3.6765395509370524E-3</v>
      </c>
      <c r="L65" s="163"/>
      <c r="M65" s="255">
        <v>3154.45</v>
      </c>
      <c r="N65" s="134">
        <f t="shared" si="3"/>
        <v>-9.2807788944724301E-3</v>
      </c>
      <c r="O65" s="163"/>
      <c r="P65" s="255">
        <v>24749.85</v>
      </c>
      <c r="Q65" s="134">
        <f t="shared" si="4"/>
        <v>-4.1924756729788681E-3</v>
      </c>
      <c r="R65" s="19"/>
      <c r="S65" s="19"/>
      <c r="T65" s="19"/>
      <c r="W65" s="38"/>
      <c r="X65" s="35"/>
    </row>
    <row r="66" spans="3:24" x14ac:dyDescent="0.3">
      <c r="C66" s="25" t="s">
        <v>224</v>
      </c>
      <c r="D66" s="255">
        <v>2306.1</v>
      </c>
      <c r="E66" s="134">
        <f t="shared" si="0"/>
        <v>1.9068030667933389E-2</v>
      </c>
      <c r="G66" s="255">
        <v>1100.3499999999999</v>
      </c>
      <c r="H66" s="134">
        <f t="shared" si="1"/>
        <v>2.4677562043115886E-2</v>
      </c>
      <c r="I66" s="163"/>
      <c r="J66" s="256">
        <v>545.44000000000005</v>
      </c>
      <c r="K66" s="134">
        <f t="shared" si="2"/>
        <v>2.6903887790643122E-2</v>
      </c>
      <c r="L66" s="163"/>
      <c r="M66" s="255">
        <v>3180.1</v>
      </c>
      <c r="N66" s="134">
        <f t="shared" si="3"/>
        <v>8.1313699694083308E-3</v>
      </c>
      <c r="O66" s="163"/>
      <c r="P66" s="255">
        <v>24971.3</v>
      </c>
      <c r="Q66" s="134">
        <f t="shared" si="4"/>
        <v>8.9475289749230136E-3</v>
      </c>
      <c r="R66" s="19"/>
      <c r="S66" s="19"/>
      <c r="T66" s="19"/>
      <c r="W66" s="38"/>
      <c r="X66" s="35"/>
    </row>
    <row r="67" spans="3:24" x14ac:dyDescent="0.3">
      <c r="C67" s="25" t="s">
        <v>225</v>
      </c>
      <c r="D67" s="255">
        <v>2351.4</v>
      </c>
      <c r="E67" s="134">
        <f t="shared" si="0"/>
        <v>1.9643554052296119E-2</v>
      </c>
      <c r="G67" s="255">
        <v>1099</v>
      </c>
      <c r="H67" s="134">
        <f t="shared" si="1"/>
        <v>-1.2268823556140784E-3</v>
      </c>
      <c r="I67" s="163"/>
      <c r="J67" s="256">
        <v>550.71</v>
      </c>
      <c r="K67" s="134">
        <f t="shared" si="2"/>
        <v>9.6619243179818515E-3</v>
      </c>
      <c r="L67" s="163"/>
      <c r="M67" s="255">
        <v>3163.75</v>
      </c>
      <c r="N67" s="134">
        <f t="shared" si="3"/>
        <v>-5.1413477563598819E-3</v>
      </c>
      <c r="O67" s="163"/>
      <c r="P67" s="255">
        <v>25057.35</v>
      </c>
      <c r="Q67" s="134">
        <f t="shared" si="4"/>
        <v>3.4459559574391285E-3</v>
      </c>
      <c r="R67" s="19"/>
      <c r="S67" s="19"/>
      <c r="T67" s="19"/>
      <c r="W67" s="38"/>
      <c r="X67" s="35"/>
    </row>
    <row r="68" spans="3:24" x14ac:dyDescent="0.3">
      <c r="C68" s="25" t="s">
        <v>226</v>
      </c>
      <c r="D68" s="255">
        <v>2342.85</v>
      </c>
      <c r="E68" s="134">
        <f t="shared" si="0"/>
        <v>-3.6361316662414378E-3</v>
      </c>
      <c r="G68" s="255">
        <v>1104.5</v>
      </c>
      <c r="H68" s="134">
        <f t="shared" si="1"/>
        <v>5.0045495905368664E-3</v>
      </c>
      <c r="I68" s="163"/>
      <c r="J68" s="256">
        <v>555.08000000000004</v>
      </c>
      <c r="K68" s="134">
        <f t="shared" si="2"/>
        <v>7.9352109095531809E-3</v>
      </c>
      <c r="L68" s="163"/>
      <c r="M68" s="255">
        <v>3131.45</v>
      </c>
      <c r="N68" s="134">
        <f t="shared" si="3"/>
        <v>-1.0209403397866468E-2</v>
      </c>
      <c r="O68" s="163"/>
      <c r="P68" s="255">
        <v>25127.95</v>
      </c>
      <c r="Q68" s="134">
        <f t="shared" si="4"/>
        <v>2.8175365711060607E-3</v>
      </c>
      <c r="R68" s="19"/>
      <c r="S68" s="19"/>
      <c r="T68" s="19"/>
      <c r="W68" s="38"/>
      <c r="X68" s="35"/>
    </row>
    <row r="69" spans="3:24" x14ac:dyDescent="0.3">
      <c r="C69" s="160">
        <v>45606</v>
      </c>
      <c r="D69" s="255">
        <v>2348.75</v>
      </c>
      <c r="E69" s="134">
        <f t="shared" si="0"/>
        <v>2.5183003606719101E-3</v>
      </c>
      <c r="F69" s="34"/>
      <c r="G69" s="255">
        <v>1183.0999999999999</v>
      </c>
      <c r="H69" s="134">
        <f t="shared" si="1"/>
        <v>7.1163422363060169E-2</v>
      </c>
      <c r="I69" s="163"/>
      <c r="J69" s="256">
        <v>559.01</v>
      </c>
      <c r="K69" s="134">
        <f t="shared" si="2"/>
        <v>7.0800605318150911E-3</v>
      </c>
      <c r="L69" s="163"/>
      <c r="M69" s="255">
        <v>3110.2</v>
      </c>
      <c r="N69" s="134">
        <f t="shared" si="3"/>
        <v>-6.7859937089846945E-3</v>
      </c>
      <c r="O69" s="163"/>
      <c r="P69" s="255">
        <v>24964.25</v>
      </c>
      <c r="Q69" s="134">
        <f t="shared" si="4"/>
        <v>-6.514657980456029E-3</v>
      </c>
      <c r="R69" s="19"/>
      <c r="S69" s="19"/>
      <c r="T69" s="19"/>
      <c r="W69" s="38"/>
      <c r="X69" s="35"/>
    </row>
    <row r="70" spans="3:24" x14ac:dyDescent="0.3">
      <c r="C70" s="160">
        <v>45575</v>
      </c>
      <c r="D70" s="255">
        <v>2342.3000000000002</v>
      </c>
      <c r="E70" s="134">
        <f t="shared" si="0"/>
        <v>-2.7461415646620191E-3</v>
      </c>
      <c r="F70" s="34"/>
      <c r="G70" s="255">
        <v>1151.2</v>
      </c>
      <c r="H70" s="134">
        <f t="shared" si="1"/>
        <v>-2.6963063139210486E-2</v>
      </c>
      <c r="I70" s="163"/>
      <c r="J70" s="256">
        <v>560.54</v>
      </c>
      <c r="K70" s="134">
        <f t="shared" si="2"/>
        <v>2.7369814493478639E-3</v>
      </c>
      <c r="L70" s="163"/>
      <c r="M70" s="255">
        <v>3137.7</v>
      </c>
      <c r="N70" s="134">
        <f t="shared" si="3"/>
        <v>8.8418751205709967E-3</v>
      </c>
      <c r="O70" s="163"/>
      <c r="P70" s="255">
        <v>24998.45</v>
      </c>
      <c r="Q70" s="134">
        <f t="shared" si="4"/>
        <v>1.3699590414293361E-3</v>
      </c>
      <c r="R70" s="19"/>
      <c r="S70" s="19"/>
      <c r="T70" s="19"/>
      <c r="W70" s="38"/>
      <c r="X70" s="35"/>
    </row>
    <row r="71" spans="3:24" x14ac:dyDescent="0.3">
      <c r="C71" s="160">
        <v>45545</v>
      </c>
      <c r="D71" s="255">
        <v>2334.6</v>
      </c>
      <c r="E71" s="134">
        <f t="shared" si="0"/>
        <v>-3.2873671177903185E-3</v>
      </c>
      <c r="F71" s="34"/>
      <c r="G71" s="255">
        <v>1105.3499999999999</v>
      </c>
      <c r="H71" s="134">
        <f t="shared" si="1"/>
        <v>-3.9828005559416346E-2</v>
      </c>
      <c r="I71" s="163"/>
      <c r="J71" s="256">
        <v>553.88</v>
      </c>
      <c r="K71" s="134">
        <f t="shared" si="2"/>
        <v>-1.1881400078495696E-2</v>
      </c>
      <c r="L71" s="163"/>
      <c r="M71" s="255">
        <v>3174.3</v>
      </c>
      <c r="N71" s="134">
        <f t="shared" si="3"/>
        <v>1.1664595085572271E-2</v>
      </c>
      <c r="O71" s="163"/>
      <c r="P71" s="255">
        <v>24981.95</v>
      </c>
      <c r="Q71" s="134">
        <f t="shared" si="4"/>
        <v>-6.6004092253724167E-4</v>
      </c>
      <c r="R71" s="19"/>
      <c r="S71" s="19"/>
      <c r="T71" s="19"/>
      <c r="W71" s="38"/>
      <c r="X71" s="35"/>
    </row>
    <row r="72" spans="3:24" x14ac:dyDescent="0.3">
      <c r="C72" s="160">
        <v>45514</v>
      </c>
      <c r="D72" s="255">
        <v>2328.4</v>
      </c>
      <c r="E72" s="134">
        <f t="shared" si="0"/>
        <v>-2.6557011907820671E-3</v>
      </c>
      <c r="F72" s="34"/>
      <c r="G72" s="255">
        <v>1085.7</v>
      </c>
      <c r="H72" s="134">
        <f t="shared" si="1"/>
        <v>-1.7777174650563055E-2</v>
      </c>
      <c r="I72" s="163"/>
      <c r="J72" s="256">
        <v>553.4</v>
      </c>
      <c r="K72" s="134">
        <f t="shared" si="2"/>
        <v>-8.6661370694018913E-4</v>
      </c>
      <c r="L72" s="163"/>
      <c r="M72" s="255">
        <v>3185.25</v>
      </c>
      <c r="N72" s="134">
        <f t="shared" si="3"/>
        <v>3.4495794348359254E-3</v>
      </c>
      <c r="O72" s="163"/>
      <c r="P72" s="255">
        <v>25013.15</v>
      </c>
      <c r="Q72" s="134">
        <f t="shared" si="4"/>
        <v>1.2489017070325126E-3</v>
      </c>
      <c r="R72" s="19"/>
      <c r="S72" s="19"/>
      <c r="T72" s="19"/>
      <c r="W72" s="38"/>
      <c r="X72" s="35"/>
    </row>
    <row r="73" spans="3:24" x14ac:dyDescent="0.3">
      <c r="C73" s="160">
        <v>45483</v>
      </c>
      <c r="D73" s="255">
        <v>2307.8000000000002</v>
      </c>
      <c r="E73" s="134">
        <f t="shared" si="0"/>
        <v>-8.8472771001545381E-3</v>
      </c>
      <c r="F73" s="34"/>
      <c r="G73" s="255">
        <v>1077.6500000000001</v>
      </c>
      <c r="H73" s="134">
        <f t="shared" si="1"/>
        <v>-7.4145712443584033E-3</v>
      </c>
      <c r="I73" s="163"/>
      <c r="J73" s="256">
        <v>556.52</v>
      </c>
      <c r="K73" s="134">
        <f t="shared" si="2"/>
        <v>5.6378749548247065E-3</v>
      </c>
      <c r="L73" s="163"/>
      <c r="M73" s="255">
        <v>3153.3</v>
      </c>
      <c r="N73" s="134">
        <f t="shared" si="3"/>
        <v>-1.0030609842241578E-2</v>
      </c>
      <c r="O73" s="163"/>
      <c r="P73" s="255">
        <v>24795.75</v>
      </c>
      <c r="Q73" s="134">
        <f t="shared" si="4"/>
        <v>-8.6914283087097255E-3</v>
      </c>
      <c r="R73" s="19"/>
      <c r="S73" s="19"/>
      <c r="T73" s="19"/>
      <c r="X73" s="35"/>
    </row>
    <row r="74" spans="3:24" x14ac:dyDescent="0.3">
      <c r="C74" s="160">
        <v>45392</v>
      </c>
      <c r="D74" s="255">
        <v>2350.35</v>
      </c>
      <c r="E74" s="134">
        <f t="shared" si="0"/>
        <v>1.8437472917930409E-2</v>
      </c>
      <c r="F74" s="34"/>
      <c r="G74" s="255">
        <v>1128.6500000000001</v>
      </c>
      <c r="H74" s="134">
        <f t="shared" si="1"/>
        <v>4.732519834825788E-2</v>
      </c>
      <c r="I74" s="163"/>
      <c r="J74" s="256">
        <v>574.98</v>
      </c>
      <c r="K74" s="134">
        <f t="shared" si="2"/>
        <v>3.3170416157550564E-2</v>
      </c>
      <c r="L74" s="163"/>
      <c r="M74" s="255">
        <v>3208.8</v>
      </c>
      <c r="N74" s="134">
        <f t="shared" si="3"/>
        <v>1.760060888592907E-2</v>
      </c>
      <c r="O74" s="163"/>
      <c r="P74" s="255">
        <v>25014.6</v>
      </c>
      <c r="Q74" s="134">
        <f t="shared" si="4"/>
        <v>8.8261093130879154E-3</v>
      </c>
      <c r="R74" s="19"/>
      <c r="S74" s="19"/>
      <c r="T74" s="19"/>
      <c r="X74" s="35"/>
    </row>
    <row r="75" spans="3:24" x14ac:dyDescent="0.3">
      <c r="C75" s="160">
        <v>45361</v>
      </c>
      <c r="D75" s="255">
        <v>2421</v>
      </c>
      <c r="E75" s="134">
        <f t="shared" si="0"/>
        <v>3.0059352862339628E-2</v>
      </c>
      <c r="F75" s="34"/>
      <c r="G75" s="255">
        <v>1133.05</v>
      </c>
      <c r="H75" s="134">
        <f t="shared" si="1"/>
        <v>3.898462765250299E-3</v>
      </c>
      <c r="I75" s="163"/>
      <c r="J75" s="256">
        <v>580.59</v>
      </c>
      <c r="K75" s="134">
        <f t="shared" si="2"/>
        <v>9.7568611082123891E-3</v>
      </c>
      <c r="L75" s="163"/>
      <c r="M75" s="255">
        <v>3299.8</v>
      </c>
      <c r="N75" s="134">
        <f t="shared" si="3"/>
        <v>2.8359511343804433E-2</v>
      </c>
      <c r="O75" s="163"/>
      <c r="P75" s="255">
        <v>25250.1</v>
      </c>
      <c r="Q75" s="134">
        <f t="shared" si="4"/>
        <v>9.4145019308724542E-3</v>
      </c>
      <c r="R75" s="19"/>
      <c r="S75" s="19"/>
      <c r="T75" s="19"/>
      <c r="X75" s="35"/>
    </row>
    <row r="76" spans="3:24" x14ac:dyDescent="0.3">
      <c r="C76" s="160">
        <v>45301</v>
      </c>
      <c r="D76" s="255">
        <v>2481.35</v>
      </c>
      <c r="E76" s="134">
        <f t="shared" ref="E76:E139" si="5">D76/D75-1</f>
        <v>2.4927715819909047E-2</v>
      </c>
      <c r="F76" s="34"/>
      <c r="G76" s="255">
        <v>1132.5999999999999</v>
      </c>
      <c r="H76" s="134">
        <f t="shared" ref="H76:H139" si="6">G76/G75-1</f>
        <v>-3.971581130577384E-4</v>
      </c>
      <c r="I76" s="163"/>
      <c r="J76" s="256">
        <v>595.46</v>
      </c>
      <c r="K76" s="134">
        <f t="shared" ref="K76:K139" si="7">J76/J75-1</f>
        <v>2.5611877572813802E-2</v>
      </c>
      <c r="L76" s="163"/>
      <c r="M76" s="255">
        <v>3340.15</v>
      </c>
      <c r="N76" s="134">
        <f t="shared" ref="N76:N139" si="8">M76/M75-1</f>
        <v>1.222801381901939E-2</v>
      </c>
      <c r="O76" s="163"/>
      <c r="P76" s="255">
        <v>25796.9</v>
      </c>
      <c r="Q76" s="134">
        <f t="shared" ref="Q76:Q139" si="9">P76/P75-1</f>
        <v>2.1655359780753392E-2</v>
      </c>
      <c r="R76" s="19"/>
      <c r="S76" s="19"/>
      <c r="T76" s="19"/>
      <c r="X76" s="35"/>
    </row>
    <row r="77" spans="3:24" x14ac:dyDescent="0.3">
      <c r="C77" s="25" t="s">
        <v>227</v>
      </c>
      <c r="D77" s="255">
        <v>2497.85</v>
      </c>
      <c r="E77" s="134">
        <f t="shared" si="5"/>
        <v>6.649606061216673E-3</v>
      </c>
      <c r="G77" s="255">
        <v>1091.0999999999999</v>
      </c>
      <c r="H77" s="134">
        <f t="shared" si="6"/>
        <v>-3.6641356171640438E-2</v>
      </c>
      <c r="I77" s="163"/>
      <c r="J77" s="256">
        <v>588.16999999999996</v>
      </c>
      <c r="K77" s="134">
        <f t="shared" si="7"/>
        <v>-1.2242635945319713E-2</v>
      </c>
      <c r="L77" s="163"/>
      <c r="M77" s="255">
        <v>3359.4</v>
      </c>
      <c r="N77" s="134">
        <f t="shared" si="8"/>
        <v>5.763214226905955E-3</v>
      </c>
      <c r="O77" s="163"/>
      <c r="P77" s="255">
        <v>25810.85</v>
      </c>
      <c r="Q77" s="134">
        <f t="shared" si="9"/>
        <v>5.4076264977553912E-4</v>
      </c>
      <c r="R77" s="19"/>
      <c r="S77" s="19"/>
      <c r="T77" s="19"/>
      <c r="X77" s="35"/>
    </row>
    <row r="78" spans="3:24" x14ac:dyDescent="0.3">
      <c r="C78" s="25" t="s">
        <v>228</v>
      </c>
      <c r="D78" s="255">
        <v>2461.5500000000002</v>
      </c>
      <c r="E78" s="134">
        <f t="shared" si="5"/>
        <v>-1.4532497948235412E-2</v>
      </c>
      <c r="G78" s="255">
        <v>1067.2</v>
      </c>
      <c r="H78" s="134">
        <f t="shared" si="6"/>
        <v>-2.1904500045825226E-2</v>
      </c>
      <c r="I78" s="163"/>
      <c r="J78" s="256">
        <v>585.67999999999995</v>
      </c>
      <c r="K78" s="134">
        <f t="shared" si="7"/>
        <v>-4.2334699151606037E-3</v>
      </c>
      <c r="L78" s="163"/>
      <c r="M78" s="255">
        <v>3363.45</v>
      </c>
      <c r="N78" s="134">
        <f t="shared" si="8"/>
        <v>1.20557242364705E-3</v>
      </c>
      <c r="O78" s="163"/>
      <c r="P78" s="255">
        <v>26178.95</v>
      </c>
      <c r="Q78" s="134">
        <f t="shared" si="9"/>
        <v>1.4261444315084582E-2</v>
      </c>
      <c r="R78" s="19"/>
      <c r="S78" s="19"/>
      <c r="T78" s="19"/>
      <c r="X78" s="35"/>
    </row>
    <row r="79" spans="3:24" x14ac:dyDescent="0.3">
      <c r="C79" s="25" t="s">
        <v>229</v>
      </c>
      <c r="D79" s="255">
        <v>2458.25</v>
      </c>
      <c r="E79" s="134">
        <f t="shared" si="5"/>
        <v>-1.340618715849895E-3</v>
      </c>
      <c r="G79" s="255">
        <v>1054.45</v>
      </c>
      <c r="H79" s="134">
        <f t="shared" si="6"/>
        <v>-1.1947151424287816E-2</v>
      </c>
      <c r="I79" s="163"/>
      <c r="J79" s="256">
        <v>577.19000000000005</v>
      </c>
      <c r="K79" s="134">
        <f t="shared" si="7"/>
        <v>-1.4495970495833732E-2</v>
      </c>
      <c r="L79" s="163"/>
      <c r="M79" s="255">
        <v>3289.65</v>
      </c>
      <c r="N79" s="134">
        <f t="shared" si="8"/>
        <v>-2.194175623243988E-2</v>
      </c>
      <c r="O79" s="163"/>
      <c r="P79" s="255">
        <v>26216.05</v>
      </c>
      <c r="Q79" s="134">
        <f t="shared" si="9"/>
        <v>1.4171691377995455E-3</v>
      </c>
      <c r="R79" s="19"/>
      <c r="S79" s="19"/>
      <c r="T79" s="19"/>
      <c r="X79" s="35"/>
    </row>
    <row r="80" spans="3:24" x14ac:dyDescent="0.3">
      <c r="C80" s="25" t="s">
        <v>230</v>
      </c>
      <c r="D80" s="255">
        <v>2451.75</v>
      </c>
      <c r="E80" s="134">
        <f t="shared" si="5"/>
        <v>-2.6441574290654302E-3</v>
      </c>
      <c r="G80" s="255">
        <v>1058.05</v>
      </c>
      <c r="H80" s="134">
        <f t="shared" si="6"/>
        <v>3.4141021385556414E-3</v>
      </c>
      <c r="I80" s="163"/>
      <c r="J80" s="256">
        <v>575.03</v>
      </c>
      <c r="K80" s="134">
        <f t="shared" si="7"/>
        <v>-3.7422685770718278E-3</v>
      </c>
      <c r="L80" s="163"/>
      <c r="M80" s="255">
        <v>3256.7</v>
      </c>
      <c r="N80" s="134">
        <f t="shared" si="8"/>
        <v>-1.0016263128296399E-2</v>
      </c>
      <c r="O80" s="163"/>
      <c r="P80" s="255">
        <v>26004.15</v>
      </c>
      <c r="Q80" s="134">
        <f t="shared" si="9"/>
        <v>-8.0828347519934507E-3</v>
      </c>
      <c r="R80" s="19"/>
      <c r="S80" s="19"/>
      <c r="T80" s="19"/>
      <c r="X80" s="35"/>
    </row>
    <row r="81" spans="3:24" x14ac:dyDescent="0.3">
      <c r="C81" s="25" t="s">
        <v>231</v>
      </c>
      <c r="D81" s="255">
        <v>2432.5</v>
      </c>
      <c r="E81" s="134">
        <f t="shared" si="5"/>
        <v>-7.8515346181299295E-3</v>
      </c>
      <c r="G81" s="255">
        <v>1049.95</v>
      </c>
      <c r="H81" s="134">
        <f t="shared" si="6"/>
        <v>-7.6555928358772452E-3</v>
      </c>
      <c r="I81" s="163"/>
      <c r="J81" s="256">
        <v>579.05999999999995</v>
      </c>
      <c r="K81" s="134">
        <f t="shared" si="7"/>
        <v>7.008330000173757E-3</v>
      </c>
      <c r="L81" s="163"/>
      <c r="M81" s="255">
        <v>3265.05</v>
      </c>
      <c r="N81" s="134">
        <f t="shared" si="8"/>
        <v>2.5639450977985589E-3</v>
      </c>
      <c r="O81" s="163"/>
      <c r="P81" s="255">
        <v>25940.400000000001</v>
      </c>
      <c r="Q81" s="134">
        <f t="shared" si="9"/>
        <v>-2.4515317747360044E-3</v>
      </c>
      <c r="R81" s="19"/>
      <c r="S81" s="19"/>
      <c r="T81" s="19"/>
      <c r="X81" s="35"/>
    </row>
    <row r="82" spans="3:24" x14ac:dyDescent="0.3">
      <c r="C82" s="25" t="s">
        <v>232</v>
      </c>
      <c r="D82" s="255">
        <v>2439.9499999999998</v>
      </c>
      <c r="E82" s="134">
        <f t="shared" si="5"/>
        <v>3.0626927029804296E-3</v>
      </c>
      <c r="G82" s="255">
        <v>1034.0999999999999</v>
      </c>
      <c r="H82" s="134">
        <f t="shared" si="6"/>
        <v>-1.5095956950331058E-2</v>
      </c>
      <c r="I82" s="163"/>
      <c r="J82" s="256">
        <v>568.75</v>
      </c>
      <c r="K82" s="134">
        <f t="shared" si="7"/>
        <v>-1.780471799122707E-2</v>
      </c>
      <c r="L82" s="163"/>
      <c r="M82" s="255">
        <v>3295.35</v>
      </c>
      <c r="N82" s="134">
        <f t="shared" si="8"/>
        <v>9.2801029080717967E-3</v>
      </c>
      <c r="O82" s="163"/>
      <c r="P82" s="255">
        <v>25939.05</v>
      </c>
      <c r="Q82" s="134">
        <f t="shared" si="9"/>
        <v>-5.2042374057537089E-5</v>
      </c>
      <c r="R82" s="19"/>
      <c r="S82" s="19"/>
      <c r="T82" s="19"/>
      <c r="X82" s="35"/>
    </row>
    <row r="83" spans="3:24" x14ac:dyDescent="0.3">
      <c r="C83" s="25" t="s">
        <v>233</v>
      </c>
      <c r="D83" s="255">
        <v>2419.6999999999998</v>
      </c>
      <c r="E83" s="134">
        <f t="shared" si="5"/>
        <v>-8.2993503965245186E-3</v>
      </c>
      <c r="G83" s="255">
        <v>1025.7</v>
      </c>
      <c r="H83" s="134">
        <f t="shared" si="6"/>
        <v>-8.1230055120393718E-3</v>
      </c>
      <c r="I83" s="163"/>
      <c r="J83" s="256">
        <v>563.14</v>
      </c>
      <c r="K83" s="134">
        <f t="shared" si="7"/>
        <v>-9.8637362637362669E-3</v>
      </c>
      <c r="L83" s="163"/>
      <c r="M83" s="255">
        <v>3287.1</v>
      </c>
      <c r="N83" s="134">
        <f t="shared" si="8"/>
        <v>-2.5035276981201227E-3</v>
      </c>
      <c r="O83" s="163"/>
      <c r="P83" s="255">
        <v>25790.95</v>
      </c>
      <c r="Q83" s="134">
        <f t="shared" si="9"/>
        <v>-5.7095383215652884E-3</v>
      </c>
      <c r="R83" s="19"/>
      <c r="S83" s="19"/>
      <c r="T83" s="19"/>
      <c r="X83" s="35"/>
    </row>
    <row r="84" spans="3:24" x14ac:dyDescent="0.3">
      <c r="C84" s="25" t="s">
        <v>234</v>
      </c>
      <c r="D84" s="255">
        <v>2402</v>
      </c>
      <c r="E84" s="134">
        <f t="shared" si="5"/>
        <v>-7.314956399553596E-3</v>
      </c>
      <c r="G84" s="255">
        <v>1022.5</v>
      </c>
      <c r="H84" s="134">
        <f t="shared" si="6"/>
        <v>-3.1198206103149051E-3</v>
      </c>
      <c r="I84" s="163"/>
      <c r="J84" s="256">
        <v>570.62</v>
      </c>
      <c r="K84" s="134">
        <f t="shared" si="7"/>
        <v>1.3282665056646659E-2</v>
      </c>
      <c r="L84" s="163"/>
      <c r="M84" s="255">
        <v>3244</v>
      </c>
      <c r="N84" s="134">
        <f t="shared" si="8"/>
        <v>-1.3111861519272239E-2</v>
      </c>
      <c r="O84" s="163"/>
      <c r="P84" s="255">
        <v>25415.8</v>
      </c>
      <c r="Q84" s="134">
        <f t="shared" si="9"/>
        <v>-1.4545799980225649E-2</v>
      </c>
      <c r="R84" s="19"/>
      <c r="S84" s="19"/>
      <c r="T84" s="19"/>
      <c r="X84" s="35"/>
    </row>
    <row r="85" spans="3:24" x14ac:dyDescent="0.3">
      <c r="C85" s="25" t="s">
        <v>235</v>
      </c>
      <c r="D85" s="255">
        <v>2388.35</v>
      </c>
      <c r="E85" s="134">
        <f t="shared" si="5"/>
        <v>-5.6827643630308344E-3</v>
      </c>
      <c r="G85" s="255">
        <v>1017.6</v>
      </c>
      <c r="H85" s="134">
        <f t="shared" si="6"/>
        <v>-4.7921760391197443E-3</v>
      </c>
      <c r="I85" s="163"/>
      <c r="J85" s="256">
        <v>580.16</v>
      </c>
      <c r="K85" s="134">
        <f t="shared" si="7"/>
        <v>1.6718656899512796E-2</v>
      </c>
      <c r="L85" s="163"/>
      <c r="M85" s="255">
        <v>3192.3</v>
      </c>
      <c r="N85" s="134">
        <f t="shared" si="8"/>
        <v>-1.593711467324288E-2</v>
      </c>
      <c r="O85" s="163"/>
      <c r="P85" s="255">
        <v>25377.55</v>
      </c>
      <c r="Q85" s="134">
        <f t="shared" si="9"/>
        <v>-1.5049693497745098E-3</v>
      </c>
      <c r="R85" s="19"/>
      <c r="S85" s="19"/>
      <c r="T85" s="19"/>
      <c r="X85" s="35"/>
    </row>
    <row r="86" spans="3:24" x14ac:dyDescent="0.3">
      <c r="C86" s="25" t="s">
        <v>236</v>
      </c>
      <c r="D86" s="255">
        <v>2431.15</v>
      </c>
      <c r="E86" s="134">
        <f t="shared" si="5"/>
        <v>1.792032156091028E-2</v>
      </c>
      <c r="G86" s="255">
        <v>1030.8499999999999</v>
      </c>
      <c r="H86" s="134">
        <f t="shared" si="6"/>
        <v>1.3020833333333259E-2</v>
      </c>
      <c r="I86" s="163"/>
      <c r="J86" s="256">
        <v>585.34</v>
      </c>
      <c r="K86" s="134">
        <f t="shared" si="7"/>
        <v>8.9285714285716189E-3</v>
      </c>
      <c r="L86" s="163"/>
      <c r="M86" s="255">
        <v>3269.1</v>
      </c>
      <c r="N86" s="134">
        <f t="shared" si="8"/>
        <v>2.405788929611874E-2</v>
      </c>
      <c r="O86" s="163"/>
      <c r="P86" s="255">
        <v>25418.55</v>
      </c>
      <c r="Q86" s="134">
        <f t="shared" si="9"/>
        <v>1.6156011908163848E-3</v>
      </c>
      <c r="R86" s="19"/>
      <c r="S86" s="19"/>
      <c r="T86" s="19"/>
      <c r="X86" s="35"/>
    </row>
    <row r="87" spans="3:24" x14ac:dyDescent="0.3">
      <c r="C87" s="25" t="s">
        <v>237</v>
      </c>
      <c r="D87" s="255">
        <v>2436.9</v>
      </c>
      <c r="E87" s="134">
        <f t="shared" si="5"/>
        <v>2.3651358410627932E-3</v>
      </c>
      <c r="G87" s="255">
        <v>1041.75</v>
      </c>
      <c r="H87" s="134">
        <f t="shared" si="6"/>
        <v>1.0573798321773298E-2</v>
      </c>
      <c r="I87" s="163"/>
      <c r="J87" s="256">
        <v>588.54999999999995</v>
      </c>
      <c r="K87" s="134">
        <f t="shared" si="7"/>
        <v>5.4839922096558968E-3</v>
      </c>
      <c r="L87" s="163"/>
      <c r="M87" s="255">
        <v>3304.75</v>
      </c>
      <c r="N87" s="134">
        <f t="shared" si="8"/>
        <v>1.090514208803639E-2</v>
      </c>
      <c r="O87" s="163"/>
      <c r="P87" s="255">
        <v>25383.75</v>
      </c>
      <c r="Q87" s="134">
        <f t="shared" si="9"/>
        <v>-1.3690788813680577E-3</v>
      </c>
      <c r="R87" s="19"/>
      <c r="S87" s="19"/>
      <c r="T87" s="19"/>
      <c r="W87" s="38"/>
      <c r="X87" s="35"/>
    </row>
    <row r="88" spans="3:24" x14ac:dyDescent="0.3">
      <c r="C88" s="25" t="s">
        <v>238</v>
      </c>
      <c r="D88" s="255">
        <v>2466.4</v>
      </c>
      <c r="E88" s="134">
        <f t="shared" si="5"/>
        <v>1.2105543928761842E-2</v>
      </c>
      <c r="G88" s="255">
        <v>1053.7</v>
      </c>
      <c r="H88" s="134">
        <f t="shared" si="6"/>
        <v>1.1471082313414982E-2</v>
      </c>
      <c r="I88" s="163"/>
      <c r="J88" s="256">
        <v>586.25</v>
      </c>
      <c r="K88" s="134">
        <f t="shared" si="7"/>
        <v>-3.907909268541232E-3</v>
      </c>
      <c r="L88" s="163"/>
      <c r="M88" s="255">
        <v>3310</v>
      </c>
      <c r="N88" s="134">
        <f t="shared" si="8"/>
        <v>1.5886224374006552E-3</v>
      </c>
      <c r="O88" s="163"/>
      <c r="P88" s="255">
        <v>25356.5</v>
      </c>
      <c r="Q88" s="134">
        <f t="shared" si="9"/>
        <v>-1.0735214458068576E-3</v>
      </c>
      <c r="R88" s="19"/>
      <c r="S88" s="19"/>
      <c r="T88" s="19"/>
      <c r="W88" s="38"/>
      <c r="X88" s="35"/>
    </row>
    <row r="89" spans="3:24" x14ac:dyDescent="0.3">
      <c r="C89" s="160">
        <v>45635</v>
      </c>
      <c r="D89" s="255">
        <v>2488.1999999999998</v>
      </c>
      <c r="E89" s="134">
        <f t="shared" si="5"/>
        <v>8.8387933830682552E-3</v>
      </c>
      <c r="F89" s="34"/>
      <c r="G89" s="255">
        <v>1043.6500000000001</v>
      </c>
      <c r="H89" s="134">
        <f t="shared" si="6"/>
        <v>-9.5378191135996326E-3</v>
      </c>
      <c r="I89" s="163"/>
      <c r="J89" s="256">
        <v>589.55999999999995</v>
      </c>
      <c r="K89" s="134">
        <f t="shared" si="7"/>
        <v>5.6460554371000615E-3</v>
      </c>
      <c r="L89" s="163"/>
      <c r="M89" s="255">
        <v>3269.65</v>
      </c>
      <c r="N89" s="134">
        <f t="shared" si="8"/>
        <v>-1.219033232628397E-2</v>
      </c>
      <c r="O89" s="163"/>
      <c r="P89" s="255">
        <v>25388.9</v>
      </c>
      <c r="Q89" s="134">
        <f t="shared" si="9"/>
        <v>1.277778873267188E-3</v>
      </c>
      <c r="R89" s="19"/>
      <c r="S89" s="19"/>
      <c r="T89" s="19"/>
      <c r="W89" s="38"/>
      <c r="X89" s="35"/>
    </row>
    <row r="90" spans="3:24" x14ac:dyDescent="0.3">
      <c r="C90" s="160">
        <v>45605</v>
      </c>
      <c r="D90" s="255">
        <v>2482.4</v>
      </c>
      <c r="E90" s="134">
        <f t="shared" si="5"/>
        <v>-2.3310023310022521E-3</v>
      </c>
      <c r="F90" s="34"/>
      <c r="G90" s="255">
        <v>1030.2</v>
      </c>
      <c r="H90" s="134">
        <f t="shared" si="6"/>
        <v>-1.288746227183446E-2</v>
      </c>
      <c r="I90" s="163"/>
      <c r="J90" s="256">
        <v>585.63</v>
      </c>
      <c r="K90" s="134">
        <f t="shared" si="7"/>
        <v>-6.665988194585748E-3</v>
      </c>
      <c r="L90" s="163"/>
      <c r="M90" s="255">
        <v>3254.3</v>
      </c>
      <c r="N90" s="134">
        <f t="shared" si="8"/>
        <v>-4.6946920924257896E-3</v>
      </c>
      <c r="O90" s="163"/>
      <c r="P90" s="255">
        <v>24918.45</v>
      </c>
      <c r="Q90" s="134">
        <f t="shared" si="9"/>
        <v>-1.8529751190480948E-2</v>
      </c>
      <c r="R90" s="19"/>
      <c r="S90" s="19"/>
      <c r="T90" s="19"/>
      <c r="W90" s="38"/>
      <c r="X90" s="35"/>
    </row>
    <row r="91" spans="3:24" x14ac:dyDescent="0.3">
      <c r="C91" s="160">
        <v>45574</v>
      </c>
      <c r="D91" s="255">
        <v>2536.15</v>
      </c>
      <c r="E91" s="134">
        <f t="shared" si="5"/>
        <v>2.165243312922982E-2</v>
      </c>
      <c r="F91" s="34"/>
      <c r="G91" s="255">
        <v>1062.8499999999999</v>
      </c>
      <c r="H91" s="134">
        <f t="shared" si="6"/>
        <v>3.1692875169869739E-2</v>
      </c>
      <c r="I91" s="163"/>
      <c r="J91" s="256">
        <v>593.59</v>
      </c>
      <c r="K91" s="134">
        <f t="shared" si="7"/>
        <v>1.3592199853149634E-2</v>
      </c>
      <c r="L91" s="163"/>
      <c r="M91" s="255">
        <v>3231.45</v>
      </c>
      <c r="N91" s="134">
        <f t="shared" si="8"/>
        <v>-7.0214792735766585E-3</v>
      </c>
      <c r="O91" s="163"/>
      <c r="P91" s="255">
        <v>25041.1</v>
      </c>
      <c r="Q91" s="134">
        <f t="shared" si="9"/>
        <v>4.9220557458429237E-3</v>
      </c>
      <c r="R91" s="19"/>
      <c r="S91" s="19"/>
      <c r="T91" s="19"/>
      <c r="W91" s="38"/>
      <c r="X91" s="35"/>
    </row>
    <row r="92" spans="3:24" x14ac:dyDescent="0.3">
      <c r="C92" s="160">
        <v>45544</v>
      </c>
      <c r="D92" s="255">
        <v>2529.15</v>
      </c>
      <c r="E92" s="134">
        <f t="shared" si="5"/>
        <v>-2.7600891114484272E-3</v>
      </c>
      <c r="F92" s="34"/>
      <c r="G92" s="255">
        <v>1052.05</v>
      </c>
      <c r="H92" s="134">
        <f t="shared" si="6"/>
        <v>-1.016135861128098E-2</v>
      </c>
      <c r="I92" s="163"/>
      <c r="J92" s="256">
        <v>579.91999999999996</v>
      </c>
      <c r="K92" s="134">
        <f t="shared" si="7"/>
        <v>-2.3029363702218864E-2</v>
      </c>
      <c r="L92" s="163"/>
      <c r="M92" s="255">
        <v>3273.95</v>
      </c>
      <c r="N92" s="134">
        <f t="shared" si="8"/>
        <v>1.3151990592458418E-2</v>
      </c>
      <c r="O92" s="163"/>
      <c r="P92" s="255">
        <v>24936.400000000001</v>
      </c>
      <c r="Q92" s="134">
        <f t="shared" si="9"/>
        <v>-4.1811262284802142E-3</v>
      </c>
      <c r="R92" s="19"/>
      <c r="S92" s="19"/>
      <c r="T92" s="19"/>
      <c r="W92" s="38"/>
      <c r="X92" s="35"/>
    </row>
    <row r="93" spans="3:24" x14ac:dyDescent="0.3">
      <c r="C93" s="160">
        <v>45452</v>
      </c>
      <c r="D93" s="255">
        <v>2509.0500000000002</v>
      </c>
      <c r="E93" s="134">
        <f t="shared" si="5"/>
        <v>-7.9473340845738205E-3</v>
      </c>
      <c r="F93" s="34"/>
      <c r="G93" s="255">
        <v>1056.6500000000001</v>
      </c>
      <c r="H93" s="134">
        <f t="shared" si="6"/>
        <v>4.372415759707371E-3</v>
      </c>
      <c r="I93" s="163"/>
      <c r="J93" s="256">
        <v>584.80999999999995</v>
      </c>
      <c r="K93" s="134">
        <f t="shared" si="7"/>
        <v>8.432197544488762E-3</v>
      </c>
      <c r="L93" s="163"/>
      <c r="M93" s="255">
        <v>3233.7</v>
      </c>
      <c r="N93" s="134">
        <f t="shared" si="8"/>
        <v>-1.2294017929412537E-2</v>
      </c>
      <c r="O93" s="163"/>
      <c r="P93" s="255">
        <v>24852.15</v>
      </c>
      <c r="Q93" s="134">
        <f t="shared" si="9"/>
        <v>-3.378595146051544E-3</v>
      </c>
      <c r="R93" s="19"/>
      <c r="S93" s="19"/>
      <c r="T93" s="19"/>
      <c r="W93" s="38"/>
      <c r="X93" s="35"/>
    </row>
    <row r="94" spans="3:24" x14ac:dyDescent="0.3">
      <c r="C94" s="160">
        <v>45421</v>
      </c>
      <c r="D94" s="255">
        <v>2618.5</v>
      </c>
      <c r="E94" s="134">
        <f t="shared" si="5"/>
        <v>4.362208804129053E-2</v>
      </c>
      <c r="F94" s="34"/>
      <c r="G94" s="255">
        <v>1081.25</v>
      </c>
      <c r="H94" s="134">
        <f t="shared" si="6"/>
        <v>2.328112430795426E-2</v>
      </c>
      <c r="I94" s="163"/>
      <c r="J94" s="256">
        <v>593.21</v>
      </c>
      <c r="K94" s="134">
        <f t="shared" si="7"/>
        <v>1.4363639472649403E-2</v>
      </c>
      <c r="L94" s="163"/>
      <c r="M94" s="255">
        <v>3209.2</v>
      </c>
      <c r="N94" s="134">
        <f t="shared" si="8"/>
        <v>-7.576460401397811E-3</v>
      </c>
      <c r="O94" s="163"/>
      <c r="P94" s="255">
        <v>25145.1</v>
      </c>
      <c r="Q94" s="134">
        <f t="shared" si="9"/>
        <v>1.1787712531913686E-2</v>
      </c>
      <c r="R94" s="19"/>
      <c r="S94" s="19"/>
      <c r="T94" s="19"/>
      <c r="W94" s="38"/>
      <c r="X94" s="35"/>
    </row>
    <row r="95" spans="3:24" x14ac:dyDescent="0.3">
      <c r="C95" s="160">
        <v>45391</v>
      </c>
      <c r="D95" s="255">
        <v>2602.3000000000002</v>
      </c>
      <c r="E95" s="134">
        <f t="shared" si="5"/>
        <v>-6.1867481382470446E-3</v>
      </c>
      <c r="F95" s="34"/>
      <c r="G95" s="255">
        <v>1081.4000000000001</v>
      </c>
      <c r="H95" s="134">
        <f t="shared" si="6"/>
        <v>1.3872832369954402E-4</v>
      </c>
      <c r="I95" s="163"/>
      <c r="J95" s="256">
        <v>583.33000000000004</v>
      </c>
      <c r="K95" s="134">
        <f t="shared" si="7"/>
        <v>-1.6655147418283556E-2</v>
      </c>
      <c r="L95" s="163"/>
      <c r="M95" s="255">
        <v>3214.95</v>
      </c>
      <c r="N95" s="134">
        <f t="shared" si="8"/>
        <v>1.7917237940920927E-3</v>
      </c>
      <c r="O95" s="163"/>
      <c r="P95" s="255">
        <v>25198.7</v>
      </c>
      <c r="Q95" s="134">
        <f t="shared" si="9"/>
        <v>2.1316280309087166E-3</v>
      </c>
      <c r="R95" s="19"/>
      <c r="S95" s="19"/>
      <c r="T95" s="19"/>
      <c r="X95" s="35"/>
    </row>
    <row r="96" spans="3:24" x14ac:dyDescent="0.3">
      <c r="C96" s="160">
        <v>45360</v>
      </c>
      <c r="D96" s="255">
        <v>2586</v>
      </c>
      <c r="E96" s="134">
        <f t="shared" si="5"/>
        <v>-6.2636898128579643E-3</v>
      </c>
      <c r="F96" s="34"/>
      <c r="G96" s="255">
        <v>1108.3</v>
      </c>
      <c r="H96" s="134">
        <f t="shared" si="6"/>
        <v>2.4875161827260905E-2</v>
      </c>
      <c r="I96" s="163"/>
      <c r="J96" s="256">
        <v>577.23</v>
      </c>
      <c r="K96" s="134">
        <f t="shared" si="7"/>
        <v>-1.0457202612586425E-2</v>
      </c>
      <c r="L96" s="163"/>
      <c r="M96" s="255">
        <v>3173.55</v>
      </c>
      <c r="N96" s="134">
        <f t="shared" si="8"/>
        <v>-1.2877338683338624E-2</v>
      </c>
      <c r="O96" s="163"/>
      <c r="P96" s="255">
        <v>25279.85</v>
      </c>
      <c r="Q96" s="134">
        <f t="shared" si="9"/>
        <v>3.220404227202156E-3</v>
      </c>
      <c r="R96" s="19"/>
      <c r="S96" s="19"/>
      <c r="T96" s="19"/>
      <c r="X96" s="35"/>
    </row>
    <row r="97" spans="3:24" x14ac:dyDescent="0.3">
      <c r="C97" s="160">
        <v>45331</v>
      </c>
      <c r="D97" s="255">
        <v>2590.3000000000002</v>
      </c>
      <c r="E97" s="134">
        <f t="shared" si="5"/>
        <v>1.6627996906419806E-3</v>
      </c>
      <c r="F97" s="34"/>
      <c r="G97" s="255">
        <v>1084.1500000000001</v>
      </c>
      <c r="H97" s="134">
        <f t="shared" si="6"/>
        <v>-2.1790129026436733E-2</v>
      </c>
      <c r="I97" s="163"/>
      <c r="J97" s="256">
        <v>574.92999999999995</v>
      </c>
      <c r="K97" s="134">
        <f t="shared" si="7"/>
        <v>-3.9845468877225398E-3</v>
      </c>
      <c r="L97" s="163"/>
      <c r="M97" s="255">
        <v>3162.2</v>
      </c>
      <c r="N97" s="134">
        <f t="shared" si="8"/>
        <v>-3.576436482803258E-3</v>
      </c>
      <c r="O97" s="163"/>
      <c r="P97" s="255">
        <v>25278.7</v>
      </c>
      <c r="Q97" s="134">
        <f t="shared" si="9"/>
        <v>-4.5490776250600717E-5</v>
      </c>
      <c r="R97" s="19"/>
      <c r="S97" s="19"/>
      <c r="T97" s="19"/>
      <c r="X97" s="35"/>
    </row>
    <row r="98" spans="3:24" x14ac:dyDescent="0.3">
      <c r="C98" s="25" t="s">
        <v>239</v>
      </c>
      <c r="D98" s="255">
        <v>2564.6</v>
      </c>
      <c r="E98" s="134">
        <f t="shared" si="5"/>
        <v>-9.9216306991468661E-3</v>
      </c>
      <c r="G98" s="255">
        <v>1082.6500000000001</v>
      </c>
      <c r="H98" s="134">
        <f t="shared" si="6"/>
        <v>-1.383572383895193E-3</v>
      </c>
      <c r="I98" s="163"/>
      <c r="J98" s="256">
        <v>573.88</v>
      </c>
      <c r="K98" s="134">
        <f t="shared" si="7"/>
        <v>-1.8263092898265221E-3</v>
      </c>
      <c r="L98" s="163"/>
      <c r="M98" s="255">
        <v>3123.3</v>
      </c>
      <c r="N98" s="134">
        <f t="shared" si="8"/>
        <v>-1.2301562203529071E-2</v>
      </c>
      <c r="O98" s="163"/>
      <c r="P98" s="255">
        <v>25235.9</v>
      </c>
      <c r="Q98" s="134">
        <f t="shared" si="9"/>
        <v>-1.6931250420314514E-3</v>
      </c>
      <c r="R98" s="19"/>
      <c r="S98" s="19"/>
      <c r="T98" s="19"/>
      <c r="X98" s="35"/>
    </row>
    <row r="99" spans="3:24" x14ac:dyDescent="0.3">
      <c r="C99" s="25" t="s">
        <v>240</v>
      </c>
      <c r="D99" s="255">
        <v>2540.35</v>
      </c>
      <c r="E99" s="134">
        <f t="shared" si="5"/>
        <v>-9.4556656008734086E-3</v>
      </c>
      <c r="G99" s="255">
        <v>1073.3</v>
      </c>
      <c r="H99" s="134">
        <f t="shared" si="6"/>
        <v>-8.6362166905279425E-3</v>
      </c>
      <c r="I99" s="163"/>
      <c r="J99" s="256">
        <v>553.4</v>
      </c>
      <c r="K99" s="134">
        <f t="shared" si="7"/>
        <v>-3.5686903185334962E-2</v>
      </c>
      <c r="L99" s="163"/>
      <c r="M99" s="255">
        <v>3080.85</v>
      </c>
      <c r="N99" s="134">
        <f t="shared" si="8"/>
        <v>-1.3591393718182743E-2</v>
      </c>
      <c r="O99" s="163"/>
      <c r="P99" s="255">
        <v>25151.95</v>
      </c>
      <c r="Q99" s="134">
        <f t="shared" si="9"/>
        <v>-3.3266101070300591E-3</v>
      </c>
      <c r="R99" s="19"/>
      <c r="S99" s="19"/>
      <c r="T99" s="19"/>
      <c r="X99" s="35"/>
    </row>
    <row r="100" spans="3:24" x14ac:dyDescent="0.3">
      <c r="C100" s="25" t="s">
        <v>241</v>
      </c>
      <c r="D100" s="255">
        <v>2539.0500000000002</v>
      </c>
      <c r="E100" s="134">
        <f t="shared" si="5"/>
        <v>-5.1174050819757788E-4</v>
      </c>
      <c r="G100" s="255">
        <v>1075.6500000000001</v>
      </c>
      <c r="H100" s="134">
        <f t="shared" si="6"/>
        <v>2.1895089909624854E-3</v>
      </c>
      <c r="I100" s="163"/>
      <c r="J100" s="256">
        <v>554.16999999999996</v>
      </c>
      <c r="K100" s="134">
        <f t="shared" si="7"/>
        <v>1.3913986266713696E-3</v>
      </c>
      <c r="L100" s="163"/>
      <c r="M100" s="255">
        <v>3083.15</v>
      </c>
      <c r="N100" s="134">
        <f t="shared" si="8"/>
        <v>7.4654721911171507E-4</v>
      </c>
      <c r="O100" s="163"/>
      <c r="P100" s="255">
        <v>25052.35</v>
      </c>
      <c r="Q100" s="134">
        <f t="shared" si="9"/>
        <v>-3.9599315361235066E-3</v>
      </c>
      <c r="R100" s="19"/>
      <c r="S100" s="19"/>
      <c r="T100" s="19"/>
      <c r="X100" s="35"/>
    </row>
    <row r="101" spans="3:24" x14ac:dyDescent="0.3">
      <c r="C101" s="25" t="s">
        <v>242</v>
      </c>
      <c r="D101" s="255">
        <v>2555.6</v>
      </c>
      <c r="E101" s="134">
        <f t="shared" si="5"/>
        <v>6.5181859356844285E-3</v>
      </c>
      <c r="G101" s="255">
        <v>1086.8</v>
      </c>
      <c r="H101" s="134">
        <f t="shared" si="6"/>
        <v>1.0365825314925692E-2</v>
      </c>
      <c r="I101" s="163"/>
      <c r="J101" s="256">
        <v>559.05999999999995</v>
      </c>
      <c r="K101" s="134">
        <f t="shared" si="7"/>
        <v>8.8240070736416154E-3</v>
      </c>
      <c r="L101" s="163"/>
      <c r="M101" s="255">
        <v>3099.15</v>
      </c>
      <c r="N101" s="134">
        <f t="shared" si="8"/>
        <v>5.1894977539204135E-3</v>
      </c>
      <c r="O101" s="163"/>
      <c r="P101" s="255">
        <v>25017.75</v>
      </c>
      <c r="Q101" s="134">
        <f t="shared" si="9"/>
        <v>-1.3811079599318488E-3</v>
      </c>
      <c r="R101" s="19"/>
      <c r="S101" s="19"/>
      <c r="T101" s="19"/>
      <c r="X101" s="35"/>
    </row>
    <row r="102" spans="3:24" x14ac:dyDescent="0.3">
      <c r="C102" s="25" t="s">
        <v>243</v>
      </c>
      <c r="D102" s="255">
        <v>2538.5500000000002</v>
      </c>
      <c r="E102" s="134">
        <f t="shared" si="5"/>
        <v>-6.671623102206814E-3</v>
      </c>
      <c r="G102" s="255">
        <v>1073.1500000000001</v>
      </c>
      <c r="H102" s="134">
        <f t="shared" si="6"/>
        <v>-1.2559808612440104E-2</v>
      </c>
      <c r="I102" s="163"/>
      <c r="J102" s="256">
        <v>553.83000000000004</v>
      </c>
      <c r="K102" s="134">
        <f t="shared" si="7"/>
        <v>-9.3549887310842017E-3</v>
      </c>
      <c r="L102" s="163"/>
      <c r="M102" s="255">
        <v>3108.65</v>
      </c>
      <c r="N102" s="134">
        <f t="shared" si="8"/>
        <v>3.065356630043814E-3</v>
      </c>
      <c r="O102" s="163"/>
      <c r="P102" s="255">
        <v>25010.6</v>
      </c>
      <c r="Q102" s="134">
        <f t="shared" si="9"/>
        <v>-2.8579708407039384E-4</v>
      </c>
      <c r="R102" s="19"/>
      <c r="S102" s="19"/>
      <c r="T102" s="19"/>
      <c r="X102" s="35"/>
    </row>
    <row r="103" spans="3:24" x14ac:dyDescent="0.3">
      <c r="C103" s="25" t="s">
        <v>244</v>
      </c>
      <c r="D103" s="255">
        <v>2490.65</v>
      </c>
      <c r="E103" s="134">
        <f t="shared" si="5"/>
        <v>-1.8869039412262922E-2</v>
      </c>
      <c r="G103" s="255">
        <v>1072.3</v>
      </c>
      <c r="H103" s="134">
        <f t="shared" si="6"/>
        <v>-7.9206075571924828E-4</v>
      </c>
      <c r="I103" s="163"/>
      <c r="J103" s="256">
        <v>550.23</v>
      </c>
      <c r="K103" s="134">
        <f t="shared" si="7"/>
        <v>-6.5001895888630035E-3</v>
      </c>
      <c r="L103" s="163"/>
      <c r="M103" s="255">
        <v>3084.65</v>
      </c>
      <c r="N103" s="134">
        <f t="shared" si="8"/>
        <v>-7.7203930966818213E-3</v>
      </c>
      <c r="O103" s="163"/>
      <c r="P103" s="255">
        <v>24823.15</v>
      </c>
      <c r="Q103" s="134">
        <f t="shared" si="9"/>
        <v>-7.4948221953889949E-3</v>
      </c>
      <c r="R103" s="19"/>
      <c r="S103" s="19"/>
      <c r="T103" s="19"/>
      <c r="X103" s="35"/>
    </row>
    <row r="104" spans="3:24" x14ac:dyDescent="0.3">
      <c r="C104" s="25" t="s">
        <v>245</v>
      </c>
      <c r="D104" s="255">
        <v>2533.1</v>
      </c>
      <c r="E104" s="134">
        <f t="shared" si="5"/>
        <v>1.7043743601067973E-2</v>
      </c>
      <c r="G104" s="255">
        <v>1085.45</v>
      </c>
      <c r="H104" s="134">
        <f t="shared" si="6"/>
        <v>1.2263359134570662E-2</v>
      </c>
      <c r="I104" s="163"/>
      <c r="J104" s="256">
        <v>555.37</v>
      </c>
      <c r="K104" s="134">
        <f t="shared" si="7"/>
        <v>9.3415480798937356E-3</v>
      </c>
      <c r="L104" s="163"/>
      <c r="M104" s="255">
        <v>3127.1</v>
      </c>
      <c r="N104" s="134">
        <f t="shared" si="8"/>
        <v>1.3761690953592698E-2</v>
      </c>
      <c r="O104" s="163"/>
      <c r="P104" s="255">
        <v>24811.5</v>
      </c>
      <c r="Q104" s="134">
        <f t="shared" si="9"/>
        <v>-4.6931996946408816E-4</v>
      </c>
      <c r="R104" s="19"/>
      <c r="S104" s="19"/>
      <c r="T104" s="19"/>
      <c r="X104" s="35"/>
    </row>
    <row r="105" spans="3:24" x14ac:dyDescent="0.3">
      <c r="C105" s="25" t="s">
        <v>246</v>
      </c>
      <c r="D105" s="255">
        <v>2480.15</v>
      </c>
      <c r="E105" s="134">
        <f t="shared" si="5"/>
        <v>-2.0903241087994906E-2</v>
      </c>
      <c r="G105" s="255">
        <v>1062.3</v>
      </c>
      <c r="H105" s="134">
        <f t="shared" si="6"/>
        <v>-2.1327559998157497E-2</v>
      </c>
      <c r="I105" s="163"/>
      <c r="J105" s="256">
        <v>545.04999999999995</v>
      </c>
      <c r="K105" s="134">
        <f t="shared" si="7"/>
        <v>-1.858220645695674E-2</v>
      </c>
      <c r="L105" s="163"/>
      <c r="M105" s="255">
        <v>3057.75</v>
      </c>
      <c r="N105" s="134">
        <f t="shared" si="8"/>
        <v>-2.2177096990822154E-2</v>
      </c>
      <c r="O105" s="163"/>
      <c r="P105" s="255">
        <v>24770.2</v>
      </c>
      <c r="Q105" s="134">
        <f t="shared" si="9"/>
        <v>-1.66455071237126E-3</v>
      </c>
      <c r="R105" s="19"/>
      <c r="S105" s="19"/>
      <c r="T105" s="19"/>
      <c r="X105" s="35"/>
    </row>
    <row r="106" spans="3:24" x14ac:dyDescent="0.3">
      <c r="C106" s="25" t="s">
        <v>247</v>
      </c>
      <c r="D106" s="255">
        <v>2473.5</v>
      </c>
      <c r="E106" s="134">
        <f t="shared" si="5"/>
        <v>-2.6812894381388341E-3</v>
      </c>
      <c r="G106" s="255">
        <v>1059.6500000000001</v>
      </c>
      <c r="H106" s="134">
        <f t="shared" si="6"/>
        <v>-2.4945872164170435E-3</v>
      </c>
      <c r="I106" s="163"/>
      <c r="J106" s="256">
        <v>542.85</v>
      </c>
      <c r="K106" s="134">
        <f t="shared" si="7"/>
        <v>-4.0363269424822379E-3</v>
      </c>
      <c r="L106" s="163"/>
      <c r="M106" s="255">
        <v>3066.45</v>
      </c>
      <c r="N106" s="134">
        <f t="shared" si="8"/>
        <v>2.8452293352954072E-3</v>
      </c>
      <c r="O106" s="163"/>
      <c r="P106" s="255">
        <v>24698.85</v>
      </c>
      <c r="Q106" s="134">
        <f t="shared" si="9"/>
        <v>-2.8804773477808521E-3</v>
      </c>
      <c r="R106" s="19"/>
      <c r="S106" s="19"/>
      <c r="T106" s="19"/>
      <c r="X106" s="35"/>
    </row>
    <row r="107" spans="3:24" x14ac:dyDescent="0.3">
      <c r="C107" s="25" t="s">
        <v>248</v>
      </c>
      <c r="D107" s="255">
        <v>2476.15</v>
      </c>
      <c r="E107" s="134">
        <f t="shared" si="5"/>
        <v>1.0713563776025836E-3</v>
      </c>
      <c r="G107" s="255">
        <v>1052.95</v>
      </c>
      <c r="H107" s="134">
        <f t="shared" si="6"/>
        <v>-6.3228424479780942E-3</v>
      </c>
      <c r="I107" s="163"/>
      <c r="J107" s="256">
        <v>538.91999999999996</v>
      </c>
      <c r="K107" s="134">
        <f t="shared" si="7"/>
        <v>-7.2395689416967501E-3</v>
      </c>
      <c r="L107" s="163"/>
      <c r="M107" s="255">
        <v>3056.6</v>
      </c>
      <c r="N107" s="134">
        <f t="shared" si="8"/>
        <v>-3.2121834694842644E-3</v>
      </c>
      <c r="O107" s="163"/>
      <c r="P107" s="255">
        <v>24572.65</v>
      </c>
      <c r="Q107" s="134">
        <f t="shared" si="9"/>
        <v>-5.1095496349019554E-3</v>
      </c>
      <c r="R107" s="19"/>
      <c r="S107" s="19"/>
      <c r="T107" s="19"/>
      <c r="W107" s="38"/>
      <c r="X107" s="35"/>
    </row>
    <row r="108" spans="3:24" x14ac:dyDescent="0.3">
      <c r="C108" s="25" t="s">
        <v>249</v>
      </c>
      <c r="D108" s="255">
        <v>2481.1999999999998</v>
      </c>
      <c r="E108" s="134">
        <f t="shared" si="5"/>
        <v>2.0394564141912319E-3</v>
      </c>
      <c r="G108" s="255">
        <v>1042.3499999999999</v>
      </c>
      <c r="H108" s="134">
        <f t="shared" si="6"/>
        <v>-1.006695474618946E-2</v>
      </c>
      <c r="I108" s="163"/>
      <c r="J108" s="256">
        <v>530.66999999999996</v>
      </c>
      <c r="K108" s="134">
        <f t="shared" si="7"/>
        <v>-1.5308394566911576E-2</v>
      </c>
      <c r="L108" s="163"/>
      <c r="M108" s="255">
        <v>3057.35</v>
      </c>
      <c r="N108" s="134">
        <f t="shared" si="8"/>
        <v>2.4537067329721829E-4</v>
      </c>
      <c r="O108" s="163"/>
      <c r="P108" s="255">
        <v>24541.15</v>
      </c>
      <c r="Q108" s="134">
        <f t="shared" si="9"/>
        <v>-1.2819130211840779E-3</v>
      </c>
      <c r="R108" s="19"/>
      <c r="S108" s="19"/>
      <c r="T108" s="19"/>
      <c r="W108" s="38"/>
      <c r="X108" s="35"/>
    </row>
    <row r="109" spans="3:24" x14ac:dyDescent="0.3">
      <c r="C109" s="25" t="s">
        <v>250</v>
      </c>
      <c r="D109" s="255">
        <v>2491.75</v>
      </c>
      <c r="E109" s="134">
        <f t="shared" si="5"/>
        <v>4.2519748508786925E-3</v>
      </c>
      <c r="G109" s="255">
        <v>1019.75</v>
      </c>
      <c r="H109" s="134">
        <f t="shared" si="6"/>
        <v>-2.1681776754449045E-2</v>
      </c>
      <c r="I109" s="163"/>
      <c r="J109" s="256">
        <v>520.59</v>
      </c>
      <c r="K109" s="134">
        <f t="shared" si="7"/>
        <v>-1.8994855559952395E-2</v>
      </c>
      <c r="L109" s="163"/>
      <c r="M109" s="255">
        <v>3030.75</v>
      </c>
      <c r="N109" s="134">
        <f t="shared" si="8"/>
        <v>-8.700345070076998E-3</v>
      </c>
      <c r="O109" s="163"/>
      <c r="P109" s="255">
        <v>24143.75</v>
      </c>
      <c r="Q109" s="134">
        <f t="shared" si="9"/>
        <v>-1.6193210179637152E-2</v>
      </c>
      <c r="R109" s="19"/>
      <c r="S109" s="19"/>
      <c r="T109" s="19"/>
      <c r="W109" s="38"/>
      <c r="X109" s="35"/>
    </row>
    <row r="110" spans="3:24" x14ac:dyDescent="0.3">
      <c r="C110" s="25" t="s">
        <v>251</v>
      </c>
      <c r="D110" s="255">
        <v>2521.0500000000002</v>
      </c>
      <c r="E110" s="134">
        <f t="shared" si="5"/>
        <v>1.1758804053376259E-2</v>
      </c>
      <c r="G110" s="255">
        <v>1027.75</v>
      </c>
      <c r="H110" s="134">
        <f t="shared" si="6"/>
        <v>7.8450600637411938E-3</v>
      </c>
      <c r="I110" s="163"/>
      <c r="J110" s="256">
        <v>529.32000000000005</v>
      </c>
      <c r="K110" s="134">
        <f t="shared" si="7"/>
        <v>1.6769434679882567E-2</v>
      </c>
      <c r="L110" s="163"/>
      <c r="M110" s="255">
        <v>3047.1</v>
      </c>
      <c r="N110" s="134">
        <f t="shared" si="8"/>
        <v>5.3947042811184343E-3</v>
      </c>
      <c r="O110" s="163"/>
      <c r="P110" s="255">
        <v>24139</v>
      </c>
      <c r="Q110" s="134">
        <f t="shared" si="9"/>
        <v>-1.9673828630595303E-4</v>
      </c>
      <c r="R110" s="19"/>
      <c r="S110" s="19"/>
      <c r="T110" s="19"/>
      <c r="W110" s="38"/>
      <c r="X110" s="35"/>
    </row>
    <row r="111" spans="3:24" x14ac:dyDescent="0.3">
      <c r="C111" s="160">
        <v>45634</v>
      </c>
      <c r="D111" s="255">
        <v>2568.5</v>
      </c>
      <c r="E111" s="134">
        <f t="shared" si="5"/>
        <v>1.8821522778207367E-2</v>
      </c>
      <c r="F111" s="34"/>
      <c r="G111" s="255">
        <v>1048.3499999999999</v>
      </c>
      <c r="H111" s="134">
        <f t="shared" si="6"/>
        <v>2.0043784967161082E-2</v>
      </c>
      <c r="I111" s="163"/>
      <c r="J111" s="256">
        <v>542.13</v>
      </c>
      <c r="K111" s="134">
        <f t="shared" si="7"/>
        <v>2.4200861482656988E-2</v>
      </c>
      <c r="L111" s="163"/>
      <c r="M111" s="255">
        <v>3051.8</v>
      </c>
      <c r="N111" s="134">
        <f t="shared" si="8"/>
        <v>1.5424501985494832E-3</v>
      </c>
      <c r="O111" s="163"/>
      <c r="P111" s="255">
        <v>24347</v>
      </c>
      <c r="Q111" s="134">
        <f t="shared" si="9"/>
        <v>8.6167612577157104E-3</v>
      </c>
      <c r="R111" s="19"/>
      <c r="S111" s="19"/>
      <c r="T111" s="19"/>
      <c r="W111" s="38"/>
      <c r="X111" s="35"/>
    </row>
    <row r="112" spans="3:24" x14ac:dyDescent="0.3">
      <c r="C112" s="160">
        <v>45543</v>
      </c>
      <c r="D112" s="255">
        <v>2553.65</v>
      </c>
      <c r="E112" s="134">
        <f t="shared" si="5"/>
        <v>-5.7815845824410461E-3</v>
      </c>
      <c r="F112" s="34"/>
      <c r="G112" s="255">
        <v>1041.7</v>
      </c>
      <c r="H112" s="134">
        <f t="shared" si="6"/>
        <v>-6.3433013783563696E-3</v>
      </c>
      <c r="I112" s="163"/>
      <c r="J112" s="256">
        <v>531.91</v>
      </c>
      <c r="K112" s="134">
        <f t="shared" si="7"/>
        <v>-1.8851566967332589E-2</v>
      </c>
      <c r="L112" s="163"/>
      <c r="M112" s="255">
        <v>3133.15</v>
      </c>
      <c r="N112" s="134">
        <f t="shared" si="8"/>
        <v>2.6656399501933326E-2</v>
      </c>
      <c r="O112" s="163"/>
      <c r="P112" s="255">
        <v>24367.5</v>
      </c>
      <c r="Q112" s="134">
        <f t="shared" si="9"/>
        <v>8.4199285332897666E-4</v>
      </c>
      <c r="R112" s="19"/>
      <c r="S112" s="19"/>
      <c r="T112" s="19"/>
      <c r="W112" s="38"/>
      <c r="X112" s="35"/>
    </row>
    <row r="113" spans="3:24" x14ac:dyDescent="0.3">
      <c r="C113" s="160">
        <v>45512</v>
      </c>
      <c r="D113" s="255">
        <v>2537.1</v>
      </c>
      <c r="E113" s="134">
        <f t="shared" si="5"/>
        <v>-6.4809194682122762E-3</v>
      </c>
      <c r="F113" s="34"/>
      <c r="G113" s="255">
        <v>1029.9000000000001</v>
      </c>
      <c r="H113" s="134">
        <f t="shared" si="6"/>
        <v>-1.1327637515599509E-2</v>
      </c>
      <c r="I113" s="163"/>
      <c r="J113" s="256">
        <v>524.66999999999996</v>
      </c>
      <c r="K113" s="134">
        <f t="shared" si="7"/>
        <v>-1.3611325224192061E-2</v>
      </c>
      <c r="L113" s="163"/>
      <c r="M113" s="255">
        <v>3168.3</v>
      </c>
      <c r="N113" s="134">
        <f t="shared" si="8"/>
        <v>1.1218741522110331E-2</v>
      </c>
      <c r="O113" s="163"/>
      <c r="P113" s="255">
        <v>24117</v>
      </c>
      <c r="Q113" s="134">
        <f t="shared" si="9"/>
        <v>-1.0280086180363135E-2</v>
      </c>
      <c r="R113" s="19"/>
      <c r="S113" s="19"/>
      <c r="T113" s="19"/>
      <c r="W113" s="38"/>
      <c r="X113" s="35"/>
    </row>
    <row r="114" spans="3:24" x14ac:dyDescent="0.3">
      <c r="C114" s="160">
        <v>45481</v>
      </c>
      <c r="D114" s="255">
        <v>2590.1</v>
      </c>
      <c r="E114" s="134">
        <f t="shared" si="5"/>
        <v>2.088999251113477E-2</v>
      </c>
      <c r="F114" s="34"/>
      <c r="G114" s="255">
        <v>1053.05</v>
      </c>
      <c r="H114" s="134">
        <f t="shared" si="6"/>
        <v>2.2477910476745189E-2</v>
      </c>
      <c r="I114" s="163"/>
      <c r="J114" s="256">
        <v>523.52</v>
      </c>
      <c r="K114" s="134">
        <f t="shared" si="7"/>
        <v>-2.1918539272304249E-3</v>
      </c>
      <c r="L114" s="163"/>
      <c r="M114" s="255">
        <v>3152.85</v>
      </c>
      <c r="N114" s="134">
        <f t="shared" si="8"/>
        <v>-4.87643215604594E-3</v>
      </c>
      <c r="O114" s="163"/>
      <c r="P114" s="255">
        <v>24297.5</v>
      </c>
      <c r="Q114" s="134">
        <f t="shared" si="9"/>
        <v>7.484347141020864E-3</v>
      </c>
      <c r="R114" s="19"/>
      <c r="S114" s="19"/>
      <c r="T114" s="19"/>
      <c r="W114" s="38"/>
      <c r="X114" s="35"/>
    </row>
    <row r="115" spans="3:24" x14ac:dyDescent="0.3">
      <c r="C115" s="160">
        <v>45451</v>
      </c>
      <c r="D115" s="255">
        <v>2488.9499999999998</v>
      </c>
      <c r="E115" s="134">
        <f t="shared" si="5"/>
        <v>-3.9052546233736218E-2</v>
      </c>
      <c r="F115" s="34"/>
      <c r="G115" s="255">
        <v>1032.8499999999999</v>
      </c>
      <c r="H115" s="134">
        <f t="shared" si="6"/>
        <v>-1.9182375005935226E-2</v>
      </c>
      <c r="I115" s="163"/>
      <c r="J115" s="256">
        <v>511.82</v>
      </c>
      <c r="K115" s="134">
        <f t="shared" si="7"/>
        <v>-2.234871638141811E-2</v>
      </c>
      <c r="L115" s="163"/>
      <c r="M115" s="255">
        <v>3055.25</v>
      </c>
      <c r="N115" s="134">
        <f t="shared" si="8"/>
        <v>-3.0956119066876009E-2</v>
      </c>
      <c r="O115" s="163"/>
      <c r="P115" s="255">
        <v>23992.55</v>
      </c>
      <c r="Q115" s="134">
        <f t="shared" si="9"/>
        <v>-1.2550673937647971E-2</v>
      </c>
      <c r="R115" s="19"/>
      <c r="S115" s="19"/>
      <c r="T115" s="19"/>
      <c r="W115" s="38"/>
      <c r="X115" s="35"/>
    </row>
    <row r="116" spans="3:24" x14ac:dyDescent="0.3">
      <c r="C116" s="160">
        <v>45420</v>
      </c>
      <c r="D116" s="255">
        <v>2473</v>
      </c>
      <c r="E116" s="134">
        <f t="shared" si="5"/>
        <v>-6.4083247955964984E-3</v>
      </c>
      <c r="F116" s="34"/>
      <c r="G116" s="255">
        <v>1053.25</v>
      </c>
      <c r="H116" s="134">
        <f t="shared" si="6"/>
        <v>1.9751173936195965E-2</v>
      </c>
      <c r="I116" s="163"/>
      <c r="J116" s="256">
        <v>506.35</v>
      </c>
      <c r="K116" s="134">
        <f t="shared" si="7"/>
        <v>-1.0687351021843594E-2</v>
      </c>
      <c r="L116" s="163"/>
      <c r="M116" s="255">
        <v>3072.95</v>
      </c>
      <c r="N116" s="134">
        <f t="shared" si="8"/>
        <v>5.7933066033875047E-3</v>
      </c>
      <c r="O116" s="163"/>
      <c r="P116" s="255">
        <v>24055.599999999999</v>
      </c>
      <c r="Q116" s="134">
        <f t="shared" si="9"/>
        <v>2.6278990770052246E-3</v>
      </c>
      <c r="R116" s="19"/>
      <c r="S116" s="19"/>
      <c r="T116" s="19"/>
      <c r="X116" s="35"/>
    </row>
    <row r="117" spans="3:24" x14ac:dyDescent="0.3">
      <c r="C117" s="160">
        <v>45330</v>
      </c>
      <c r="D117" s="255">
        <v>2522.8000000000002</v>
      </c>
      <c r="E117" s="134">
        <f t="shared" si="5"/>
        <v>2.0137484836231456E-2</v>
      </c>
      <c r="F117" s="34"/>
      <c r="G117" s="255">
        <v>1087</v>
      </c>
      <c r="H117" s="134">
        <f t="shared" si="6"/>
        <v>3.204367434132438E-2</v>
      </c>
      <c r="I117" s="163"/>
      <c r="J117" s="256">
        <v>515.75</v>
      </c>
      <c r="K117" s="134">
        <f t="shared" si="7"/>
        <v>1.8564234225338261E-2</v>
      </c>
      <c r="L117" s="163"/>
      <c r="M117" s="255">
        <v>3134.05</v>
      </c>
      <c r="N117" s="134">
        <f t="shared" si="8"/>
        <v>1.988317414861962E-2</v>
      </c>
      <c r="O117" s="163"/>
      <c r="P117" s="255">
        <v>24717.7</v>
      </c>
      <c r="Q117" s="134">
        <f t="shared" si="9"/>
        <v>2.7523736676699162E-2</v>
      </c>
      <c r="R117" s="19"/>
      <c r="S117" s="19"/>
      <c r="T117" s="19"/>
      <c r="X117" s="35"/>
    </row>
    <row r="118" spans="3:24" x14ac:dyDescent="0.3">
      <c r="C118" s="160">
        <v>45299</v>
      </c>
      <c r="D118" s="255">
        <v>2624.9</v>
      </c>
      <c r="E118" s="134">
        <f t="shared" si="5"/>
        <v>4.0470905343269248E-2</v>
      </c>
      <c r="F118" s="34"/>
      <c r="G118" s="255">
        <v>1103.75</v>
      </c>
      <c r="H118" s="134">
        <f t="shared" si="6"/>
        <v>1.5409383624654938E-2</v>
      </c>
      <c r="I118" s="163"/>
      <c r="J118" s="256">
        <v>537.38</v>
      </c>
      <c r="K118" s="134">
        <f t="shared" si="7"/>
        <v>4.1938923897236968E-2</v>
      </c>
      <c r="L118" s="163"/>
      <c r="M118" s="255">
        <v>3121.3</v>
      </c>
      <c r="N118" s="134">
        <f t="shared" si="8"/>
        <v>-4.0682184393995291E-3</v>
      </c>
      <c r="O118" s="163"/>
      <c r="P118" s="255">
        <v>25010.9</v>
      </c>
      <c r="Q118" s="134">
        <f t="shared" si="9"/>
        <v>1.1861945083887271E-2</v>
      </c>
      <c r="R118" s="19"/>
      <c r="S118" s="19"/>
      <c r="T118" s="19"/>
      <c r="X118" s="35"/>
    </row>
    <row r="119" spans="3:24" x14ac:dyDescent="0.3">
      <c r="C119" s="25" t="s">
        <v>252</v>
      </c>
      <c r="D119" s="255">
        <v>2644.9</v>
      </c>
      <c r="E119" s="134">
        <f t="shared" si="5"/>
        <v>7.6193378795381683E-3</v>
      </c>
      <c r="G119" s="255">
        <v>1119.6500000000001</v>
      </c>
      <c r="H119" s="134">
        <f t="shared" si="6"/>
        <v>1.4405436013590123E-2</v>
      </c>
      <c r="I119" s="163"/>
      <c r="J119" s="256">
        <v>548.79</v>
      </c>
      <c r="K119" s="134">
        <f t="shared" si="7"/>
        <v>2.1232647288697004E-2</v>
      </c>
      <c r="L119" s="163"/>
      <c r="M119" s="255">
        <v>3186.4</v>
      </c>
      <c r="N119" s="134">
        <f t="shared" si="8"/>
        <v>2.0856694326081948E-2</v>
      </c>
      <c r="O119" s="163"/>
      <c r="P119" s="255">
        <v>24951.15</v>
      </c>
      <c r="Q119" s="134">
        <f t="shared" si="9"/>
        <v>-2.3889584141314479E-3</v>
      </c>
      <c r="R119" s="19"/>
      <c r="S119" s="19"/>
      <c r="T119" s="19"/>
      <c r="X119" s="35"/>
    </row>
    <row r="120" spans="3:24" x14ac:dyDescent="0.3">
      <c r="C120" s="25" t="s">
        <v>253</v>
      </c>
      <c r="D120" s="255">
        <v>2552.35</v>
      </c>
      <c r="E120" s="134">
        <f t="shared" si="5"/>
        <v>-3.4991871148247644E-2</v>
      </c>
      <c r="G120" s="255">
        <v>1111.5</v>
      </c>
      <c r="H120" s="134">
        <f t="shared" si="6"/>
        <v>-7.2790604206672826E-3</v>
      </c>
      <c r="I120" s="163"/>
      <c r="J120" s="256">
        <v>541.16999999999996</v>
      </c>
      <c r="K120" s="134">
        <f t="shared" si="7"/>
        <v>-1.3885092658393883E-2</v>
      </c>
      <c r="L120" s="163"/>
      <c r="M120" s="255">
        <v>3156</v>
      </c>
      <c r="N120" s="134">
        <f t="shared" si="8"/>
        <v>-9.5405473261360729E-3</v>
      </c>
      <c r="O120" s="163"/>
      <c r="P120" s="255">
        <v>24857.3</v>
      </c>
      <c r="Q120" s="134">
        <f t="shared" si="9"/>
        <v>-3.7613496772694877E-3</v>
      </c>
      <c r="R120" s="19"/>
      <c r="S120" s="19"/>
      <c r="T120" s="19"/>
      <c r="X120" s="35"/>
    </row>
    <row r="121" spans="3:24" x14ac:dyDescent="0.3">
      <c r="C121" s="25" t="s">
        <v>254</v>
      </c>
      <c r="D121" s="255">
        <v>2509.0500000000002</v>
      </c>
      <c r="E121" s="134">
        <f t="shared" si="5"/>
        <v>-1.6964757968146893E-2</v>
      </c>
      <c r="G121" s="255">
        <v>1098.5999999999999</v>
      </c>
      <c r="H121" s="134">
        <f t="shared" si="6"/>
        <v>-1.1605937921727483E-2</v>
      </c>
      <c r="I121" s="163"/>
      <c r="J121" s="256">
        <v>530.57000000000005</v>
      </c>
      <c r="K121" s="134">
        <f t="shared" si="7"/>
        <v>-1.9587190716410574E-2</v>
      </c>
      <c r="L121" s="163"/>
      <c r="M121" s="255">
        <v>3151.85</v>
      </c>
      <c r="N121" s="134">
        <f t="shared" si="8"/>
        <v>-1.3149556400506857E-3</v>
      </c>
      <c r="O121" s="163"/>
      <c r="P121" s="255">
        <v>24836.1</v>
      </c>
      <c r="Q121" s="134">
        <f t="shared" si="9"/>
        <v>-8.5286817152308014E-4</v>
      </c>
      <c r="R121" s="19"/>
      <c r="S121" s="19"/>
      <c r="T121" s="19"/>
      <c r="X121" s="35"/>
    </row>
    <row r="122" spans="3:24" x14ac:dyDescent="0.3">
      <c r="C122" s="25" t="s">
        <v>255</v>
      </c>
      <c r="D122" s="255">
        <v>2456.15</v>
      </c>
      <c r="E122" s="134">
        <f t="shared" si="5"/>
        <v>-2.1083677088938102E-2</v>
      </c>
      <c r="G122" s="255">
        <v>1070.7</v>
      </c>
      <c r="H122" s="134">
        <f t="shared" si="6"/>
        <v>-2.539595849262688E-2</v>
      </c>
      <c r="I122" s="163"/>
      <c r="J122" s="256">
        <v>521.84</v>
      </c>
      <c r="K122" s="134">
        <f t="shared" si="7"/>
        <v>-1.645400229941385E-2</v>
      </c>
      <c r="L122" s="163"/>
      <c r="M122" s="255">
        <v>3135.35</v>
      </c>
      <c r="N122" s="134">
        <f t="shared" si="8"/>
        <v>-5.2350207021273354E-3</v>
      </c>
      <c r="O122" s="163"/>
      <c r="P122" s="255">
        <v>24834.85</v>
      </c>
      <c r="Q122" s="134">
        <f t="shared" si="9"/>
        <v>-5.0329963238948672E-5</v>
      </c>
      <c r="R122" s="19"/>
      <c r="S122" s="19"/>
      <c r="T122" s="19"/>
      <c r="X122" s="35"/>
    </row>
    <row r="123" spans="3:24" x14ac:dyDescent="0.3">
      <c r="C123" s="25" t="s">
        <v>256</v>
      </c>
      <c r="D123" s="255">
        <v>2399.8000000000002</v>
      </c>
      <c r="E123" s="134">
        <f t="shared" si="5"/>
        <v>-2.2942409869104008E-2</v>
      </c>
      <c r="G123" s="255">
        <v>1047.7</v>
      </c>
      <c r="H123" s="134">
        <f t="shared" si="6"/>
        <v>-2.1481273932941081E-2</v>
      </c>
      <c r="I123" s="163"/>
      <c r="J123" s="256">
        <v>508.32</v>
      </c>
      <c r="K123" s="134">
        <f t="shared" si="7"/>
        <v>-2.5908324390617854E-2</v>
      </c>
      <c r="L123" s="163"/>
      <c r="M123" s="255">
        <v>3109.55</v>
      </c>
      <c r="N123" s="134">
        <f t="shared" si="8"/>
        <v>-8.2287463919498149E-3</v>
      </c>
      <c r="O123" s="163"/>
      <c r="P123" s="255">
        <v>24406.1</v>
      </c>
      <c r="Q123" s="134">
        <f t="shared" si="9"/>
        <v>-1.7264046289790391E-2</v>
      </c>
      <c r="R123" s="19"/>
      <c r="S123" s="19"/>
      <c r="T123" s="19"/>
      <c r="X123" s="35"/>
    </row>
    <row r="124" spans="3:24" x14ac:dyDescent="0.3">
      <c r="C124" s="25" t="s">
        <v>257</v>
      </c>
      <c r="D124" s="255">
        <v>2367.65</v>
      </c>
      <c r="E124" s="134">
        <f t="shared" si="5"/>
        <v>-1.3396949745812181E-2</v>
      </c>
      <c r="G124" s="255">
        <v>1051.5</v>
      </c>
      <c r="H124" s="134">
        <f t="shared" si="6"/>
        <v>3.6269924596734615E-3</v>
      </c>
      <c r="I124" s="163"/>
      <c r="J124" s="256">
        <v>514.94000000000005</v>
      </c>
      <c r="K124" s="134">
        <f t="shared" si="7"/>
        <v>1.3023292414227283E-2</v>
      </c>
      <c r="L124" s="163"/>
      <c r="M124" s="255">
        <v>3108.9</v>
      </c>
      <c r="N124" s="134">
        <f t="shared" si="8"/>
        <v>-2.0903346143330559E-4</v>
      </c>
      <c r="O124" s="163"/>
      <c r="P124" s="255">
        <v>24413.5</v>
      </c>
      <c r="Q124" s="134">
        <f t="shared" si="9"/>
        <v>3.0320288780272264E-4</v>
      </c>
      <c r="R124" s="19"/>
      <c r="S124" s="19"/>
      <c r="T124" s="19"/>
      <c r="X124" s="35"/>
    </row>
    <row r="125" spans="3:24" x14ac:dyDescent="0.3">
      <c r="C125" s="25" t="s">
        <v>258</v>
      </c>
      <c r="D125" s="255">
        <v>2361.0500000000002</v>
      </c>
      <c r="E125" s="134">
        <f t="shared" si="5"/>
        <v>-2.7875741769264328E-3</v>
      </c>
      <c r="G125" s="255">
        <v>1044.8499999999999</v>
      </c>
      <c r="H125" s="134">
        <f t="shared" si="6"/>
        <v>-6.3242986210176877E-3</v>
      </c>
      <c r="I125" s="163"/>
      <c r="J125" s="256">
        <v>518.48</v>
      </c>
      <c r="K125" s="134">
        <f t="shared" si="7"/>
        <v>6.8745873305626759E-3</v>
      </c>
      <c r="L125" s="163"/>
      <c r="M125" s="255">
        <v>3176.4</v>
      </c>
      <c r="N125" s="134">
        <f t="shared" si="8"/>
        <v>2.1711859500144648E-2</v>
      </c>
      <c r="O125" s="163"/>
      <c r="P125" s="255">
        <v>24479.05</v>
      </c>
      <c r="Q125" s="134">
        <f t="shared" si="9"/>
        <v>2.6849898621663648E-3</v>
      </c>
      <c r="R125" s="19"/>
      <c r="S125" s="19"/>
      <c r="T125" s="19"/>
      <c r="X125" s="35"/>
    </row>
    <row r="126" spans="3:24" x14ac:dyDescent="0.3">
      <c r="C126" s="25" t="s">
        <v>259</v>
      </c>
      <c r="D126" s="255">
        <v>2367.5500000000002</v>
      </c>
      <c r="E126" s="134">
        <f t="shared" si="5"/>
        <v>2.7530124309100845E-3</v>
      </c>
      <c r="G126" s="255">
        <v>1067.0999999999999</v>
      </c>
      <c r="H126" s="134">
        <f t="shared" si="6"/>
        <v>2.1294922716179387E-2</v>
      </c>
      <c r="I126" s="163"/>
      <c r="J126" s="256">
        <v>523.33000000000004</v>
      </c>
      <c r="K126" s="134">
        <f t="shared" si="7"/>
        <v>9.354266316926374E-3</v>
      </c>
      <c r="L126" s="163"/>
      <c r="M126" s="255">
        <v>3150.35</v>
      </c>
      <c r="N126" s="134">
        <f t="shared" si="8"/>
        <v>-8.2011081727743074E-3</v>
      </c>
      <c r="O126" s="163"/>
      <c r="P126" s="255">
        <v>24509.25</v>
      </c>
      <c r="Q126" s="134">
        <f t="shared" si="9"/>
        <v>1.2337080074593665E-3</v>
      </c>
      <c r="R126" s="19"/>
      <c r="S126" s="19"/>
      <c r="T126" s="19"/>
      <c r="X126" s="35"/>
    </row>
    <row r="127" spans="3:24" x14ac:dyDescent="0.3">
      <c r="C127" s="25" t="s">
        <v>260</v>
      </c>
      <c r="D127" s="255">
        <v>2342.6</v>
      </c>
      <c r="E127" s="134">
        <f t="shared" si="5"/>
        <v>-1.0538320204430907E-2</v>
      </c>
      <c r="G127" s="255">
        <v>1044.2</v>
      </c>
      <c r="H127" s="134">
        <f t="shared" si="6"/>
        <v>-2.1460031862055917E-2</v>
      </c>
      <c r="I127" s="163"/>
      <c r="J127" s="256">
        <v>520.69000000000005</v>
      </c>
      <c r="K127" s="134">
        <f t="shared" si="7"/>
        <v>-5.0446181185866967E-3</v>
      </c>
      <c r="L127" s="163"/>
      <c r="M127" s="255">
        <v>3134.75</v>
      </c>
      <c r="N127" s="134">
        <f t="shared" si="8"/>
        <v>-4.9518307489643254E-3</v>
      </c>
      <c r="O127" s="163"/>
      <c r="P127" s="255">
        <v>24530.9</v>
      </c>
      <c r="Q127" s="134">
        <f t="shared" si="9"/>
        <v>8.8333996348333166E-4</v>
      </c>
      <c r="R127" s="19"/>
      <c r="S127" s="19"/>
      <c r="T127" s="19"/>
      <c r="X127" s="35"/>
    </row>
    <row r="128" spans="3:24" x14ac:dyDescent="0.3">
      <c r="C128" s="25" t="s">
        <v>261</v>
      </c>
      <c r="D128" s="255">
        <v>2404.5</v>
      </c>
      <c r="E128" s="134">
        <f t="shared" si="5"/>
        <v>2.642363186203367E-2</v>
      </c>
      <c r="G128" s="255">
        <v>1060.55</v>
      </c>
      <c r="H128" s="134">
        <f t="shared" si="6"/>
        <v>1.565791993870902E-2</v>
      </c>
      <c r="I128" s="163"/>
      <c r="J128" s="256">
        <v>535.70000000000005</v>
      </c>
      <c r="K128" s="134">
        <f t="shared" si="7"/>
        <v>2.8827133227063984E-2</v>
      </c>
      <c r="L128" s="163"/>
      <c r="M128" s="255">
        <v>3193.4</v>
      </c>
      <c r="N128" s="134">
        <f t="shared" si="8"/>
        <v>1.8709625966983001E-2</v>
      </c>
      <c r="O128" s="163"/>
      <c r="P128" s="255">
        <v>24800.85</v>
      </c>
      <c r="Q128" s="134">
        <f t="shared" si="9"/>
        <v>1.1004488216901809E-2</v>
      </c>
      <c r="R128" s="19"/>
      <c r="S128" s="19"/>
      <c r="T128" s="19"/>
      <c r="X128" s="35"/>
    </row>
    <row r="129" spans="3:24" x14ac:dyDescent="0.3">
      <c r="C129" s="25" t="s">
        <v>262</v>
      </c>
      <c r="D129" s="255">
        <v>2394.6</v>
      </c>
      <c r="E129" s="134">
        <f t="shared" si="5"/>
        <v>-4.1172800998129366E-3</v>
      </c>
      <c r="G129" s="255">
        <v>1065.9000000000001</v>
      </c>
      <c r="H129" s="134">
        <f t="shared" si="6"/>
        <v>5.0445523549103033E-3</v>
      </c>
      <c r="I129" s="163"/>
      <c r="J129" s="256">
        <v>534.12</v>
      </c>
      <c r="K129" s="134">
        <f t="shared" si="7"/>
        <v>-2.9494119843196387E-3</v>
      </c>
      <c r="L129" s="163"/>
      <c r="M129" s="255">
        <v>3175.15</v>
      </c>
      <c r="N129" s="134">
        <f t="shared" si="8"/>
        <v>-5.7149120060123737E-3</v>
      </c>
      <c r="O129" s="163"/>
      <c r="P129" s="255">
        <v>24613</v>
      </c>
      <c r="Q129" s="134">
        <f t="shared" si="9"/>
        <v>-7.5743371698953066E-3</v>
      </c>
      <c r="R129" s="19"/>
      <c r="S129" s="19"/>
      <c r="T129" s="19"/>
      <c r="W129" s="38"/>
      <c r="X129" s="35"/>
    </row>
    <row r="130" spans="3:24" x14ac:dyDescent="0.3">
      <c r="C130" s="25" t="s">
        <v>263</v>
      </c>
      <c r="D130" s="255">
        <v>2395.6999999999998</v>
      </c>
      <c r="E130" s="134">
        <f t="shared" si="5"/>
        <v>4.5936690887837806E-4</v>
      </c>
      <c r="G130" s="255">
        <v>1066.45</v>
      </c>
      <c r="H130" s="134">
        <f t="shared" si="6"/>
        <v>5.1599587203288166E-4</v>
      </c>
      <c r="I130" s="163"/>
      <c r="J130" s="256">
        <v>541.65</v>
      </c>
      <c r="K130" s="134">
        <f t="shared" si="7"/>
        <v>1.4097955515614435E-2</v>
      </c>
      <c r="L130" s="163"/>
      <c r="M130" s="255">
        <v>3171</v>
      </c>
      <c r="N130" s="134">
        <f t="shared" si="8"/>
        <v>-1.3070248649670324E-3</v>
      </c>
      <c r="O130" s="163"/>
      <c r="P130" s="255">
        <v>24586.7</v>
      </c>
      <c r="Q130" s="134">
        <f t="shared" si="9"/>
        <v>-1.0685410149108288E-3</v>
      </c>
      <c r="R130" s="19"/>
      <c r="S130" s="19"/>
      <c r="T130" s="19"/>
      <c r="W130" s="38"/>
      <c r="X130" s="35"/>
    </row>
    <row r="131" spans="3:24" x14ac:dyDescent="0.3">
      <c r="C131" s="160">
        <v>45633</v>
      </c>
      <c r="D131" s="255">
        <v>2390.25</v>
      </c>
      <c r="E131" s="134">
        <f t="shared" si="5"/>
        <v>-2.2749092123387493E-3</v>
      </c>
      <c r="F131" s="34"/>
      <c r="G131" s="255">
        <v>1065.7</v>
      </c>
      <c r="H131" s="134">
        <f t="shared" si="6"/>
        <v>-7.0326785128227431E-4</v>
      </c>
      <c r="I131" s="163"/>
      <c r="J131" s="256">
        <v>540.5</v>
      </c>
      <c r="K131" s="134">
        <f t="shared" si="7"/>
        <v>-2.1231422505307851E-3</v>
      </c>
      <c r="L131" s="163"/>
      <c r="M131" s="255">
        <v>3147.65</v>
      </c>
      <c r="N131" s="134">
        <f t="shared" si="8"/>
        <v>-7.3636076947335427E-3</v>
      </c>
      <c r="O131" s="163"/>
      <c r="P131" s="255">
        <v>24502.15</v>
      </c>
      <c r="Q131" s="134">
        <f t="shared" si="9"/>
        <v>-3.4388510861562693E-3</v>
      </c>
      <c r="R131" s="19"/>
      <c r="S131" s="19"/>
      <c r="T131" s="19"/>
      <c r="W131" s="38"/>
      <c r="X131" s="35"/>
    </row>
    <row r="132" spans="3:24" x14ac:dyDescent="0.3">
      <c r="C132" s="160">
        <v>45603</v>
      </c>
      <c r="D132" s="255">
        <v>2392</v>
      </c>
      <c r="E132" s="134">
        <f t="shared" si="5"/>
        <v>7.321409894363029E-4</v>
      </c>
      <c r="F132" s="34"/>
      <c r="G132" s="255">
        <v>1059</v>
      </c>
      <c r="H132" s="134">
        <f t="shared" si="6"/>
        <v>-6.2869475462138391E-3</v>
      </c>
      <c r="I132" s="163"/>
      <c r="J132" s="256">
        <v>534.79</v>
      </c>
      <c r="K132" s="134">
        <f t="shared" si="7"/>
        <v>-1.056429232192424E-2</v>
      </c>
      <c r="L132" s="163"/>
      <c r="M132" s="255">
        <v>3161.45</v>
      </c>
      <c r="N132" s="134">
        <f t="shared" si="8"/>
        <v>4.3842231506043827E-3</v>
      </c>
      <c r="O132" s="163"/>
      <c r="P132" s="255">
        <v>24315.95</v>
      </c>
      <c r="Q132" s="134">
        <f t="shared" si="9"/>
        <v>-7.5993331197466985E-3</v>
      </c>
      <c r="R132" s="19"/>
      <c r="S132" s="19"/>
      <c r="T132" s="19"/>
      <c r="W132" s="38"/>
      <c r="X132" s="35"/>
    </row>
    <row r="133" spans="3:24" x14ac:dyDescent="0.3">
      <c r="C133" s="160">
        <v>45572</v>
      </c>
      <c r="D133" s="255">
        <v>2399.9499999999998</v>
      </c>
      <c r="E133" s="134">
        <f t="shared" si="5"/>
        <v>3.3235785953176222E-3</v>
      </c>
      <c r="F133" s="34"/>
      <c r="G133" s="255">
        <v>1063.6500000000001</v>
      </c>
      <c r="H133" s="134">
        <f t="shared" si="6"/>
        <v>4.3909348441926177E-3</v>
      </c>
      <c r="I133" s="163"/>
      <c r="J133" s="256">
        <v>536.52</v>
      </c>
      <c r="K133" s="134">
        <f t="shared" si="7"/>
        <v>3.2349146393912953E-3</v>
      </c>
      <c r="L133" s="163"/>
      <c r="M133" s="255">
        <v>3161.65</v>
      </c>
      <c r="N133" s="134">
        <f t="shared" si="8"/>
        <v>6.3262110740369693E-5</v>
      </c>
      <c r="O133" s="163"/>
      <c r="P133" s="255">
        <v>24324.45</v>
      </c>
      <c r="Q133" s="134">
        <f t="shared" si="9"/>
        <v>3.495647918341227E-4</v>
      </c>
      <c r="R133" s="19"/>
      <c r="S133" s="19"/>
      <c r="T133" s="19"/>
      <c r="W133" s="38"/>
      <c r="X133" s="35"/>
    </row>
    <row r="134" spans="3:24" x14ac:dyDescent="0.3">
      <c r="C134" s="160">
        <v>45542</v>
      </c>
      <c r="D134" s="255">
        <v>2392</v>
      </c>
      <c r="E134" s="134">
        <f t="shared" si="5"/>
        <v>-3.3125690118542828E-3</v>
      </c>
      <c r="F134" s="34"/>
      <c r="G134" s="255">
        <v>1082.75</v>
      </c>
      <c r="H134" s="134">
        <f t="shared" si="6"/>
        <v>1.7957034738870892E-2</v>
      </c>
      <c r="I134" s="163"/>
      <c r="J134" s="256">
        <v>540.83000000000004</v>
      </c>
      <c r="K134" s="134">
        <f t="shared" si="7"/>
        <v>8.0332513233432046E-3</v>
      </c>
      <c r="L134" s="163"/>
      <c r="M134" s="255">
        <v>3113.9</v>
      </c>
      <c r="N134" s="134">
        <f t="shared" si="8"/>
        <v>-1.5102873499596714E-2</v>
      </c>
      <c r="O134" s="163"/>
      <c r="P134" s="255">
        <v>24433.200000000001</v>
      </c>
      <c r="Q134" s="134">
        <f t="shared" si="9"/>
        <v>4.4708102341470823E-3</v>
      </c>
      <c r="R134" s="19"/>
      <c r="S134" s="19"/>
      <c r="T134" s="19"/>
      <c r="W134" s="38"/>
      <c r="X134" s="35"/>
    </row>
    <row r="135" spans="3:24" x14ac:dyDescent="0.3">
      <c r="C135" s="160">
        <v>45511</v>
      </c>
      <c r="D135" s="255">
        <v>2368.3000000000002</v>
      </c>
      <c r="E135" s="134">
        <f t="shared" si="5"/>
        <v>-9.9080267558527835E-3</v>
      </c>
      <c r="F135" s="34"/>
      <c r="G135" s="255">
        <v>1079.95</v>
      </c>
      <c r="H135" s="134">
        <f t="shared" si="6"/>
        <v>-2.5860078503808781E-3</v>
      </c>
      <c r="I135" s="163"/>
      <c r="J135" s="256">
        <v>544.66999999999996</v>
      </c>
      <c r="K135" s="134">
        <f t="shared" si="7"/>
        <v>7.1001978440543567E-3</v>
      </c>
      <c r="L135" s="163"/>
      <c r="M135" s="255">
        <v>3069</v>
      </c>
      <c r="N135" s="134">
        <f t="shared" si="8"/>
        <v>-1.4419217058993627E-2</v>
      </c>
      <c r="O135" s="163"/>
      <c r="P135" s="255">
        <v>24320.55</v>
      </c>
      <c r="Q135" s="134">
        <f t="shared" si="9"/>
        <v>-4.6105299346791417E-3</v>
      </c>
      <c r="R135" s="19"/>
      <c r="S135" s="19"/>
      <c r="T135" s="19"/>
      <c r="W135" s="38"/>
      <c r="X135" s="35"/>
    </row>
    <row r="136" spans="3:24" x14ac:dyDescent="0.3">
      <c r="C136" s="160">
        <v>45419</v>
      </c>
      <c r="D136" s="255">
        <v>2400.75</v>
      </c>
      <c r="E136" s="134">
        <f t="shared" si="5"/>
        <v>1.370181142591731E-2</v>
      </c>
      <c r="F136" s="34"/>
      <c r="G136" s="255">
        <v>1101.75</v>
      </c>
      <c r="H136" s="134">
        <f t="shared" si="6"/>
        <v>2.0186119727765073E-2</v>
      </c>
      <c r="I136" s="163"/>
      <c r="J136" s="256">
        <v>549.03</v>
      </c>
      <c r="K136" s="134">
        <f t="shared" si="7"/>
        <v>8.0048469715607862E-3</v>
      </c>
      <c r="L136" s="163"/>
      <c r="M136" s="255">
        <v>3099.75</v>
      </c>
      <c r="N136" s="134">
        <f t="shared" si="8"/>
        <v>1.0019550342130978E-2</v>
      </c>
      <c r="O136" s="163"/>
      <c r="P136" s="255">
        <v>24323.85</v>
      </c>
      <c r="Q136" s="134">
        <f t="shared" si="9"/>
        <v>1.3568772087801939E-4</v>
      </c>
      <c r="R136" s="19"/>
      <c r="S136" s="19"/>
      <c r="T136" s="19"/>
      <c r="W136" s="38"/>
      <c r="X136" s="35"/>
    </row>
    <row r="137" spans="3:24" x14ac:dyDescent="0.3">
      <c r="C137" s="160">
        <v>45389</v>
      </c>
      <c r="D137" s="255">
        <v>2390.25</v>
      </c>
      <c r="E137" s="134">
        <f t="shared" si="5"/>
        <v>-4.3736332396125954E-3</v>
      </c>
      <c r="F137" s="34"/>
      <c r="G137" s="255">
        <v>1103.6500000000001</v>
      </c>
      <c r="H137" s="134">
        <f t="shared" si="6"/>
        <v>1.7245291581575728E-3</v>
      </c>
      <c r="I137" s="163"/>
      <c r="J137" s="256">
        <v>546.91999999999996</v>
      </c>
      <c r="K137" s="134">
        <f t="shared" si="7"/>
        <v>-3.843141540535111E-3</v>
      </c>
      <c r="L137" s="163"/>
      <c r="M137" s="255">
        <v>3097.4</v>
      </c>
      <c r="N137" s="134">
        <f t="shared" si="8"/>
        <v>-7.5812565529476128E-4</v>
      </c>
      <c r="O137" s="163"/>
      <c r="P137" s="255">
        <v>24302.15</v>
      </c>
      <c r="Q137" s="134">
        <f t="shared" si="9"/>
        <v>-8.92128507616885E-4</v>
      </c>
      <c r="R137" s="19"/>
      <c r="S137" s="19"/>
      <c r="T137" s="19"/>
      <c r="X137" s="35"/>
    </row>
    <row r="138" spans="3:24" x14ac:dyDescent="0.3">
      <c r="C138" s="160">
        <v>45358</v>
      </c>
      <c r="D138" s="255">
        <v>2381.5</v>
      </c>
      <c r="E138" s="134">
        <f t="shared" si="5"/>
        <v>-3.6607049471812925E-3</v>
      </c>
      <c r="F138" s="34"/>
      <c r="G138" s="255">
        <v>1103.45</v>
      </c>
      <c r="H138" s="134">
        <f t="shared" si="6"/>
        <v>-1.8121687129080133E-4</v>
      </c>
      <c r="I138" s="163"/>
      <c r="J138" s="256">
        <v>548.79</v>
      </c>
      <c r="K138" s="134">
        <f t="shared" si="7"/>
        <v>3.4191472244569088E-3</v>
      </c>
      <c r="L138" s="163"/>
      <c r="M138" s="255">
        <v>3111.95</v>
      </c>
      <c r="N138" s="134">
        <f t="shared" si="8"/>
        <v>4.6974882159229736E-3</v>
      </c>
      <c r="O138" s="163"/>
      <c r="P138" s="255">
        <v>24286.5</v>
      </c>
      <c r="Q138" s="134">
        <f t="shared" si="9"/>
        <v>-6.4397594451526263E-4</v>
      </c>
      <c r="R138" s="19"/>
      <c r="S138" s="19"/>
      <c r="T138" s="19"/>
      <c r="X138" s="35"/>
    </row>
    <row r="139" spans="3:24" x14ac:dyDescent="0.3">
      <c r="C139" s="160">
        <v>45329</v>
      </c>
      <c r="D139" s="255">
        <v>2393.6999999999998</v>
      </c>
      <c r="E139" s="134">
        <f t="shared" si="5"/>
        <v>5.1228217509970975E-3</v>
      </c>
      <c r="F139" s="34"/>
      <c r="G139" s="255">
        <v>1095.3</v>
      </c>
      <c r="H139" s="134">
        <f t="shared" si="6"/>
        <v>-7.3859259594907245E-3</v>
      </c>
      <c r="I139" s="163"/>
      <c r="J139" s="256">
        <v>543.28</v>
      </c>
      <c r="K139" s="134">
        <f t="shared" si="7"/>
        <v>-1.0040270413090635E-2</v>
      </c>
      <c r="L139" s="163"/>
      <c r="M139" s="255">
        <v>3085.15</v>
      </c>
      <c r="N139" s="134">
        <f t="shared" si="8"/>
        <v>-8.6119635598257416E-3</v>
      </c>
      <c r="O139" s="163"/>
      <c r="P139" s="255">
        <v>24123.85</v>
      </c>
      <c r="Q139" s="134">
        <f t="shared" si="9"/>
        <v>-6.6971362691207181E-3</v>
      </c>
      <c r="R139" s="19"/>
      <c r="S139" s="19"/>
      <c r="T139" s="19"/>
      <c r="X139" s="35"/>
    </row>
    <row r="140" spans="3:24" x14ac:dyDescent="0.3">
      <c r="C140" s="160">
        <v>45298</v>
      </c>
      <c r="D140" s="255">
        <v>2462.4</v>
      </c>
      <c r="E140" s="134">
        <f t="shared" ref="E140:E203" si="10">D140/D139-1</f>
        <v>2.8700338388269353E-2</v>
      </c>
      <c r="F140" s="34"/>
      <c r="G140" s="255">
        <v>1107.3499999999999</v>
      </c>
      <c r="H140" s="134">
        <f t="shared" ref="H140:H203" si="11">G140/G139-1</f>
        <v>1.1001552086186361E-2</v>
      </c>
      <c r="I140" s="163"/>
      <c r="J140" s="256">
        <v>549.99</v>
      </c>
      <c r="K140" s="134">
        <f t="shared" ref="K140:K203" si="12">J140/J139-1</f>
        <v>1.235090561036678E-2</v>
      </c>
      <c r="L140" s="163"/>
      <c r="M140" s="255">
        <v>3121.4</v>
      </c>
      <c r="N140" s="134">
        <f t="shared" ref="N140:N203" si="13">M140/M139-1</f>
        <v>1.1749833881658844E-2</v>
      </c>
      <c r="O140" s="163"/>
      <c r="P140" s="255">
        <v>24141.95</v>
      </c>
      <c r="Q140" s="134">
        <f t="shared" ref="Q140:Q203" si="14">P140/P139-1</f>
        <v>7.5029483270716568E-4</v>
      </c>
      <c r="R140" s="19"/>
      <c r="S140" s="19"/>
      <c r="T140" s="19"/>
      <c r="X140" s="35"/>
    </row>
    <row r="141" spans="3:24" x14ac:dyDescent="0.3">
      <c r="C141" s="25" t="s">
        <v>264</v>
      </c>
      <c r="D141" s="255">
        <v>2436.0500000000002</v>
      </c>
      <c r="E141" s="134">
        <f t="shared" si="10"/>
        <v>-1.0700942170240424E-2</v>
      </c>
      <c r="G141" s="255">
        <v>1103.0999999999999</v>
      </c>
      <c r="H141" s="134">
        <f t="shared" si="11"/>
        <v>-3.8379916015712778E-3</v>
      </c>
      <c r="I141" s="163"/>
      <c r="J141" s="256">
        <v>547.30999999999995</v>
      </c>
      <c r="K141" s="134">
        <f t="shared" si="12"/>
        <v>-4.8728158693795987E-3</v>
      </c>
      <c r="L141" s="163"/>
      <c r="M141" s="255">
        <v>3158.95</v>
      </c>
      <c r="N141" s="134">
        <f t="shared" si="13"/>
        <v>1.2029858396873205E-2</v>
      </c>
      <c r="O141" s="163"/>
      <c r="P141" s="255">
        <v>24010.6</v>
      </c>
      <c r="Q141" s="134">
        <f t="shared" si="14"/>
        <v>-5.4407369744366996E-3</v>
      </c>
      <c r="R141" s="19"/>
      <c r="S141" s="19"/>
      <c r="T141" s="19"/>
      <c r="X141" s="35"/>
    </row>
    <row r="142" spans="3:24" x14ac:dyDescent="0.3">
      <c r="C142" s="25" t="s">
        <v>265</v>
      </c>
      <c r="D142" s="255">
        <v>2458.85</v>
      </c>
      <c r="E142" s="134">
        <f t="shared" si="10"/>
        <v>9.3594138051351639E-3</v>
      </c>
      <c r="G142" s="255">
        <v>1091.6500000000001</v>
      </c>
      <c r="H142" s="134">
        <f t="shared" si="11"/>
        <v>-1.0379838636569549E-2</v>
      </c>
      <c r="I142" s="163"/>
      <c r="J142" s="256">
        <v>544.86</v>
      </c>
      <c r="K142" s="134">
        <f t="shared" si="12"/>
        <v>-4.4764393122725954E-3</v>
      </c>
      <c r="L142" s="163"/>
      <c r="M142" s="255">
        <v>3143.95</v>
      </c>
      <c r="N142" s="134">
        <f t="shared" si="13"/>
        <v>-4.7484132385761102E-3</v>
      </c>
      <c r="O142" s="163"/>
      <c r="P142" s="255">
        <v>24044.5</v>
      </c>
      <c r="Q142" s="134">
        <f t="shared" si="14"/>
        <v>1.4118764212474044E-3</v>
      </c>
      <c r="R142" s="19"/>
      <c r="S142" s="19"/>
      <c r="T142" s="19"/>
      <c r="X142" s="35"/>
    </row>
    <row r="143" spans="3:24" x14ac:dyDescent="0.3">
      <c r="C143" s="25" t="s">
        <v>266</v>
      </c>
      <c r="D143" s="255">
        <v>2398.8000000000002</v>
      </c>
      <c r="E143" s="134">
        <f t="shared" si="10"/>
        <v>-2.4421985887711606E-2</v>
      </c>
      <c r="G143" s="255">
        <v>1092.45</v>
      </c>
      <c r="H143" s="134">
        <f t="shared" si="11"/>
        <v>7.3283561581094503E-4</v>
      </c>
      <c r="I143" s="163"/>
      <c r="J143" s="256">
        <v>547.41</v>
      </c>
      <c r="K143" s="134">
        <f t="shared" si="12"/>
        <v>4.6801013104282863E-3</v>
      </c>
      <c r="L143" s="163"/>
      <c r="M143" s="255">
        <v>3173.95</v>
      </c>
      <c r="N143" s="134">
        <f t="shared" si="13"/>
        <v>9.5421364843588652E-3</v>
      </c>
      <c r="O143" s="163"/>
      <c r="P143" s="255">
        <v>23868.799999999999</v>
      </c>
      <c r="Q143" s="134">
        <f t="shared" si="14"/>
        <v>-7.3072844101561563E-3</v>
      </c>
      <c r="R143" s="19"/>
      <c r="S143" s="19"/>
      <c r="T143" s="19"/>
      <c r="X143" s="35"/>
    </row>
    <row r="144" spans="3:24" x14ac:dyDescent="0.3">
      <c r="C144" s="25" t="s">
        <v>267</v>
      </c>
      <c r="D144" s="255">
        <v>2393.85</v>
      </c>
      <c r="E144" s="134">
        <f t="shared" si="10"/>
        <v>-2.063531765883031E-3</v>
      </c>
      <c r="G144" s="255">
        <v>1097.05</v>
      </c>
      <c r="H144" s="134">
        <f t="shared" si="11"/>
        <v>4.2107190260423089E-3</v>
      </c>
      <c r="I144" s="163"/>
      <c r="J144" s="256">
        <v>547.54999999999995</v>
      </c>
      <c r="K144" s="134">
        <f t="shared" si="12"/>
        <v>2.5574980362064181E-4</v>
      </c>
      <c r="L144" s="163"/>
      <c r="M144" s="255">
        <v>3138.6</v>
      </c>
      <c r="N144" s="134">
        <f t="shared" si="13"/>
        <v>-1.113754154917368E-2</v>
      </c>
      <c r="O144" s="163"/>
      <c r="P144" s="255">
        <v>23721.3</v>
      </c>
      <c r="Q144" s="134">
        <f t="shared" si="14"/>
        <v>-6.1796152299236073E-3</v>
      </c>
      <c r="R144" s="19"/>
      <c r="S144" s="19"/>
      <c r="T144" s="19"/>
      <c r="X144" s="35"/>
    </row>
    <row r="145" spans="3:24" x14ac:dyDescent="0.3">
      <c r="C145" s="25" t="s">
        <v>268</v>
      </c>
      <c r="D145" s="255">
        <v>2420.25</v>
      </c>
      <c r="E145" s="134">
        <f t="shared" si="10"/>
        <v>1.1028259916034955E-2</v>
      </c>
      <c r="G145" s="255">
        <v>1103.45</v>
      </c>
      <c r="H145" s="134">
        <f t="shared" si="11"/>
        <v>5.8338270817193116E-3</v>
      </c>
      <c r="I145" s="163"/>
      <c r="J145" s="256">
        <v>548.94000000000005</v>
      </c>
      <c r="K145" s="134">
        <f t="shared" si="12"/>
        <v>2.5385809515114932E-3</v>
      </c>
      <c r="L145" s="163"/>
      <c r="M145" s="255">
        <v>3107.1</v>
      </c>
      <c r="N145" s="134">
        <f t="shared" si="13"/>
        <v>-1.003632192697379E-2</v>
      </c>
      <c r="O145" s="163"/>
      <c r="P145" s="255">
        <v>23537.85</v>
      </c>
      <c r="Q145" s="134">
        <f t="shared" si="14"/>
        <v>-7.7335559180989888E-3</v>
      </c>
      <c r="R145" s="19"/>
      <c r="S145" s="19"/>
      <c r="T145" s="19"/>
      <c r="X145" s="35"/>
    </row>
    <row r="146" spans="3:24" x14ac:dyDescent="0.3">
      <c r="C146" s="25" t="s">
        <v>269</v>
      </c>
      <c r="D146" s="255">
        <v>2460.0500000000002</v>
      </c>
      <c r="E146" s="134">
        <f t="shared" si="10"/>
        <v>1.6444582171263322E-2</v>
      </c>
      <c r="G146" s="255">
        <v>1126.3</v>
      </c>
      <c r="H146" s="134">
        <f t="shared" si="11"/>
        <v>2.0707780144093357E-2</v>
      </c>
      <c r="I146" s="163"/>
      <c r="J146" s="256">
        <v>542.79999999999995</v>
      </c>
      <c r="K146" s="134">
        <f t="shared" si="12"/>
        <v>-1.1185193281597394E-2</v>
      </c>
      <c r="L146" s="163"/>
      <c r="M146" s="255">
        <v>3144.45</v>
      </c>
      <c r="N146" s="134">
        <f t="shared" si="13"/>
        <v>1.2020855460075364E-2</v>
      </c>
      <c r="O146" s="163"/>
      <c r="P146" s="255">
        <v>23501.1</v>
      </c>
      <c r="Q146" s="134">
        <f t="shared" si="14"/>
        <v>-1.5613150733818637E-3</v>
      </c>
      <c r="R146" s="19"/>
      <c r="S146" s="19"/>
      <c r="T146" s="19"/>
      <c r="X146" s="35"/>
    </row>
    <row r="147" spans="3:24" x14ac:dyDescent="0.3">
      <c r="C147" s="25" t="s">
        <v>270</v>
      </c>
      <c r="D147" s="255">
        <v>2499.35</v>
      </c>
      <c r="E147" s="134">
        <f t="shared" si="10"/>
        <v>1.5975285055181754E-2</v>
      </c>
      <c r="G147" s="255">
        <v>1154</v>
      </c>
      <c r="H147" s="134">
        <f t="shared" si="11"/>
        <v>2.4593802716860624E-2</v>
      </c>
      <c r="I147" s="163"/>
      <c r="J147" s="256">
        <v>545.67999999999995</v>
      </c>
      <c r="K147" s="134">
        <f t="shared" si="12"/>
        <v>5.3058216654384704E-3</v>
      </c>
      <c r="L147" s="163"/>
      <c r="M147" s="255">
        <v>3132.45</v>
      </c>
      <c r="N147" s="134">
        <f t="shared" si="13"/>
        <v>-3.8162476744740825E-3</v>
      </c>
      <c r="O147" s="163"/>
      <c r="P147" s="255">
        <v>23567</v>
      </c>
      <c r="Q147" s="134">
        <f t="shared" si="14"/>
        <v>2.804124062278035E-3</v>
      </c>
      <c r="R147" s="19"/>
      <c r="S147" s="19"/>
      <c r="T147" s="19"/>
      <c r="X147" s="35"/>
    </row>
    <row r="148" spans="3:24" x14ac:dyDescent="0.3">
      <c r="C148" s="25" t="s">
        <v>271</v>
      </c>
      <c r="D148" s="255">
        <v>2416.75</v>
      </c>
      <c r="E148" s="134">
        <f t="shared" si="10"/>
        <v>-3.3048592634084772E-2</v>
      </c>
      <c r="G148" s="255">
        <v>1106.8499999999999</v>
      </c>
      <c r="H148" s="134">
        <f t="shared" si="11"/>
        <v>-4.0857885615251388E-2</v>
      </c>
      <c r="I148" s="163"/>
      <c r="J148" s="256">
        <v>534.36</v>
      </c>
      <c r="K148" s="134">
        <f t="shared" si="12"/>
        <v>-2.074475883301552E-2</v>
      </c>
      <c r="L148" s="163"/>
      <c r="M148" s="255">
        <v>3117.2</v>
      </c>
      <c r="N148" s="134">
        <f t="shared" si="13"/>
        <v>-4.8683937493017027E-3</v>
      </c>
      <c r="O148" s="163"/>
      <c r="P148" s="255">
        <v>23516</v>
      </c>
      <c r="Q148" s="134">
        <f t="shared" si="14"/>
        <v>-2.1640429414011564E-3</v>
      </c>
      <c r="R148" s="19"/>
      <c r="S148" s="19"/>
      <c r="T148" s="19"/>
      <c r="X148" s="35"/>
    </row>
    <row r="149" spans="3:24" x14ac:dyDescent="0.3">
      <c r="C149" s="25" t="s">
        <v>272</v>
      </c>
      <c r="D149" s="255">
        <v>2422.1999999999998</v>
      </c>
      <c r="E149" s="134">
        <f t="shared" si="10"/>
        <v>2.2550946519084292E-3</v>
      </c>
      <c r="G149" s="255">
        <v>1121.0999999999999</v>
      </c>
      <c r="H149" s="134">
        <f t="shared" si="11"/>
        <v>1.2874373221303692E-2</v>
      </c>
      <c r="I149" s="163"/>
      <c r="J149" s="256">
        <v>533.29999999999995</v>
      </c>
      <c r="K149" s="134">
        <f t="shared" si="12"/>
        <v>-1.9836814132795366E-3</v>
      </c>
      <c r="L149" s="163"/>
      <c r="M149" s="255">
        <v>3122.6</v>
      </c>
      <c r="N149" s="134">
        <f t="shared" si="13"/>
        <v>1.7323238804054508E-3</v>
      </c>
      <c r="O149" s="163"/>
      <c r="P149" s="255">
        <v>23557.9</v>
      </c>
      <c r="Q149" s="134">
        <f t="shared" si="14"/>
        <v>1.7817656063956466E-3</v>
      </c>
      <c r="R149" s="19"/>
      <c r="S149" s="19"/>
      <c r="T149" s="19"/>
      <c r="W149" s="38"/>
      <c r="X149" s="35"/>
    </row>
    <row r="150" spans="3:24" x14ac:dyDescent="0.3">
      <c r="C150" s="25" t="s">
        <v>273</v>
      </c>
      <c r="D150" s="255">
        <v>2402</v>
      </c>
      <c r="E150" s="134">
        <f t="shared" si="10"/>
        <v>-8.3395260506976543E-3</v>
      </c>
      <c r="G150" s="255">
        <v>1105.8499999999999</v>
      </c>
      <c r="H150" s="134">
        <f t="shared" si="11"/>
        <v>-1.3602711622513586E-2</v>
      </c>
      <c r="I150" s="163"/>
      <c r="J150" s="256">
        <v>529.61</v>
      </c>
      <c r="K150" s="134">
        <f t="shared" si="12"/>
        <v>-6.9191824489029941E-3</v>
      </c>
      <c r="L150" s="163"/>
      <c r="M150" s="255">
        <v>3109.8</v>
      </c>
      <c r="N150" s="134">
        <f t="shared" si="13"/>
        <v>-4.0991481457758328E-3</v>
      </c>
      <c r="O150" s="163"/>
      <c r="P150" s="255">
        <v>23465.599999999999</v>
      </c>
      <c r="Q150" s="134">
        <f t="shared" si="14"/>
        <v>-3.91800627390404E-3</v>
      </c>
      <c r="R150" s="19"/>
      <c r="S150" s="19"/>
      <c r="T150" s="19"/>
      <c r="W150" s="38"/>
      <c r="X150" s="35"/>
    </row>
    <row r="151" spans="3:24" x14ac:dyDescent="0.3">
      <c r="C151" s="25" t="s">
        <v>274</v>
      </c>
      <c r="D151" s="255">
        <v>2399.9</v>
      </c>
      <c r="E151" s="134">
        <f t="shared" si="10"/>
        <v>-8.742714404662566E-4</v>
      </c>
      <c r="G151" s="255">
        <v>1116.3</v>
      </c>
      <c r="H151" s="134">
        <f t="shared" si="11"/>
        <v>9.44974454039893E-3</v>
      </c>
      <c r="I151" s="163"/>
      <c r="J151" s="256">
        <v>534.74</v>
      </c>
      <c r="K151" s="134">
        <f t="shared" si="12"/>
        <v>9.6863729914464791E-3</v>
      </c>
      <c r="L151" s="163"/>
      <c r="M151" s="255">
        <v>3078.6</v>
      </c>
      <c r="N151" s="134">
        <f t="shared" si="13"/>
        <v>-1.0032799536947801E-2</v>
      </c>
      <c r="O151" s="163"/>
      <c r="P151" s="255">
        <v>23398.9</v>
      </c>
      <c r="Q151" s="134">
        <f t="shared" si="14"/>
        <v>-2.842458748124832E-3</v>
      </c>
      <c r="R151" s="19"/>
      <c r="S151" s="19"/>
      <c r="T151" s="19"/>
      <c r="W151" s="38"/>
      <c r="X151" s="35"/>
    </row>
    <row r="152" spans="3:24" x14ac:dyDescent="0.3">
      <c r="C152" s="160">
        <v>45632</v>
      </c>
      <c r="D152" s="255">
        <v>2365.9</v>
      </c>
      <c r="E152" s="134">
        <f t="shared" si="10"/>
        <v>-1.416725696904042E-2</v>
      </c>
      <c r="F152" s="34"/>
      <c r="G152" s="255">
        <v>1123.5999999999999</v>
      </c>
      <c r="H152" s="134">
        <f t="shared" si="11"/>
        <v>6.5394607184448006E-3</v>
      </c>
      <c r="I152" s="163"/>
      <c r="J152" s="256">
        <v>527.69000000000005</v>
      </c>
      <c r="K152" s="134">
        <f t="shared" si="12"/>
        <v>-1.3183977259976776E-2</v>
      </c>
      <c r="L152" s="163"/>
      <c r="M152" s="255">
        <v>3078.5</v>
      </c>
      <c r="N152" s="134">
        <f t="shared" si="13"/>
        <v>-3.2482297148028749E-5</v>
      </c>
      <c r="O152" s="163"/>
      <c r="P152" s="255">
        <v>23322.95</v>
      </c>
      <c r="Q152" s="134">
        <f t="shared" si="14"/>
        <v>-3.2458790797857962E-3</v>
      </c>
      <c r="R152" s="19"/>
      <c r="S152" s="19"/>
      <c r="T152" s="19"/>
      <c r="W152" s="38"/>
      <c r="X152" s="35"/>
    </row>
    <row r="153" spans="3:24" x14ac:dyDescent="0.3">
      <c r="C153" s="160">
        <v>45602</v>
      </c>
      <c r="D153" s="255">
        <v>2327.6999999999998</v>
      </c>
      <c r="E153" s="134">
        <f t="shared" si="10"/>
        <v>-1.6146075489243072E-2</v>
      </c>
      <c r="F153" s="34"/>
      <c r="G153" s="255">
        <v>1111.4000000000001</v>
      </c>
      <c r="H153" s="134">
        <f t="shared" si="11"/>
        <v>-1.0857956568173566E-2</v>
      </c>
      <c r="I153" s="163"/>
      <c r="J153" s="256">
        <v>531.58000000000004</v>
      </c>
      <c r="K153" s="134">
        <f t="shared" si="12"/>
        <v>7.3717523546021901E-3</v>
      </c>
      <c r="L153" s="163"/>
      <c r="M153" s="255">
        <v>3175.4</v>
      </c>
      <c r="N153" s="134">
        <f t="shared" si="13"/>
        <v>3.1476368361214924E-2</v>
      </c>
      <c r="O153" s="163"/>
      <c r="P153" s="255">
        <v>23264.85</v>
      </c>
      <c r="Q153" s="134">
        <f t="shared" si="14"/>
        <v>-2.4911085433018121E-3</v>
      </c>
      <c r="R153" s="19"/>
      <c r="S153" s="19"/>
      <c r="T153" s="19"/>
      <c r="W153" s="38"/>
      <c r="X153" s="35"/>
    </row>
    <row r="154" spans="3:24" x14ac:dyDescent="0.3">
      <c r="C154" s="160">
        <v>45571</v>
      </c>
      <c r="D154" s="255">
        <v>2354.65</v>
      </c>
      <c r="E154" s="134">
        <f t="shared" si="10"/>
        <v>1.1577952485285925E-2</v>
      </c>
      <c r="F154" s="34"/>
      <c r="G154" s="255">
        <v>1086</v>
      </c>
      <c r="H154" s="134">
        <f t="shared" si="11"/>
        <v>-2.2854057944934447E-2</v>
      </c>
      <c r="I154" s="163"/>
      <c r="J154" s="256">
        <v>528.79999999999995</v>
      </c>
      <c r="K154" s="134">
        <f t="shared" si="12"/>
        <v>-5.2296926144702605E-3</v>
      </c>
      <c r="L154" s="163"/>
      <c r="M154" s="255">
        <v>3174.05</v>
      </c>
      <c r="N154" s="134">
        <f t="shared" si="13"/>
        <v>-4.2514328903442422E-4</v>
      </c>
      <c r="O154" s="163"/>
      <c r="P154" s="255">
        <v>23259.200000000001</v>
      </c>
      <c r="Q154" s="134">
        <f t="shared" si="14"/>
        <v>-2.4285563844161917E-4</v>
      </c>
      <c r="R154" s="19"/>
      <c r="S154" s="19"/>
      <c r="T154" s="19"/>
      <c r="W154" s="38"/>
      <c r="X154" s="35"/>
    </row>
    <row r="155" spans="3:24" x14ac:dyDescent="0.3">
      <c r="C155" s="160">
        <v>45479</v>
      </c>
      <c r="D155" s="255">
        <v>2312.3000000000002</v>
      </c>
      <c r="E155" s="134">
        <f t="shared" si="10"/>
        <v>-1.7985687894166769E-2</v>
      </c>
      <c r="F155" s="34"/>
      <c r="G155" s="255">
        <v>1056.1500000000001</v>
      </c>
      <c r="H155" s="134">
        <f t="shared" si="11"/>
        <v>-2.7486187845303767E-2</v>
      </c>
      <c r="I155" s="163"/>
      <c r="J155" s="256">
        <v>517.72</v>
      </c>
      <c r="K155" s="134">
        <f t="shared" si="12"/>
        <v>-2.0953101361573245E-2</v>
      </c>
      <c r="L155" s="163"/>
      <c r="M155" s="255">
        <v>3123.7</v>
      </c>
      <c r="N155" s="134">
        <f t="shared" si="13"/>
        <v>-1.5863014130212294E-2</v>
      </c>
      <c r="O155" s="163"/>
      <c r="P155" s="255">
        <v>23290.15</v>
      </c>
      <c r="Q155" s="134">
        <f t="shared" si="14"/>
        <v>1.3306562564490143E-3</v>
      </c>
      <c r="R155" s="19"/>
      <c r="S155" s="19"/>
      <c r="T155" s="19"/>
      <c r="W155" s="38"/>
      <c r="X155" s="35"/>
    </row>
    <row r="156" spans="3:24" x14ac:dyDescent="0.3">
      <c r="C156" s="160">
        <v>45449</v>
      </c>
      <c r="D156" s="255">
        <v>2296.5500000000002</v>
      </c>
      <c r="E156" s="134">
        <f t="shared" si="10"/>
        <v>-6.8113999048566853E-3</v>
      </c>
      <c r="F156" s="34"/>
      <c r="G156" s="255">
        <v>1063.3499999999999</v>
      </c>
      <c r="H156" s="134">
        <f t="shared" si="11"/>
        <v>6.81721346399633E-3</v>
      </c>
      <c r="I156" s="163"/>
      <c r="J156" s="256">
        <v>515.22</v>
      </c>
      <c r="K156" s="134">
        <f t="shared" si="12"/>
        <v>-4.8288650235648323E-3</v>
      </c>
      <c r="L156" s="163"/>
      <c r="M156" s="255">
        <v>3089.2</v>
      </c>
      <c r="N156" s="134">
        <f t="shared" si="13"/>
        <v>-1.1044594551333331E-2</v>
      </c>
      <c r="O156" s="163"/>
      <c r="P156" s="255">
        <v>22821.4</v>
      </c>
      <c r="Q156" s="134">
        <f t="shared" si="14"/>
        <v>-2.0126534178611988E-2</v>
      </c>
      <c r="R156" s="19"/>
      <c r="S156" s="19"/>
      <c r="T156" s="19"/>
      <c r="W156" s="38"/>
      <c r="X156" s="35"/>
    </row>
    <row r="157" spans="3:24" x14ac:dyDescent="0.3">
      <c r="C157" s="160">
        <v>45418</v>
      </c>
      <c r="D157" s="255">
        <v>2295.0500000000002</v>
      </c>
      <c r="E157" s="134">
        <f t="shared" si="10"/>
        <v>-6.5315364350870819E-4</v>
      </c>
      <c r="F157" s="34"/>
      <c r="G157" s="255">
        <v>1043.0999999999999</v>
      </c>
      <c r="H157" s="134">
        <f t="shared" si="11"/>
        <v>-1.9043588658484989E-2</v>
      </c>
      <c r="I157" s="163"/>
      <c r="J157" s="256">
        <v>506.69</v>
      </c>
      <c r="K157" s="134">
        <f t="shared" si="12"/>
        <v>-1.6556034315438173E-2</v>
      </c>
      <c r="L157" s="163"/>
      <c r="M157" s="255">
        <v>3166.2</v>
      </c>
      <c r="N157" s="134">
        <f t="shared" si="13"/>
        <v>2.4925547067201848E-2</v>
      </c>
      <c r="O157" s="163"/>
      <c r="P157" s="255">
        <v>22620.35</v>
      </c>
      <c r="Q157" s="134">
        <f t="shared" si="14"/>
        <v>-8.8097136897825612E-3</v>
      </c>
      <c r="R157" s="19"/>
      <c r="S157" s="19"/>
      <c r="T157" s="19"/>
      <c r="W157" s="38"/>
      <c r="X157" s="35"/>
    </row>
    <row r="158" spans="3:24" x14ac:dyDescent="0.3">
      <c r="C158" s="160">
        <v>45388</v>
      </c>
      <c r="D158" s="255">
        <v>2193.5500000000002</v>
      </c>
      <c r="E158" s="134">
        <f t="shared" si="10"/>
        <v>-4.4225615999651469E-2</v>
      </c>
      <c r="F158" s="34"/>
      <c r="G158" s="256">
        <v>996.95</v>
      </c>
      <c r="H158" s="134">
        <f t="shared" si="11"/>
        <v>-4.4243121464864199E-2</v>
      </c>
      <c r="I158" s="163"/>
      <c r="J158" s="256">
        <v>475.75</v>
      </c>
      <c r="K158" s="134">
        <f t="shared" si="12"/>
        <v>-6.1062977362884574E-2</v>
      </c>
      <c r="L158" s="163"/>
      <c r="M158" s="255">
        <v>3062.2</v>
      </c>
      <c r="N158" s="134">
        <f t="shared" si="13"/>
        <v>-3.2846945865706578E-2</v>
      </c>
      <c r="O158" s="163"/>
      <c r="P158" s="255">
        <v>21884.5</v>
      </c>
      <c r="Q158" s="134">
        <f t="shared" si="14"/>
        <v>-3.2530442720824282E-2</v>
      </c>
      <c r="R158" s="19"/>
      <c r="S158" s="19"/>
      <c r="T158" s="19"/>
      <c r="W158" s="38"/>
      <c r="X158" s="35"/>
    </row>
    <row r="159" spans="3:24" x14ac:dyDescent="0.3">
      <c r="C159" s="160">
        <v>45357</v>
      </c>
      <c r="D159" s="255">
        <v>2265.5500000000002</v>
      </c>
      <c r="E159" s="134">
        <f t="shared" si="10"/>
        <v>3.2823505276834419E-2</v>
      </c>
      <c r="F159" s="34"/>
      <c r="G159" s="255">
        <v>1060.8499999999999</v>
      </c>
      <c r="H159" s="134">
        <f t="shared" si="11"/>
        <v>6.4095491248307157E-2</v>
      </c>
      <c r="I159" s="163"/>
      <c r="J159" s="256">
        <v>507.07</v>
      </c>
      <c r="K159" s="134">
        <f t="shared" si="12"/>
        <v>6.5832895428271199E-2</v>
      </c>
      <c r="L159" s="163"/>
      <c r="M159" s="255">
        <v>2984.6</v>
      </c>
      <c r="N159" s="134">
        <f t="shared" si="13"/>
        <v>-2.5341257919143101E-2</v>
      </c>
      <c r="O159" s="163"/>
      <c r="P159" s="255">
        <v>23263.9</v>
      </c>
      <c r="Q159" s="134">
        <f t="shared" si="14"/>
        <v>6.3030912289520069E-2</v>
      </c>
      <c r="R159" s="19"/>
      <c r="S159" s="19"/>
      <c r="T159" s="19"/>
      <c r="X159" s="35"/>
    </row>
    <row r="160" spans="3:24" x14ac:dyDescent="0.3">
      <c r="C160" s="25" t="s">
        <v>275</v>
      </c>
      <c r="D160" s="255">
        <v>2211.35</v>
      </c>
      <c r="E160" s="134">
        <f t="shared" si="10"/>
        <v>-2.3923550572708785E-2</v>
      </c>
      <c r="G160" s="255">
        <v>1030.1500000000001</v>
      </c>
      <c r="H160" s="134">
        <f t="shared" si="11"/>
        <v>-2.8939058302304588E-2</v>
      </c>
      <c r="I160" s="163"/>
      <c r="J160" s="256">
        <v>487.98</v>
      </c>
      <c r="K160" s="134">
        <f t="shared" si="12"/>
        <v>-3.7647662058492903E-2</v>
      </c>
      <c r="L160" s="163"/>
      <c r="M160" s="255">
        <v>2969.5</v>
      </c>
      <c r="N160" s="134">
        <f t="shared" si="13"/>
        <v>-5.0593044294042766E-3</v>
      </c>
      <c r="O160" s="163"/>
      <c r="P160" s="255">
        <v>22530.7</v>
      </c>
      <c r="Q160" s="134">
        <f t="shared" si="14"/>
        <v>-3.1516641663693612E-2</v>
      </c>
      <c r="R160" s="19"/>
      <c r="S160" s="19"/>
      <c r="T160" s="19"/>
      <c r="X160" s="35"/>
    </row>
    <row r="161" spans="3:24" x14ac:dyDescent="0.3">
      <c r="C161" s="25" t="s">
        <v>276</v>
      </c>
      <c r="D161" s="255">
        <v>2223.1</v>
      </c>
      <c r="E161" s="134">
        <f t="shared" si="10"/>
        <v>5.3134962805525543E-3</v>
      </c>
      <c r="G161" s="255">
        <v>1043.55</v>
      </c>
      <c r="H161" s="134">
        <f t="shared" si="11"/>
        <v>1.3007814395961548E-2</v>
      </c>
      <c r="I161" s="163"/>
      <c r="J161" s="256">
        <v>485.49</v>
      </c>
      <c r="K161" s="134">
        <f t="shared" si="12"/>
        <v>-5.1026681421370013E-3</v>
      </c>
      <c r="L161" s="163"/>
      <c r="M161" s="255">
        <v>2998.8</v>
      </c>
      <c r="N161" s="134">
        <f t="shared" si="13"/>
        <v>9.8669809732279123E-3</v>
      </c>
      <c r="O161" s="163"/>
      <c r="P161" s="255">
        <v>22488.65</v>
      </c>
      <c r="Q161" s="134">
        <f t="shared" si="14"/>
        <v>-1.8663423684128766E-3</v>
      </c>
      <c r="R161" s="19"/>
      <c r="S161" s="19"/>
      <c r="T161" s="19"/>
      <c r="X161" s="35"/>
    </row>
    <row r="162" spans="3:24" x14ac:dyDescent="0.3">
      <c r="C162" s="25" t="s">
        <v>277</v>
      </c>
      <c r="D162" s="255">
        <v>2239</v>
      </c>
      <c r="E162" s="134">
        <f t="shared" si="10"/>
        <v>7.1521748909182392E-3</v>
      </c>
      <c r="G162" s="255">
        <v>1072.3</v>
      </c>
      <c r="H162" s="134">
        <f t="shared" si="11"/>
        <v>2.7550189257821822E-2</v>
      </c>
      <c r="I162" s="163"/>
      <c r="J162" s="256">
        <v>495.66</v>
      </c>
      <c r="K162" s="134">
        <f t="shared" si="12"/>
        <v>2.0947908298832196E-2</v>
      </c>
      <c r="L162" s="163"/>
      <c r="M162" s="255">
        <v>3037</v>
      </c>
      <c r="N162" s="134">
        <f t="shared" si="13"/>
        <v>1.2738428704815119E-2</v>
      </c>
      <c r="O162" s="163"/>
      <c r="P162" s="255">
        <v>22704.7</v>
      </c>
      <c r="Q162" s="134">
        <f t="shared" si="14"/>
        <v>9.6070684545315199E-3</v>
      </c>
      <c r="R162" s="19"/>
      <c r="S162" s="19"/>
      <c r="T162" s="19"/>
      <c r="X162" s="35"/>
    </row>
    <row r="163" spans="3:24" x14ac:dyDescent="0.3">
      <c r="C163" s="25" t="s">
        <v>278</v>
      </c>
      <c r="D163" s="255">
        <v>2280</v>
      </c>
      <c r="E163" s="134">
        <f t="shared" si="10"/>
        <v>1.8311746315319288E-2</v>
      </c>
      <c r="G163" s="255">
        <v>1096.4000000000001</v>
      </c>
      <c r="H163" s="134">
        <f t="shared" si="11"/>
        <v>2.2475053623053354E-2</v>
      </c>
      <c r="I163" s="163"/>
      <c r="J163" s="256">
        <v>496.33</v>
      </c>
      <c r="K163" s="134">
        <f t="shared" si="12"/>
        <v>1.3517330428114427E-3</v>
      </c>
      <c r="L163" s="163"/>
      <c r="M163" s="255">
        <v>3047.85</v>
      </c>
      <c r="N163" s="134">
        <f t="shared" si="13"/>
        <v>3.5726045439579135E-3</v>
      </c>
      <c r="O163" s="163"/>
      <c r="P163" s="255">
        <v>22888.15</v>
      </c>
      <c r="Q163" s="134">
        <f t="shared" si="14"/>
        <v>8.0798248820728169E-3</v>
      </c>
      <c r="R163" s="19"/>
      <c r="S163" s="19"/>
      <c r="T163" s="19"/>
      <c r="X163" s="35"/>
    </row>
    <row r="164" spans="3:24" x14ac:dyDescent="0.3">
      <c r="C164" s="25" t="s">
        <v>279</v>
      </c>
      <c r="D164" s="255">
        <v>2309.9</v>
      </c>
      <c r="E164" s="134">
        <f t="shared" si="10"/>
        <v>1.3114035087719245E-2</v>
      </c>
      <c r="G164" s="255">
        <v>1105.1500000000001</v>
      </c>
      <c r="H164" s="134">
        <f t="shared" si="11"/>
        <v>7.9806639912440858E-3</v>
      </c>
      <c r="I164" s="163"/>
      <c r="J164" s="256">
        <v>503.57</v>
      </c>
      <c r="K164" s="134">
        <f t="shared" si="12"/>
        <v>1.458706908709928E-2</v>
      </c>
      <c r="L164" s="163"/>
      <c r="M164" s="255">
        <v>3019.9</v>
      </c>
      <c r="N164" s="134">
        <f t="shared" si="13"/>
        <v>-9.1703988057154628E-3</v>
      </c>
      <c r="O164" s="163"/>
      <c r="P164" s="255">
        <v>22932.45</v>
      </c>
      <c r="Q164" s="134">
        <f t="shared" si="14"/>
        <v>1.9354993741302895E-3</v>
      </c>
      <c r="R164" s="19"/>
      <c r="S164" s="19"/>
      <c r="T164" s="19"/>
      <c r="X164" s="35"/>
    </row>
    <row r="165" spans="3:24" x14ac:dyDescent="0.3">
      <c r="C165" s="25" t="s">
        <v>280</v>
      </c>
      <c r="D165" s="255">
        <v>2289.1</v>
      </c>
      <c r="E165" s="134">
        <f t="shared" si="10"/>
        <v>-9.0047188189965599E-3</v>
      </c>
      <c r="G165" s="255">
        <v>1084.25</v>
      </c>
      <c r="H165" s="134">
        <f t="shared" si="11"/>
        <v>-1.8911459982807854E-2</v>
      </c>
      <c r="I165" s="163"/>
      <c r="J165" s="256">
        <v>494.6</v>
      </c>
      <c r="K165" s="134">
        <f t="shared" si="12"/>
        <v>-1.7812816490259453E-2</v>
      </c>
      <c r="L165" s="163"/>
      <c r="M165" s="255">
        <v>2972.05</v>
      </c>
      <c r="N165" s="134">
        <f t="shared" si="13"/>
        <v>-1.584489552634194E-2</v>
      </c>
      <c r="O165" s="163"/>
      <c r="P165" s="255">
        <v>22957.1</v>
      </c>
      <c r="Q165" s="134">
        <f t="shared" si="14"/>
        <v>1.0748960534090468E-3</v>
      </c>
      <c r="R165" s="19"/>
      <c r="S165" s="19"/>
      <c r="T165" s="19"/>
      <c r="X165" s="35"/>
    </row>
    <row r="166" spans="3:24" x14ac:dyDescent="0.3">
      <c r="C166" s="25" t="s">
        <v>281</v>
      </c>
      <c r="D166" s="255">
        <v>2305.4499999999998</v>
      </c>
      <c r="E166" s="134">
        <f t="shared" si="10"/>
        <v>7.1425451050630695E-3</v>
      </c>
      <c r="G166" s="255">
        <v>1088.8499999999999</v>
      </c>
      <c r="H166" s="134">
        <f t="shared" si="11"/>
        <v>4.2425639843208796E-3</v>
      </c>
      <c r="I166" s="163"/>
      <c r="J166" s="256">
        <v>489.52</v>
      </c>
      <c r="K166" s="134">
        <f t="shared" si="12"/>
        <v>-1.0270926000808811E-2</v>
      </c>
      <c r="L166" s="163"/>
      <c r="M166" s="255">
        <v>2989.2</v>
      </c>
      <c r="N166" s="134">
        <f t="shared" si="13"/>
        <v>5.7704278191819114E-3</v>
      </c>
      <c r="O166" s="163"/>
      <c r="P166" s="255">
        <v>22967.65</v>
      </c>
      <c r="Q166" s="134">
        <f t="shared" si="14"/>
        <v>4.5955281808263138E-4</v>
      </c>
      <c r="R166" s="19"/>
      <c r="S166" s="19"/>
      <c r="T166" s="19"/>
      <c r="X166" s="35"/>
    </row>
    <row r="167" spans="3:24" x14ac:dyDescent="0.3">
      <c r="C167" s="25" t="s">
        <v>282</v>
      </c>
      <c r="D167" s="255">
        <v>2293.9499999999998</v>
      </c>
      <c r="E167" s="134">
        <f t="shared" si="10"/>
        <v>-4.9881801817432958E-3</v>
      </c>
      <c r="G167" s="255">
        <v>1086.45</v>
      </c>
      <c r="H167" s="134">
        <f t="shared" si="11"/>
        <v>-2.204160352665574E-3</v>
      </c>
      <c r="I167" s="163"/>
      <c r="J167" s="256">
        <v>494.51</v>
      </c>
      <c r="K167" s="134">
        <f t="shared" si="12"/>
        <v>1.019365909462322E-2</v>
      </c>
      <c r="L167" s="163"/>
      <c r="M167" s="255">
        <v>3010.95</v>
      </c>
      <c r="N167" s="134">
        <f t="shared" si="13"/>
        <v>7.2761942994781226E-3</v>
      </c>
      <c r="O167" s="163"/>
      <c r="P167" s="255">
        <v>22597.8</v>
      </c>
      <c r="Q167" s="134">
        <f t="shared" si="14"/>
        <v>-1.6103084120491329E-2</v>
      </c>
      <c r="R167" s="19"/>
      <c r="S167" s="19"/>
      <c r="T167" s="19"/>
      <c r="X167" s="35"/>
    </row>
    <row r="168" spans="3:24" x14ac:dyDescent="0.3">
      <c r="C168" s="25" t="s">
        <v>283</v>
      </c>
      <c r="D168" s="255">
        <v>2285.4</v>
      </c>
      <c r="E168" s="134">
        <f t="shared" si="10"/>
        <v>-3.7271954488981018E-3</v>
      </c>
      <c r="G168" s="255">
        <v>1087.45</v>
      </c>
      <c r="H168" s="134">
        <f t="shared" si="11"/>
        <v>9.2042891987675901E-4</v>
      </c>
      <c r="I168" s="163"/>
      <c r="J168" s="256">
        <v>491.01</v>
      </c>
      <c r="K168" s="134">
        <f t="shared" si="12"/>
        <v>-7.0777132919455088E-3</v>
      </c>
      <c r="L168" s="163"/>
      <c r="M168" s="255">
        <v>3015.25</v>
      </c>
      <c r="N168" s="134">
        <f t="shared" si="13"/>
        <v>1.4281206928046242E-3</v>
      </c>
      <c r="O168" s="163"/>
      <c r="P168" s="255">
        <v>22529.05</v>
      </c>
      <c r="Q168" s="134">
        <f t="shared" si="14"/>
        <v>-3.0423315543991469E-3</v>
      </c>
      <c r="R168" s="19"/>
      <c r="S168" s="19"/>
      <c r="T168" s="19"/>
      <c r="X168" s="35"/>
    </row>
    <row r="169" spans="3:24" x14ac:dyDescent="0.3">
      <c r="C169" s="25" t="s">
        <v>284</v>
      </c>
      <c r="D169" s="255">
        <v>2275.0500000000002</v>
      </c>
      <c r="E169" s="134">
        <f t="shared" si="10"/>
        <v>-4.5287477028090883E-3</v>
      </c>
      <c r="G169" s="255">
        <v>1079.55</v>
      </c>
      <c r="H169" s="134">
        <f t="shared" si="11"/>
        <v>-7.2647018253713114E-3</v>
      </c>
      <c r="I169" s="163"/>
      <c r="J169" s="256">
        <v>510.55</v>
      </c>
      <c r="K169" s="134">
        <f t="shared" si="12"/>
        <v>3.979552351275939E-2</v>
      </c>
      <c r="L169" s="163"/>
      <c r="M169" s="255">
        <v>3014.5</v>
      </c>
      <c r="N169" s="134">
        <f t="shared" si="13"/>
        <v>-2.4873559406346502E-4</v>
      </c>
      <c r="O169" s="163"/>
      <c r="P169" s="255">
        <v>22502</v>
      </c>
      <c r="Q169" s="134">
        <f t="shared" si="14"/>
        <v>-1.2006720212347499E-3</v>
      </c>
      <c r="R169" s="19"/>
      <c r="S169" s="19"/>
      <c r="T169" s="19"/>
      <c r="X169" s="35"/>
    </row>
    <row r="170" spans="3:24" x14ac:dyDescent="0.3">
      <c r="C170" s="25" t="s">
        <v>285</v>
      </c>
      <c r="D170" s="255">
        <v>2280.35</v>
      </c>
      <c r="E170" s="134">
        <f t="shared" si="10"/>
        <v>2.3296191292498936E-3</v>
      </c>
      <c r="G170" s="255">
        <v>1084.45</v>
      </c>
      <c r="H170" s="134">
        <f t="shared" si="11"/>
        <v>4.5389282571441925E-3</v>
      </c>
      <c r="I170" s="163"/>
      <c r="J170" s="256">
        <v>490.43</v>
      </c>
      <c r="K170" s="134">
        <f t="shared" si="12"/>
        <v>-3.9408481049848176E-2</v>
      </c>
      <c r="L170" s="163"/>
      <c r="M170" s="255">
        <v>2986.95</v>
      </c>
      <c r="N170" s="134">
        <f t="shared" si="13"/>
        <v>-9.1391607231714467E-3</v>
      </c>
      <c r="O170" s="163"/>
      <c r="P170" s="255">
        <v>22466.1</v>
      </c>
      <c r="Q170" s="134">
        <f t="shared" si="14"/>
        <v>-1.5954137410009173E-3</v>
      </c>
      <c r="R170" s="19"/>
      <c r="S170" s="19"/>
      <c r="T170" s="19"/>
      <c r="W170" s="38"/>
      <c r="X170" s="35"/>
    </row>
    <row r="171" spans="3:24" x14ac:dyDescent="0.3">
      <c r="C171" s="25" t="s">
        <v>286</v>
      </c>
      <c r="D171" s="255">
        <v>2270.75</v>
      </c>
      <c r="E171" s="134">
        <f t="shared" si="10"/>
        <v>-4.2098800622710764E-3</v>
      </c>
      <c r="G171" s="255">
        <v>1083</v>
      </c>
      <c r="H171" s="134">
        <f t="shared" si="11"/>
        <v>-1.3370833141224114E-3</v>
      </c>
      <c r="I171" s="163"/>
      <c r="J171" s="256">
        <v>489.18</v>
      </c>
      <c r="K171" s="134">
        <f t="shared" si="12"/>
        <v>-2.5487837204086761E-3</v>
      </c>
      <c r="L171" s="163"/>
      <c r="M171" s="255">
        <v>3018.1</v>
      </c>
      <c r="N171" s="134">
        <f t="shared" si="13"/>
        <v>1.0428698170374506E-2</v>
      </c>
      <c r="O171" s="163"/>
      <c r="P171" s="255">
        <v>22403.85</v>
      </c>
      <c r="Q171" s="134">
        <f t="shared" si="14"/>
        <v>-2.7708414010442217E-3</v>
      </c>
      <c r="R171" s="19"/>
      <c r="S171" s="19"/>
      <c r="T171" s="19"/>
      <c r="W171" s="38"/>
      <c r="X171" s="35"/>
    </row>
    <row r="172" spans="3:24" x14ac:dyDescent="0.3">
      <c r="C172" s="25" t="s">
        <v>287</v>
      </c>
      <c r="D172" s="255">
        <v>2288.1999999999998</v>
      </c>
      <c r="E172" s="134">
        <f t="shared" si="10"/>
        <v>7.6846856765384608E-3</v>
      </c>
      <c r="G172" s="255">
        <v>1072.45</v>
      </c>
      <c r="H172" s="134">
        <f t="shared" si="11"/>
        <v>-9.7414589104339866E-3</v>
      </c>
      <c r="I172" s="163"/>
      <c r="J172" s="256">
        <v>493.45</v>
      </c>
      <c r="K172" s="134">
        <f t="shared" si="12"/>
        <v>8.7288932499283156E-3</v>
      </c>
      <c r="L172" s="163"/>
      <c r="M172" s="255">
        <v>2987.45</v>
      </c>
      <c r="N172" s="134">
        <f t="shared" si="13"/>
        <v>-1.0155395778801313E-2</v>
      </c>
      <c r="O172" s="163"/>
      <c r="P172" s="255">
        <v>22200.55</v>
      </c>
      <c r="Q172" s="134">
        <f t="shared" si="14"/>
        <v>-9.0743332061230531E-3</v>
      </c>
      <c r="R172" s="19"/>
      <c r="S172" s="19"/>
      <c r="T172" s="19"/>
      <c r="W172" s="38"/>
      <c r="X172" s="35"/>
    </row>
    <row r="173" spans="3:24" x14ac:dyDescent="0.3">
      <c r="C173" s="25" t="s">
        <v>288</v>
      </c>
      <c r="D173" s="255">
        <v>2286.75</v>
      </c>
      <c r="E173" s="134">
        <f t="shared" si="10"/>
        <v>-6.3368586661993742E-4</v>
      </c>
      <c r="G173" s="255">
        <v>1065.75</v>
      </c>
      <c r="H173" s="134">
        <f t="shared" si="11"/>
        <v>-6.2473775001166132E-3</v>
      </c>
      <c r="I173" s="163"/>
      <c r="J173" s="256">
        <v>489.37</v>
      </c>
      <c r="K173" s="134">
        <f t="shared" si="12"/>
        <v>-8.2683149255243782E-3</v>
      </c>
      <c r="L173" s="163"/>
      <c r="M173" s="255">
        <v>2983.75</v>
      </c>
      <c r="N173" s="134">
        <f t="shared" si="13"/>
        <v>-1.2385144521246394E-3</v>
      </c>
      <c r="O173" s="163"/>
      <c r="P173" s="255">
        <v>22217.85</v>
      </c>
      <c r="Q173" s="134">
        <f t="shared" si="14"/>
        <v>7.7925997328898156E-4</v>
      </c>
      <c r="R173" s="19"/>
      <c r="S173" s="19"/>
      <c r="T173" s="19"/>
      <c r="W173" s="38"/>
      <c r="X173" s="35"/>
    </row>
    <row r="174" spans="3:24" x14ac:dyDescent="0.3">
      <c r="C174" s="25" t="s">
        <v>289</v>
      </c>
      <c r="D174" s="255">
        <v>2226.5</v>
      </c>
      <c r="E174" s="134">
        <f t="shared" si="10"/>
        <v>-2.6347436317918471E-2</v>
      </c>
      <c r="G174" s="255">
        <v>1063</v>
      </c>
      <c r="H174" s="134">
        <f t="shared" si="11"/>
        <v>-2.5803424818202636E-3</v>
      </c>
      <c r="I174" s="163"/>
      <c r="J174" s="256">
        <v>512.54</v>
      </c>
      <c r="K174" s="134">
        <f t="shared" si="12"/>
        <v>4.7346588470891016E-2</v>
      </c>
      <c r="L174" s="163"/>
      <c r="M174" s="255">
        <v>2965.85</v>
      </c>
      <c r="N174" s="134">
        <f t="shared" si="13"/>
        <v>-5.9991621281944019E-3</v>
      </c>
      <c r="O174" s="163"/>
      <c r="P174" s="255">
        <v>22104.05</v>
      </c>
      <c r="Q174" s="134">
        <f t="shared" si="14"/>
        <v>-5.1220077550258036E-3</v>
      </c>
      <c r="R174" s="19"/>
      <c r="S174" s="19"/>
      <c r="T174" s="19"/>
      <c r="W174" s="38"/>
      <c r="X174" s="35"/>
    </row>
    <row r="175" spans="3:24" x14ac:dyDescent="0.3">
      <c r="C175" s="160">
        <v>45570</v>
      </c>
      <c r="D175" s="255">
        <v>2278.0500000000002</v>
      </c>
      <c r="E175" s="134">
        <f t="shared" si="10"/>
        <v>2.3152930608578481E-2</v>
      </c>
      <c r="F175" s="34"/>
      <c r="G175" s="255">
        <v>1058.6500000000001</v>
      </c>
      <c r="H175" s="134">
        <f t="shared" si="11"/>
        <v>-4.0921919096894577E-3</v>
      </c>
      <c r="I175" s="163"/>
      <c r="J175" s="256">
        <v>481.46</v>
      </c>
      <c r="K175" s="134">
        <f t="shared" si="12"/>
        <v>-6.0639169625785305E-2</v>
      </c>
      <c r="L175" s="163"/>
      <c r="M175" s="255">
        <v>2919.95</v>
      </c>
      <c r="N175" s="134">
        <f t="shared" si="13"/>
        <v>-1.547617040646021E-2</v>
      </c>
      <c r="O175" s="163"/>
      <c r="P175" s="255">
        <v>22055.200000000001</v>
      </c>
      <c r="Q175" s="134">
        <f t="shared" si="14"/>
        <v>-2.2100022394085928E-3</v>
      </c>
      <c r="R175" s="19"/>
      <c r="S175" s="19"/>
      <c r="T175" s="19"/>
      <c r="W175" s="38"/>
      <c r="X175" s="35"/>
    </row>
    <row r="176" spans="3:24" x14ac:dyDescent="0.3">
      <c r="C176" s="160">
        <v>45540</v>
      </c>
      <c r="D176" s="255">
        <v>2291.35</v>
      </c>
      <c r="E176" s="134">
        <f t="shared" si="10"/>
        <v>5.8383266390114041E-3</v>
      </c>
      <c r="F176" s="34"/>
      <c r="G176" s="255">
        <v>1044.3</v>
      </c>
      <c r="H176" s="134">
        <f t="shared" si="11"/>
        <v>-1.3554999291550685E-2</v>
      </c>
      <c r="I176" s="163"/>
      <c r="J176" s="256">
        <v>446.98</v>
      </c>
      <c r="K176" s="134">
        <f t="shared" si="12"/>
        <v>-7.1615502845511547E-2</v>
      </c>
      <c r="L176" s="163"/>
      <c r="M176" s="255">
        <v>2837.35</v>
      </c>
      <c r="N176" s="134">
        <f t="shared" si="13"/>
        <v>-2.8288155619103028E-2</v>
      </c>
      <c r="O176" s="163"/>
      <c r="P176" s="255">
        <v>21957.5</v>
      </c>
      <c r="Q176" s="134">
        <f t="shared" si="14"/>
        <v>-4.4297943342159751E-3</v>
      </c>
      <c r="R176" s="19"/>
      <c r="S176" s="19"/>
      <c r="T176" s="19"/>
      <c r="W176" s="38"/>
      <c r="X176" s="35"/>
    </row>
    <row r="177" spans="3:24" x14ac:dyDescent="0.3">
      <c r="C177" s="160">
        <v>45509</v>
      </c>
      <c r="D177" s="255">
        <v>2339.1</v>
      </c>
      <c r="E177" s="134">
        <f t="shared" si="10"/>
        <v>2.0839243240884153E-2</v>
      </c>
      <c r="F177" s="34"/>
      <c r="G177" s="255">
        <v>1080</v>
      </c>
      <c r="H177" s="134">
        <f t="shared" si="11"/>
        <v>3.4185578856650523E-2</v>
      </c>
      <c r="I177" s="163"/>
      <c r="J177" s="256">
        <v>458.63</v>
      </c>
      <c r="K177" s="134">
        <f t="shared" si="12"/>
        <v>2.606380598684499E-2</v>
      </c>
      <c r="L177" s="163"/>
      <c r="M177" s="255">
        <v>2815.05</v>
      </c>
      <c r="N177" s="134">
        <f t="shared" si="13"/>
        <v>-7.8594463143425441E-3</v>
      </c>
      <c r="O177" s="163"/>
      <c r="P177" s="255">
        <v>22302.5</v>
      </c>
      <c r="Q177" s="134">
        <f t="shared" si="14"/>
        <v>1.5712171239895323E-2</v>
      </c>
      <c r="R177" s="19"/>
      <c r="S177" s="19"/>
      <c r="T177" s="19"/>
      <c r="W177" s="38"/>
      <c r="X177" s="35"/>
    </row>
    <row r="178" spans="3:24" x14ac:dyDescent="0.3">
      <c r="C178" s="160">
        <v>45478</v>
      </c>
      <c r="D178" s="255">
        <v>2416.85</v>
      </c>
      <c r="E178" s="134">
        <f t="shared" si="10"/>
        <v>3.3239280064982335E-2</v>
      </c>
      <c r="F178" s="34"/>
      <c r="G178" s="255">
        <v>1063.55</v>
      </c>
      <c r="H178" s="134">
        <f t="shared" si="11"/>
        <v>-1.5231481481481568E-2</v>
      </c>
      <c r="I178" s="163"/>
      <c r="J178" s="256">
        <v>455.13</v>
      </c>
      <c r="K178" s="134">
        <f t="shared" si="12"/>
        <v>-7.6314240237228548E-3</v>
      </c>
      <c r="L178" s="163"/>
      <c r="M178" s="255">
        <v>2950.25</v>
      </c>
      <c r="N178" s="134">
        <f t="shared" si="13"/>
        <v>4.8027566117830878E-2</v>
      </c>
      <c r="O178" s="163"/>
      <c r="P178" s="255">
        <v>22302.5</v>
      </c>
      <c r="Q178" s="134">
        <f t="shared" si="14"/>
        <v>0</v>
      </c>
      <c r="R178" s="19"/>
      <c r="S178" s="19"/>
      <c r="T178" s="19"/>
      <c r="X178" s="35"/>
    </row>
    <row r="179" spans="3:24" x14ac:dyDescent="0.3">
      <c r="C179" s="160">
        <v>45448</v>
      </c>
      <c r="D179" s="255">
        <v>2587.6</v>
      </c>
      <c r="E179" s="134">
        <f t="shared" si="10"/>
        <v>7.0649812772824117E-2</v>
      </c>
      <c r="F179" s="34"/>
      <c r="G179" s="255">
        <v>1082.45</v>
      </c>
      <c r="H179" s="134">
        <f t="shared" si="11"/>
        <v>1.7770673687179883E-2</v>
      </c>
      <c r="I179" s="163"/>
      <c r="J179" s="256">
        <v>463.67</v>
      </c>
      <c r="K179" s="134">
        <f t="shared" si="12"/>
        <v>1.8763869663612542E-2</v>
      </c>
      <c r="L179" s="163"/>
      <c r="M179" s="255">
        <v>2953.3</v>
      </c>
      <c r="N179" s="134">
        <f t="shared" si="13"/>
        <v>1.0338106940090963E-3</v>
      </c>
      <c r="O179" s="163"/>
      <c r="P179" s="255">
        <v>22442.7</v>
      </c>
      <c r="Q179" s="134">
        <f t="shared" si="14"/>
        <v>6.2862907745768748E-3</v>
      </c>
      <c r="R179" s="19"/>
      <c r="S179" s="19"/>
      <c r="T179" s="19"/>
      <c r="X179" s="35"/>
    </row>
    <row r="180" spans="3:24" x14ac:dyDescent="0.3">
      <c r="C180" s="160">
        <v>45356</v>
      </c>
      <c r="D180" s="255">
        <v>2567.65</v>
      </c>
      <c r="E180" s="134">
        <f t="shared" si="10"/>
        <v>-7.709846962436151E-3</v>
      </c>
      <c r="F180" s="34"/>
      <c r="G180" s="255">
        <v>1090.8</v>
      </c>
      <c r="H180" s="134">
        <f t="shared" si="11"/>
        <v>7.7139821700771272E-3</v>
      </c>
      <c r="I180" s="163"/>
      <c r="J180" s="256">
        <v>473.4</v>
      </c>
      <c r="K180" s="134">
        <f t="shared" si="12"/>
        <v>2.0984752086613323E-2</v>
      </c>
      <c r="L180" s="163"/>
      <c r="M180" s="255">
        <v>2952.8</v>
      </c>
      <c r="N180" s="134">
        <f t="shared" si="13"/>
        <v>-1.6930213659294147E-4</v>
      </c>
      <c r="O180" s="163"/>
      <c r="P180" s="255">
        <v>22475.85</v>
      </c>
      <c r="Q180" s="134">
        <f t="shared" si="14"/>
        <v>1.4770950019382667E-3</v>
      </c>
      <c r="R180" s="19"/>
      <c r="S180" s="19"/>
      <c r="T180" s="19"/>
      <c r="X180" s="35"/>
    </row>
    <row r="181" spans="3:24" x14ac:dyDescent="0.3">
      <c r="C181" s="160">
        <v>45327</v>
      </c>
      <c r="D181" s="255">
        <v>2669.05</v>
      </c>
      <c r="E181" s="134">
        <f t="shared" si="10"/>
        <v>3.9491363698323401E-2</v>
      </c>
      <c r="F181" s="34"/>
      <c r="G181" s="255">
        <v>1100.6500000000001</v>
      </c>
      <c r="H181" s="134">
        <f t="shared" si="11"/>
        <v>9.0300696736340669E-3</v>
      </c>
      <c r="I181" s="163"/>
      <c r="J181" s="256">
        <v>478.1</v>
      </c>
      <c r="K181" s="134">
        <f t="shared" si="12"/>
        <v>9.928179129700121E-3</v>
      </c>
      <c r="L181" s="163"/>
      <c r="M181" s="255">
        <v>2988.05</v>
      </c>
      <c r="N181" s="134">
        <f t="shared" si="13"/>
        <v>1.1937821728528863E-2</v>
      </c>
      <c r="O181" s="163"/>
      <c r="P181" s="255">
        <v>22648.2</v>
      </c>
      <c r="Q181" s="134">
        <f t="shared" si="14"/>
        <v>7.6682305674757867E-3</v>
      </c>
      <c r="R181" s="19"/>
      <c r="S181" s="19"/>
      <c r="T181" s="19"/>
      <c r="X181" s="35"/>
    </row>
    <row r="182" spans="3:24" x14ac:dyDescent="0.3">
      <c r="C182" s="25" t="s">
        <v>290</v>
      </c>
      <c r="D182" s="255">
        <v>2621.0500000000002</v>
      </c>
      <c r="E182" s="134">
        <f t="shared" si="10"/>
        <v>-1.7983926865364097E-2</v>
      </c>
      <c r="G182" s="255">
        <v>1072.1500000000001</v>
      </c>
      <c r="H182" s="134">
        <f t="shared" si="11"/>
        <v>-2.5893790033162167E-2</v>
      </c>
      <c r="I182" s="163"/>
      <c r="J182" s="256">
        <v>486.3</v>
      </c>
      <c r="K182" s="134">
        <f t="shared" si="12"/>
        <v>1.7151223593390386E-2</v>
      </c>
      <c r="L182" s="163"/>
      <c r="M182" s="255">
        <v>3049</v>
      </c>
      <c r="N182" s="134">
        <f t="shared" si="13"/>
        <v>2.0397918374859714E-2</v>
      </c>
      <c r="O182" s="163"/>
      <c r="P182" s="255">
        <v>22604.85</v>
      </c>
      <c r="Q182" s="134">
        <f t="shared" si="14"/>
        <v>-1.9140593954487528E-3</v>
      </c>
      <c r="R182" s="19"/>
      <c r="S182" s="19"/>
      <c r="T182" s="19"/>
      <c r="X182" s="35"/>
    </row>
    <row r="183" spans="3:24" x14ac:dyDescent="0.3">
      <c r="C183" s="25" t="s">
        <v>291</v>
      </c>
      <c r="D183" s="255">
        <v>2636.25</v>
      </c>
      <c r="E183" s="134">
        <f t="shared" si="10"/>
        <v>5.7992026096411742E-3</v>
      </c>
      <c r="G183" s="255">
        <v>1099.5</v>
      </c>
      <c r="H183" s="134">
        <f t="shared" si="11"/>
        <v>2.5509490276547142E-2</v>
      </c>
      <c r="I183" s="163"/>
      <c r="J183" s="256">
        <v>486.4</v>
      </c>
      <c r="K183" s="134">
        <f t="shared" si="12"/>
        <v>2.0563438206866458E-4</v>
      </c>
      <c r="L183" s="163"/>
      <c r="M183" s="255">
        <v>3021.1</v>
      </c>
      <c r="N183" s="134">
        <f t="shared" si="13"/>
        <v>-9.1505411610364185E-3</v>
      </c>
      <c r="O183" s="163"/>
      <c r="P183" s="255">
        <v>22643.4</v>
      </c>
      <c r="Q183" s="134">
        <f t="shared" si="14"/>
        <v>1.7053862334854841E-3</v>
      </c>
      <c r="R183" s="19"/>
      <c r="S183" s="19"/>
      <c r="T183" s="19"/>
      <c r="X183" s="35"/>
    </row>
    <row r="184" spans="3:24" x14ac:dyDescent="0.3">
      <c r="C184" s="25" t="s">
        <v>292</v>
      </c>
      <c r="D184" s="255">
        <v>2640.8</v>
      </c>
      <c r="E184" s="134">
        <f t="shared" si="10"/>
        <v>1.7259364627786322E-3</v>
      </c>
      <c r="G184" s="255">
        <v>1122</v>
      </c>
      <c r="H184" s="134">
        <f t="shared" si="11"/>
        <v>2.0463847203274321E-2</v>
      </c>
      <c r="I184" s="163"/>
      <c r="J184" s="256">
        <v>487.74</v>
      </c>
      <c r="K184" s="134">
        <f t="shared" si="12"/>
        <v>2.7549342105264163E-3</v>
      </c>
      <c r="L184" s="163"/>
      <c r="M184" s="255">
        <v>2982.5</v>
      </c>
      <c r="N184" s="134">
        <f t="shared" si="13"/>
        <v>-1.2776803151170024E-2</v>
      </c>
      <c r="O184" s="163"/>
      <c r="P184" s="255">
        <v>22419.95</v>
      </c>
      <c r="Q184" s="134">
        <f t="shared" si="14"/>
        <v>-9.868217670491175E-3</v>
      </c>
      <c r="R184" s="19"/>
      <c r="S184" s="19"/>
      <c r="T184" s="19"/>
      <c r="X184" s="35"/>
    </row>
    <row r="185" spans="3:24" x14ac:dyDescent="0.3">
      <c r="C185" s="25" t="s">
        <v>293</v>
      </c>
      <c r="D185" s="255">
        <v>2638.9</v>
      </c>
      <c r="E185" s="134">
        <f t="shared" si="10"/>
        <v>-7.1947894577406579E-4</v>
      </c>
      <c r="G185" s="255">
        <v>1112.8</v>
      </c>
      <c r="H185" s="134">
        <f t="shared" si="11"/>
        <v>-8.1996434937612328E-3</v>
      </c>
      <c r="I185" s="163"/>
      <c r="J185" s="256">
        <v>485.25</v>
      </c>
      <c r="K185" s="134">
        <f t="shared" si="12"/>
        <v>-5.105178988805581E-3</v>
      </c>
      <c r="L185" s="163"/>
      <c r="M185" s="255">
        <v>2919.45</v>
      </c>
      <c r="N185" s="134">
        <f t="shared" si="13"/>
        <v>-2.1139983235540671E-2</v>
      </c>
      <c r="O185" s="163"/>
      <c r="P185" s="255">
        <v>22570.35</v>
      </c>
      <c r="Q185" s="134">
        <f t="shared" si="14"/>
        <v>6.7083111246901694E-3</v>
      </c>
      <c r="R185" s="19"/>
      <c r="S185" s="19"/>
      <c r="T185" s="19"/>
      <c r="X185" s="35"/>
    </row>
    <row r="186" spans="3:24" x14ac:dyDescent="0.3">
      <c r="C186" s="25" t="s">
        <v>294</v>
      </c>
      <c r="D186" s="255">
        <v>2619.1999999999998</v>
      </c>
      <c r="E186" s="134">
        <f t="shared" si="10"/>
        <v>-7.4652317253401934E-3</v>
      </c>
      <c r="G186" s="255">
        <v>1126.8499999999999</v>
      </c>
      <c r="H186" s="134">
        <f t="shared" si="11"/>
        <v>1.2625808770668545E-2</v>
      </c>
      <c r="I186" s="163"/>
      <c r="J186" s="256">
        <v>478.25</v>
      </c>
      <c r="K186" s="134">
        <f t="shared" si="12"/>
        <v>-1.4425553838227745E-2</v>
      </c>
      <c r="L186" s="163"/>
      <c r="M186" s="255">
        <v>2950.4</v>
      </c>
      <c r="N186" s="134">
        <f t="shared" si="13"/>
        <v>1.0601311890938492E-2</v>
      </c>
      <c r="O186" s="163"/>
      <c r="P186" s="255">
        <v>22402.400000000001</v>
      </c>
      <c r="Q186" s="134">
        <f t="shared" si="14"/>
        <v>-7.4411783601050496E-3</v>
      </c>
      <c r="R186" s="19"/>
      <c r="S186" s="19"/>
      <c r="T186" s="19"/>
      <c r="X186" s="35"/>
    </row>
    <row r="187" spans="3:24" x14ac:dyDescent="0.3">
      <c r="C187" s="25" t="s">
        <v>295</v>
      </c>
      <c r="D187" s="255">
        <v>2617.4</v>
      </c>
      <c r="E187" s="134">
        <f t="shared" si="10"/>
        <v>-6.8723274282211921E-4</v>
      </c>
      <c r="G187" s="255">
        <v>1114.9000000000001</v>
      </c>
      <c r="H187" s="134">
        <f t="shared" si="11"/>
        <v>-1.0604783245329763E-2</v>
      </c>
      <c r="I187" s="163"/>
      <c r="J187" s="256">
        <v>475.32</v>
      </c>
      <c r="K187" s="134">
        <f t="shared" si="12"/>
        <v>-6.1265028750653316E-3</v>
      </c>
      <c r="L187" s="163"/>
      <c r="M187" s="255">
        <v>2914.4</v>
      </c>
      <c r="N187" s="134">
        <f t="shared" si="13"/>
        <v>-1.2201735357917576E-2</v>
      </c>
      <c r="O187" s="163"/>
      <c r="P187" s="255">
        <v>22368</v>
      </c>
      <c r="Q187" s="134">
        <f t="shared" si="14"/>
        <v>-1.5355497625254566E-3</v>
      </c>
      <c r="R187" s="19"/>
      <c r="S187" s="19"/>
      <c r="T187" s="19"/>
      <c r="X187" s="35"/>
    </row>
    <row r="188" spans="3:24" x14ac:dyDescent="0.3">
      <c r="C188" s="25" t="s">
        <v>296</v>
      </c>
      <c r="D188" s="255">
        <v>2565.1</v>
      </c>
      <c r="E188" s="134">
        <f t="shared" si="10"/>
        <v>-1.9981661190494493E-2</v>
      </c>
      <c r="G188" s="255">
        <v>1115.4000000000001</v>
      </c>
      <c r="H188" s="134">
        <f t="shared" si="11"/>
        <v>4.4847071486242562E-4</v>
      </c>
      <c r="I188" s="163"/>
      <c r="J188" s="256">
        <v>472.97</v>
      </c>
      <c r="K188" s="134">
        <f t="shared" si="12"/>
        <v>-4.9440377009172254E-3</v>
      </c>
      <c r="L188" s="163"/>
      <c r="M188" s="255">
        <v>2898.05</v>
      </c>
      <c r="N188" s="134">
        <f t="shared" si="13"/>
        <v>-5.6100741147405708E-3</v>
      </c>
      <c r="O188" s="163"/>
      <c r="P188" s="255">
        <v>22336.400000000001</v>
      </c>
      <c r="Q188" s="134">
        <f t="shared" si="14"/>
        <v>-1.4127324749642067E-3</v>
      </c>
      <c r="R188" s="19"/>
      <c r="S188" s="19"/>
      <c r="T188" s="19"/>
      <c r="X188" s="35"/>
    </row>
    <row r="189" spans="3:24" x14ac:dyDescent="0.3">
      <c r="C189" s="25" t="s">
        <v>297</v>
      </c>
      <c r="D189" s="255">
        <v>2529.0500000000002</v>
      </c>
      <c r="E189" s="134">
        <f t="shared" si="10"/>
        <v>-1.405403298117025E-2</v>
      </c>
      <c r="G189" s="255">
        <v>1103.75</v>
      </c>
      <c r="H189" s="134">
        <f t="shared" si="11"/>
        <v>-1.0444683521606657E-2</v>
      </c>
      <c r="I189" s="163"/>
      <c r="J189" s="256">
        <v>467.12</v>
      </c>
      <c r="K189" s="134">
        <f t="shared" si="12"/>
        <v>-1.2368649174366309E-2</v>
      </c>
      <c r="L189" s="163"/>
      <c r="M189" s="255">
        <v>2830.7</v>
      </c>
      <c r="N189" s="134">
        <f t="shared" si="13"/>
        <v>-2.3239764669346741E-2</v>
      </c>
      <c r="O189" s="163"/>
      <c r="P189" s="255">
        <v>22147</v>
      </c>
      <c r="Q189" s="134">
        <f t="shared" si="14"/>
        <v>-8.479432674916354E-3</v>
      </c>
      <c r="R189" s="19"/>
      <c r="S189" s="19"/>
      <c r="T189" s="19"/>
      <c r="X189" s="35"/>
    </row>
    <row r="190" spans="3:24" x14ac:dyDescent="0.3">
      <c r="C190" s="25" t="s">
        <v>298</v>
      </c>
      <c r="D190" s="255">
        <v>2529.9499999999998</v>
      </c>
      <c r="E190" s="134">
        <f t="shared" si="10"/>
        <v>3.5586485043781479E-4</v>
      </c>
      <c r="G190" s="255">
        <v>1105.05</v>
      </c>
      <c r="H190" s="134">
        <f t="shared" si="11"/>
        <v>1.1778029445073113E-3</v>
      </c>
      <c r="I190" s="163"/>
      <c r="J190" s="256">
        <v>458.78</v>
      </c>
      <c r="K190" s="134">
        <f t="shared" si="12"/>
        <v>-1.7854084603528109E-2</v>
      </c>
      <c r="L190" s="163"/>
      <c r="M190" s="255">
        <v>2871.8</v>
      </c>
      <c r="N190" s="134">
        <f t="shared" si="13"/>
        <v>1.4519376832585751E-2</v>
      </c>
      <c r="O190" s="163"/>
      <c r="P190" s="255">
        <v>21995.85</v>
      </c>
      <c r="Q190" s="134">
        <f t="shared" si="14"/>
        <v>-6.824852124441283E-3</v>
      </c>
      <c r="R190" s="19"/>
      <c r="S190" s="19"/>
      <c r="T190" s="19"/>
      <c r="X190" s="35"/>
    </row>
    <row r="191" spans="3:24" x14ac:dyDescent="0.3">
      <c r="C191" s="25" t="s">
        <v>299</v>
      </c>
      <c r="D191" s="255">
        <v>2518.25</v>
      </c>
      <c r="E191" s="134">
        <f t="shared" si="10"/>
        <v>-4.6245973240577332E-3</v>
      </c>
      <c r="G191" s="255">
        <v>1106.2</v>
      </c>
      <c r="H191" s="134">
        <f t="shared" si="11"/>
        <v>1.0406768924484666E-3</v>
      </c>
      <c r="I191" s="163"/>
      <c r="J191" s="256">
        <v>464.82</v>
      </c>
      <c r="K191" s="134">
        <f t="shared" si="12"/>
        <v>1.3165351584637497E-2</v>
      </c>
      <c r="L191" s="163"/>
      <c r="M191" s="255">
        <v>2879.1</v>
      </c>
      <c r="N191" s="134">
        <f t="shared" si="13"/>
        <v>2.5419597465003996E-3</v>
      </c>
      <c r="O191" s="163"/>
      <c r="P191" s="255">
        <v>22147.9</v>
      </c>
      <c r="Q191" s="134">
        <f t="shared" si="14"/>
        <v>6.9126676168460577E-3</v>
      </c>
      <c r="R191" s="19"/>
      <c r="S191" s="19"/>
      <c r="T191" s="19"/>
      <c r="X191" s="35"/>
    </row>
    <row r="192" spans="3:24" x14ac:dyDescent="0.3">
      <c r="C192" s="25" t="s">
        <v>300</v>
      </c>
      <c r="D192" s="255">
        <v>2557.35</v>
      </c>
      <c r="E192" s="134">
        <f t="shared" si="10"/>
        <v>1.5526655415467161E-2</v>
      </c>
      <c r="G192" s="255">
        <v>1102.1500000000001</v>
      </c>
      <c r="H192" s="134">
        <f t="shared" si="11"/>
        <v>-3.6611824263242942E-3</v>
      </c>
      <c r="I192" s="163"/>
      <c r="J192" s="256">
        <v>469.76</v>
      </c>
      <c r="K192" s="134">
        <f t="shared" si="12"/>
        <v>1.0627769889419492E-2</v>
      </c>
      <c r="L192" s="163"/>
      <c r="M192" s="255">
        <v>2883.3</v>
      </c>
      <c r="N192" s="134">
        <f t="shared" si="13"/>
        <v>1.4587892049600093E-3</v>
      </c>
      <c r="O192" s="163"/>
      <c r="P192" s="255">
        <v>22272.5</v>
      </c>
      <c r="Q192" s="134">
        <f t="shared" si="14"/>
        <v>5.6258155400736864E-3</v>
      </c>
      <c r="R192" s="19"/>
      <c r="S192" s="19"/>
      <c r="T192" s="19"/>
      <c r="X192" s="35"/>
    </row>
    <row r="193" spans="3:24" x14ac:dyDescent="0.3">
      <c r="C193" s="160">
        <v>45630</v>
      </c>
      <c r="D193" s="255">
        <v>2632.3</v>
      </c>
      <c r="E193" s="134">
        <f t="shared" si="10"/>
        <v>2.9307681779967565E-2</v>
      </c>
      <c r="F193" s="34"/>
      <c r="G193" s="255">
        <v>1148.45</v>
      </c>
      <c r="H193" s="134">
        <f t="shared" si="11"/>
        <v>4.2008800979902894E-2</v>
      </c>
      <c r="I193" s="163"/>
      <c r="J193" s="256">
        <v>481.36</v>
      </c>
      <c r="K193" s="134">
        <f t="shared" si="12"/>
        <v>2.469346049046317E-2</v>
      </c>
      <c r="L193" s="163"/>
      <c r="M193" s="255">
        <v>2985.85</v>
      </c>
      <c r="N193" s="134">
        <f t="shared" si="13"/>
        <v>3.5566885166302464E-2</v>
      </c>
      <c r="O193" s="163"/>
      <c r="P193" s="255">
        <v>22519.4</v>
      </c>
      <c r="Q193" s="134">
        <f t="shared" si="14"/>
        <v>1.1085419238971994E-2</v>
      </c>
      <c r="R193" s="19"/>
      <c r="S193" s="19"/>
      <c r="T193" s="19"/>
      <c r="W193" s="38"/>
      <c r="X193" s="35"/>
    </row>
    <row r="194" spans="3:24" x14ac:dyDescent="0.3">
      <c r="C194" s="160">
        <v>45569</v>
      </c>
      <c r="D194" s="255">
        <v>2645.55</v>
      </c>
      <c r="E194" s="134">
        <f t="shared" si="10"/>
        <v>5.0336207879040362E-3</v>
      </c>
      <c r="F194" s="34"/>
      <c r="G194" s="255">
        <v>1168.55</v>
      </c>
      <c r="H194" s="134">
        <f t="shared" si="11"/>
        <v>1.7501850319996404E-2</v>
      </c>
      <c r="I194" s="163"/>
      <c r="J194" s="256">
        <v>484.24</v>
      </c>
      <c r="K194" s="134">
        <f t="shared" si="12"/>
        <v>5.9830480305800293E-3</v>
      </c>
      <c r="L194" s="163"/>
      <c r="M194" s="255">
        <v>3000.1</v>
      </c>
      <c r="N194" s="134">
        <f t="shared" si="13"/>
        <v>4.7725103404390179E-3</v>
      </c>
      <c r="O194" s="163"/>
      <c r="P194" s="255">
        <v>22753.8</v>
      </c>
      <c r="Q194" s="134">
        <f t="shared" si="14"/>
        <v>1.0408803076458417E-2</v>
      </c>
      <c r="R194" s="19"/>
      <c r="S194" s="19"/>
      <c r="T194" s="19"/>
      <c r="W194" s="38"/>
      <c r="X194" s="35"/>
    </row>
    <row r="195" spans="3:24" x14ac:dyDescent="0.3">
      <c r="C195" s="160">
        <v>45539</v>
      </c>
      <c r="D195" s="255">
        <v>2592.9499999999998</v>
      </c>
      <c r="E195" s="134">
        <f t="shared" si="10"/>
        <v>-1.9882444104250663E-2</v>
      </c>
      <c r="F195" s="34"/>
      <c r="G195" s="255">
        <v>1137.95</v>
      </c>
      <c r="H195" s="134">
        <f t="shared" si="11"/>
        <v>-2.6186299259766344E-2</v>
      </c>
      <c r="I195" s="163"/>
      <c r="J195" s="256">
        <v>469.66</v>
      </c>
      <c r="K195" s="134">
        <f t="shared" si="12"/>
        <v>-3.010903684123567E-2</v>
      </c>
      <c r="L195" s="163"/>
      <c r="M195" s="255">
        <v>3014.55</v>
      </c>
      <c r="N195" s="134">
        <f t="shared" si="13"/>
        <v>4.8165061164628931E-3</v>
      </c>
      <c r="O195" s="163"/>
      <c r="P195" s="255">
        <v>22642.75</v>
      </c>
      <c r="Q195" s="134">
        <f t="shared" si="14"/>
        <v>-4.8805034763423905E-3</v>
      </c>
      <c r="R195" s="19"/>
      <c r="S195" s="19"/>
      <c r="T195" s="19"/>
      <c r="W195" s="38"/>
      <c r="X195" s="35"/>
    </row>
    <row r="196" spans="3:24" x14ac:dyDescent="0.3">
      <c r="C196" s="160">
        <v>45508</v>
      </c>
      <c r="D196" s="255">
        <v>2607.1999999999998</v>
      </c>
      <c r="E196" s="134">
        <f t="shared" si="10"/>
        <v>5.4956709539328852E-3</v>
      </c>
      <c r="F196" s="34"/>
      <c r="G196" s="255">
        <v>1137.55</v>
      </c>
      <c r="H196" s="134">
        <f t="shared" si="11"/>
        <v>-3.5150929302696365E-4</v>
      </c>
      <c r="I196" s="163"/>
      <c r="J196" s="256">
        <v>468.66</v>
      </c>
      <c r="K196" s="134">
        <f t="shared" si="12"/>
        <v>-2.1291998466975715E-3</v>
      </c>
      <c r="L196" s="163"/>
      <c r="M196" s="255">
        <v>3044.2</v>
      </c>
      <c r="N196" s="134">
        <f t="shared" si="13"/>
        <v>9.8356305252855769E-3</v>
      </c>
      <c r="O196" s="163"/>
      <c r="P196" s="255">
        <v>22666.3</v>
      </c>
      <c r="Q196" s="134">
        <f t="shared" si="14"/>
        <v>1.0400680129400985E-3</v>
      </c>
      <c r="R196" s="19"/>
      <c r="S196" s="19"/>
      <c r="T196" s="19"/>
      <c r="W196" s="38"/>
      <c r="X196" s="35"/>
    </row>
    <row r="197" spans="3:24" x14ac:dyDescent="0.3">
      <c r="C197" s="160">
        <v>45416</v>
      </c>
      <c r="D197" s="255">
        <v>2586.85</v>
      </c>
      <c r="E197" s="134">
        <f t="shared" si="10"/>
        <v>-7.8053083768027109E-3</v>
      </c>
      <c r="F197" s="34"/>
      <c r="G197" s="255">
        <v>1132.55</v>
      </c>
      <c r="H197" s="134">
        <f t="shared" si="11"/>
        <v>-4.3954111907168469E-3</v>
      </c>
      <c r="I197" s="163"/>
      <c r="J197" s="256">
        <v>474.12</v>
      </c>
      <c r="K197" s="134">
        <f t="shared" si="12"/>
        <v>1.1650236845474282E-2</v>
      </c>
      <c r="L197" s="163"/>
      <c r="M197" s="255">
        <v>3000.8</v>
      </c>
      <c r="N197" s="134">
        <f t="shared" si="13"/>
        <v>-1.4256619144602745E-2</v>
      </c>
      <c r="O197" s="163"/>
      <c r="P197" s="255">
        <v>22513.7</v>
      </c>
      <c r="Q197" s="134">
        <f t="shared" si="14"/>
        <v>-6.7324618486475085E-3</v>
      </c>
      <c r="R197" s="19"/>
      <c r="S197" s="19"/>
      <c r="T197" s="19"/>
      <c r="W197" s="38"/>
      <c r="X197" s="35"/>
    </row>
    <row r="198" spans="3:24" x14ac:dyDescent="0.3">
      <c r="C198" s="160">
        <v>45386</v>
      </c>
      <c r="D198" s="255">
        <v>2591.5</v>
      </c>
      <c r="E198" s="134">
        <f t="shared" si="10"/>
        <v>1.7975530084852753E-3</v>
      </c>
      <c r="F198" s="34"/>
      <c r="G198" s="255">
        <v>1093.6500000000001</v>
      </c>
      <c r="H198" s="134">
        <f t="shared" si="11"/>
        <v>-3.4347269436227901E-2</v>
      </c>
      <c r="I198" s="163"/>
      <c r="J198" s="256">
        <v>472.01</v>
      </c>
      <c r="K198" s="134">
        <f t="shared" si="12"/>
        <v>-4.4503501223319697E-3</v>
      </c>
      <c r="L198" s="163"/>
      <c r="M198" s="255">
        <v>2997.8</v>
      </c>
      <c r="N198" s="134">
        <f t="shared" si="13"/>
        <v>-9.9973340442549574E-4</v>
      </c>
      <c r="O198" s="163"/>
      <c r="P198" s="255">
        <v>22514.65</v>
      </c>
      <c r="Q198" s="134">
        <f t="shared" si="14"/>
        <v>4.2196529224547419E-5</v>
      </c>
      <c r="R198" s="19"/>
      <c r="S198" s="19"/>
      <c r="T198" s="19"/>
      <c r="W198" s="38"/>
      <c r="X198" s="35"/>
    </row>
    <row r="199" spans="3:24" x14ac:dyDescent="0.3">
      <c r="C199" s="160">
        <v>45355</v>
      </c>
      <c r="D199" s="255">
        <v>2623</v>
      </c>
      <c r="E199" s="134">
        <f t="shared" si="10"/>
        <v>1.2155122515917327E-2</v>
      </c>
      <c r="F199" s="34"/>
      <c r="G199" s="255">
        <v>1091.8</v>
      </c>
      <c r="H199" s="134">
        <f t="shared" si="11"/>
        <v>-1.6915832304669198E-3</v>
      </c>
      <c r="I199" s="163"/>
      <c r="J199" s="256">
        <v>457.48</v>
      </c>
      <c r="K199" s="134">
        <f t="shared" si="12"/>
        <v>-3.0783246117666918E-2</v>
      </c>
      <c r="L199" s="163"/>
      <c r="M199" s="255">
        <v>3002.9</v>
      </c>
      <c r="N199" s="134">
        <f t="shared" si="13"/>
        <v>1.7012475815598727E-3</v>
      </c>
      <c r="O199" s="163"/>
      <c r="P199" s="255">
        <v>22434.65</v>
      </c>
      <c r="Q199" s="134">
        <f t="shared" si="14"/>
        <v>-3.5532420002087894E-3</v>
      </c>
      <c r="R199" s="19"/>
      <c r="S199" s="19"/>
      <c r="T199" s="19"/>
      <c r="W199" s="38"/>
      <c r="X199" s="35"/>
    </row>
    <row r="200" spans="3:24" x14ac:dyDescent="0.3">
      <c r="C200" s="160">
        <v>45326</v>
      </c>
      <c r="D200" s="255">
        <v>2621.8</v>
      </c>
      <c r="E200" s="134">
        <f t="shared" si="10"/>
        <v>-4.5749142203577176E-4</v>
      </c>
      <c r="F200" s="34"/>
      <c r="G200" s="255">
        <v>1093.8499999999999</v>
      </c>
      <c r="H200" s="134">
        <f t="shared" si="11"/>
        <v>1.8776332661658568E-3</v>
      </c>
      <c r="I200" s="163"/>
      <c r="J200" s="256">
        <v>455.95</v>
      </c>
      <c r="K200" s="134">
        <f t="shared" si="12"/>
        <v>-3.3444084987322986E-3</v>
      </c>
      <c r="L200" s="163"/>
      <c r="M200" s="255">
        <v>2999.75</v>
      </c>
      <c r="N200" s="134">
        <f t="shared" si="13"/>
        <v>-1.0489859802191859E-3</v>
      </c>
      <c r="O200" s="163"/>
      <c r="P200" s="255">
        <v>22453.3</v>
      </c>
      <c r="Q200" s="134">
        <f t="shared" si="14"/>
        <v>8.3130336332404298E-4</v>
      </c>
      <c r="R200" s="19"/>
      <c r="S200" s="19"/>
      <c r="T200" s="19"/>
      <c r="X200" s="35"/>
    </row>
    <row r="201" spans="3:24" x14ac:dyDescent="0.3">
      <c r="C201" s="160">
        <v>45295</v>
      </c>
      <c r="D201" s="255">
        <v>2616.6</v>
      </c>
      <c r="E201" s="134">
        <f t="shared" si="10"/>
        <v>-1.983370203677004E-3</v>
      </c>
      <c r="F201" s="34"/>
      <c r="G201" s="255">
        <v>1087.2</v>
      </c>
      <c r="H201" s="134">
        <f t="shared" si="11"/>
        <v>-6.0794441651047526E-3</v>
      </c>
      <c r="I201" s="163"/>
      <c r="J201" s="256">
        <v>447.36</v>
      </c>
      <c r="K201" s="134">
        <f t="shared" si="12"/>
        <v>-1.8839785064151737E-2</v>
      </c>
      <c r="L201" s="163"/>
      <c r="M201" s="255">
        <v>3051.55</v>
      </c>
      <c r="N201" s="134">
        <f t="shared" si="13"/>
        <v>1.72681056754731E-2</v>
      </c>
      <c r="O201" s="163"/>
      <c r="P201" s="255">
        <v>22462</v>
      </c>
      <c r="Q201" s="134">
        <f t="shared" si="14"/>
        <v>3.8747088401258623E-4</v>
      </c>
      <c r="R201" s="19"/>
      <c r="S201" s="19"/>
      <c r="T201" s="19"/>
      <c r="X201" s="35"/>
    </row>
    <row r="202" spans="3:24" x14ac:dyDescent="0.3">
      <c r="C202" s="25" t="s">
        <v>301</v>
      </c>
      <c r="D202" s="255">
        <v>2560.25</v>
      </c>
      <c r="E202" s="134">
        <f t="shared" si="10"/>
        <v>-2.1535580524344566E-2</v>
      </c>
      <c r="G202" s="255">
        <v>1080.9000000000001</v>
      </c>
      <c r="H202" s="134">
        <f t="shared" si="11"/>
        <v>-5.7947019867549132E-3</v>
      </c>
      <c r="I202" s="163"/>
      <c r="J202" s="256">
        <v>437.24</v>
      </c>
      <c r="K202" s="134">
        <f t="shared" si="12"/>
        <v>-2.2621602288984244E-2</v>
      </c>
      <c r="L202" s="163"/>
      <c r="M202" s="255">
        <v>3014.7</v>
      </c>
      <c r="N202" s="134">
        <f t="shared" si="13"/>
        <v>-1.2075830315741332E-2</v>
      </c>
      <c r="O202" s="163"/>
      <c r="P202" s="255">
        <v>22326.9</v>
      </c>
      <c r="Q202" s="134">
        <f t="shared" si="14"/>
        <v>-6.0146024396758868E-3</v>
      </c>
      <c r="R202" s="19"/>
      <c r="S202" s="19"/>
      <c r="T202" s="19"/>
      <c r="X202" s="35"/>
    </row>
    <row r="203" spans="3:24" x14ac:dyDescent="0.3">
      <c r="C203" s="25" t="s">
        <v>302</v>
      </c>
      <c r="D203" s="255">
        <v>2522.75</v>
      </c>
      <c r="E203" s="134">
        <f t="shared" si="10"/>
        <v>-1.4647007128210099E-2</v>
      </c>
      <c r="G203" s="255">
        <v>1110.3</v>
      </c>
      <c r="H203" s="134">
        <f t="shared" si="11"/>
        <v>2.7199555925617513E-2</v>
      </c>
      <c r="I203" s="163"/>
      <c r="J203" s="256">
        <v>437.29</v>
      </c>
      <c r="K203" s="134">
        <f t="shared" si="12"/>
        <v>1.1435367303991306E-4</v>
      </c>
      <c r="L203" s="163"/>
      <c r="M203" s="255">
        <v>2992.3</v>
      </c>
      <c r="N203" s="134">
        <f t="shared" si="13"/>
        <v>-7.4302584005040417E-3</v>
      </c>
      <c r="O203" s="163"/>
      <c r="P203" s="255">
        <v>22123.65</v>
      </c>
      <c r="Q203" s="134">
        <f t="shared" si="14"/>
        <v>-9.1033685822931032E-3</v>
      </c>
      <c r="R203" s="19"/>
      <c r="S203" s="19"/>
      <c r="T203" s="19"/>
      <c r="X203" s="35"/>
    </row>
    <row r="204" spans="3:24" x14ac:dyDescent="0.3">
      <c r="C204" s="25" t="s">
        <v>303</v>
      </c>
      <c r="D204" s="255">
        <v>2580</v>
      </c>
      <c r="E204" s="134">
        <f t="shared" ref="E204:E267" si="15">D204/D203-1</f>
        <v>2.2693489247844534E-2</v>
      </c>
      <c r="G204" s="255">
        <v>1087.05</v>
      </c>
      <c r="H204" s="134">
        <f t="shared" ref="H204:H267" si="16">G204/G203-1</f>
        <v>-2.0940286409078634E-2</v>
      </c>
      <c r="I204" s="163"/>
      <c r="J204" s="256">
        <v>446.21</v>
      </c>
      <c r="K204" s="134">
        <f t="shared" ref="K204:K267" si="17">J204/J203-1</f>
        <v>2.0398362642639833E-2</v>
      </c>
      <c r="L204" s="163"/>
      <c r="M204" s="255">
        <v>3001.6</v>
      </c>
      <c r="N204" s="134">
        <f t="shared" ref="N204:N267" si="18">M204/M203-1</f>
        <v>3.1079771413293766E-3</v>
      </c>
      <c r="O204" s="163"/>
      <c r="P204" s="255">
        <v>22004.7</v>
      </c>
      <c r="Q204" s="134">
        <f t="shared" ref="Q204:Q267" si="19">P204/P203-1</f>
        <v>-5.3765992501237925E-3</v>
      </c>
      <c r="R204" s="19"/>
      <c r="S204" s="19"/>
      <c r="T204" s="19"/>
      <c r="X204" s="35"/>
    </row>
    <row r="205" spans="3:24" x14ac:dyDescent="0.3">
      <c r="C205" s="25" t="s">
        <v>304</v>
      </c>
      <c r="D205" s="255">
        <v>2550.9499999999998</v>
      </c>
      <c r="E205" s="134">
        <f t="shared" si="15"/>
        <v>-1.125968992248072E-2</v>
      </c>
      <c r="G205" s="255">
        <v>1046.4000000000001</v>
      </c>
      <c r="H205" s="134">
        <f t="shared" si="16"/>
        <v>-3.7394784048571661E-2</v>
      </c>
      <c r="I205" s="163"/>
      <c r="J205" s="256">
        <v>450.82</v>
      </c>
      <c r="K205" s="134">
        <f t="shared" si="17"/>
        <v>1.0331458281974903E-2</v>
      </c>
      <c r="L205" s="163"/>
      <c r="M205" s="255">
        <v>2960.1</v>
      </c>
      <c r="N205" s="134">
        <f t="shared" si="18"/>
        <v>-1.3825959488272921E-2</v>
      </c>
      <c r="O205" s="163"/>
      <c r="P205" s="255">
        <v>22096.75</v>
      </c>
      <c r="Q205" s="134">
        <f t="shared" si="19"/>
        <v>4.1831972260470973E-3</v>
      </c>
      <c r="R205" s="19"/>
      <c r="S205" s="19"/>
      <c r="T205" s="19"/>
      <c r="X205" s="35"/>
    </row>
    <row r="206" spans="3:24" x14ac:dyDescent="0.3">
      <c r="C206" s="25" t="s">
        <v>305</v>
      </c>
      <c r="D206" s="255">
        <v>2538.35</v>
      </c>
      <c r="E206" s="134">
        <f t="shared" si="15"/>
        <v>-4.9393363256825529E-3</v>
      </c>
      <c r="G206" s="255">
        <v>1034.9000000000001</v>
      </c>
      <c r="H206" s="134">
        <f t="shared" si="16"/>
        <v>-1.0990061162079456E-2</v>
      </c>
      <c r="I206" s="163"/>
      <c r="J206" s="256">
        <v>437.05</v>
      </c>
      <c r="K206" s="134">
        <f t="shared" si="17"/>
        <v>-3.0544341422297117E-2</v>
      </c>
      <c r="L206" s="163"/>
      <c r="M206" s="255">
        <v>2901.4</v>
      </c>
      <c r="N206" s="134">
        <f t="shared" si="18"/>
        <v>-1.9830411134758918E-2</v>
      </c>
      <c r="O206" s="163"/>
      <c r="P206" s="255">
        <v>22011.95</v>
      </c>
      <c r="Q206" s="134">
        <f t="shared" si="19"/>
        <v>-3.8376684354033408E-3</v>
      </c>
      <c r="R206" s="19"/>
      <c r="S206" s="19"/>
      <c r="T206" s="19"/>
      <c r="X206" s="35"/>
    </row>
    <row r="207" spans="3:24" x14ac:dyDescent="0.3">
      <c r="C207" s="25" t="s">
        <v>306</v>
      </c>
      <c r="D207" s="255">
        <v>2460.3000000000002</v>
      </c>
      <c r="E207" s="134">
        <f t="shared" si="15"/>
        <v>-3.0748320759548364E-2</v>
      </c>
      <c r="G207" s="255">
        <v>1031.3</v>
      </c>
      <c r="H207" s="134">
        <f t="shared" si="16"/>
        <v>-3.4785969658905902E-3</v>
      </c>
      <c r="I207" s="163"/>
      <c r="J207" s="256">
        <v>436.71</v>
      </c>
      <c r="K207" s="134">
        <f t="shared" si="17"/>
        <v>-7.7794302711364782E-4</v>
      </c>
      <c r="L207" s="163"/>
      <c r="M207" s="255">
        <v>2871.8</v>
      </c>
      <c r="N207" s="134">
        <f t="shared" si="18"/>
        <v>-1.0201971462052817E-2</v>
      </c>
      <c r="O207" s="163"/>
      <c r="P207" s="255">
        <v>21839.1</v>
      </c>
      <c r="Q207" s="134">
        <f t="shared" si="19"/>
        <v>-7.8525528179013149E-3</v>
      </c>
      <c r="R207" s="19"/>
      <c r="S207" s="19"/>
      <c r="T207" s="19"/>
      <c r="X207" s="35"/>
    </row>
    <row r="208" spans="3:24" x14ac:dyDescent="0.3">
      <c r="C208" s="25" t="s">
        <v>307</v>
      </c>
      <c r="D208" s="255">
        <v>2432.85</v>
      </c>
      <c r="E208" s="134">
        <f t="shared" si="15"/>
        <v>-1.1157175954151999E-2</v>
      </c>
      <c r="G208" s="255">
        <v>1120.9000000000001</v>
      </c>
      <c r="H208" s="134">
        <f t="shared" si="16"/>
        <v>8.6880636090371555E-2</v>
      </c>
      <c r="I208" s="163"/>
      <c r="J208" s="256">
        <v>442.33</v>
      </c>
      <c r="K208" s="134">
        <f t="shared" si="17"/>
        <v>1.2868951936067408E-2</v>
      </c>
      <c r="L208" s="163"/>
      <c r="M208" s="255">
        <v>2891.4</v>
      </c>
      <c r="N208" s="134">
        <f t="shared" si="18"/>
        <v>6.8249878125217212E-3</v>
      </c>
      <c r="O208" s="163"/>
      <c r="P208" s="255">
        <v>21817.45</v>
      </c>
      <c r="Q208" s="134">
        <f t="shared" si="19"/>
        <v>-9.9134121827360033E-4</v>
      </c>
      <c r="R208" s="19"/>
      <c r="S208" s="19"/>
      <c r="T208" s="19"/>
      <c r="X208" s="35"/>
    </row>
    <row r="209" spans="3:24" x14ac:dyDescent="0.3">
      <c r="C209" s="25" t="s">
        <v>308</v>
      </c>
      <c r="D209" s="255">
        <v>2470</v>
      </c>
      <c r="E209" s="134">
        <f t="shared" si="15"/>
        <v>1.5270156400928991E-2</v>
      </c>
      <c r="G209" s="255">
        <v>1136.55</v>
      </c>
      <c r="H209" s="134">
        <f t="shared" si="16"/>
        <v>1.3961994825586466E-2</v>
      </c>
      <c r="I209" s="163"/>
      <c r="J209" s="256">
        <v>446.93</v>
      </c>
      <c r="K209" s="134">
        <f t="shared" si="17"/>
        <v>1.0399475504713651E-2</v>
      </c>
      <c r="L209" s="163"/>
      <c r="M209" s="255">
        <v>2925.25</v>
      </c>
      <c r="N209" s="134">
        <f t="shared" si="18"/>
        <v>1.1707131493394085E-2</v>
      </c>
      <c r="O209" s="163"/>
      <c r="P209" s="255">
        <v>22055.7</v>
      </c>
      <c r="Q209" s="134">
        <f t="shared" si="19"/>
        <v>1.0920157946964437E-2</v>
      </c>
      <c r="R209" s="19"/>
      <c r="S209" s="19"/>
      <c r="T209" s="19"/>
      <c r="X209" s="35"/>
    </row>
    <row r="210" spans="3:24" x14ac:dyDescent="0.3">
      <c r="C210" s="25" t="s">
        <v>309</v>
      </c>
      <c r="D210" s="255">
        <v>2428.5500000000002</v>
      </c>
      <c r="E210" s="134">
        <f t="shared" si="15"/>
        <v>-1.6781376518218538E-2</v>
      </c>
      <c r="G210" s="255">
        <v>1128.75</v>
      </c>
      <c r="H210" s="134">
        <f t="shared" si="16"/>
        <v>-6.8628744885838033E-3</v>
      </c>
      <c r="I210" s="163"/>
      <c r="J210" s="256">
        <v>456.52</v>
      </c>
      <c r="K210" s="134">
        <f t="shared" si="17"/>
        <v>2.145749893719362E-2</v>
      </c>
      <c r="L210" s="163"/>
      <c r="M210" s="255">
        <v>2868</v>
      </c>
      <c r="N210" s="134">
        <f t="shared" si="18"/>
        <v>-1.9570976839586307E-2</v>
      </c>
      <c r="O210" s="163"/>
      <c r="P210" s="255">
        <v>22023.35</v>
      </c>
      <c r="Q210" s="134">
        <f t="shared" si="19"/>
        <v>-1.4667410238624612E-3</v>
      </c>
      <c r="R210" s="19"/>
      <c r="S210" s="19"/>
      <c r="T210" s="19"/>
      <c r="X210" s="35"/>
    </row>
    <row r="211" spans="3:24" x14ac:dyDescent="0.3">
      <c r="C211" s="25" t="s">
        <v>310</v>
      </c>
      <c r="D211" s="255">
        <v>2430.25</v>
      </c>
      <c r="E211" s="134">
        <f t="shared" si="15"/>
        <v>7.0000617652499209E-4</v>
      </c>
      <c r="G211" s="255">
        <v>1135.25</v>
      </c>
      <c r="H211" s="134">
        <f t="shared" si="16"/>
        <v>5.7585825027686166E-3</v>
      </c>
      <c r="I211" s="163"/>
      <c r="J211" s="256">
        <v>443.29</v>
      </c>
      <c r="K211" s="134">
        <f t="shared" si="17"/>
        <v>-2.8980110400420478E-2</v>
      </c>
      <c r="L211" s="163"/>
      <c r="M211" s="255">
        <v>2861</v>
      </c>
      <c r="N211" s="134">
        <f t="shared" si="18"/>
        <v>-2.4407252440725724E-3</v>
      </c>
      <c r="O211" s="163"/>
      <c r="P211" s="255">
        <v>22146.65</v>
      </c>
      <c r="Q211" s="134">
        <f t="shared" si="19"/>
        <v>5.5986033005879232E-3</v>
      </c>
      <c r="R211" s="19"/>
      <c r="S211" s="19"/>
      <c r="T211" s="19"/>
      <c r="W211" s="38"/>
      <c r="X211" s="35"/>
    </row>
    <row r="212" spans="3:24" x14ac:dyDescent="0.3">
      <c r="C212" s="25" t="s">
        <v>311</v>
      </c>
      <c r="D212" s="255">
        <v>2386</v>
      </c>
      <c r="E212" s="134">
        <f t="shared" si="15"/>
        <v>-1.8208003291842356E-2</v>
      </c>
      <c r="G212" s="255">
        <v>1097.45</v>
      </c>
      <c r="H212" s="134">
        <f t="shared" si="16"/>
        <v>-3.3296630698084084E-2</v>
      </c>
      <c r="I212" s="163"/>
      <c r="J212" s="256">
        <v>433.74</v>
      </c>
      <c r="K212" s="134">
        <f t="shared" si="17"/>
        <v>-2.1543459135103471E-2</v>
      </c>
      <c r="L212" s="163"/>
      <c r="M212" s="255">
        <v>2823.2</v>
      </c>
      <c r="N212" s="134">
        <f t="shared" si="18"/>
        <v>-1.3212163579168212E-2</v>
      </c>
      <c r="O212" s="163"/>
      <c r="P212" s="255">
        <v>21997.7</v>
      </c>
      <c r="Q212" s="134">
        <f t="shared" si="19"/>
        <v>-6.7256221595591859E-3</v>
      </c>
      <c r="R212" s="19"/>
      <c r="S212" s="19"/>
      <c r="T212" s="19"/>
      <c r="W212" s="38"/>
      <c r="X212" s="35"/>
    </row>
    <row r="213" spans="3:24" x14ac:dyDescent="0.3">
      <c r="C213" s="160">
        <v>45629</v>
      </c>
      <c r="D213" s="255">
        <v>2423.15</v>
      </c>
      <c r="E213" s="134">
        <f t="shared" si="15"/>
        <v>1.5569991617770285E-2</v>
      </c>
      <c r="F213" s="34"/>
      <c r="G213" s="255">
        <v>1143.6500000000001</v>
      </c>
      <c r="H213" s="134">
        <f t="shared" si="16"/>
        <v>4.2097589867420071E-2</v>
      </c>
      <c r="I213" s="163"/>
      <c r="J213" s="256">
        <v>454.36</v>
      </c>
      <c r="K213" s="134">
        <f t="shared" si="17"/>
        <v>4.7540000922211556E-2</v>
      </c>
      <c r="L213" s="163"/>
      <c r="M213" s="255">
        <v>2855.9</v>
      </c>
      <c r="N213" s="134">
        <f t="shared" si="18"/>
        <v>1.1582601303485429E-2</v>
      </c>
      <c r="O213" s="163"/>
      <c r="P213" s="255">
        <v>22335.7</v>
      </c>
      <c r="Q213" s="134">
        <f t="shared" si="19"/>
        <v>1.5365242729921791E-2</v>
      </c>
      <c r="R213" s="19"/>
      <c r="S213" s="19"/>
      <c r="T213" s="19"/>
      <c r="W213" s="38"/>
      <c r="X213" s="35"/>
    </row>
    <row r="214" spans="3:24" x14ac:dyDescent="0.3">
      <c r="C214" s="160">
        <v>45599</v>
      </c>
      <c r="D214" s="255">
        <v>2455.5</v>
      </c>
      <c r="E214" s="134">
        <f t="shared" si="15"/>
        <v>1.3350391019953278E-2</v>
      </c>
      <c r="F214" s="34"/>
      <c r="G214" s="255">
        <v>1175.4000000000001</v>
      </c>
      <c r="H214" s="134">
        <f t="shared" si="16"/>
        <v>2.7761990119354651E-2</v>
      </c>
      <c r="I214" s="163"/>
      <c r="J214" s="256">
        <v>457</v>
      </c>
      <c r="K214" s="134">
        <f t="shared" si="17"/>
        <v>5.8103706312175873E-3</v>
      </c>
      <c r="L214" s="163"/>
      <c r="M214" s="255">
        <v>2906.4</v>
      </c>
      <c r="N214" s="134">
        <f t="shared" si="18"/>
        <v>1.7682691971007358E-2</v>
      </c>
      <c r="O214" s="163"/>
      <c r="P214" s="255">
        <v>22332.65</v>
      </c>
      <c r="Q214" s="134">
        <f t="shared" si="19"/>
        <v>-1.3655269366974476E-4</v>
      </c>
      <c r="R214" s="19"/>
      <c r="S214" s="19"/>
      <c r="T214" s="19"/>
      <c r="W214" s="38"/>
      <c r="X214" s="35"/>
    </row>
    <row r="215" spans="3:24" x14ac:dyDescent="0.3">
      <c r="C215" s="160">
        <v>45476</v>
      </c>
      <c r="D215" s="255">
        <v>2450.0500000000002</v>
      </c>
      <c r="E215" s="134">
        <f t="shared" si="15"/>
        <v>-2.2195072286702588E-3</v>
      </c>
      <c r="F215" s="34"/>
      <c r="G215" s="255">
        <v>1315.25</v>
      </c>
      <c r="H215" s="134">
        <f t="shared" si="16"/>
        <v>0.11898077250297767</v>
      </c>
      <c r="I215" s="163"/>
      <c r="J215" s="256">
        <v>462.61</v>
      </c>
      <c r="K215" s="134">
        <f t="shared" si="17"/>
        <v>1.2275711159737357E-2</v>
      </c>
      <c r="L215" s="163"/>
      <c r="M215" s="255">
        <v>2865.85</v>
      </c>
      <c r="N215" s="134">
        <f t="shared" si="18"/>
        <v>-1.3951968070465282E-2</v>
      </c>
      <c r="O215" s="163"/>
      <c r="P215" s="255">
        <v>22493.55</v>
      </c>
      <c r="Q215" s="134">
        <f t="shared" si="19"/>
        <v>7.204698054193992E-3</v>
      </c>
      <c r="R215" s="19"/>
      <c r="S215" s="19"/>
      <c r="T215" s="19"/>
      <c r="W215" s="38"/>
      <c r="X215" s="35"/>
    </row>
    <row r="216" spans="3:24" x14ac:dyDescent="0.3">
      <c r="C216" s="160">
        <v>45446</v>
      </c>
      <c r="D216" s="255">
        <v>2411.6999999999998</v>
      </c>
      <c r="E216" s="134">
        <f t="shared" si="15"/>
        <v>-1.5652741780780133E-2</v>
      </c>
      <c r="F216" s="34"/>
      <c r="G216" s="255">
        <v>1178.45</v>
      </c>
      <c r="H216" s="134">
        <f t="shared" si="16"/>
        <v>-0.10401064436418928</v>
      </c>
      <c r="I216" s="163"/>
      <c r="J216" s="256">
        <v>453.84</v>
      </c>
      <c r="K216" s="134">
        <f t="shared" si="17"/>
        <v>-1.8957653314887302E-2</v>
      </c>
      <c r="L216" s="163"/>
      <c r="M216" s="255">
        <v>2831.55</v>
      </c>
      <c r="N216" s="134">
        <f t="shared" si="18"/>
        <v>-1.1968525917267048E-2</v>
      </c>
      <c r="O216" s="163"/>
      <c r="P216" s="255">
        <v>22474.05</v>
      </c>
      <c r="Q216" s="134">
        <f t="shared" si="19"/>
        <v>-8.6691518235226805E-4</v>
      </c>
      <c r="R216" s="19"/>
      <c r="S216" s="19"/>
      <c r="T216" s="19"/>
      <c r="W216" s="38"/>
      <c r="X216" s="35"/>
    </row>
    <row r="217" spans="3:24" x14ac:dyDescent="0.3">
      <c r="C217" s="160">
        <v>45415</v>
      </c>
      <c r="D217" s="255">
        <v>2391.3000000000002</v>
      </c>
      <c r="E217" s="134">
        <f t="shared" si="15"/>
        <v>-8.458763527801838E-3</v>
      </c>
      <c r="F217" s="34"/>
      <c r="G217" s="255">
        <v>1061.3</v>
      </c>
      <c r="H217" s="134">
        <f t="shared" si="16"/>
        <v>-9.9410242267385152E-2</v>
      </c>
      <c r="I217" s="163"/>
      <c r="J217" s="256">
        <v>454.8</v>
      </c>
      <c r="K217" s="134">
        <f t="shared" si="17"/>
        <v>2.1152829190904665E-3</v>
      </c>
      <c r="L217" s="163"/>
      <c r="M217" s="255">
        <v>2699.7</v>
      </c>
      <c r="N217" s="134">
        <f t="shared" si="18"/>
        <v>-4.6564602426233059E-2</v>
      </c>
      <c r="O217" s="163"/>
      <c r="P217" s="255">
        <v>22356.3</v>
      </c>
      <c r="Q217" s="134">
        <f t="shared" si="19"/>
        <v>-5.2393760804126943E-3</v>
      </c>
      <c r="R217" s="19"/>
      <c r="S217" s="19"/>
      <c r="T217" s="19"/>
      <c r="W217" s="38"/>
      <c r="X217" s="35"/>
    </row>
    <row r="218" spans="3:24" x14ac:dyDescent="0.3">
      <c r="C218" s="160">
        <v>45385</v>
      </c>
      <c r="D218" s="255">
        <v>2376</v>
      </c>
      <c r="E218" s="134">
        <f t="shared" si="15"/>
        <v>-6.398193451260914E-3</v>
      </c>
      <c r="F218" s="34"/>
      <c r="G218" s="255">
        <v>1003</v>
      </c>
      <c r="H218" s="134">
        <f t="shared" si="16"/>
        <v>-5.4932629793649213E-2</v>
      </c>
      <c r="I218" s="163"/>
      <c r="J218" s="256">
        <v>454.94</v>
      </c>
      <c r="K218" s="134">
        <f t="shared" si="17"/>
        <v>3.0782761653469493E-4</v>
      </c>
      <c r="L218" s="163"/>
      <c r="M218" s="255">
        <v>2702.05</v>
      </c>
      <c r="N218" s="134">
        <f t="shared" si="18"/>
        <v>8.7046708893590008E-4</v>
      </c>
      <c r="O218" s="163"/>
      <c r="P218" s="255">
        <v>22405.599999999999</v>
      </c>
      <c r="Q218" s="134">
        <f t="shared" si="19"/>
        <v>2.2051949562316153E-3</v>
      </c>
      <c r="R218" s="19"/>
      <c r="S218" s="19"/>
      <c r="T218" s="19"/>
      <c r="W218" s="38"/>
      <c r="X218" s="35"/>
    </row>
    <row r="219" spans="3:24" x14ac:dyDescent="0.3">
      <c r="C219" s="160">
        <v>45325</v>
      </c>
      <c r="D219" s="255">
        <v>2394.6999999999998</v>
      </c>
      <c r="E219" s="134">
        <f t="shared" si="15"/>
        <v>7.8703703703701944E-3</v>
      </c>
      <c r="F219" s="34"/>
      <c r="G219" s="256">
        <v>973.05</v>
      </c>
      <c r="H219" s="134">
        <f t="shared" si="16"/>
        <v>-2.9860418743768768E-2</v>
      </c>
      <c r="I219" s="163"/>
      <c r="J219" s="256">
        <v>476.75</v>
      </c>
      <c r="K219" s="134">
        <f t="shared" si="17"/>
        <v>4.7940387743438784E-2</v>
      </c>
      <c r="L219" s="163"/>
      <c r="M219" s="255">
        <v>2742.2</v>
      </c>
      <c r="N219" s="134">
        <f t="shared" si="18"/>
        <v>1.4859088469865389E-2</v>
      </c>
      <c r="O219" s="163"/>
      <c r="P219" s="255">
        <v>22378.400000000001</v>
      </c>
      <c r="Q219" s="134">
        <f t="shared" si="19"/>
        <v>-1.2139822187309246E-3</v>
      </c>
      <c r="R219" s="19"/>
      <c r="S219" s="19"/>
      <c r="T219" s="19"/>
      <c r="W219" s="38"/>
      <c r="X219" s="35"/>
    </row>
    <row r="220" spans="3:24" x14ac:dyDescent="0.3">
      <c r="C220" s="160">
        <v>45294</v>
      </c>
      <c r="D220" s="255">
        <v>2397.35</v>
      </c>
      <c r="E220" s="134">
        <f t="shared" si="15"/>
        <v>1.1066104313692815E-3</v>
      </c>
      <c r="F220" s="34"/>
      <c r="G220" s="256">
        <v>968</v>
      </c>
      <c r="H220" s="134">
        <f t="shared" si="16"/>
        <v>-5.1898669133138009E-3</v>
      </c>
      <c r="I220" s="163"/>
      <c r="J220" s="256">
        <v>455.04</v>
      </c>
      <c r="K220" s="134">
        <f t="shared" si="17"/>
        <v>-4.553749344520186E-2</v>
      </c>
      <c r="L220" s="163"/>
      <c r="M220" s="255">
        <v>2757.5</v>
      </c>
      <c r="N220" s="134">
        <f t="shared" si="18"/>
        <v>5.5794617460434015E-3</v>
      </c>
      <c r="O220" s="163"/>
      <c r="P220" s="255">
        <v>22338.75</v>
      </c>
      <c r="Q220" s="134">
        <f t="shared" si="19"/>
        <v>-1.7717978050263428E-3</v>
      </c>
      <c r="R220" s="19"/>
      <c r="S220" s="19"/>
      <c r="T220" s="19"/>
      <c r="X220" s="35"/>
    </row>
    <row r="221" spans="3:24" x14ac:dyDescent="0.3">
      <c r="C221" s="25" t="s">
        <v>312</v>
      </c>
      <c r="D221" s="255">
        <v>2389.65</v>
      </c>
      <c r="E221" s="134">
        <f t="shared" si="15"/>
        <v>-3.2118797839280067E-3</v>
      </c>
      <c r="G221" s="256">
        <v>939.2</v>
      </c>
      <c r="H221" s="134">
        <f t="shared" si="16"/>
        <v>-2.9752066115702469E-2</v>
      </c>
      <c r="I221" s="163"/>
      <c r="J221" s="256">
        <v>450.38</v>
      </c>
      <c r="K221" s="134">
        <f t="shared" si="17"/>
        <v>-1.024085794655416E-2</v>
      </c>
      <c r="L221" s="163"/>
      <c r="M221" s="255">
        <v>2736</v>
      </c>
      <c r="N221" s="134">
        <f t="shared" si="18"/>
        <v>-7.7969174977334799E-3</v>
      </c>
      <c r="O221" s="163"/>
      <c r="P221" s="255">
        <v>21982.799999999999</v>
      </c>
      <c r="Q221" s="134">
        <f t="shared" si="19"/>
        <v>-1.5934195064629897E-2</v>
      </c>
      <c r="R221" s="19"/>
      <c r="S221" s="19"/>
      <c r="T221" s="19"/>
      <c r="X221" s="35"/>
    </row>
    <row r="222" spans="3:24" x14ac:dyDescent="0.3">
      <c r="C222" s="25" t="s">
        <v>313</v>
      </c>
      <c r="D222" s="255">
        <v>2371</v>
      </c>
      <c r="E222" s="134">
        <f t="shared" si="15"/>
        <v>-7.8044901973092218E-3</v>
      </c>
      <c r="G222" s="256">
        <v>944.1</v>
      </c>
      <c r="H222" s="134">
        <f t="shared" si="16"/>
        <v>5.2172061328790154E-3</v>
      </c>
      <c r="I222" s="163"/>
      <c r="J222" s="256">
        <v>456.33</v>
      </c>
      <c r="K222" s="134">
        <f t="shared" si="17"/>
        <v>1.3211066210755407E-2</v>
      </c>
      <c r="L222" s="163"/>
      <c r="M222" s="255">
        <v>2701.85</v>
      </c>
      <c r="N222" s="134">
        <f t="shared" si="18"/>
        <v>-1.248172514619883E-2</v>
      </c>
      <c r="O222" s="163"/>
      <c r="P222" s="255">
        <v>21951.15</v>
      </c>
      <c r="Q222" s="134">
        <f t="shared" si="19"/>
        <v>-1.4397619957420282E-3</v>
      </c>
      <c r="R222" s="19"/>
      <c r="S222" s="19"/>
      <c r="T222" s="19"/>
      <c r="X222" s="35"/>
    </row>
    <row r="223" spans="3:24" x14ac:dyDescent="0.3">
      <c r="C223" s="25" t="s">
        <v>314</v>
      </c>
      <c r="D223" s="255">
        <v>2392.75</v>
      </c>
      <c r="E223" s="134">
        <f t="shared" si="15"/>
        <v>9.1733445803459102E-3</v>
      </c>
      <c r="G223" s="256">
        <v>961.8</v>
      </c>
      <c r="H223" s="134">
        <f t="shared" si="16"/>
        <v>1.8748013981569667E-2</v>
      </c>
      <c r="I223" s="163"/>
      <c r="J223" s="256">
        <v>464.53</v>
      </c>
      <c r="K223" s="134">
        <f t="shared" si="17"/>
        <v>1.7969451931715952E-2</v>
      </c>
      <c r="L223" s="163"/>
      <c r="M223" s="255">
        <v>2731.95</v>
      </c>
      <c r="N223" s="134">
        <f t="shared" si="18"/>
        <v>1.1140514832429504E-2</v>
      </c>
      <c r="O223" s="163"/>
      <c r="P223" s="255">
        <v>22198.35</v>
      </c>
      <c r="Q223" s="134">
        <f t="shared" si="19"/>
        <v>1.1261368994335053E-2</v>
      </c>
      <c r="R223" s="19"/>
      <c r="S223" s="19"/>
      <c r="T223" s="19"/>
      <c r="X223" s="35"/>
    </row>
    <row r="224" spans="3:24" x14ac:dyDescent="0.3">
      <c r="C224" s="25" t="s">
        <v>315</v>
      </c>
      <c r="D224" s="255">
        <v>2400.5500000000002</v>
      </c>
      <c r="E224" s="134">
        <f t="shared" si="15"/>
        <v>3.2598474558562796E-3</v>
      </c>
      <c r="G224" s="256">
        <v>967.7</v>
      </c>
      <c r="H224" s="134">
        <f t="shared" si="16"/>
        <v>6.1343314618425016E-3</v>
      </c>
      <c r="I224" s="163"/>
      <c r="J224" s="256">
        <v>469.23</v>
      </c>
      <c r="K224" s="134">
        <f t="shared" si="17"/>
        <v>1.011775342819643E-2</v>
      </c>
      <c r="L224" s="163"/>
      <c r="M224" s="255">
        <v>2717.4</v>
      </c>
      <c r="N224" s="134">
        <f t="shared" si="18"/>
        <v>-5.3258661395705342E-3</v>
      </c>
      <c r="O224" s="163"/>
      <c r="P224" s="255">
        <v>22122.05</v>
      </c>
      <c r="Q224" s="134">
        <f t="shared" si="19"/>
        <v>-3.4371924039399149E-3</v>
      </c>
      <c r="R224" s="19"/>
      <c r="S224" s="19"/>
      <c r="T224" s="19"/>
      <c r="X224" s="35"/>
    </row>
    <row r="225" spans="3:24" x14ac:dyDescent="0.3">
      <c r="C225" s="25" t="s">
        <v>316</v>
      </c>
      <c r="D225" s="255">
        <v>2385.8000000000002</v>
      </c>
      <c r="E225" s="134">
        <f t="shared" si="15"/>
        <v>-6.1444252358834328E-3</v>
      </c>
      <c r="G225" s="256">
        <v>976.5</v>
      </c>
      <c r="H225" s="134">
        <f t="shared" si="16"/>
        <v>9.0937273948537012E-3</v>
      </c>
      <c r="I225" s="163"/>
      <c r="J225" s="256">
        <v>468.8</v>
      </c>
      <c r="K225" s="134">
        <f t="shared" si="17"/>
        <v>-9.1639494490980411E-4</v>
      </c>
      <c r="L225" s="163"/>
      <c r="M225" s="255">
        <v>2740.15</v>
      </c>
      <c r="N225" s="134">
        <f t="shared" si="18"/>
        <v>8.3719732096856347E-3</v>
      </c>
      <c r="O225" s="163"/>
      <c r="P225" s="255">
        <v>22212.7</v>
      </c>
      <c r="Q225" s="134">
        <f t="shared" si="19"/>
        <v>4.0977215041102522E-3</v>
      </c>
      <c r="R225" s="19"/>
      <c r="S225" s="19"/>
      <c r="T225" s="19"/>
      <c r="X225" s="35"/>
    </row>
    <row r="226" spans="3:24" x14ac:dyDescent="0.3">
      <c r="C226" s="25" t="s">
        <v>317</v>
      </c>
      <c r="D226" s="255">
        <v>2409</v>
      </c>
      <c r="E226" s="134">
        <f t="shared" si="15"/>
        <v>9.7242015256935321E-3</v>
      </c>
      <c r="G226" s="256">
        <v>980.55</v>
      </c>
      <c r="H226" s="134">
        <f t="shared" si="16"/>
        <v>4.1474654377879894E-3</v>
      </c>
      <c r="I226" s="163"/>
      <c r="J226" s="256">
        <v>472.35</v>
      </c>
      <c r="K226" s="134">
        <f t="shared" si="17"/>
        <v>7.5725255972696193E-3</v>
      </c>
      <c r="L226" s="163"/>
      <c r="M226" s="255">
        <v>2718.3</v>
      </c>
      <c r="N226" s="134">
        <f t="shared" si="18"/>
        <v>-7.9740160210207689E-3</v>
      </c>
      <c r="O226" s="163"/>
      <c r="P226" s="255">
        <v>22217.45</v>
      </c>
      <c r="Q226" s="134">
        <f t="shared" si="19"/>
        <v>2.1384163113902233E-4</v>
      </c>
      <c r="R226" s="19"/>
      <c r="S226" s="19"/>
      <c r="T226" s="19"/>
      <c r="X226" s="35"/>
    </row>
    <row r="227" spans="3:24" x14ac:dyDescent="0.3">
      <c r="C227" s="25" t="s">
        <v>318</v>
      </c>
      <c r="D227" s="255">
        <v>2398.9499999999998</v>
      </c>
      <c r="E227" s="134">
        <f t="shared" si="15"/>
        <v>-4.1718555417186165E-3</v>
      </c>
      <c r="G227" s="256">
        <v>977.5</v>
      </c>
      <c r="H227" s="134">
        <f t="shared" si="16"/>
        <v>-3.1104992096272488E-3</v>
      </c>
      <c r="I227" s="163"/>
      <c r="J227" s="256">
        <v>472.01</v>
      </c>
      <c r="K227" s="134">
        <f t="shared" si="17"/>
        <v>-7.1980522917336476E-4</v>
      </c>
      <c r="L227" s="163"/>
      <c r="M227" s="255">
        <v>2729.15</v>
      </c>
      <c r="N227" s="134">
        <f t="shared" si="18"/>
        <v>3.9914652540189444E-3</v>
      </c>
      <c r="O227" s="163"/>
      <c r="P227" s="255">
        <v>22055.05</v>
      </c>
      <c r="Q227" s="134">
        <f t="shared" si="19"/>
        <v>-7.3095697300995521E-3</v>
      </c>
      <c r="R227" s="19"/>
      <c r="S227" s="19"/>
      <c r="T227" s="19"/>
      <c r="X227" s="35"/>
    </row>
    <row r="228" spans="3:24" x14ac:dyDescent="0.3">
      <c r="C228" s="25" t="s">
        <v>319</v>
      </c>
      <c r="D228" s="255">
        <v>2383.1999999999998</v>
      </c>
      <c r="E228" s="134">
        <f t="shared" si="15"/>
        <v>-6.5653723504033312E-3</v>
      </c>
      <c r="G228" s="256">
        <v>983.35</v>
      </c>
      <c r="H228" s="134">
        <f t="shared" si="16"/>
        <v>5.9846547314579279E-3</v>
      </c>
      <c r="I228" s="163"/>
      <c r="J228" s="256">
        <v>478.3</v>
      </c>
      <c r="K228" s="134">
        <f t="shared" si="17"/>
        <v>1.3325988856168314E-2</v>
      </c>
      <c r="L228" s="163"/>
      <c r="M228" s="255">
        <v>2745.6</v>
      </c>
      <c r="N228" s="134">
        <f t="shared" si="18"/>
        <v>6.0275177252990808E-3</v>
      </c>
      <c r="O228" s="163"/>
      <c r="P228" s="255">
        <v>22196.95</v>
      </c>
      <c r="Q228" s="134">
        <f t="shared" si="19"/>
        <v>6.4339006259337417E-3</v>
      </c>
      <c r="R228" s="19"/>
      <c r="S228" s="19"/>
      <c r="T228" s="19"/>
      <c r="X228" s="35"/>
    </row>
    <row r="229" spans="3:24" x14ac:dyDescent="0.3">
      <c r="C229" s="25" t="s">
        <v>320</v>
      </c>
      <c r="D229" s="255">
        <v>2347.0500000000002</v>
      </c>
      <c r="E229" s="134">
        <f t="shared" si="15"/>
        <v>-1.5168680765357379E-2</v>
      </c>
      <c r="G229" s="256">
        <v>977.45</v>
      </c>
      <c r="H229" s="134">
        <f t="shared" si="16"/>
        <v>-5.99989830680836E-3</v>
      </c>
      <c r="I229" s="163"/>
      <c r="J229" s="256">
        <v>477.19</v>
      </c>
      <c r="K229" s="134">
        <f t="shared" si="17"/>
        <v>-2.3207192138825494E-3</v>
      </c>
      <c r="L229" s="163"/>
      <c r="M229" s="255">
        <v>2711.15</v>
      </c>
      <c r="N229" s="134">
        <f t="shared" si="18"/>
        <v>-1.2547348484848397E-2</v>
      </c>
      <c r="O229" s="163"/>
      <c r="P229" s="255">
        <v>22122.25</v>
      </c>
      <c r="Q229" s="134">
        <f t="shared" si="19"/>
        <v>-3.3653272183791216E-3</v>
      </c>
      <c r="R229" s="19"/>
      <c r="S229" s="19"/>
      <c r="T229" s="19"/>
      <c r="X229" s="35"/>
    </row>
    <row r="230" spans="3:24" x14ac:dyDescent="0.3">
      <c r="C230" s="25" t="s">
        <v>321</v>
      </c>
      <c r="D230" s="255">
        <v>2380.1</v>
      </c>
      <c r="E230" s="134">
        <f t="shared" si="15"/>
        <v>1.4081506572079627E-2</v>
      </c>
      <c r="G230" s="256">
        <v>972.15</v>
      </c>
      <c r="H230" s="134">
        <f t="shared" si="16"/>
        <v>-5.4222722389892786E-3</v>
      </c>
      <c r="I230" s="163"/>
      <c r="J230" s="256">
        <v>471.05</v>
      </c>
      <c r="K230" s="134">
        <f t="shared" si="17"/>
        <v>-1.2866992183407033E-2</v>
      </c>
      <c r="L230" s="163"/>
      <c r="M230" s="255">
        <v>2711.1</v>
      </c>
      <c r="N230" s="134">
        <f t="shared" si="18"/>
        <v>-1.8442358408865545E-5</v>
      </c>
      <c r="O230" s="163"/>
      <c r="P230" s="255">
        <v>22040.7</v>
      </c>
      <c r="Q230" s="134">
        <f t="shared" si="19"/>
        <v>-3.6863338946083735E-3</v>
      </c>
      <c r="R230" s="19"/>
      <c r="S230" s="19"/>
      <c r="T230" s="19"/>
      <c r="X230" s="35"/>
    </row>
    <row r="231" spans="3:24" x14ac:dyDescent="0.3">
      <c r="C231" s="25" t="s">
        <v>322</v>
      </c>
      <c r="D231" s="255">
        <v>2350.5500000000002</v>
      </c>
      <c r="E231" s="134">
        <f t="shared" si="15"/>
        <v>-1.2415444729212965E-2</v>
      </c>
      <c r="G231" s="256">
        <v>965.5</v>
      </c>
      <c r="H231" s="134">
        <f t="shared" si="16"/>
        <v>-6.8405081520340749E-3</v>
      </c>
      <c r="I231" s="163"/>
      <c r="J231" s="256">
        <v>467.51</v>
      </c>
      <c r="K231" s="134">
        <f t="shared" si="17"/>
        <v>-7.515125782825649E-3</v>
      </c>
      <c r="L231" s="163"/>
      <c r="M231" s="255">
        <v>2653.55</v>
      </c>
      <c r="N231" s="134">
        <f t="shared" si="18"/>
        <v>-2.1227546014532694E-2</v>
      </c>
      <c r="O231" s="163"/>
      <c r="P231" s="255">
        <v>21910.75</v>
      </c>
      <c r="Q231" s="134">
        <f t="shared" si="19"/>
        <v>-5.8959107469364058E-3</v>
      </c>
      <c r="R231" s="19"/>
      <c r="S231" s="19"/>
      <c r="T231" s="19"/>
      <c r="W231" s="38"/>
      <c r="X231" s="35"/>
    </row>
    <row r="232" spans="3:24" x14ac:dyDescent="0.3">
      <c r="C232" s="25" t="s">
        <v>323</v>
      </c>
      <c r="D232" s="255">
        <v>2358.15</v>
      </c>
      <c r="E232" s="134">
        <f t="shared" si="15"/>
        <v>3.2332858267214437E-3</v>
      </c>
      <c r="G232" s="256">
        <v>966.2</v>
      </c>
      <c r="H232" s="134">
        <f t="shared" si="16"/>
        <v>7.2501294665983096E-4</v>
      </c>
      <c r="I232" s="163"/>
      <c r="J232" s="256">
        <v>461.75</v>
      </c>
      <c r="K232" s="134">
        <f t="shared" si="17"/>
        <v>-1.2320592072896819E-2</v>
      </c>
      <c r="L232" s="163"/>
      <c r="M232" s="255">
        <v>2663.2</v>
      </c>
      <c r="N232" s="134">
        <f t="shared" si="18"/>
        <v>3.6366377117444948E-3</v>
      </c>
      <c r="O232" s="163"/>
      <c r="P232" s="255">
        <v>21840.05</v>
      </c>
      <c r="Q232" s="134">
        <f t="shared" si="19"/>
        <v>-3.2267266068026768E-3</v>
      </c>
      <c r="R232" s="19"/>
      <c r="S232" s="19"/>
      <c r="T232" s="19"/>
      <c r="W232" s="38"/>
      <c r="X232" s="35"/>
    </row>
    <row r="233" spans="3:24" x14ac:dyDescent="0.3">
      <c r="C233" s="25" t="s">
        <v>324</v>
      </c>
      <c r="D233" s="255">
        <v>2323.35</v>
      </c>
      <c r="E233" s="134">
        <f t="shared" si="15"/>
        <v>-1.4757330958590442E-2</v>
      </c>
      <c r="G233" s="256">
        <v>958.3</v>
      </c>
      <c r="H233" s="134">
        <f t="shared" si="16"/>
        <v>-8.1763610018630306E-3</v>
      </c>
      <c r="I233" s="163"/>
      <c r="J233" s="256">
        <v>459.54</v>
      </c>
      <c r="K233" s="134">
        <f t="shared" si="17"/>
        <v>-4.7861396859771865E-3</v>
      </c>
      <c r="L233" s="163"/>
      <c r="M233" s="255">
        <v>2671.3</v>
      </c>
      <c r="N233" s="134">
        <f t="shared" si="18"/>
        <v>3.0414538900571664E-3</v>
      </c>
      <c r="O233" s="163"/>
      <c r="P233" s="255">
        <v>21743.25</v>
      </c>
      <c r="Q233" s="134">
        <f t="shared" si="19"/>
        <v>-4.4322242852007365E-3</v>
      </c>
      <c r="R233" s="19"/>
      <c r="S233" s="19"/>
      <c r="T233" s="19"/>
      <c r="W233" s="38"/>
      <c r="X233" s="35"/>
    </row>
    <row r="234" spans="3:24" x14ac:dyDescent="0.3">
      <c r="C234" s="160">
        <v>45628</v>
      </c>
      <c r="D234" s="255">
        <v>2286.5</v>
      </c>
      <c r="E234" s="134">
        <f t="shared" si="15"/>
        <v>-1.5860718359265724E-2</v>
      </c>
      <c r="F234" s="34"/>
      <c r="G234" s="256">
        <v>946.05</v>
      </c>
      <c r="H234" s="134">
        <f t="shared" si="16"/>
        <v>-1.2783053323593863E-2</v>
      </c>
      <c r="I234" s="163"/>
      <c r="J234" s="256">
        <v>439.5</v>
      </c>
      <c r="K234" s="134">
        <f t="shared" si="17"/>
        <v>-4.3608826217521934E-2</v>
      </c>
      <c r="L234" s="163"/>
      <c r="M234" s="255">
        <v>2670.3</v>
      </c>
      <c r="N234" s="134">
        <f t="shared" si="18"/>
        <v>-3.7434956762627536E-4</v>
      </c>
      <c r="O234" s="163"/>
      <c r="P234" s="255">
        <v>21616.05</v>
      </c>
      <c r="Q234" s="134">
        <f t="shared" si="19"/>
        <v>-5.8500914076782262E-3</v>
      </c>
      <c r="R234" s="19"/>
      <c r="S234" s="19"/>
      <c r="T234" s="19"/>
      <c r="W234" s="38"/>
      <c r="X234" s="35"/>
    </row>
    <row r="235" spans="3:24" x14ac:dyDescent="0.3">
      <c r="C235" s="160">
        <v>45537</v>
      </c>
      <c r="D235" s="255">
        <v>2298.5500000000002</v>
      </c>
      <c r="E235" s="134">
        <f t="shared" si="15"/>
        <v>5.2700634157010207E-3</v>
      </c>
      <c r="F235" s="34"/>
      <c r="G235" s="256">
        <v>957.05</v>
      </c>
      <c r="H235" s="134">
        <f t="shared" si="16"/>
        <v>1.1627292426404479E-2</v>
      </c>
      <c r="I235" s="163"/>
      <c r="J235" s="256">
        <v>438.63</v>
      </c>
      <c r="K235" s="134">
        <f t="shared" si="17"/>
        <v>-1.9795221843003086E-3</v>
      </c>
      <c r="L235" s="163"/>
      <c r="M235" s="255">
        <v>2657.95</v>
      </c>
      <c r="N235" s="134">
        <f t="shared" si="18"/>
        <v>-4.6249485076584884E-3</v>
      </c>
      <c r="O235" s="163"/>
      <c r="P235" s="255">
        <v>21782.5</v>
      </c>
      <c r="Q235" s="134">
        <f t="shared" si="19"/>
        <v>7.7002967702239911E-3</v>
      </c>
      <c r="R235" s="19"/>
      <c r="S235" s="19"/>
      <c r="T235" s="19"/>
      <c r="W235" s="38"/>
      <c r="X235" s="35"/>
    </row>
    <row r="236" spans="3:24" x14ac:dyDescent="0.3">
      <c r="C236" s="160">
        <v>45506</v>
      </c>
      <c r="D236" s="255">
        <v>2295.9</v>
      </c>
      <c r="E236" s="134">
        <f t="shared" si="15"/>
        <v>-1.1529007417719894E-3</v>
      </c>
      <c r="F236" s="34"/>
      <c r="G236" s="256">
        <v>971.05</v>
      </c>
      <c r="H236" s="134">
        <f t="shared" si="16"/>
        <v>1.4628284833603233E-2</v>
      </c>
      <c r="I236" s="163"/>
      <c r="J236" s="256">
        <v>445.88</v>
      </c>
      <c r="K236" s="134">
        <f t="shared" si="17"/>
        <v>1.6528737204477562E-2</v>
      </c>
      <c r="L236" s="163"/>
      <c r="M236" s="255">
        <v>2622.5</v>
      </c>
      <c r="N236" s="134">
        <f t="shared" si="18"/>
        <v>-1.3337346451212317E-2</v>
      </c>
      <c r="O236" s="163"/>
      <c r="P236" s="255">
        <v>21717.95</v>
      </c>
      <c r="Q236" s="134">
        <f t="shared" si="19"/>
        <v>-2.9633880408584945E-3</v>
      </c>
      <c r="R236" s="19"/>
      <c r="S236" s="19"/>
      <c r="T236" s="19"/>
      <c r="W236" s="38"/>
      <c r="X236" s="35"/>
    </row>
    <row r="237" spans="3:24" x14ac:dyDescent="0.3">
      <c r="C237" s="160">
        <v>45475</v>
      </c>
      <c r="D237" s="255">
        <v>2295.0500000000002</v>
      </c>
      <c r="E237" s="134">
        <f t="shared" si="15"/>
        <v>-3.7022518402363147E-4</v>
      </c>
      <c r="F237" s="34"/>
      <c r="G237" s="256">
        <v>987.05</v>
      </c>
      <c r="H237" s="134">
        <f t="shared" si="16"/>
        <v>1.6477009422789735E-2</v>
      </c>
      <c r="I237" s="163"/>
      <c r="J237" s="256">
        <v>458.49</v>
      </c>
      <c r="K237" s="134">
        <f t="shared" si="17"/>
        <v>2.8281151879429478E-2</v>
      </c>
      <c r="L237" s="163"/>
      <c r="M237" s="255">
        <v>2695.85</v>
      </c>
      <c r="N237" s="134">
        <f t="shared" si="18"/>
        <v>2.7969494756911351E-2</v>
      </c>
      <c r="O237" s="163"/>
      <c r="P237" s="255">
        <v>21930.5</v>
      </c>
      <c r="Q237" s="134">
        <f t="shared" si="19"/>
        <v>9.7868353136461028E-3</v>
      </c>
      <c r="R237" s="19"/>
      <c r="S237" s="19"/>
      <c r="T237" s="19"/>
      <c r="W237" s="38"/>
      <c r="X237" s="35"/>
    </row>
    <row r="238" spans="3:24" x14ac:dyDescent="0.3">
      <c r="C238" s="160">
        <v>45445</v>
      </c>
      <c r="D238" s="255">
        <v>2283.75</v>
      </c>
      <c r="E238" s="134">
        <f t="shared" si="15"/>
        <v>-4.9236400078430664E-3</v>
      </c>
      <c r="F238" s="34"/>
      <c r="G238" s="256">
        <v>991.95</v>
      </c>
      <c r="H238" s="134">
        <f t="shared" si="16"/>
        <v>4.9642875234285899E-3</v>
      </c>
      <c r="I238" s="163"/>
      <c r="J238" s="256">
        <v>462.28</v>
      </c>
      <c r="K238" s="134">
        <f t="shared" si="17"/>
        <v>8.2662653492986404E-3</v>
      </c>
      <c r="L238" s="163"/>
      <c r="M238" s="255">
        <v>2614.4499999999998</v>
      </c>
      <c r="N238" s="134">
        <f t="shared" si="18"/>
        <v>-3.0194558302576224E-2</v>
      </c>
      <c r="O238" s="163"/>
      <c r="P238" s="255">
        <v>21929.4</v>
      </c>
      <c r="Q238" s="134">
        <f t="shared" si="19"/>
        <v>-5.0158455119464485E-5</v>
      </c>
      <c r="R238" s="19"/>
      <c r="S238" s="19"/>
      <c r="T238" s="19"/>
      <c r="W238" s="38"/>
      <c r="X238" s="35"/>
    </row>
    <row r="239" spans="3:24" x14ac:dyDescent="0.3">
      <c r="C239" s="160">
        <v>45414</v>
      </c>
      <c r="D239" s="255">
        <v>2251.1</v>
      </c>
      <c r="E239" s="134">
        <f t="shared" si="15"/>
        <v>-1.4296661193212934E-2</v>
      </c>
      <c r="F239" s="34"/>
      <c r="G239" s="256">
        <v>979.25</v>
      </c>
      <c r="H239" s="134">
        <f t="shared" si="16"/>
        <v>-1.280306467059833E-2</v>
      </c>
      <c r="I239" s="163"/>
      <c r="J239" s="256">
        <v>454.84</v>
      </c>
      <c r="K239" s="134">
        <f t="shared" si="17"/>
        <v>-1.6094142078393991E-2</v>
      </c>
      <c r="L239" s="163"/>
      <c r="M239" s="255">
        <v>2554.1999999999998</v>
      </c>
      <c r="N239" s="134">
        <f t="shared" si="18"/>
        <v>-2.3044999904377583E-2</v>
      </c>
      <c r="O239" s="163"/>
      <c r="P239" s="255">
        <v>21771.7</v>
      </c>
      <c r="Q239" s="134">
        <f t="shared" si="19"/>
        <v>-7.1912592227786343E-3</v>
      </c>
      <c r="R239" s="19"/>
      <c r="S239" s="19"/>
      <c r="T239" s="19"/>
      <c r="X239" s="35"/>
    </row>
    <row r="240" spans="3:24" x14ac:dyDescent="0.3">
      <c r="C240" s="160">
        <v>45324</v>
      </c>
      <c r="D240" s="255">
        <v>2318.65</v>
      </c>
      <c r="E240" s="134">
        <f t="shared" si="15"/>
        <v>3.0007551863533433E-2</v>
      </c>
      <c r="F240" s="34"/>
      <c r="G240" s="256">
        <v>997.3</v>
      </c>
      <c r="H240" s="134">
        <f t="shared" si="16"/>
        <v>1.8432473832014296E-2</v>
      </c>
      <c r="I240" s="163"/>
      <c r="J240" s="256">
        <v>511.72</v>
      </c>
      <c r="K240" s="134">
        <f t="shared" si="17"/>
        <v>0.12505496438307984</v>
      </c>
      <c r="L240" s="163"/>
      <c r="M240" s="255">
        <v>2515.35</v>
      </c>
      <c r="N240" s="134">
        <f t="shared" si="18"/>
        <v>-1.5210241954427994E-2</v>
      </c>
      <c r="O240" s="163"/>
      <c r="P240" s="255">
        <v>21853.8</v>
      </c>
      <c r="Q240" s="134">
        <f t="shared" si="19"/>
        <v>3.7709503621672358E-3</v>
      </c>
      <c r="R240" s="19"/>
      <c r="S240" s="19"/>
      <c r="T240" s="19"/>
      <c r="X240" s="35"/>
    </row>
    <row r="241" spans="3:24" x14ac:dyDescent="0.3">
      <c r="C241" s="160">
        <v>45293</v>
      </c>
      <c r="D241" s="255">
        <v>2308.4499999999998</v>
      </c>
      <c r="E241" s="134">
        <f t="shared" si="15"/>
        <v>-4.3991115519808055E-3</v>
      </c>
      <c r="F241" s="34"/>
      <c r="G241" s="255">
        <v>1014.9</v>
      </c>
      <c r="H241" s="134">
        <f t="shared" si="16"/>
        <v>1.7647648651358594E-2</v>
      </c>
      <c r="I241" s="163"/>
      <c r="J241" s="256">
        <v>508.27</v>
      </c>
      <c r="K241" s="134">
        <f t="shared" si="17"/>
        <v>-6.7419682638943934E-3</v>
      </c>
      <c r="L241" s="163"/>
      <c r="M241" s="255">
        <v>2510.4499999999998</v>
      </c>
      <c r="N241" s="134">
        <f t="shared" si="18"/>
        <v>-1.9480390402926151E-3</v>
      </c>
      <c r="O241" s="163"/>
      <c r="P241" s="255">
        <v>21697.45</v>
      </c>
      <c r="Q241" s="134">
        <f t="shared" si="19"/>
        <v>-7.1543621704234228E-3</v>
      </c>
      <c r="R241" s="19"/>
      <c r="S241" s="19"/>
      <c r="T241" s="19"/>
      <c r="X241" s="35"/>
    </row>
    <row r="242" spans="3:24" x14ac:dyDescent="0.3">
      <c r="C242" s="25" t="s">
        <v>325</v>
      </c>
      <c r="D242" s="255">
        <v>2325.1</v>
      </c>
      <c r="E242" s="134">
        <f t="shared" si="15"/>
        <v>7.2126318525418398E-3</v>
      </c>
      <c r="G242" s="255">
        <v>1028.05</v>
      </c>
      <c r="H242" s="134">
        <f t="shared" si="16"/>
        <v>1.2956941570598124E-2</v>
      </c>
      <c r="I242" s="163"/>
      <c r="J242" s="256">
        <v>515.9</v>
      </c>
      <c r="K242" s="134">
        <f t="shared" si="17"/>
        <v>1.5011706376532041E-2</v>
      </c>
      <c r="L242" s="163"/>
      <c r="M242" s="255">
        <v>2533.0500000000002</v>
      </c>
      <c r="N242" s="134">
        <f t="shared" si="18"/>
        <v>9.0023700930113026E-3</v>
      </c>
      <c r="O242" s="163"/>
      <c r="P242" s="255">
        <v>21725.7</v>
      </c>
      <c r="Q242" s="134">
        <f t="shared" si="19"/>
        <v>1.3019963175395777E-3</v>
      </c>
      <c r="R242" s="19"/>
      <c r="S242" s="19"/>
      <c r="T242" s="19"/>
      <c r="X242" s="35"/>
    </row>
    <row r="243" spans="3:24" x14ac:dyDescent="0.3">
      <c r="C243" s="25" t="s">
        <v>326</v>
      </c>
      <c r="D243" s="255">
        <v>2222.35</v>
      </c>
      <c r="E243" s="134">
        <f t="shared" si="15"/>
        <v>-4.4191647671067869E-2</v>
      </c>
      <c r="G243" s="255">
        <v>1005.75</v>
      </c>
      <c r="H243" s="134">
        <f t="shared" si="16"/>
        <v>-2.1691551967316758E-2</v>
      </c>
      <c r="I243" s="163"/>
      <c r="J243" s="256">
        <v>513.4</v>
      </c>
      <c r="K243" s="134">
        <f t="shared" si="17"/>
        <v>-4.8459003682884694E-3</v>
      </c>
      <c r="L243" s="163"/>
      <c r="M243" s="255">
        <v>2567.6999999999998</v>
      </c>
      <c r="N243" s="134">
        <f t="shared" si="18"/>
        <v>1.3679161485165903E-2</v>
      </c>
      <c r="O243" s="163"/>
      <c r="P243" s="255">
        <v>21522.1</v>
      </c>
      <c r="Q243" s="134">
        <f t="shared" si="19"/>
        <v>-9.3713896445224432E-3</v>
      </c>
      <c r="R243" s="19"/>
      <c r="S243" s="19"/>
      <c r="T243" s="19"/>
      <c r="X243" s="35"/>
    </row>
    <row r="244" spans="3:24" x14ac:dyDescent="0.3">
      <c r="C244" s="25" t="s">
        <v>327</v>
      </c>
      <c r="D244" s="255">
        <v>2246.6</v>
      </c>
      <c r="E244" s="134">
        <f t="shared" si="15"/>
        <v>1.0911872567327396E-2</v>
      </c>
      <c r="G244" s="255">
        <v>1013.15</v>
      </c>
      <c r="H244" s="134">
        <f t="shared" si="16"/>
        <v>7.357693263733589E-3</v>
      </c>
      <c r="I244" s="163"/>
      <c r="J244" s="256">
        <v>517.80999999999995</v>
      </c>
      <c r="K244" s="134">
        <f t="shared" si="17"/>
        <v>8.5897935333072439E-3</v>
      </c>
      <c r="L244" s="163"/>
      <c r="M244" s="255">
        <v>2569.3000000000002</v>
      </c>
      <c r="N244" s="134">
        <f t="shared" si="18"/>
        <v>6.2312575456657804E-4</v>
      </c>
      <c r="O244" s="163"/>
      <c r="P244" s="255">
        <v>21737.599999999999</v>
      </c>
      <c r="Q244" s="134">
        <f t="shared" si="19"/>
        <v>1.0012963418997156E-2</v>
      </c>
      <c r="R244" s="19"/>
      <c r="S244" s="19"/>
      <c r="T244" s="19"/>
      <c r="X244" s="35"/>
    </row>
    <row r="245" spans="3:24" x14ac:dyDescent="0.3">
      <c r="C245" s="25" t="s">
        <v>328</v>
      </c>
      <c r="D245" s="255">
        <v>2268.9</v>
      </c>
      <c r="E245" s="134">
        <f t="shared" si="15"/>
        <v>9.9261105670791494E-3</v>
      </c>
      <c r="G245" s="255">
        <v>1005.65</v>
      </c>
      <c r="H245" s="134">
        <f t="shared" si="16"/>
        <v>-7.4026550856240991E-3</v>
      </c>
      <c r="I245" s="163"/>
      <c r="J245" s="256">
        <v>515.55999999999995</v>
      </c>
      <c r="K245" s="134">
        <f t="shared" si="17"/>
        <v>-4.3452231513489981E-3</v>
      </c>
      <c r="L245" s="163"/>
      <c r="M245" s="255">
        <v>2590.15</v>
      </c>
      <c r="N245" s="134">
        <f t="shared" si="18"/>
        <v>8.1150507920444426E-3</v>
      </c>
      <c r="O245" s="163"/>
      <c r="P245" s="255">
        <v>21352.6</v>
      </c>
      <c r="Q245" s="134">
        <f t="shared" si="19"/>
        <v>-1.7711246871779829E-2</v>
      </c>
      <c r="R245" s="19"/>
      <c r="S245" s="19"/>
      <c r="T245" s="19"/>
      <c r="X245" s="35"/>
    </row>
    <row r="246" spans="3:24" x14ac:dyDescent="0.3">
      <c r="C246" s="25" t="s">
        <v>329</v>
      </c>
      <c r="D246" s="255">
        <v>2284.9499999999998</v>
      </c>
      <c r="E246" s="134">
        <f t="shared" si="15"/>
        <v>7.0739124685970101E-3</v>
      </c>
      <c r="G246" s="255">
        <v>1017.85</v>
      </c>
      <c r="H246" s="134">
        <f t="shared" si="16"/>
        <v>1.2131457266444601E-2</v>
      </c>
      <c r="I246" s="163"/>
      <c r="J246" s="256">
        <v>523.28</v>
      </c>
      <c r="K246" s="134">
        <f t="shared" si="17"/>
        <v>1.4974008844751419E-2</v>
      </c>
      <c r="L246" s="163"/>
      <c r="M246" s="255">
        <v>2592.0500000000002</v>
      </c>
      <c r="N246" s="134">
        <f t="shared" si="18"/>
        <v>7.3354825010141234E-4</v>
      </c>
      <c r="O246" s="163"/>
      <c r="P246" s="255">
        <v>21453.95</v>
      </c>
      <c r="Q246" s="134">
        <f t="shared" si="19"/>
        <v>4.7464945720896434E-3</v>
      </c>
      <c r="R246" s="19"/>
      <c r="S246" s="19"/>
      <c r="T246" s="19"/>
      <c r="X246" s="35"/>
    </row>
    <row r="247" spans="3:24" x14ac:dyDescent="0.3">
      <c r="C247" s="25" t="s">
        <v>330</v>
      </c>
      <c r="D247" s="255">
        <v>2254.0500000000002</v>
      </c>
      <c r="E247" s="134">
        <f t="shared" si="15"/>
        <v>-1.3523271844022688E-2</v>
      </c>
      <c r="G247" s="255">
        <v>1003.95</v>
      </c>
      <c r="H247" s="134">
        <f t="shared" si="16"/>
        <v>-1.3656236184113602E-2</v>
      </c>
      <c r="I247" s="163"/>
      <c r="J247" s="256">
        <v>513.4</v>
      </c>
      <c r="K247" s="134">
        <f t="shared" si="17"/>
        <v>-1.8880905060388309E-2</v>
      </c>
      <c r="L247" s="163"/>
      <c r="M247" s="255">
        <v>2522.6</v>
      </c>
      <c r="N247" s="134">
        <f t="shared" si="18"/>
        <v>-2.6793464632240971E-2</v>
      </c>
      <c r="O247" s="163"/>
      <c r="P247" s="255">
        <v>21238.799999999999</v>
      </c>
      <c r="Q247" s="134">
        <f t="shared" si="19"/>
        <v>-1.0028456298257549E-2</v>
      </c>
      <c r="R247" s="19"/>
      <c r="S247" s="19"/>
      <c r="T247" s="19"/>
      <c r="X247" s="35"/>
    </row>
    <row r="248" spans="3:24" x14ac:dyDescent="0.3">
      <c r="C248" s="25" t="s">
        <v>331</v>
      </c>
      <c r="D248" s="255">
        <v>2289.5500000000002</v>
      </c>
      <c r="E248" s="134">
        <f t="shared" si="15"/>
        <v>1.5749428805927002E-2</v>
      </c>
      <c r="G248" s="255">
        <v>1051.95</v>
      </c>
      <c r="H248" s="134">
        <f t="shared" si="16"/>
        <v>4.7811145973404967E-2</v>
      </c>
      <c r="I248" s="163"/>
      <c r="J248" s="256">
        <v>552.25</v>
      </c>
      <c r="K248" s="134">
        <f t="shared" si="17"/>
        <v>7.5671990650564958E-2</v>
      </c>
      <c r="L248" s="163"/>
      <c r="M248" s="255">
        <v>2677.5</v>
      </c>
      <c r="N248" s="134">
        <f t="shared" si="18"/>
        <v>6.1404899706651861E-2</v>
      </c>
      <c r="O248" s="163"/>
      <c r="P248" s="255">
        <v>21571.8</v>
      </c>
      <c r="Q248" s="134">
        <f t="shared" si="19"/>
        <v>1.5678851912537484E-2</v>
      </c>
      <c r="R248" s="19"/>
      <c r="S248" s="19"/>
      <c r="T248" s="19"/>
      <c r="X248" s="35"/>
    </row>
    <row r="249" spans="3:24" x14ac:dyDescent="0.3">
      <c r="C249" s="25" t="s">
        <v>332</v>
      </c>
      <c r="D249" s="255">
        <v>2309</v>
      </c>
      <c r="E249" s="134">
        <f t="shared" si="15"/>
        <v>8.4951191282129912E-3</v>
      </c>
      <c r="G249" s="255">
        <v>1075.25</v>
      </c>
      <c r="H249" s="134">
        <f t="shared" si="16"/>
        <v>2.2149341698749936E-2</v>
      </c>
      <c r="I249" s="163"/>
      <c r="J249" s="256">
        <v>530.76</v>
      </c>
      <c r="K249" s="134">
        <f t="shared" si="17"/>
        <v>-3.8913535536441834E-2</v>
      </c>
      <c r="L249" s="163"/>
      <c r="M249" s="255">
        <v>2687.7</v>
      </c>
      <c r="N249" s="134">
        <f t="shared" si="18"/>
        <v>3.8095238095237072E-3</v>
      </c>
      <c r="O249" s="163"/>
      <c r="P249" s="255">
        <v>21622.400000000001</v>
      </c>
      <c r="Q249" s="134">
        <f t="shared" si="19"/>
        <v>2.3456549754774514E-3</v>
      </c>
      <c r="R249" s="19"/>
      <c r="S249" s="19"/>
      <c r="T249" s="19"/>
      <c r="X249" s="35"/>
    </row>
    <row r="250" spans="3:24" x14ac:dyDescent="0.3">
      <c r="C250" s="25" t="s">
        <v>333</v>
      </c>
      <c r="D250" s="255">
        <v>2294.0500000000002</v>
      </c>
      <c r="E250" s="134">
        <f t="shared" si="15"/>
        <v>-6.4746643568643902E-3</v>
      </c>
      <c r="G250" s="255">
        <v>1066.25</v>
      </c>
      <c r="H250" s="134">
        <f t="shared" si="16"/>
        <v>-8.3701464775634005E-3</v>
      </c>
      <c r="I250" s="163"/>
      <c r="J250" s="256">
        <v>522.08000000000004</v>
      </c>
      <c r="K250" s="134">
        <f t="shared" si="17"/>
        <v>-1.6353907604190088E-2</v>
      </c>
      <c r="L250" s="163"/>
      <c r="M250" s="255">
        <v>2698.4</v>
      </c>
      <c r="N250" s="134">
        <f t="shared" si="18"/>
        <v>3.9810990809987512E-3</v>
      </c>
      <c r="O250" s="163"/>
      <c r="P250" s="255">
        <v>21462.25</v>
      </c>
      <c r="Q250" s="134">
        <f t="shared" si="19"/>
        <v>-7.4066708598491404E-3</v>
      </c>
      <c r="R250" s="19"/>
      <c r="S250" s="19"/>
      <c r="T250" s="19"/>
      <c r="X250" s="35"/>
    </row>
    <row r="251" spans="3:24" x14ac:dyDescent="0.3">
      <c r="C251" s="25" t="s">
        <v>334</v>
      </c>
      <c r="D251" s="255">
        <v>2309.6</v>
      </c>
      <c r="E251" s="134">
        <f t="shared" si="15"/>
        <v>6.7784050042500876E-3</v>
      </c>
      <c r="G251" s="255">
        <v>1083.6500000000001</v>
      </c>
      <c r="H251" s="134">
        <f t="shared" si="16"/>
        <v>1.6318874560375285E-2</v>
      </c>
      <c r="I251" s="163"/>
      <c r="J251" s="256">
        <v>528.6</v>
      </c>
      <c r="K251" s="134">
        <f t="shared" si="17"/>
        <v>1.2488507508427782E-2</v>
      </c>
      <c r="L251" s="163"/>
      <c r="M251" s="255">
        <v>2757.75</v>
      </c>
      <c r="N251" s="134">
        <f t="shared" si="18"/>
        <v>2.1994515268307202E-2</v>
      </c>
      <c r="O251" s="163"/>
      <c r="P251" s="255">
        <v>21571.95</v>
      </c>
      <c r="Q251" s="134">
        <f t="shared" si="19"/>
        <v>5.1113000733846725E-3</v>
      </c>
      <c r="R251" s="19"/>
      <c r="S251" s="19"/>
      <c r="T251" s="19"/>
      <c r="X251" s="35"/>
    </row>
    <row r="252" spans="3:24" x14ac:dyDescent="0.3">
      <c r="C252" s="25" t="s">
        <v>335</v>
      </c>
      <c r="D252" s="255">
        <v>2358.15</v>
      </c>
      <c r="E252" s="134">
        <f t="shared" si="15"/>
        <v>2.1020956009698777E-2</v>
      </c>
      <c r="G252" s="255">
        <v>1102.45</v>
      </c>
      <c r="H252" s="134">
        <f t="shared" si="16"/>
        <v>1.7348774973469316E-2</v>
      </c>
      <c r="I252" s="163"/>
      <c r="J252" s="256">
        <v>541.51</v>
      </c>
      <c r="K252" s="134">
        <f t="shared" si="17"/>
        <v>2.4423004161937101E-2</v>
      </c>
      <c r="L252" s="163"/>
      <c r="M252" s="255">
        <v>2795.55</v>
      </c>
      <c r="N252" s="134">
        <f t="shared" si="18"/>
        <v>1.3706826217024792E-2</v>
      </c>
      <c r="O252" s="163"/>
      <c r="P252" s="255">
        <v>22032.3</v>
      </c>
      <c r="Q252" s="134">
        <f t="shared" si="19"/>
        <v>2.1340212637244171E-2</v>
      </c>
      <c r="R252" s="19"/>
      <c r="S252" s="19"/>
      <c r="T252" s="19"/>
      <c r="W252" s="38"/>
      <c r="X252" s="35"/>
    </row>
    <row r="253" spans="3:24" x14ac:dyDescent="0.3">
      <c r="C253" s="25" t="s">
        <v>336</v>
      </c>
      <c r="D253" s="255">
        <v>2347.1999999999998</v>
      </c>
      <c r="E253" s="134">
        <f t="shared" si="15"/>
        <v>-4.6434705171427559E-3</v>
      </c>
      <c r="G253" s="255">
        <v>1112.2</v>
      </c>
      <c r="H253" s="134">
        <f t="shared" si="16"/>
        <v>8.8439385006122695E-3</v>
      </c>
      <c r="I253" s="163"/>
      <c r="J253" s="256">
        <v>544.53</v>
      </c>
      <c r="K253" s="134">
        <f t="shared" si="17"/>
        <v>5.5769976547062061E-3</v>
      </c>
      <c r="L253" s="163"/>
      <c r="M253" s="255">
        <v>2754.25</v>
      </c>
      <c r="N253" s="134">
        <f t="shared" si="18"/>
        <v>-1.4773479279569401E-2</v>
      </c>
      <c r="O253" s="163"/>
      <c r="P253" s="255">
        <v>22097.45</v>
      </c>
      <c r="Q253" s="134">
        <f t="shared" si="19"/>
        <v>2.9570221901482618E-3</v>
      </c>
      <c r="R253" s="19"/>
      <c r="S253" s="19"/>
      <c r="T253" s="19"/>
      <c r="W253" s="38"/>
      <c r="X253" s="35"/>
    </row>
    <row r="254" spans="3:24" x14ac:dyDescent="0.3">
      <c r="C254" s="160">
        <v>45627</v>
      </c>
      <c r="D254" s="255">
        <v>2343.9499999999998</v>
      </c>
      <c r="E254" s="134">
        <f t="shared" si="15"/>
        <v>-1.3846284935241648E-3</v>
      </c>
      <c r="F254" s="34"/>
      <c r="G254" s="255">
        <v>1112.2</v>
      </c>
      <c r="H254" s="134">
        <f t="shared" si="16"/>
        <v>0</v>
      </c>
      <c r="I254" s="163"/>
      <c r="J254" s="256">
        <v>541.94000000000005</v>
      </c>
      <c r="K254" s="134">
        <f t="shared" si="17"/>
        <v>-4.7563954235761985E-3</v>
      </c>
      <c r="L254" s="163"/>
      <c r="M254" s="255">
        <v>2735.1</v>
      </c>
      <c r="N254" s="134">
        <f t="shared" si="18"/>
        <v>-6.9528909866569677E-3</v>
      </c>
      <c r="O254" s="163"/>
      <c r="P254" s="255">
        <v>21894.55</v>
      </c>
      <c r="Q254" s="134">
        <f t="shared" si="19"/>
        <v>-9.1820549429911802E-3</v>
      </c>
      <c r="R254" s="19"/>
      <c r="S254" s="19"/>
      <c r="T254" s="19"/>
      <c r="W254" s="38"/>
      <c r="X254" s="35"/>
    </row>
    <row r="255" spans="3:24" x14ac:dyDescent="0.3">
      <c r="C255" s="160">
        <v>45597</v>
      </c>
      <c r="D255" s="255">
        <v>2325.25</v>
      </c>
      <c r="E255" s="134">
        <f t="shared" si="15"/>
        <v>-7.9779858785382629E-3</v>
      </c>
      <c r="F255" s="34"/>
      <c r="G255" s="255">
        <v>1104.8499999999999</v>
      </c>
      <c r="H255" s="134">
        <f t="shared" si="16"/>
        <v>-6.608523646826181E-3</v>
      </c>
      <c r="I255" s="163"/>
      <c r="J255" s="256">
        <v>539.25</v>
      </c>
      <c r="K255" s="134">
        <f t="shared" si="17"/>
        <v>-4.9636491124479543E-3</v>
      </c>
      <c r="L255" s="163"/>
      <c r="M255" s="255">
        <v>2740.55</v>
      </c>
      <c r="N255" s="134">
        <f t="shared" si="18"/>
        <v>1.9926145296333964E-3</v>
      </c>
      <c r="O255" s="163"/>
      <c r="P255" s="255">
        <v>21647.200000000001</v>
      </c>
      <c r="Q255" s="134">
        <f t="shared" si="19"/>
        <v>-1.1297331984443604E-2</v>
      </c>
      <c r="R255" s="19"/>
      <c r="S255" s="19"/>
      <c r="T255" s="19"/>
      <c r="W255" s="38"/>
      <c r="X255" s="35"/>
    </row>
    <row r="256" spans="3:24" x14ac:dyDescent="0.3">
      <c r="C256" s="160">
        <v>45566</v>
      </c>
      <c r="D256" s="255">
        <v>2294.9</v>
      </c>
      <c r="E256" s="134">
        <f t="shared" si="15"/>
        <v>-1.3052359961294391E-2</v>
      </c>
      <c r="F256" s="34"/>
      <c r="G256" s="255">
        <v>1097.3499999999999</v>
      </c>
      <c r="H256" s="134">
        <f t="shared" si="16"/>
        <v>-6.7882517988867574E-3</v>
      </c>
      <c r="I256" s="163"/>
      <c r="J256" s="256">
        <v>535.89</v>
      </c>
      <c r="K256" s="134">
        <f t="shared" si="17"/>
        <v>-6.2308762169680509E-3</v>
      </c>
      <c r="L256" s="163"/>
      <c r="M256" s="255">
        <v>2709.3</v>
      </c>
      <c r="N256" s="134">
        <f t="shared" si="18"/>
        <v>-1.1402820601704056E-2</v>
      </c>
      <c r="O256" s="163"/>
      <c r="P256" s="255">
        <v>21618.7</v>
      </c>
      <c r="Q256" s="134">
        <f t="shared" si="19"/>
        <v>-1.3165675006466815E-3</v>
      </c>
      <c r="R256" s="19"/>
      <c r="S256" s="19"/>
      <c r="T256" s="19"/>
      <c r="W256" s="38"/>
      <c r="X256" s="35"/>
    </row>
    <row r="257" spans="3:24" x14ac:dyDescent="0.3">
      <c r="C257" s="160">
        <v>45536</v>
      </c>
      <c r="D257" s="255">
        <v>2311.35</v>
      </c>
      <c r="E257" s="134">
        <f t="shared" si="15"/>
        <v>7.1680683254171651E-3</v>
      </c>
      <c r="F257" s="34"/>
      <c r="G257" s="255">
        <v>1104.1500000000001</v>
      </c>
      <c r="H257" s="134">
        <f t="shared" si="16"/>
        <v>6.1967467079784289E-3</v>
      </c>
      <c r="I257" s="163"/>
      <c r="J257" s="256">
        <v>535.32000000000005</v>
      </c>
      <c r="K257" s="134">
        <f t="shared" si="17"/>
        <v>-1.0636511224316747E-3</v>
      </c>
      <c r="L257" s="163"/>
      <c r="M257" s="255">
        <v>2724.1</v>
      </c>
      <c r="N257" s="134">
        <f t="shared" si="18"/>
        <v>5.462665633189312E-3</v>
      </c>
      <c r="O257" s="163"/>
      <c r="P257" s="255">
        <v>21544.85</v>
      </c>
      <c r="Q257" s="134">
        <f t="shared" si="19"/>
        <v>-3.4160240902553207E-3</v>
      </c>
      <c r="R257" s="19"/>
      <c r="S257" s="19"/>
      <c r="T257" s="19"/>
      <c r="W257" s="38"/>
      <c r="X257" s="35"/>
    </row>
    <row r="258" spans="3:24" x14ac:dyDescent="0.3">
      <c r="C258" s="160">
        <v>45505</v>
      </c>
      <c r="D258" s="255">
        <v>2395.6999999999998</v>
      </c>
      <c r="E258" s="134">
        <f t="shared" si="15"/>
        <v>3.6493823955696891E-2</v>
      </c>
      <c r="F258" s="34"/>
      <c r="G258" s="255">
        <v>1099.05</v>
      </c>
      <c r="H258" s="134">
        <f t="shared" si="16"/>
        <v>-4.6189376443419583E-3</v>
      </c>
      <c r="I258" s="163"/>
      <c r="J258" s="256">
        <v>538.1</v>
      </c>
      <c r="K258" s="134">
        <f t="shared" si="17"/>
        <v>5.1931554957782566E-3</v>
      </c>
      <c r="L258" s="163"/>
      <c r="M258" s="255">
        <v>2714.65</v>
      </c>
      <c r="N258" s="134">
        <f t="shared" si="18"/>
        <v>-3.4690356448000559E-3</v>
      </c>
      <c r="O258" s="163"/>
      <c r="P258" s="255">
        <v>21513</v>
      </c>
      <c r="Q258" s="134">
        <f t="shared" si="19"/>
        <v>-1.478311522243092E-3</v>
      </c>
      <c r="R258" s="19"/>
      <c r="S258" s="19"/>
      <c r="T258" s="19"/>
      <c r="W258" s="38"/>
      <c r="X258" s="35"/>
    </row>
    <row r="259" spans="3:24" x14ac:dyDescent="0.3">
      <c r="C259" s="160">
        <v>45413</v>
      </c>
      <c r="D259" s="255">
        <v>2480.6</v>
      </c>
      <c r="E259" s="134">
        <f t="shared" si="15"/>
        <v>3.5438493968360074E-2</v>
      </c>
      <c r="F259" s="34"/>
      <c r="G259" s="255">
        <v>1104.7</v>
      </c>
      <c r="H259" s="134">
        <f t="shared" si="16"/>
        <v>5.1408034211364306E-3</v>
      </c>
      <c r="I259" s="163"/>
      <c r="J259" s="256">
        <v>557.52</v>
      </c>
      <c r="K259" s="134">
        <f t="shared" si="17"/>
        <v>3.6089946106671489E-2</v>
      </c>
      <c r="L259" s="163"/>
      <c r="M259" s="255">
        <v>2722.6</v>
      </c>
      <c r="N259" s="134">
        <f t="shared" si="18"/>
        <v>2.9285543256036828E-3</v>
      </c>
      <c r="O259" s="163"/>
      <c r="P259" s="255">
        <v>21710.799999999999</v>
      </c>
      <c r="Q259" s="134">
        <f t="shared" si="19"/>
        <v>9.1944405708175303E-3</v>
      </c>
      <c r="R259" s="19"/>
      <c r="S259" s="19"/>
      <c r="T259" s="19"/>
      <c r="W259" s="38"/>
      <c r="X259" s="35"/>
    </row>
    <row r="260" spans="3:24" x14ac:dyDescent="0.3">
      <c r="C260" s="160">
        <v>45383</v>
      </c>
      <c r="D260" s="255">
        <v>2506.0500000000002</v>
      </c>
      <c r="E260" s="134">
        <f t="shared" si="15"/>
        <v>1.025961460936875E-2</v>
      </c>
      <c r="F260" s="34"/>
      <c r="G260" s="255">
        <v>1131.55</v>
      </c>
      <c r="H260" s="134">
        <f t="shared" si="16"/>
        <v>2.430524124196598E-2</v>
      </c>
      <c r="I260" s="163"/>
      <c r="J260" s="256">
        <v>563.28</v>
      </c>
      <c r="K260" s="134">
        <f t="shared" si="17"/>
        <v>1.0331467929401539E-2</v>
      </c>
      <c r="L260" s="163"/>
      <c r="M260" s="255">
        <v>2769.05</v>
      </c>
      <c r="N260" s="134">
        <f t="shared" si="18"/>
        <v>1.7060897671343778E-2</v>
      </c>
      <c r="O260" s="163"/>
      <c r="P260" s="255">
        <v>21658.6</v>
      </c>
      <c r="Q260" s="134">
        <f t="shared" si="19"/>
        <v>-2.404333327192032E-3</v>
      </c>
      <c r="R260" s="19"/>
      <c r="S260" s="19"/>
      <c r="T260" s="19"/>
      <c r="X260" s="35"/>
    </row>
    <row r="261" spans="3:24" x14ac:dyDescent="0.3">
      <c r="C261" s="160">
        <v>45352</v>
      </c>
      <c r="D261" s="255">
        <v>2506.35</v>
      </c>
      <c r="E261" s="134">
        <f t="shared" si="15"/>
        <v>1.1971030107127412E-4</v>
      </c>
      <c r="F261" s="34"/>
      <c r="G261" s="255">
        <v>1112.6500000000001</v>
      </c>
      <c r="H261" s="134">
        <f t="shared" si="16"/>
        <v>-1.6702752861119552E-2</v>
      </c>
      <c r="I261" s="163"/>
      <c r="J261" s="256">
        <v>562.85</v>
      </c>
      <c r="K261" s="134">
        <f t="shared" si="17"/>
        <v>-7.6338588268698437E-4</v>
      </c>
      <c r="L261" s="163"/>
      <c r="M261" s="255">
        <v>2772.25</v>
      </c>
      <c r="N261" s="134">
        <f t="shared" si="18"/>
        <v>1.155630992578649E-3</v>
      </c>
      <c r="O261" s="163"/>
      <c r="P261" s="255">
        <v>21517.35</v>
      </c>
      <c r="Q261" s="134">
        <f t="shared" si="19"/>
        <v>-6.5216588329809477E-3</v>
      </c>
      <c r="R261" s="19"/>
      <c r="S261" s="19"/>
      <c r="T261" s="19"/>
      <c r="X261" s="35"/>
    </row>
    <row r="262" spans="3:24" x14ac:dyDescent="0.3">
      <c r="C262" s="160">
        <v>45323</v>
      </c>
      <c r="D262" s="255">
        <v>2488.3000000000002</v>
      </c>
      <c r="E262" s="134">
        <f t="shared" si="15"/>
        <v>-7.2017076625370269E-3</v>
      </c>
      <c r="F262" s="34"/>
      <c r="G262" s="255">
        <v>1122.3499999999999</v>
      </c>
      <c r="H262" s="134">
        <f t="shared" si="16"/>
        <v>8.7179256729428278E-3</v>
      </c>
      <c r="I262" s="163"/>
      <c r="J262" s="256">
        <v>570.09</v>
      </c>
      <c r="K262" s="134">
        <f t="shared" si="17"/>
        <v>1.2863107399840201E-2</v>
      </c>
      <c r="L262" s="163"/>
      <c r="M262" s="255">
        <v>2737.7</v>
      </c>
      <c r="N262" s="134">
        <f t="shared" si="18"/>
        <v>-1.2462800973938148E-2</v>
      </c>
      <c r="O262" s="163"/>
      <c r="P262" s="255">
        <v>21665.8</v>
      </c>
      <c r="Q262" s="134">
        <f t="shared" si="19"/>
        <v>6.8990837626381474E-3</v>
      </c>
      <c r="R262" s="19"/>
      <c r="S262" s="19"/>
      <c r="T262" s="19"/>
      <c r="X262" s="35"/>
    </row>
    <row r="263" spans="3:24" x14ac:dyDescent="0.3">
      <c r="C263" s="160">
        <v>45292</v>
      </c>
      <c r="D263" s="255">
        <v>2467.6999999999998</v>
      </c>
      <c r="E263" s="134">
        <f t="shared" si="15"/>
        <v>-8.2787445243742708E-3</v>
      </c>
      <c r="F263" s="34"/>
      <c r="G263" s="255">
        <v>1117.8499999999999</v>
      </c>
      <c r="H263" s="134">
        <f t="shared" si="16"/>
        <v>-4.0094444691941566E-3</v>
      </c>
      <c r="I263" s="163"/>
      <c r="J263" s="256">
        <v>567.92999999999995</v>
      </c>
      <c r="K263" s="134">
        <f t="shared" si="17"/>
        <v>-3.7888754407200409E-3</v>
      </c>
      <c r="L263" s="163"/>
      <c r="M263" s="255">
        <v>2697.5</v>
      </c>
      <c r="N263" s="134">
        <f t="shared" si="18"/>
        <v>-1.4683858713518627E-2</v>
      </c>
      <c r="O263" s="163"/>
      <c r="P263" s="255">
        <v>21741.9</v>
      </c>
      <c r="Q263" s="134">
        <f t="shared" si="19"/>
        <v>3.5124481902353288E-3</v>
      </c>
      <c r="R263" s="19"/>
      <c r="S263" s="19"/>
      <c r="T263" s="19"/>
      <c r="X263" s="35"/>
    </row>
    <row r="264" spans="3:24" x14ac:dyDescent="0.3">
      <c r="C264" s="25" t="s">
        <v>337</v>
      </c>
      <c r="D264" s="255">
        <v>2479.25</v>
      </c>
      <c r="E264" s="134">
        <f t="shared" si="15"/>
        <v>4.6804716942903113E-3</v>
      </c>
      <c r="G264" s="255">
        <v>1104.0999999999999</v>
      </c>
      <c r="H264" s="134">
        <f t="shared" si="16"/>
        <v>-1.2300398085610786E-2</v>
      </c>
      <c r="I264" s="163"/>
      <c r="J264" s="256">
        <v>563.52</v>
      </c>
      <c r="K264" s="134">
        <f t="shared" si="17"/>
        <v>-7.7650414663777978E-3</v>
      </c>
      <c r="L264" s="163"/>
      <c r="M264" s="255">
        <v>2715.1</v>
      </c>
      <c r="N264" s="134">
        <f t="shared" si="18"/>
        <v>6.5245597775718256E-3</v>
      </c>
      <c r="O264" s="163"/>
      <c r="P264" s="255">
        <v>21731.4</v>
      </c>
      <c r="Q264" s="134">
        <f t="shared" si="19"/>
        <v>-4.8293847363845011E-4</v>
      </c>
      <c r="R264" s="19"/>
      <c r="S264" s="19"/>
      <c r="T264" s="19"/>
      <c r="X264" s="35"/>
    </row>
    <row r="265" spans="3:24" x14ac:dyDescent="0.3">
      <c r="C265" s="25" t="s">
        <v>338</v>
      </c>
      <c r="D265" s="255">
        <v>2466.8000000000002</v>
      </c>
      <c r="E265" s="134">
        <f t="shared" si="15"/>
        <v>-5.0216799435311987E-3</v>
      </c>
      <c r="G265" s="255">
        <v>1086.5999999999999</v>
      </c>
      <c r="H265" s="134">
        <f t="shared" si="16"/>
        <v>-1.5850013585725908E-2</v>
      </c>
      <c r="I265" s="163"/>
      <c r="J265" s="256">
        <v>565.24</v>
      </c>
      <c r="K265" s="134">
        <f t="shared" si="17"/>
        <v>3.0522430437252002E-3</v>
      </c>
      <c r="L265" s="163"/>
      <c r="M265" s="255">
        <v>2708.3</v>
      </c>
      <c r="N265" s="134">
        <f t="shared" si="18"/>
        <v>-2.5045118043532932E-3</v>
      </c>
      <c r="O265" s="163"/>
      <c r="P265" s="255">
        <v>21778.7</v>
      </c>
      <c r="Q265" s="134">
        <f t="shared" si="19"/>
        <v>2.1765739897106062E-3</v>
      </c>
      <c r="R265" s="19"/>
      <c r="S265" s="19"/>
      <c r="T265" s="19"/>
      <c r="X265" s="35"/>
    </row>
    <row r="266" spans="3:24" x14ac:dyDescent="0.3">
      <c r="C266" s="25" t="s">
        <v>339</v>
      </c>
      <c r="D266" s="255">
        <v>2471.0500000000002</v>
      </c>
      <c r="E266" s="134">
        <f t="shared" si="15"/>
        <v>1.7228798443327253E-3</v>
      </c>
      <c r="G266" s="255">
        <v>1089.8499999999999</v>
      </c>
      <c r="H266" s="134">
        <f t="shared" si="16"/>
        <v>2.9909810417816374E-3</v>
      </c>
      <c r="I266" s="163"/>
      <c r="J266" s="256">
        <v>559.35</v>
      </c>
      <c r="K266" s="134">
        <f t="shared" si="17"/>
        <v>-1.0420352416672496E-2</v>
      </c>
      <c r="L266" s="163"/>
      <c r="M266" s="255">
        <v>2699.1</v>
      </c>
      <c r="N266" s="134">
        <f t="shared" si="18"/>
        <v>-3.3969648857217205E-3</v>
      </c>
      <c r="O266" s="163"/>
      <c r="P266" s="255">
        <v>21654.75</v>
      </c>
      <c r="Q266" s="134">
        <f t="shared" si="19"/>
        <v>-5.6913406218002116E-3</v>
      </c>
      <c r="R266" s="19"/>
      <c r="S266" s="19"/>
      <c r="T266" s="19"/>
      <c r="X266" s="35"/>
    </row>
    <row r="267" spans="3:24" x14ac:dyDescent="0.3">
      <c r="C267" s="25" t="s">
        <v>340</v>
      </c>
      <c r="D267" s="255">
        <v>2491.0500000000002</v>
      </c>
      <c r="E267" s="134">
        <f t="shared" si="15"/>
        <v>8.0937253394306463E-3</v>
      </c>
      <c r="G267" s="255">
        <v>1094.25</v>
      </c>
      <c r="H267" s="134">
        <f t="shared" si="16"/>
        <v>4.0372528329586377E-3</v>
      </c>
      <c r="I267" s="163"/>
      <c r="J267" s="256">
        <v>562.08000000000004</v>
      </c>
      <c r="K267" s="134">
        <f t="shared" si="17"/>
        <v>4.8806650576562749E-3</v>
      </c>
      <c r="L267" s="163"/>
      <c r="M267" s="255">
        <v>2667.95</v>
      </c>
      <c r="N267" s="134">
        <f t="shared" si="18"/>
        <v>-1.1540883998369833E-2</v>
      </c>
      <c r="O267" s="163"/>
      <c r="P267" s="255">
        <v>21441.35</v>
      </c>
      <c r="Q267" s="134">
        <f t="shared" si="19"/>
        <v>-9.8546508271858402E-3</v>
      </c>
      <c r="R267" s="19"/>
      <c r="S267" s="19"/>
      <c r="T267" s="19"/>
      <c r="X267" s="35"/>
    </row>
    <row r="268" spans="3:24" x14ac:dyDescent="0.3">
      <c r="C268" s="25" t="s">
        <v>341</v>
      </c>
      <c r="D268" s="255">
        <v>2454.25</v>
      </c>
      <c r="E268" s="134">
        <f t="shared" ref="E268:E331" si="20">D268/D267-1</f>
        <v>-1.4772886935228158E-2</v>
      </c>
      <c r="G268" s="255">
        <v>1022.05</v>
      </c>
      <c r="H268" s="134">
        <f t="shared" ref="H268:H331" si="21">G268/G267-1</f>
        <v>-6.5981265707105385E-2</v>
      </c>
      <c r="I268" s="163"/>
      <c r="J268" s="256">
        <v>557.96</v>
      </c>
      <c r="K268" s="134">
        <f t="shared" ref="K268:K331" si="22">J268/J267-1</f>
        <v>-7.3299174494734221E-3</v>
      </c>
      <c r="L268" s="163"/>
      <c r="M268" s="255">
        <v>2643.45</v>
      </c>
      <c r="N268" s="134">
        <f t="shared" ref="N268:N331" si="23">M268/M267-1</f>
        <v>-9.1830806424407774E-3</v>
      </c>
      <c r="O268" s="163"/>
      <c r="P268" s="255">
        <v>21349.4</v>
      </c>
      <c r="Q268" s="134">
        <f t="shared" ref="Q268:Q331" si="24">P268/P267-1</f>
        <v>-4.2884426586944357E-3</v>
      </c>
      <c r="R268" s="19"/>
      <c r="S268" s="19"/>
      <c r="T268" s="19"/>
      <c r="X268" s="35"/>
    </row>
    <row r="269" spans="3:24" x14ac:dyDescent="0.3">
      <c r="C269" s="25" t="s">
        <v>342</v>
      </c>
      <c r="D269" s="255">
        <v>2396</v>
      </c>
      <c r="E269" s="134">
        <f t="shared" si="20"/>
        <v>-2.373433839258432E-2</v>
      </c>
      <c r="G269" s="255">
        <v>1009.65</v>
      </c>
      <c r="H269" s="134">
        <f t="shared" si="21"/>
        <v>-1.2132478841543892E-2</v>
      </c>
      <c r="I269" s="163"/>
      <c r="J269" s="256">
        <v>554.30999999999995</v>
      </c>
      <c r="K269" s="134">
        <f t="shared" si="22"/>
        <v>-6.5416875761704629E-3</v>
      </c>
      <c r="L269" s="163"/>
      <c r="M269" s="255">
        <v>2616.1</v>
      </c>
      <c r="N269" s="134">
        <f t="shared" si="23"/>
        <v>-1.0346327715674564E-2</v>
      </c>
      <c r="O269" s="163"/>
      <c r="P269" s="255">
        <v>21255.05</v>
      </c>
      <c r="Q269" s="134">
        <f t="shared" si="24"/>
        <v>-4.4193279436425259E-3</v>
      </c>
      <c r="R269" s="19"/>
      <c r="S269" s="19"/>
      <c r="T269" s="19"/>
      <c r="X269" s="35"/>
    </row>
    <row r="270" spans="3:24" x14ac:dyDescent="0.3">
      <c r="C270" s="25" t="s">
        <v>343</v>
      </c>
      <c r="D270" s="255">
        <v>2371.1</v>
      </c>
      <c r="E270" s="134">
        <f t="shared" si="20"/>
        <v>-1.0392320534223787E-2</v>
      </c>
      <c r="G270" s="256">
        <v>988.6</v>
      </c>
      <c r="H270" s="134">
        <f t="shared" si="21"/>
        <v>-2.0848808993215395E-2</v>
      </c>
      <c r="I270" s="163"/>
      <c r="J270" s="256">
        <v>548.89</v>
      </c>
      <c r="K270" s="134">
        <f t="shared" si="22"/>
        <v>-9.7779221013511997E-3</v>
      </c>
      <c r="L270" s="163"/>
      <c r="M270" s="255">
        <v>2584.1999999999998</v>
      </c>
      <c r="N270" s="134">
        <f t="shared" si="23"/>
        <v>-1.219372348151837E-2</v>
      </c>
      <c r="O270" s="163"/>
      <c r="P270" s="255">
        <v>21150.15</v>
      </c>
      <c r="Q270" s="134">
        <f t="shared" si="24"/>
        <v>-4.9352977292453915E-3</v>
      </c>
      <c r="R270" s="19"/>
      <c r="S270" s="19"/>
      <c r="T270" s="19"/>
      <c r="X270" s="35"/>
    </row>
    <row r="271" spans="3:24" x14ac:dyDescent="0.3">
      <c r="C271" s="25" t="s">
        <v>344</v>
      </c>
      <c r="D271" s="255">
        <v>2430.15</v>
      </c>
      <c r="E271" s="134">
        <f t="shared" si="20"/>
        <v>2.4904052971194801E-2</v>
      </c>
      <c r="G271" s="255">
        <v>1033.25</v>
      </c>
      <c r="H271" s="134">
        <f t="shared" si="21"/>
        <v>4.5164879627756394E-2</v>
      </c>
      <c r="I271" s="163"/>
      <c r="J271" s="256">
        <v>574.02</v>
      </c>
      <c r="K271" s="134">
        <f t="shared" si="22"/>
        <v>4.5783308130955103E-2</v>
      </c>
      <c r="L271" s="163"/>
      <c r="M271" s="255">
        <v>2648.75</v>
      </c>
      <c r="N271" s="134">
        <f t="shared" si="23"/>
        <v>2.4978716817583901E-2</v>
      </c>
      <c r="O271" s="163"/>
      <c r="P271" s="255">
        <v>21453.1</v>
      </c>
      <c r="Q271" s="134">
        <f t="shared" si="24"/>
        <v>1.4323775481497547E-2</v>
      </c>
      <c r="R271" s="19"/>
      <c r="S271" s="19"/>
      <c r="T271" s="19"/>
      <c r="X271" s="35"/>
    </row>
    <row r="272" spans="3:24" x14ac:dyDescent="0.3">
      <c r="C272" s="25" t="s">
        <v>345</v>
      </c>
      <c r="D272" s="255">
        <v>2437.9499999999998</v>
      </c>
      <c r="E272" s="134">
        <f t="shared" si="20"/>
        <v>3.2096784149124868E-3</v>
      </c>
      <c r="G272" s="255">
        <v>1034.2</v>
      </c>
      <c r="H272" s="134">
        <f t="shared" si="21"/>
        <v>9.194289862086702E-4</v>
      </c>
      <c r="I272" s="163"/>
      <c r="J272" s="256">
        <v>581.89</v>
      </c>
      <c r="K272" s="134">
        <f t="shared" si="22"/>
        <v>1.3710323682101677E-2</v>
      </c>
      <c r="L272" s="163"/>
      <c r="M272" s="255">
        <v>2647.5</v>
      </c>
      <c r="N272" s="134">
        <f t="shared" si="23"/>
        <v>-4.7192071731949614E-4</v>
      </c>
      <c r="O272" s="163"/>
      <c r="P272" s="255">
        <v>21418.65</v>
      </c>
      <c r="Q272" s="134">
        <f t="shared" si="24"/>
        <v>-1.6058285282778417E-3</v>
      </c>
      <c r="R272" s="19"/>
      <c r="S272" s="19"/>
      <c r="T272" s="19"/>
      <c r="W272" s="38"/>
      <c r="X272" s="35"/>
    </row>
    <row r="273" spans="3:24" x14ac:dyDescent="0.3">
      <c r="C273" s="25" t="s">
        <v>346</v>
      </c>
      <c r="D273" s="255">
        <v>2439.75</v>
      </c>
      <c r="E273" s="134">
        <f t="shared" si="20"/>
        <v>7.3832523226480262E-4</v>
      </c>
      <c r="G273" s="255">
        <v>1030</v>
      </c>
      <c r="H273" s="134">
        <f t="shared" si="21"/>
        <v>-4.061110036743365E-3</v>
      </c>
      <c r="I273" s="163"/>
      <c r="J273" s="256">
        <v>586.01</v>
      </c>
      <c r="K273" s="134">
        <f t="shared" si="22"/>
        <v>7.0803760160855767E-3</v>
      </c>
      <c r="L273" s="163"/>
      <c r="M273" s="255">
        <v>2651.05</v>
      </c>
      <c r="N273" s="134">
        <f t="shared" si="23"/>
        <v>1.3408876298395267E-3</v>
      </c>
      <c r="O273" s="163"/>
      <c r="P273" s="255">
        <v>21456.65</v>
      </c>
      <c r="Q273" s="134">
        <f t="shared" si="24"/>
        <v>1.7741547669904989E-3</v>
      </c>
      <c r="R273" s="19"/>
      <c r="S273" s="19"/>
      <c r="T273" s="19"/>
      <c r="W273" s="38"/>
      <c r="X273" s="35"/>
    </row>
    <row r="274" spans="3:24" x14ac:dyDescent="0.3">
      <c r="C274" s="25" t="s">
        <v>347</v>
      </c>
      <c r="D274" s="255">
        <v>2421.4</v>
      </c>
      <c r="E274" s="134">
        <f t="shared" si="20"/>
        <v>-7.5212624244287429E-3</v>
      </c>
      <c r="G274" s="255">
        <v>1008.4</v>
      </c>
      <c r="H274" s="134">
        <f t="shared" si="21"/>
        <v>-2.0970873786407829E-2</v>
      </c>
      <c r="I274" s="163"/>
      <c r="J274" s="256">
        <v>574.54999999999995</v>
      </c>
      <c r="K274" s="134">
        <f t="shared" si="22"/>
        <v>-1.955598027337424E-2</v>
      </c>
      <c r="L274" s="163"/>
      <c r="M274" s="255">
        <v>2634.3</v>
      </c>
      <c r="N274" s="134">
        <f t="shared" si="23"/>
        <v>-6.3182512589351481E-3</v>
      </c>
      <c r="O274" s="163"/>
      <c r="P274" s="255">
        <v>21182.7</v>
      </c>
      <c r="Q274" s="134">
        <f t="shared" si="24"/>
        <v>-1.2767603516858461E-2</v>
      </c>
      <c r="R274" s="19"/>
      <c r="S274" s="19"/>
      <c r="T274" s="19"/>
      <c r="W274" s="38"/>
      <c r="X274" s="35"/>
    </row>
    <row r="275" spans="3:24" x14ac:dyDescent="0.3">
      <c r="C275" s="25" t="s">
        <v>348</v>
      </c>
      <c r="D275" s="255">
        <v>2411.5500000000002</v>
      </c>
      <c r="E275" s="134">
        <f t="shared" si="20"/>
        <v>-4.0678946064259813E-3</v>
      </c>
      <c r="G275" s="255">
        <v>1006.75</v>
      </c>
      <c r="H275" s="134">
        <f t="shared" si="21"/>
        <v>-1.6362554541847762E-3</v>
      </c>
      <c r="I275" s="163"/>
      <c r="J275" s="256">
        <v>574.84</v>
      </c>
      <c r="K275" s="134">
        <f t="shared" si="22"/>
        <v>5.0474284222445931E-4</v>
      </c>
      <c r="L275" s="163"/>
      <c r="M275" s="255">
        <v>2623.25</v>
      </c>
      <c r="N275" s="134">
        <f t="shared" si="23"/>
        <v>-4.1946627187489094E-3</v>
      </c>
      <c r="O275" s="163"/>
      <c r="P275" s="255">
        <v>20926.349999999999</v>
      </c>
      <c r="Q275" s="134">
        <f t="shared" si="24"/>
        <v>-1.2101856703819691E-2</v>
      </c>
      <c r="R275" s="19"/>
      <c r="S275" s="19"/>
      <c r="T275" s="19"/>
      <c r="W275" s="38"/>
      <c r="X275" s="35"/>
    </row>
    <row r="276" spans="3:24" x14ac:dyDescent="0.3">
      <c r="C276" s="160">
        <v>45272</v>
      </c>
      <c r="D276" s="255">
        <v>2378.5</v>
      </c>
      <c r="E276" s="134">
        <f t="shared" si="20"/>
        <v>-1.3704878605046655E-2</v>
      </c>
      <c r="F276" s="34"/>
      <c r="G276" s="255">
        <v>1005.75</v>
      </c>
      <c r="H276" s="134">
        <f t="shared" si="21"/>
        <v>-9.9329525701519206E-4</v>
      </c>
      <c r="I276" s="163"/>
      <c r="J276" s="256">
        <v>573.29999999999995</v>
      </c>
      <c r="K276" s="134">
        <f t="shared" si="22"/>
        <v>-2.6790063321968649E-3</v>
      </c>
      <c r="L276" s="163"/>
      <c r="M276" s="255">
        <v>2607.5</v>
      </c>
      <c r="N276" s="134">
        <f t="shared" si="23"/>
        <v>-6.0040026684455849E-3</v>
      </c>
      <c r="O276" s="163"/>
      <c r="P276" s="255">
        <v>20906.400000000001</v>
      </c>
      <c r="Q276" s="134">
        <f t="shared" si="24"/>
        <v>-9.5334351188802735E-4</v>
      </c>
      <c r="R276" s="19"/>
      <c r="S276" s="19"/>
      <c r="T276" s="19"/>
      <c r="W276" s="38"/>
      <c r="X276" s="35"/>
    </row>
    <row r="277" spans="3:24" x14ac:dyDescent="0.3">
      <c r="C277" s="160">
        <v>45242</v>
      </c>
      <c r="D277" s="255">
        <v>2431.75</v>
      </c>
      <c r="E277" s="134">
        <f t="shared" si="20"/>
        <v>2.2388059701492491E-2</v>
      </c>
      <c r="F277" s="34"/>
      <c r="G277" s="255">
        <v>1018.05</v>
      </c>
      <c r="H277" s="134">
        <f t="shared" si="21"/>
        <v>1.2229679343773281E-2</v>
      </c>
      <c r="I277" s="163"/>
      <c r="J277" s="256">
        <v>577.96</v>
      </c>
      <c r="K277" s="134">
        <f t="shared" si="22"/>
        <v>8.1283795569511152E-3</v>
      </c>
      <c r="L277" s="163"/>
      <c r="M277" s="255">
        <v>2545.5500000000002</v>
      </c>
      <c r="N277" s="134">
        <f t="shared" si="23"/>
        <v>-2.3758389261744894E-2</v>
      </c>
      <c r="O277" s="163"/>
      <c r="P277" s="255">
        <v>20997.1</v>
      </c>
      <c r="Q277" s="134">
        <f t="shared" si="24"/>
        <v>4.3383844181683617E-3</v>
      </c>
      <c r="R277" s="19"/>
      <c r="S277" s="19"/>
      <c r="T277" s="19"/>
      <c r="W277" s="38"/>
      <c r="X277" s="35"/>
    </row>
    <row r="278" spans="3:24" x14ac:dyDescent="0.3">
      <c r="C278" s="160">
        <v>45150</v>
      </c>
      <c r="D278" s="255">
        <v>2423.1</v>
      </c>
      <c r="E278" s="134">
        <f t="shared" si="20"/>
        <v>-3.5571090778246939E-3</v>
      </c>
      <c r="F278" s="34"/>
      <c r="G278" s="256">
        <v>996.85</v>
      </c>
      <c r="H278" s="134">
        <f t="shared" si="21"/>
        <v>-2.082412455183924E-2</v>
      </c>
      <c r="I278" s="163"/>
      <c r="J278" s="256">
        <v>561.12</v>
      </c>
      <c r="K278" s="134">
        <f t="shared" si="22"/>
        <v>-2.9136964495812934E-2</v>
      </c>
      <c r="L278" s="163"/>
      <c r="M278" s="255">
        <v>2561.65</v>
      </c>
      <c r="N278" s="134">
        <f t="shared" si="23"/>
        <v>6.3247628213942697E-3</v>
      </c>
      <c r="O278" s="163"/>
      <c r="P278" s="255">
        <v>20969.400000000001</v>
      </c>
      <c r="Q278" s="134">
        <f t="shared" si="24"/>
        <v>-1.3192297984006007E-3</v>
      </c>
      <c r="R278" s="19"/>
      <c r="S278" s="19"/>
      <c r="T278" s="19"/>
      <c r="W278" s="38"/>
      <c r="X278" s="35"/>
    </row>
    <row r="279" spans="3:24" x14ac:dyDescent="0.3">
      <c r="C279" s="160">
        <v>45119</v>
      </c>
      <c r="D279" s="255">
        <v>2442.1999999999998</v>
      </c>
      <c r="E279" s="134">
        <f t="shared" si="20"/>
        <v>7.8824646114481478E-3</v>
      </c>
      <c r="F279" s="34"/>
      <c r="G279" s="255">
        <v>1018.25</v>
      </c>
      <c r="H279" s="134">
        <f t="shared" si="21"/>
        <v>2.1467623012489279E-2</v>
      </c>
      <c r="I279" s="163"/>
      <c r="J279" s="256">
        <v>562.85</v>
      </c>
      <c r="K279" s="134">
        <f t="shared" si="22"/>
        <v>3.0831194753351276E-3</v>
      </c>
      <c r="L279" s="163"/>
      <c r="M279" s="255">
        <v>2588.85</v>
      </c>
      <c r="N279" s="134">
        <f t="shared" si="23"/>
        <v>1.0618156266468892E-2</v>
      </c>
      <c r="O279" s="163"/>
      <c r="P279" s="255">
        <v>20901.150000000001</v>
      </c>
      <c r="Q279" s="134">
        <f t="shared" si="24"/>
        <v>-3.2547426249678324E-3</v>
      </c>
      <c r="R279" s="19"/>
      <c r="S279" s="19"/>
      <c r="T279" s="19"/>
      <c r="W279" s="38"/>
      <c r="X279" s="35"/>
    </row>
    <row r="280" spans="3:24" x14ac:dyDescent="0.3">
      <c r="C280" s="160">
        <v>45089</v>
      </c>
      <c r="D280" s="255">
        <v>2452.1</v>
      </c>
      <c r="E280" s="134">
        <f t="shared" si="20"/>
        <v>4.0537220538858776E-3</v>
      </c>
      <c r="F280" s="34"/>
      <c r="G280" s="255">
        <v>1011.9</v>
      </c>
      <c r="H280" s="134">
        <f t="shared" si="21"/>
        <v>-6.2361895408790113E-3</v>
      </c>
      <c r="I280" s="163"/>
      <c r="J280" s="256">
        <v>564.48</v>
      </c>
      <c r="K280" s="134">
        <f t="shared" si="22"/>
        <v>2.89597583725687E-3</v>
      </c>
      <c r="L280" s="163"/>
      <c r="M280" s="255">
        <v>2576.15</v>
      </c>
      <c r="N280" s="134">
        <f t="shared" si="23"/>
        <v>-4.9056530892094274E-3</v>
      </c>
      <c r="O280" s="163"/>
      <c r="P280" s="255">
        <v>20937.7</v>
      </c>
      <c r="Q280" s="134">
        <f t="shared" si="24"/>
        <v>1.7487076069977459E-3</v>
      </c>
      <c r="R280" s="19"/>
      <c r="S280" s="19"/>
      <c r="T280" s="19"/>
      <c r="W280" s="38"/>
      <c r="X280" s="35"/>
    </row>
    <row r="281" spans="3:24" x14ac:dyDescent="0.3">
      <c r="C281" s="160">
        <v>45058</v>
      </c>
      <c r="D281" s="255">
        <v>2455.4499999999998</v>
      </c>
      <c r="E281" s="134">
        <f t="shared" si="20"/>
        <v>1.3661759308347676E-3</v>
      </c>
      <c r="F281" s="34"/>
      <c r="G281" s="256">
        <v>983.2</v>
      </c>
      <c r="H281" s="134">
        <f t="shared" si="21"/>
        <v>-2.8362486411700694E-2</v>
      </c>
      <c r="I281" s="163"/>
      <c r="J281" s="256">
        <v>557.72</v>
      </c>
      <c r="K281" s="134">
        <f t="shared" si="22"/>
        <v>-1.1975623582766382E-2</v>
      </c>
      <c r="L281" s="163"/>
      <c r="M281" s="255">
        <v>2571</v>
      </c>
      <c r="N281" s="134">
        <f t="shared" si="23"/>
        <v>-1.9991071948450845E-3</v>
      </c>
      <c r="O281" s="163"/>
      <c r="P281" s="255">
        <v>20855.099999999999</v>
      </c>
      <c r="Q281" s="134">
        <f t="shared" si="24"/>
        <v>-3.9450369429308019E-3</v>
      </c>
      <c r="R281" s="19"/>
      <c r="S281" s="19"/>
      <c r="T281" s="19"/>
      <c r="W281" s="38"/>
      <c r="X281" s="35"/>
    </row>
    <row r="282" spans="3:24" x14ac:dyDescent="0.3">
      <c r="C282" s="160">
        <v>45028</v>
      </c>
      <c r="D282" s="255">
        <v>2427.4499999999998</v>
      </c>
      <c r="E282" s="134">
        <f t="shared" si="20"/>
        <v>-1.1403205115152026E-2</v>
      </c>
      <c r="F282" s="34"/>
      <c r="G282" s="256">
        <v>973.05</v>
      </c>
      <c r="H282" s="134">
        <f t="shared" si="21"/>
        <v>-1.0323433685923589E-2</v>
      </c>
      <c r="I282" s="163"/>
      <c r="J282" s="256">
        <v>555.08000000000004</v>
      </c>
      <c r="K282" s="134">
        <f t="shared" si="22"/>
        <v>-4.7335580578067304E-3</v>
      </c>
      <c r="L282" s="163"/>
      <c r="M282" s="255">
        <v>2553.4499999999998</v>
      </c>
      <c r="N282" s="134">
        <f t="shared" si="23"/>
        <v>-6.8261376896150416E-3</v>
      </c>
      <c r="O282" s="163"/>
      <c r="P282" s="255">
        <v>20686.8</v>
      </c>
      <c r="Q282" s="134">
        <f t="shared" si="24"/>
        <v>-8.069968496914437E-3</v>
      </c>
      <c r="R282" s="19"/>
      <c r="S282" s="19"/>
      <c r="T282" s="19"/>
      <c r="X282" s="35"/>
    </row>
    <row r="283" spans="3:24" x14ac:dyDescent="0.3">
      <c r="C283" s="160">
        <v>44938</v>
      </c>
      <c r="D283" s="255">
        <v>2412.5</v>
      </c>
      <c r="E283" s="134">
        <f t="shared" si="20"/>
        <v>-6.158726235349743E-3</v>
      </c>
      <c r="F283" s="34"/>
      <c r="G283" s="256">
        <v>969.95</v>
      </c>
      <c r="H283" s="134">
        <f t="shared" si="21"/>
        <v>-3.1858588972816237E-3</v>
      </c>
      <c r="I283" s="163"/>
      <c r="J283" s="256">
        <v>551.48</v>
      </c>
      <c r="K283" s="134">
        <f t="shared" si="22"/>
        <v>-6.4855516321972173E-3</v>
      </c>
      <c r="L283" s="163"/>
      <c r="M283" s="255">
        <v>2562.15</v>
      </c>
      <c r="N283" s="134">
        <f t="shared" si="23"/>
        <v>3.4071550255536653E-3</v>
      </c>
      <c r="O283" s="163"/>
      <c r="P283" s="255">
        <v>20267.900000000001</v>
      </c>
      <c r="Q283" s="134">
        <f t="shared" si="24"/>
        <v>-2.024962778196715E-2</v>
      </c>
      <c r="R283" s="19"/>
      <c r="S283" s="19"/>
      <c r="T283" s="19"/>
      <c r="X283" s="35"/>
    </row>
    <row r="284" spans="3:24" x14ac:dyDescent="0.3">
      <c r="C284" s="25" t="s">
        <v>349</v>
      </c>
      <c r="D284" s="255">
        <v>2367.4</v>
      </c>
      <c r="E284" s="134">
        <f t="shared" si="20"/>
        <v>-1.8694300518134699E-2</v>
      </c>
      <c r="G284" s="256">
        <v>970.45</v>
      </c>
      <c r="H284" s="134">
        <f t="shared" si="21"/>
        <v>5.1549048920040974E-4</v>
      </c>
      <c r="I284" s="163"/>
      <c r="J284" s="256">
        <v>547.64</v>
      </c>
      <c r="K284" s="134">
        <f t="shared" si="22"/>
        <v>-6.9630811634148193E-3</v>
      </c>
      <c r="L284" s="163"/>
      <c r="M284" s="255">
        <v>2552.35</v>
      </c>
      <c r="N284" s="134">
        <f t="shared" si="23"/>
        <v>-3.8249126709990477E-3</v>
      </c>
      <c r="O284" s="163"/>
      <c r="P284" s="255">
        <v>20133.150000000001</v>
      </c>
      <c r="Q284" s="134">
        <f t="shared" si="24"/>
        <v>-6.6484440913957554E-3</v>
      </c>
      <c r="R284" s="19"/>
      <c r="S284" s="19"/>
      <c r="T284" s="19"/>
      <c r="X284" s="35"/>
    </row>
    <row r="285" spans="3:24" x14ac:dyDescent="0.3">
      <c r="C285" s="25" t="s">
        <v>350</v>
      </c>
      <c r="D285" s="255">
        <v>2351.6999999999998</v>
      </c>
      <c r="E285" s="134">
        <f t="shared" si="20"/>
        <v>-6.6317479090987064E-3</v>
      </c>
      <c r="G285" s="256">
        <v>972.55</v>
      </c>
      <c r="H285" s="134">
        <f t="shared" si="21"/>
        <v>2.1639445618011344E-3</v>
      </c>
      <c r="I285" s="163"/>
      <c r="J285" s="256">
        <v>546.73</v>
      </c>
      <c r="K285" s="134">
        <f t="shared" si="22"/>
        <v>-1.6616755532831151E-3</v>
      </c>
      <c r="L285" s="163"/>
      <c r="M285" s="255">
        <v>2503.6</v>
      </c>
      <c r="N285" s="134">
        <f t="shared" si="23"/>
        <v>-1.9100045056516524E-2</v>
      </c>
      <c r="O285" s="163"/>
      <c r="P285" s="255">
        <v>20096.599999999999</v>
      </c>
      <c r="Q285" s="134">
        <f t="shared" si="24"/>
        <v>-1.8154138820801746E-3</v>
      </c>
      <c r="R285" s="19"/>
      <c r="S285" s="19"/>
      <c r="T285" s="19"/>
      <c r="X285" s="35"/>
    </row>
    <row r="286" spans="3:24" x14ac:dyDescent="0.3">
      <c r="C286" s="25" t="s">
        <v>351</v>
      </c>
      <c r="D286" s="255">
        <v>2351.6</v>
      </c>
      <c r="E286" s="134">
        <f t="shared" si="20"/>
        <v>-4.2522430582114801E-5</v>
      </c>
      <c r="G286" s="256">
        <v>968.55</v>
      </c>
      <c r="H286" s="134">
        <f t="shared" si="21"/>
        <v>-4.1128990797388854E-3</v>
      </c>
      <c r="I286" s="163"/>
      <c r="J286" s="256">
        <v>540.30999999999995</v>
      </c>
      <c r="K286" s="134">
        <f t="shared" si="22"/>
        <v>-1.1742542022570635E-2</v>
      </c>
      <c r="L286" s="163"/>
      <c r="M286" s="255">
        <v>2488.0500000000002</v>
      </c>
      <c r="N286" s="134">
        <f t="shared" si="23"/>
        <v>-6.2110560792457692E-3</v>
      </c>
      <c r="O286" s="163"/>
      <c r="P286" s="255">
        <v>19889.7</v>
      </c>
      <c r="Q286" s="134">
        <f t="shared" si="24"/>
        <v>-1.0295273827413465E-2</v>
      </c>
      <c r="R286" s="19"/>
      <c r="S286" s="19"/>
      <c r="T286" s="19"/>
      <c r="X286" s="35"/>
    </row>
    <row r="287" spans="3:24" x14ac:dyDescent="0.3">
      <c r="C287" s="25" t="s">
        <v>352</v>
      </c>
      <c r="D287" s="255">
        <v>2359.4</v>
      </c>
      <c r="E287" s="134">
        <f t="shared" si="20"/>
        <v>3.3168906276579424E-3</v>
      </c>
      <c r="G287" s="256">
        <v>960.6</v>
      </c>
      <c r="H287" s="134">
        <f t="shared" si="21"/>
        <v>-8.2081461979246484E-3</v>
      </c>
      <c r="I287" s="163"/>
      <c r="J287" s="256">
        <v>536.13</v>
      </c>
      <c r="K287" s="134">
        <f t="shared" si="22"/>
        <v>-7.736299531750146E-3</v>
      </c>
      <c r="L287" s="163"/>
      <c r="M287" s="255">
        <v>2504.1</v>
      </c>
      <c r="N287" s="134">
        <f t="shared" si="23"/>
        <v>6.450834991258203E-3</v>
      </c>
      <c r="O287" s="163"/>
      <c r="P287" s="255">
        <v>19794.7</v>
      </c>
      <c r="Q287" s="134">
        <f t="shared" si="24"/>
        <v>-4.7763415235021478E-3</v>
      </c>
      <c r="R287" s="19"/>
      <c r="S287" s="19"/>
      <c r="T287" s="19"/>
      <c r="X287" s="35"/>
    </row>
    <row r="288" spans="3:24" x14ac:dyDescent="0.3">
      <c r="C288" s="25" t="s">
        <v>353</v>
      </c>
      <c r="D288" s="255">
        <v>2359.6</v>
      </c>
      <c r="E288" s="134">
        <f t="shared" si="20"/>
        <v>8.4767313723643767E-5</v>
      </c>
      <c r="G288" s="256">
        <v>965.65</v>
      </c>
      <c r="H288" s="134">
        <f t="shared" si="21"/>
        <v>5.2571309598168359E-3</v>
      </c>
      <c r="I288" s="163"/>
      <c r="J288" s="256">
        <v>542.9</v>
      </c>
      <c r="K288" s="134">
        <f t="shared" si="22"/>
        <v>1.2627534366664861E-2</v>
      </c>
      <c r="L288" s="163"/>
      <c r="M288" s="255">
        <v>2509.3000000000002</v>
      </c>
      <c r="N288" s="134">
        <f t="shared" si="23"/>
        <v>2.0765943852083524E-3</v>
      </c>
      <c r="O288" s="163"/>
      <c r="P288" s="255">
        <v>19802</v>
      </c>
      <c r="Q288" s="134">
        <f t="shared" si="24"/>
        <v>3.6878558401998163E-4</v>
      </c>
      <c r="R288" s="19"/>
      <c r="S288" s="19"/>
      <c r="T288" s="19"/>
      <c r="X288" s="35"/>
    </row>
    <row r="289" spans="3:24" x14ac:dyDescent="0.3">
      <c r="C289" s="25" t="s">
        <v>354</v>
      </c>
      <c r="D289" s="255">
        <v>2333.1</v>
      </c>
      <c r="E289" s="134">
        <f t="shared" si="20"/>
        <v>-1.12307170706899E-2</v>
      </c>
      <c r="G289" s="256">
        <v>960.45</v>
      </c>
      <c r="H289" s="134">
        <f t="shared" si="21"/>
        <v>-5.3849738518095824E-3</v>
      </c>
      <c r="I289" s="163"/>
      <c r="J289" s="256">
        <v>542.79999999999995</v>
      </c>
      <c r="K289" s="134">
        <f t="shared" si="22"/>
        <v>-1.8419598452756869E-4</v>
      </c>
      <c r="L289" s="163"/>
      <c r="M289" s="255">
        <v>2488.35</v>
      </c>
      <c r="N289" s="134">
        <f t="shared" si="23"/>
        <v>-8.348941935998222E-3</v>
      </c>
      <c r="O289" s="163"/>
      <c r="P289" s="255">
        <v>19811.849999999999</v>
      </c>
      <c r="Q289" s="134">
        <f t="shared" si="24"/>
        <v>4.974245025755053E-4</v>
      </c>
      <c r="R289" s="19"/>
      <c r="S289" s="19"/>
      <c r="T289" s="19"/>
      <c r="X289" s="35"/>
    </row>
    <row r="290" spans="3:24" x14ac:dyDescent="0.3">
      <c r="C290" s="25" t="s">
        <v>355</v>
      </c>
      <c r="D290" s="255">
        <v>2353.5500000000002</v>
      </c>
      <c r="E290" s="134">
        <f t="shared" si="20"/>
        <v>8.7651622305089383E-3</v>
      </c>
      <c r="G290" s="256">
        <v>961.3</v>
      </c>
      <c r="H290" s="134">
        <f t="shared" si="21"/>
        <v>8.8500182206252553E-4</v>
      </c>
      <c r="I290" s="163"/>
      <c r="J290" s="256">
        <v>539.73</v>
      </c>
      <c r="K290" s="134">
        <f t="shared" si="22"/>
        <v>-5.6558585114221405E-3</v>
      </c>
      <c r="L290" s="163"/>
      <c r="M290" s="255">
        <v>2495.6</v>
      </c>
      <c r="N290" s="134">
        <f t="shared" si="23"/>
        <v>2.9135772700785711E-3</v>
      </c>
      <c r="O290" s="163"/>
      <c r="P290" s="255">
        <v>19783.400000000001</v>
      </c>
      <c r="Q290" s="134">
        <f t="shared" si="24"/>
        <v>-1.4360092570858685E-3</v>
      </c>
      <c r="R290" s="19"/>
      <c r="S290" s="19"/>
      <c r="T290" s="19"/>
      <c r="X290" s="35"/>
    </row>
    <row r="291" spans="3:24" x14ac:dyDescent="0.3">
      <c r="C291" s="25" t="s">
        <v>356</v>
      </c>
      <c r="D291" s="255">
        <v>2329.25</v>
      </c>
      <c r="E291" s="134">
        <f t="shared" si="20"/>
        <v>-1.0324828450638424E-2</v>
      </c>
      <c r="G291" s="256">
        <v>955.7</v>
      </c>
      <c r="H291" s="134">
        <f t="shared" si="21"/>
        <v>-5.825444710288008E-3</v>
      </c>
      <c r="I291" s="163"/>
      <c r="J291" s="256">
        <v>533.69000000000005</v>
      </c>
      <c r="K291" s="134">
        <f t="shared" si="22"/>
        <v>-1.1190780575472847E-2</v>
      </c>
      <c r="L291" s="163"/>
      <c r="M291" s="255">
        <v>2483.5500000000002</v>
      </c>
      <c r="N291" s="134">
        <f t="shared" si="23"/>
        <v>-4.8284981567557894E-3</v>
      </c>
      <c r="O291" s="163"/>
      <c r="P291" s="255">
        <v>19694</v>
      </c>
      <c r="Q291" s="134">
        <f t="shared" si="24"/>
        <v>-4.5189401215161018E-3</v>
      </c>
      <c r="R291" s="19"/>
      <c r="S291" s="19"/>
      <c r="T291" s="19"/>
      <c r="X291" s="35"/>
    </row>
    <row r="292" spans="3:24" x14ac:dyDescent="0.3">
      <c r="C292" s="25" t="s">
        <v>357</v>
      </c>
      <c r="D292" s="255">
        <v>2361.35</v>
      </c>
      <c r="E292" s="134">
        <f t="shared" si="20"/>
        <v>1.3781260062251777E-2</v>
      </c>
      <c r="G292" s="256">
        <v>963.4</v>
      </c>
      <c r="H292" s="134">
        <f t="shared" si="21"/>
        <v>8.0569216281258793E-3</v>
      </c>
      <c r="I292" s="163"/>
      <c r="J292" s="256">
        <v>538.77</v>
      </c>
      <c r="K292" s="134">
        <f t="shared" si="22"/>
        <v>9.5186344132360823E-3</v>
      </c>
      <c r="L292" s="163"/>
      <c r="M292" s="255">
        <v>2510.3000000000002</v>
      </c>
      <c r="N292" s="134">
        <f t="shared" si="23"/>
        <v>1.0770872339997073E-2</v>
      </c>
      <c r="O292" s="163"/>
      <c r="P292" s="255">
        <v>19731.8</v>
      </c>
      <c r="Q292" s="134">
        <f t="shared" si="24"/>
        <v>1.9193663044581033E-3</v>
      </c>
      <c r="R292" s="19"/>
      <c r="S292" s="19"/>
      <c r="T292" s="19"/>
      <c r="X292" s="35"/>
    </row>
    <row r="293" spans="3:24" x14ac:dyDescent="0.3">
      <c r="C293" s="25" t="s">
        <v>358</v>
      </c>
      <c r="D293" s="255">
        <v>2354.0500000000002</v>
      </c>
      <c r="E293" s="134">
        <f t="shared" si="20"/>
        <v>-3.0914519236876492E-3</v>
      </c>
      <c r="G293" s="256">
        <v>954.2</v>
      </c>
      <c r="H293" s="134">
        <f t="shared" si="21"/>
        <v>-9.5495121444881814E-3</v>
      </c>
      <c r="I293" s="163"/>
      <c r="J293" s="256">
        <v>537.53</v>
      </c>
      <c r="K293" s="134">
        <f t="shared" si="22"/>
        <v>-2.3015386899790657E-3</v>
      </c>
      <c r="L293" s="163"/>
      <c r="M293" s="255">
        <v>2459.1</v>
      </c>
      <c r="N293" s="134">
        <f t="shared" si="23"/>
        <v>-2.0395968609329684E-2</v>
      </c>
      <c r="O293" s="163"/>
      <c r="P293" s="255">
        <v>19765.2</v>
      </c>
      <c r="Q293" s="134">
        <f t="shared" si="24"/>
        <v>1.6926990948622489E-3</v>
      </c>
      <c r="R293" s="19"/>
      <c r="S293" s="19"/>
      <c r="T293" s="19"/>
      <c r="X293" s="35"/>
    </row>
    <row r="294" spans="3:24" x14ac:dyDescent="0.3">
      <c r="C294" s="25" t="s">
        <v>359</v>
      </c>
      <c r="D294" s="255">
        <v>2360.8000000000002</v>
      </c>
      <c r="E294" s="134">
        <f t="shared" si="20"/>
        <v>2.8673987383445176E-3</v>
      </c>
      <c r="G294" s="256">
        <v>949.55</v>
      </c>
      <c r="H294" s="134">
        <f t="shared" si="21"/>
        <v>-4.8731922028926178E-3</v>
      </c>
      <c r="I294" s="163"/>
      <c r="J294" s="256">
        <v>538.91999999999996</v>
      </c>
      <c r="K294" s="134">
        <f t="shared" si="22"/>
        <v>2.5859021822036699E-3</v>
      </c>
      <c r="L294" s="163"/>
      <c r="M294" s="255">
        <v>2460.3000000000002</v>
      </c>
      <c r="N294" s="134">
        <f t="shared" si="23"/>
        <v>4.8798340856426314E-4</v>
      </c>
      <c r="O294" s="163"/>
      <c r="P294" s="255">
        <v>19675.45</v>
      </c>
      <c r="Q294" s="134">
        <f t="shared" si="24"/>
        <v>-4.5408090988201533E-3</v>
      </c>
      <c r="R294" s="19"/>
      <c r="S294" s="19"/>
      <c r="T294" s="19"/>
      <c r="W294" s="38"/>
      <c r="X294" s="35"/>
    </row>
    <row r="295" spans="3:24" x14ac:dyDescent="0.3">
      <c r="C295" s="25" t="s">
        <v>360</v>
      </c>
      <c r="D295" s="255">
        <v>2336.9499999999998</v>
      </c>
      <c r="E295" s="134">
        <f t="shared" si="20"/>
        <v>-1.010250762453424E-2</v>
      </c>
      <c r="G295" s="256">
        <v>946.65</v>
      </c>
      <c r="H295" s="134">
        <f t="shared" si="21"/>
        <v>-3.0540782475909634E-3</v>
      </c>
      <c r="I295" s="163"/>
      <c r="J295" s="256">
        <v>530.04</v>
      </c>
      <c r="K295" s="134">
        <f t="shared" si="22"/>
        <v>-1.6477399242930346E-2</v>
      </c>
      <c r="L295" s="163"/>
      <c r="M295" s="255">
        <v>2428.6</v>
      </c>
      <c r="N295" s="134">
        <f t="shared" si="23"/>
        <v>-1.2884607568182882E-2</v>
      </c>
      <c r="O295" s="163"/>
      <c r="P295" s="255">
        <v>19443.55</v>
      </c>
      <c r="Q295" s="134">
        <f t="shared" si="24"/>
        <v>-1.1786261559456168E-2</v>
      </c>
      <c r="R295" s="19"/>
      <c r="S295" s="19"/>
      <c r="T295" s="19"/>
      <c r="W295" s="38"/>
      <c r="X295" s="35"/>
    </row>
    <row r="296" spans="3:24" x14ac:dyDescent="0.3">
      <c r="C296" s="160">
        <v>45271</v>
      </c>
      <c r="D296" s="255">
        <v>2348.0500000000002</v>
      </c>
      <c r="E296" s="134">
        <f t="shared" si="20"/>
        <v>4.7497806970626666E-3</v>
      </c>
      <c r="F296" s="34"/>
      <c r="G296" s="256">
        <v>966.3</v>
      </c>
      <c r="H296" s="134">
        <f t="shared" si="21"/>
        <v>2.075740770083967E-2</v>
      </c>
      <c r="I296" s="163"/>
      <c r="J296" s="256">
        <v>555.85</v>
      </c>
      <c r="K296" s="134">
        <f t="shared" si="22"/>
        <v>4.869443815561092E-2</v>
      </c>
      <c r="L296" s="163"/>
      <c r="M296" s="255">
        <v>2440.9</v>
      </c>
      <c r="N296" s="134">
        <f t="shared" si="23"/>
        <v>5.064646298278852E-3</v>
      </c>
      <c r="O296" s="163"/>
      <c r="P296" s="255">
        <v>19525.55</v>
      </c>
      <c r="Q296" s="134">
        <f t="shared" si="24"/>
        <v>4.2173368546380985E-3</v>
      </c>
      <c r="R296" s="19"/>
      <c r="S296" s="19"/>
      <c r="T296" s="19"/>
      <c r="W296" s="38"/>
      <c r="X296" s="35"/>
    </row>
    <row r="297" spans="3:24" x14ac:dyDescent="0.3">
      <c r="C297" s="160">
        <v>45210</v>
      </c>
      <c r="D297" s="255">
        <v>2351.1999999999998</v>
      </c>
      <c r="E297" s="134">
        <f t="shared" si="20"/>
        <v>1.341538723621527E-3</v>
      </c>
      <c r="F297" s="34"/>
      <c r="G297" s="256">
        <v>963.95</v>
      </c>
      <c r="H297" s="134">
        <f t="shared" si="21"/>
        <v>-2.4319569491875193E-3</v>
      </c>
      <c r="I297" s="163"/>
      <c r="J297" s="256">
        <v>525.01</v>
      </c>
      <c r="K297" s="134">
        <f t="shared" si="22"/>
        <v>-5.5482594225060744E-2</v>
      </c>
      <c r="L297" s="163"/>
      <c r="M297" s="255">
        <v>2432.35</v>
      </c>
      <c r="N297" s="134">
        <f t="shared" si="23"/>
        <v>-3.5028063419231259E-3</v>
      </c>
      <c r="O297" s="163"/>
      <c r="P297" s="255">
        <v>19425.349999999999</v>
      </c>
      <c r="Q297" s="134">
        <f t="shared" si="24"/>
        <v>-5.1317376463146935E-3</v>
      </c>
      <c r="R297" s="19"/>
      <c r="S297" s="19"/>
      <c r="T297" s="19"/>
      <c r="W297" s="38"/>
      <c r="X297" s="35"/>
    </row>
    <row r="298" spans="3:24" x14ac:dyDescent="0.3">
      <c r="C298" s="160">
        <v>45180</v>
      </c>
      <c r="D298" s="255">
        <v>2337.35</v>
      </c>
      <c r="E298" s="134">
        <f t="shared" si="20"/>
        <v>-5.8906090506974929E-3</v>
      </c>
      <c r="F298" s="34"/>
      <c r="G298" s="256">
        <v>959.1</v>
      </c>
      <c r="H298" s="134">
        <f t="shared" si="21"/>
        <v>-5.0313812957103465E-3</v>
      </c>
      <c r="I298" s="163"/>
      <c r="J298" s="256">
        <v>528.08000000000004</v>
      </c>
      <c r="K298" s="134">
        <f t="shared" si="22"/>
        <v>5.847507666520757E-3</v>
      </c>
      <c r="L298" s="163"/>
      <c r="M298" s="255">
        <v>2457.5500000000002</v>
      </c>
      <c r="N298" s="134">
        <f t="shared" si="23"/>
        <v>1.0360351100787479E-2</v>
      </c>
      <c r="O298" s="163"/>
      <c r="P298" s="255">
        <v>19395.3</v>
      </c>
      <c r="Q298" s="134">
        <f t="shared" si="24"/>
        <v>-1.5469476740443966E-3</v>
      </c>
      <c r="R298" s="19"/>
      <c r="S298" s="19"/>
      <c r="T298" s="19"/>
      <c r="W298" s="38"/>
      <c r="X298" s="35"/>
    </row>
    <row r="299" spans="3:24" x14ac:dyDescent="0.3">
      <c r="C299" s="160">
        <v>45149</v>
      </c>
      <c r="D299" s="255">
        <v>2352.6</v>
      </c>
      <c r="E299" s="134">
        <f t="shared" si="20"/>
        <v>6.5244828545147904E-3</v>
      </c>
      <c r="F299" s="34"/>
      <c r="G299" s="256">
        <v>958.45</v>
      </c>
      <c r="H299" s="134">
        <f t="shared" si="21"/>
        <v>-6.7771869460953038E-4</v>
      </c>
      <c r="I299" s="163"/>
      <c r="J299" s="256">
        <v>532.91999999999996</v>
      </c>
      <c r="K299" s="134">
        <f t="shared" si="22"/>
        <v>9.1652779881834512E-3</v>
      </c>
      <c r="L299" s="163"/>
      <c r="M299" s="255">
        <v>2473.15</v>
      </c>
      <c r="N299" s="134">
        <f t="shared" si="23"/>
        <v>6.3477853960245412E-3</v>
      </c>
      <c r="O299" s="163"/>
      <c r="P299" s="255">
        <v>19443.5</v>
      </c>
      <c r="Q299" s="134">
        <f t="shared" si="24"/>
        <v>2.4851381520265559E-3</v>
      </c>
      <c r="R299" s="19"/>
      <c r="S299" s="19"/>
      <c r="T299" s="19"/>
      <c r="W299" s="38"/>
      <c r="X299" s="35"/>
    </row>
    <row r="300" spans="3:24" x14ac:dyDescent="0.3">
      <c r="C300" s="160">
        <v>45118</v>
      </c>
      <c r="D300" s="255">
        <v>2341.1999999999998</v>
      </c>
      <c r="E300" s="134">
        <f t="shared" si="20"/>
        <v>-4.8457026268808878E-3</v>
      </c>
      <c r="F300" s="34"/>
      <c r="G300" s="256">
        <v>963.7</v>
      </c>
      <c r="H300" s="134">
        <f t="shared" si="21"/>
        <v>5.4775940320308525E-3</v>
      </c>
      <c r="I300" s="163"/>
      <c r="J300" s="256">
        <v>529.52</v>
      </c>
      <c r="K300" s="134">
        <f t="shared" si="22"/>
        <v>-6.3799444569541119E-3</v>
      </c>
      <c r="L300" s="163"/>
      <c r="M300" s="255">
        <v>2438.3000000000002</v>
      </c>
      <c r="N300" s="134">
        <f t="shared" si="23"/>
        <v>-1.4091341002365421E-2</v>
      </c>
      <c r="O300" s="163"/>
      <c r="P300" s="255">
        <v>19406.7</v>
      </c>
      <c r="Q300" s="134">
        <f t="shared" si="24"/>
        <v>-1.8926633579344765E-3</v>
      </c>
      <c r="R300" s="19"/>
      <c r="S300" s="19"/>
      <c r="T300" s="19"/>
      <c r="W300" s="38"/>
      <c r="X300" s="35"/>
    </row>
    <row r="301" spans="3:24" x14ac:dyDescent="0.3">
      <c r="C301" s="160">
        <v>45088</v>
      </c>
      <c r="D301" s="255">
        <v>2337.1999999999998</v>
      </c>
      <c r="E301" s="134">
        <f t="shared" si="20"/>
        <v>-1.708525542456818E-3</v>
      </c>
      <c r="F301" s="34"/>
      <c r="G301" s="256">
        <v>973.35</v>
      </c>
      <c r="H301" s="134">
        <f t="shared" si="21"/>
        <v>1.0013489675210208E-2</v>
      </c>
      <c r="I301" s="163"/>
      <c r="J301" s="256">
        <v>532.05999999999995</v>
      </c>
      <c r="K301" s="134">
        <f t="shared" si="22"/>
        <v>4.7967970992597309E-3</v>
      </c>
      <c r="L301" s="163"/>
      <c r="M301" s="255">
        <v>2433.6999999999998</v>
      </c>
      <c r="N301" s="134">
        <f t="shared" si="23"/>
        <v>-1.8865603084117222E-3</v>
      </c>
      <c r="O301" s="163"/>
      <c r="P301" s="255">
        <v>19411.75</v>
      </c>
      <c r="Q301" s="134">
        <f t="shared" si="24"/>
        <v>2.6021940876086447E-4</v>
      </c>
      <c r="R301" s="19"/>
      <c r="S301" s="19"/>
      <c r="T301" s="19"/>
      <c r="W301" s="38"/>
      <c r="X301" s="35"/>
    </row>
    <row r="302" spans="3:24" x14ac:dyDescent="0.3">
      <c r="C302" s="160">
        <v>44996</v>
      </c>
      <c r="D302" s="255">
        <v>2253.35</v>
      </c>
      <c r="E302" s="134">
        <f t="shared" si="20"/>
        <v>-3.5876262194078357E-2</v>
      </c>
      <c r="F302" s="34"/>
      <c r="G302" s="256">
        <v>958.6</v>
      </c>
      <c r="H302" s="134">
        <f t="shared" si="21"/>
        <v>-1.5153850105306454E-2</v>
      </c>
      <c r="I302" s="163"/>
      <c r="J302" s="256">
        <v>528.32000000000005</v>
      </c>
      <c r="K302" s="134">
        <f t="shared" si="22"/>
        <v>-7.0292824117579311E-3</v>
      </c>
      <c r="L302" s="163"/>
      <c r="M302" s="255">
        <v>2455.5</v>
      </c>
      <c r="N302" s="134">
        <f t="shared" si="23"/>
        <v>8.9575543411266612E-3</v>
      </c>
      <c r="O302" s="163"/>
      <c r="P302" s="255">
        <v>19230.599999999999</v>
      </c>
      <c r="Q302" s="134">
        <f t="shared" si="24"/>
        <v>-9.3319767666490971E-3</v>
      </c>
      <c r="R302" s="19"/>
      <c r="S302" s="19"/>
      <c r="T302" s="19"/>
      <c r="X302" s="35"/>
    </row>
    <row r="303" spans="3:24" x14ac:dyDescent="0.3">
      <c r="C303" s="160">
        <v>44968</v>
      </c>
      <c r="D303" s="255">
        <v>2238.4499999999998</v>
      </c>
      <c r="E303" s="134">
        <f t="shared" si="20"/>
        <v>-6.6123771273881582E-3</v>
      </c>
      <c r="F303" s="34"/>
      <c r="G303" s="256">
        <v>959.05</v>
      </c>
      <c r="H303" s="134">
        <f t="shared" si="21"/>
        <v>4.6943459211346017E-4</v>
      </c>
      <c r="I303" s="163"/>
      <c r="J303" s="256">
        <v>518.44000000000005</v>
      </c>
      <c r="K303" s="134">
        <f t="shared" si="22"/>
        <v>-1.870078740157477E-2</v>
      </c>
      <c r="L303" s="163"/>
      <c r="M303" s="255">
        <v>2428.3000000000002</v>
      </c>
      <c r="N303" s="134">
        <f t="shared" si="23"/>
        <v>-1.1077173691712461E-2</v>
      </c>
      <c r="O303" s="163"/>
      <c r="P303" s="255">
        <v>19133.25</v>
      </c>
      <c r="Q303" s="134">
        <f t="shared" si="24"/>
        <v>-5.0622445477519484E-3</v>
      </c>
      <c r="R303" s="19"/>
      <c r="S303" s="19"/>
      <c r="T303" s="19"/>
      <c r="X303" s="35"/>
    </row>
    <row r="304" spans="3:24" x14ac:dyDescent="0.3">
      <c r="C304" s="160">
        <v>44937</v>
      </c>
      <c r="D304" s="255">
        <v>2183.4</v>
      </c>
      <c r="E304" s="134">
        <f t="shared" si="20"/>
        <v>-2.4592910272733248E-2</v>
      </c>
      <c r="F304" s="34"/>
      <c r="G304" s="256">
        <v>950.35</v>
      </c>
      <c r="H304" s="134">
        <f t="shared" si="21"/>
        <v>-9.0714769824304931E-3</v>
      </c>
      <c r="I304" s="163"/>
      <c r="J304" s="256">
        <v>510.28</v>
      </c>
      <c r="K304" s="134">
        <f t="shared" si="22"/>
        <v>-1.5739526271121185E-2</v>
      </c>
      <c r="L304" s="163"/>
      <c r="M304" s="255">
        <v>2406.35</v>
      </c>
      <c r="N304" s="134">
        <f t="shared" si="23"/>
        <v>-9.0392455627394952E-3</v>
      </c>
      <c r="O304" s="163"/>
      <c r="P304" s="255">
        <v>18989.150000000001</v>
      </c>
      <c r="Q304" s="134">
        <f t="shared" si="24"/>
        <v>-7.5313916872459252E-3</v>
      </c>
      <c r="R304" s="19"/>
      <c r="S304" s="19"/>
      <c r="T304" s="19"/>
      <c r="X304" s="35"/>
    </row>
    <row r="305" spans="3:24" x14ac:dyDescent="0.3">
      <c r="C305" s="25" t="s">
        <v>361</v>
      </c>
      <c r="D305" s="255">
        <v>2195.3000000000002</v>
      </c>
      <c r="E305" s="134">
        <f t="shared" si="20"/>
        <v>5.4502152606028531E-3</v>
      </c>
      <c r="G305" s="256">
        <v>959.2</v>
      </c>
      <c r="H305" s="134">
        <f t="shared" si="21"/>
        <v>9.3123586047245688E-3</v>
      </c>
      <c r="I305" s="163"/>
      <c r="J305" s="256">
        <v>518.34</v>
      </c>
      <c r="K305" s="134">
        <f t="shared" si="22"/>
        <v>1.5795249666849642E-2</v>
      </c>
      <c r="L305" s="163"/>
      <c r="M305" s="255">
        <v>2458</v>
      </c>
      <c r="N305" s="134">
        <f t="shared" si="23"/>
        <v>2.1464043052756399E-2</v>
      </c>
      <c r="O305" s="163"/>
      <c r="P305" s="255">
        <v>19079.599999999999</v>
      </c>
      <c r="Q305" s="134">
        <f t="shared" si="24"/>
        <v>4.7632463801696723E-3</v>
      </c>
      <c r="R305" s="19"/>
      <c r="S305" s="19"/>
      <c r="T305" s="19"/>
      <c r="X305" s="35"/>
    </row>
    <row r="306" spans="3:24" x14ac:dyDescent="0.3">
      <c r="C306" s="25" t="s">
        <v>362</v>
      </c>
      <c r="D306" s="255">
        <v>2181.4</v>
      </c>
      <c r="E306" s="134">
        <f t="shared" si="20"/>
        <v>-6.3317086502984177E-3</v>
      </c>
      <c r="G306" s="256">
        <v>950.5</v>
      </c>
      <c r="H306" s="134">
        <f t="shared" si="21"/>
        <v>-9.0700583819850467E-3</v>
      </c>
      <c r="I306" s="163"/>
      <c r="J306" s="256">
        <v>516.41999999999996</v>
      </c>
      <c r="K306" s="134">
        <f t="shared" si="22"/>
        <v>-3.7041324227342631E-3</v>
      </c>
      <c r="L306" s="163"/>
      <c r="M306" s="255">
        <v>2312.15</v>
      </c>
      <c r="N306" s="134">
        <f t="shared" si="23"/>
        <v>-5.933685923515053E-2</v>
      </c>
      <c r="O306" s="163"/>
      <c r="P306" s="255">
        <v>19140.900000000001</v>
      </c>
      <c r="Q306" s="134">
        <f t="shared" si="24"/>
        <v>3.2128556154218391E-3</v>
      </c>
      <c r="R306" s="19"/>
      <c r="S306" s="19"/>
      <c r="T306" s="19"/>
      <c r="X306" s="35"/>
    </row>
    <row r="307" spans="3:24" x14ac:dyDescent="0.3">
      <c r="C307" s="25" t="s">
        <v>363</v>
      </c>
      <c r="D307" s="255">
        <v>2175.1</v>
      </c>
      <c r="E307" s="134">
        <f t="shared" si="20"/>
        <v>-2.8880535435958921E-3</v>
      </c>
      <c r="G307" s="256">
        <v>955.75</v>
      </c>
      <c r="H307" s="134">
        <f t="shared" si="21"/>
        <v>5.5234087322462155E-3</v>
      </c>
      <c r="I307" s="163"/>
      <c r="J307" s="256">
        <v>535.94000000000005</v>
      </c>
      <c r="K307" s="134">
        <f t="shared" si="22"/>
        <v>3.7798690987955741E-2</v>
      </c>
      <c r="L307" s="163"/>
      <c r="M307" s="255">
        <v>2316.8000000000002</v>
      </c>
      <c r="N307" s="134">
        <f t="shared" si="23"/>
        <v>2.0111151958135398E-3</v>
      </c>
      <c r="O307" s="163"/>
      <c r="P307" s="255">
        <v>19047.25</v>
      </c>
      <c r="Q307" s="134">
        <f t="shared" si="24"/>
        <v>-4.8926643992707186E-3</v>
      </c>
      <c r="R307" s="19"/>
      <c r="S307" s="19"/>
      <c r="T307" s="19"/>
      <c r="X307" s="35"/>
    </row>
    <row r="308" spans="3:24" x14ac:dyDescent="0.3">
      <c r="C308" s="25" t="s">
        <v>364</v>
      </c>
      <c r="D308" s="255">
        <v>2106.35</v>
      </c>
      <c r="E308" s="134">
        <f t="shared" si="20"/>
        <v>-3.1607742172773623E-2</v>
      </c>
      <c r="G308" s="256">
        <v>940.7</v>
      </c>
      <c r="H308" s="134">
        <f t="shared" si="21"/>
        <v>-1.5746795710175232E-2</v>
      </c>
      <c r="I308" s="163"/>
      <c r="J308" s="256">
        <v>538.29</v>
      </c>
      <c r="K308" s="134">
        <f t="shared" si="22"/>
        <v>4.3848191961786132E-3</v>
      </c>
      <c r="L308" s="163"/>
      <c r="M308" s="255">
        <v>2295.4</v>
      </c>
      <c r="N308" s="134">
        <f t="shared" si="23"/>
        <v>-9.2368784530386661E-3</v>
      </c>
      <c r="O308" s="163"/>
      <c r="P308" s="255">
        <v>18857.25</v>
      </c>
      <c r="Q308" s="134">
        <f t="shared" si="24"/>
        <v>-9.9751932693695755E-3</v>
      </c>
      <c r="R308" s="19"/>
      <c r="S308" s="19"/>
      <c r="T308" s="19"/>
      <c r="X308" s="35"/>
    </row>
    <row r="309" spans="3:24" x14ac:dyDescent="0.3">
      <c r="C309" s="25" t="s">
        <v>365</v>
      </c>
      <c r="D309" s="255">
        <v>2143.75</v>
      </c>
      <c r="E309" s="134">
        <f t="shared" si="20"/>
        <v>1.7755833550929356E-2</v>
      </c>
      <c r="G309" s="256">
        <v>963.6</v>
      </c>
      <c r="H309" s="134">
        <f t="shared" si="21"/>
        <v>2.4343573934304308E-2</v>
      </c>
      <c r="I309" s="163"/>
      <c r="J309" s="256">
        <v>556.41999999999996</v>
      </c>
      <c r="K309" s="134">
        <f t="shared" si="22"/>
        <v>3.368072971818159E-2</v>
      </c>
      <c r="L309" s="163"/>
      <c r="M309" s="255">
        <v>2326.3000000000002</v>
      </c>
      <c r="N309" s="134">
        <f t="shared" si="23"/>
        <v>1.3461706020737152E-2</v>
      </c>
      <c r="O309" s="163"/>
      <c r="P309" s="255">
        <v>19122.150000000001</v>
      </c>
      <c r="Q309" s="134">
        <f t="shared" si="24"/>
        <v>1.4047647456548518E-2</v>
      </c>
      <c r="R309" s="19"/>
      <c r="S309" s="19"/>
      <c r="T309" s="19"/>
      <c r="X309" s="35"/>
    </row>
    <row r="310" spans="3:24" x14ac:dyDescent="0.3">
      <c r="C310" s="25" t="s">
        <v>366</v>
      </c>
      <c r="D310" s="255">
        <v>2172.65</v>
      </c>
      <c r="E310" s="134">
        <f t="shared" si="20"/>
        <v>1.3481049562682257E-2</v>
      </c>
      <c r="G310" s="256">
        <v>978.5</v>
      </c>
      <c r="H310" s="134">
        <f t="shared" si="21"/>
        <v>1.5462847654628353E-2</v>
      </c>
      <c r="I310" s="163"/>
      <c r="J310" s="256">
        <v>563.28</v>
      </c>
      <c r="K310" s="134">
        <f t="shared" si="22"/>
        <v>1.2328816361741213E-2</v>
      </c>
      <c r="L310" s="163"/>
      <c r="M310" s="255">
        <v>2351</v>
      </c>
      <c r="N310" s="134">
        <f t="shared" si="23"/>
        <v>1.0617719124790259E-2</v>
      </c>
      <c r="O310" s="163"/>
      <c r="P310" s="255">
        <v>19281.75</v>
      </c>
      <c r="Q310" s="134">
        <f t="shared" si="24"/>
        <v>8.3463418077986962E-3</v>
      </c>
      <c r="R310" s="19"/>
      <c r="S310" s="19"/>
      <c r="T310" s="19"/>
      <c r="X310" s="35"/>
    </row>
    <row r="311" spans="3:24" x14ac:dyDescent="0.3">
      <c r="C311" s="25" t="s">
        <v>367</v>
      </c>
      <c r="D311" s="255">
        <v>2234</v>
      </c>
      <c r="E311" s="134">
        <f t="shared" si="20"/>
        <v>2.823740593284696E-2</v>
      </c>
      <c r="G311" s="255">
        <v>1011.7</v>
      </c>
      <c r="H311" s="134">
        <f t="shared" si="21"/>
        <v>3.3929483903934576E-2</v>
      </c>
      <c r="I311" s="163"/>
      <c r="J311" s="256">
        <v>578.63</v>
      </c>
      <c r="K311" s="134">
        <f t="shared" si="22"/>
        <v>2.7251100695923958E-2</v>
      </c>
      <c r="L311" s="163"/>
      <c r="M311" s="255">
        <v>2373.1999999999998</v>
      </c>
      <c r="N311" s="134">
        <f t="shared" si="23"/>
        <v>9.4427903019991266E-3</v>
      </c>
      <c r="O311" s="163"/>
      <c r="P311" s="255">
        <v>19542.650000000001</v>
      </c>
      <c r="Q311" s="134">
        <f t="shared" si="24"/>
        <v>1.3530929505880085E-2</v>
      </c>
      <c r="R311" s="19"/>
      <c r="S311" s="19"/>
      <c r="T311" s="19"/>
      <c r="X311" s="35"/>
    </row>
    <row r="312" spans="3:24" x14ac:dyDescent="0.3">
      <c r="C312" s="25" t="s">
        <v>368</v>
      </c>
      <c r="D312" s="255">
        <v>2254.4499999999998</v>
      </c>
      <c r="E312" s="134">
        <f t="shared" si="20"/>
        <v>9.1539838854073352E-3</v>
      </c>
      <c r="G312" s="255">
        <v>1031.25</v>
      </c>
      <c r="H312" s="134">
        <f t="shared" si="21"/>
        <v>1.9323910250074183E-2</v>
      </c>
      <c r="I312" s="163"/>
      <c r="J312" s="256">
        <v>588.70000000000005</v>
      </c>
      <c r="K312" s="134">
        <f t="shared" si="22"/>
        <v>1.7403176468555159E-2</v>
      </c>
      <c r="L312" s="163"/>
      <c r="M312" s="255">
        <v>2374.85</v>
      </c>
      <c r="N312" s="134">
        <f t="shared" si="23"/>
        <v>6.9526377886397484E-4</v>
      </c>
      <c r="O312" s="163"/>
      <c r="P312" s="255">
        <v>19624.7</v>
      </c>
      <c r="Q312" s="134">
        <f t="shared" si="24"/>
        <v>4.1985094140251089E-3</v>
      </c>
      <c r="R312" s="19"/>
      <c r="S312" s="19"/>
      <c r="T312" s="19"/>
      <c r="X312" s="35"/>
    </row>
    <row r="313" spans="3:24" x14ac:dyDescent="0.3">
      <c r="C313" s="25" t="s">
        <v>369</v>
      </c>
      <c r="D313" s="255">
        <v>2246.3000000000002</v>
      </c>
      <c r="E313" s="134">
        <f t="shared" si="20"/>
        <v>-3.6150724123398259E-3</v>
      </c>
      <c r="G313" s="255">
        <v>1044.25</v>
      </c>
      <c r="H313" s="134">
        <f t="shared" si="21"/>
        <v>1.260606060606051E-2</v>
      </c>
      <c r="I313" s="163"/>
      <c r="J313" s="256">
        <v>594.98</v>
      </c>
      <c r="K313" s="134">
        <f t="shared" si="22"/>
        <v>1.066757261763196E-2</v>
      </c>
      <c r="L313" s="163"/>
      <c r="M313" s="255">
        <v>2407.25</v>
      </c>
      <c r="N313" s="134">
        <f t="shared" si="23"/>
        <v>1.364296692422684E-2</v>
      </c>
      <c r="O313" s="163"/>
      <c r="P313" s="255">
        <v>19671.099999999999</v>
      </c>
      <c r="Q313" s="134">
        <f t="shared" si="24"/>
        <v>2.3643673533861875E-3</v>
      </c>
      <c r="R313" s="19"/>
      <c r="S313" s="19"/>
      <c r="T313" s="19"/>
      <c r="X313" s="35"/>
    </row>
    <row r="314" spans="3:24" x14ac:dyDescent="0.3">
      <c r="C314" s="25" t="s">
        <v>370</v>
      </c>
      <c r="D314" s="255">
        <v>2276.5500000000002</v>
      </c>
      <c r="E314" s="134">
        <f t="shared" si="20"/>
        <v>1.3466589502737936E-2</v>
      </c>
      <c r="G314" s="255">
        <v>1045.3</v>
      </c>
      <c r="H314" s="134">
        <f t="shared" si="21"/>
        <v>1.005506344266216E-3</v>
      </c>
      <c r="I314" s="163"/>
      <c r="J314" s="256">
        <v>599.39</v>
      </c>
      <c r="K314" s="134">
        <f t="shared" si="22"/>
        <v>7.4120138492048682E-3</v>
      </c>
      <c r="L314" s="163"/>
      <c r="M314" s="255">
        <v>2427.35</v>
      </c>
      <c r="N314" s="134">
        <f t="shared" si="23"/>
        <v>8.3497767161697656E-3</v>
      </c>
      <c r="O314" s="163"/>
      <c r="P314" s="255">
        <v>19811.5</v>
      </c>
      <c r="Q314" s="134">
        <f t="shared" si="24"/>
        <v>7.1373741173601513E-3</v>
      </c>
      <c r="R314" s="19"/>
      <c r="S314" s="19"/>
      <c r="T314" s="19"/>
      <c r="W314" s="38"/>
      <c r="X314" s="35"/>
    </row>
    <row r="315" spans="3:24" x14ac:dyDescent="0.3">
      <c r="C315" s="25" t="s">
        <v>371</v>
      </c>
      <c r="D315" s="255">
        <v>2253.4</v>
      </c>
      <c r="E315" s="134">
        <f t="shared" si="20"/>
        <v>-1.0168895917067489E-2</v>
      </c>
      <c r="G315" s="255">
        <v>1040.8499999999999</v>
      </c>
      <c r="H315" s="134">
        <f t="shared" si="21"/>
        <v>-4.2571510571128846E-3</v>
      </c>
      <c r="I315" s="163"/>
      <c r="J315" s="256">
        <v>604.96</v>
      </c>
      <c r="K315" s="134">
        <f t="shared" si="22"/>
        <v>9.2927809940106521E-3</v>
      </c>
      <c r="L315" s="163"/>
      <c r="M315" s="255">
        <v>2434.6</v>
      </c>
      <c r="N315" s="134">
        <f t="shared" si="23"/>
        <v>2.986796300492367E-3</v>
      </c>
      <c r="O315" s="163"/>
      <c r="P315" s="255">
        <v>19731.75</v>
      </c>
      <c r="Q315" s="134">
        <f t="shared" si="24"/>
        <v>-4.0254397698306077E-3</v>
      </c>
      <c r="R315" s="19"/>
      <c r="S315" s="19"/>
      <c r="T315" s="19"/>
      <c r="W315" s="38"/>
      <c r="X315" s="35"/>
    </row>
    <row r="316" spans="3:24" x14ac:dyDescent="0.3">
      <c r="C316" s="25" t="s">
        <v>372</v>
      </c>
      <c r="D316" s="255">
        <v>2255.4499999999998</v>
      </c>
      <c r="E316" s="134">
        <f t="shared" si="20"/>
        <v>9.0973639833125119E-4</v>
      </c>
      <c r="G316" s="255">
        <v>1035.0999999999999</v>
      </c>
      <c r="H316" s="134">
        <f t="shared" si="21"/>
        <v>-5.5243310755632713E-3</v>
      </c>
      <c r="I316" s="163"/>
      <c r="J316" s="256">
        <v>597.80999999999995</v>
      </c>
      <c r="K316" s="134">
        <f t="shared" si="22"/>
        <v>-1.1818963237238966E-2</v>
      </c>
      <c r="L316" s="163"/>
      <c r="M316" s="255">
        <v>2460.0500000000002</v>
      </c>
      <c r="N316" s="134">
        <f t="shared" si="23"/>
        <v>1.0453462581122341E-2</v>
      </c>
      <c r="O316" s="163"/>
      <c r="P316" s="255">
        <v>19751.05</v>
      </c>
      <c r="Q316" s="134">
        <f t="shared" si="24"/>
        <v>9.7811902137423523E-4</v>
      </c>
      <c r="R316" s="19"/>
      <c r="S316" s="19"/>
      <c r="T316" s="19"/>
      <c r="W316" s="38"/>
      <c r="X316" s="35"/>
    </row>
    <row r="317" spans="3:24" x14ac:dyDescent="0.3">
      <c r="C317" s="160">
        <v>45270</v>
      </c>
      <c r="D317" s="255">
        <v>2264.6</v>
      </c>
      <c r="E317" s="134">
        <f t="shared" si="20"/>
        <v>4.056840098428216E-3</v>
      </c>
      <c r="F317" s="34"/>
      <c r="G317" s="255">
        <v>1038.8499999999999</v>
      </c>
      <c r="H317" s="134">
        <f t="shared" si="21"/>
        <v>3.6228383731040648E-3</v>
      </c>
      <c r="I317" s="163"/>
      <c r="J317" s="256">
        <v>595.36</v>
      </c>
      <c r="K317" s="134">
        <f t="shared" si="22"/>
        <v>-4.0982920994964145E-3</v>
      </c>
      <c r="L317" s="163"/>
      <c r="M317" s="255">
        <v>2481.9</v>
      </c>
      <c r="N317" s="134">
        <f t="shared" si="23"/>
        <v>8.8819332940386353E-3</v>
      </c>
      <c r="O317" s="163"/>
      <c r="P317" s="255">
        <v>19794</v>
      </c>
      <c r="Q317" s="134">
        <f t="shared" si="24"/>
        <v>2.174567934362992E-3</v>
      </c>
      <c r="R317" s="19"/>
      <c r="S317" s="19"/>
      <c r="T317" s="19"/>
      <c r="W317" s="38"/>
      <c r="X317" s="35"/>
    </row>
    <row r="318" spans="3:24" x14ac:dyDescent="0.3">
      <c r="C318" s="160">
        <v>45240</v>
      </c>
      <c r="D318" s="255">
        <v>2250</v>
      </c>
      <c r="E318" s="134">
        <f t="shared" si="20"/>
        <v>-6.447054667490959E-3</v>
      </c>
      <c r="F318" s="34"/>
      <c r="G318" s="255">
        <v>1036.0999999999999</v>
      </c>
      <c r="H318" s="134">
        <f t="shared" si="21"/>
        <v>-2.6471579150021407E-3</v>
      </c>
      <c r="I318" s="163"/>
      <c r="J318" s="256">
        <v>601.92999999999995</v>
      </c>
      <c r="K318" s="134">
        <f t="shared" si="22"/>
        <v>1.103533996237549E-2</v>
      </c>
      <c r="L318" s="163"/>
      <c r="M318" s="255">
        <v>2487.65</v>
      </c>
      <c r="N318" s="134">
        <f t="shared" si="23"/>
        <v>2.316773439703379E-3</v>
      </c>
      <c r="O318" s="163"/>
      <c r="P318" s="255">
        <v>19811.349999999999</v>
      </c>
      <c r="Q318" s="134">
        <f t="shared" si="24"/>
        <v>8.7652824088091386E-4</v>
      </c>
      <c r="R318" s="19"/>
      <c r="S318" s="19"/>
      <c r="T318" s="19"/>
      <c r="W318" s="38"/>
      <c r="X318" s="35"/>
    </row>
    <row r="319" spans="3:24" x14ac:dyDescent="0.3">
      <c r="C319" s="160">
        <v>45209</v>
      </c>
      <c r="D319" s="255">
        <v>2230.35</v>
      </c>
      <c r="E319" s="134">
        <f t="shared" si="20"/>
        <v>-8.7333333333333707E-3</v>
      </c>
      <c r="F319" s="34"/>
      <c r="G319" s="255">
        <v>1016.8</v>
      </c>
      <c r="H319" s="134">
        <f t="shared" si="21"/>
        <v>-1.8627545603706164E-2</v>
      </c>
      <c r="I319" s="163"/>
      <c r="J319" s="256">
        <v>596.55999999999995</v>
      </c>
      <c r="K319" s="134">
        <f t="shared" si="22"/>
        <v>-8.9213031415613653E-3</v>
      </c>
      <c r="L319" s="163"/>
      <c r="M319" s="255">
        <v>2450.1</v>
      </c>
      <c r="N319" s="134">
        <f t="shared" si="23"/>
        <v>-1.509456716177926E-2</v>
      </c>
      <c r="O319" s="163"/>
      <c r="P319" s="255">
        <v>19689.849999999999</v>
      </c>
      <c r="Q319" s="134">
        <f t="shared" si="24"/>
        <v>-6.1328480896052362E-3</v>
      </c>
      <c r="R319" s="19"/>
      <c r="S319" s="19"/>
      <c r="T319" s="19"/>
      <c r="W319" s="38"/>
      <c r="X319" s="35"/>
    </row>
    <row r="320" spans="3:24" x14ac:dyDescent="0.3">
      <c r="C320" s="160">
        <v>45179</v>
      </c>
      <c r="D320" s="255">
        <v>2206.4</v>
      </c>
      <c r="E320" s="134">
        <f t="shared" si="20"/>
        <v>-1.07382249422735E-2</v>
      </c>
      <c r="F320" s="34"/>
      <c r="G320" s="255">
        <v>1004.35</v>
      </c>
      <c r="H320" s="134">
        <f t="shared" si="21"/>
        <v>-1.2244295830055041E-2</v>
      </c>
      <c r="I320" s="163"/>
      <c r="J320" s="256">
        <v>583.85</v>
      </c>
      <c r="K320" s="134">
        <f t="shared" si="22"/>
        <v>-2.1305484779401751E-2</v>
      </c>
      <c r="L320" s="163"/>
      <c r="M320" s="255">
        <v>2425</v>
      </c>
      <c r="N320" s="134">
        <f t="shared" si="23"/>
        <v>-1.0244479817150265E-2</v>
      </c>
      <c r="O320" s="163"/>
      <c r="P320" s="255">
        <v>19512.349999999999</v>
      </c>
      <c r="Q320" s="134">
        <f t="shared" si="24"/>
        <v>-9.0147969639179371E-3</v>
      </c>
      <c r="R320" s="19"/>
      <c r="S320" s="19"/>
      <c r="T320" s="19"/>
      <c r="W320" s="38"/>
      <c r="X320" s="35"/>
    </row>
    <row r="321" spans="3:24" x14ac:dyDescent="0.3">
      <c r="C321" s="160">
        <v>45087</v>
      </c>
      <c r="D321" s="255">
        <v>2245.5500000000002</v>
      </c>
      <c r="E321" s="134">
        <f t="shared" si="20"/>
        <v>1.7743836113125466E-2</v>
      </c>
      <c r="F321" s="34"/>
      <c r="G321" s="255">
        <v>1012.75</v>
      </c>
      <c r="H321" s="134">
        <f t="shared" si="21"/>
        <v>8.3636182605664189E-3</v>
      </c>
      <c r="I321" s="163"/>
      <c r="J321" s="256">
        <v>587.11</v>
      </c>
      <c r="K321" s="134">
        <f t="shared" si="22"/>
        <v>5.5836259313180037E-3</v>
      </c>
      <c r="L321" s="163"/>
      <c r="M321" s="255">
        <v>2454.35</v>
      </c>
      <c r="N321" s="134">
        <f t="shared" si="23"/>
        <v>1.2103092783505076E-2</v>
      </c>
      <c r="O321" s="163"/>
      <c r="P321" s="255">
        <v>19653.5</v>
      </c>
      <c r="Q321" s="134">
        <f t="shared" si="24"/>
        <v>7.2338800810769488E-3</v>
      </c>
      <c r="R321" s="19"/>
      <c r="S321" s="19"/>
      <c r="T321" s="19"/>
      <c r="W321" s="38"/>
      <c r="X321" s="35"/>
    </row>
    <row r="322" spans="3:24" x14ac:dyDescent="0.3">
      <c r="C322" s="160">
        <v>45056</v>
      </c>
      <c r="D322" s="255">
        <v>2261.3000000000002</v>
      </c>
      <c r="E322" s="134">
        <f t="shared" si="20"/>
        <v>7.0138718799404032E-3</v>
      </c>
      <c r="F322" s="34"/>
      <c r="G322" s="255">
        <v>1009.3</v>
      </c>
      <c r="H322" s="134">
        <f t="shared" si="21"/>
        <v>-3.4065662799309671E-3</v>
      </c>
      <c r="I322" s="163"/>
      <c r="J322" s="256">
        <v>579.59</v>
      </c>
      <c r="K322" s="134">
        <f t="shared" si="22"/>
        <v>-1.2808502665599297E-2</v>
      </c>
      <c r="L322" s="163"/>
      <c r="M322" s="255">
        <v>2429.1999999999998</v>
      </c>
      <c r="N322" s="134">
        <f t="shared" si="23"/>
        <v>-1.0247112270051151E-2</v>
      </c>
      <c r="O322" s="163"/>
      <c r="P322" s="255">
        <v>19545.75</v>
      </c>
      <c r="Q322" s="134">
        <f t="shared" si="24"/>
        <v>-5.4824840359223304E-3</v>
      </c>
      <c r="R322" s="19"/>
      <c r="S322" s="19"/>
      <c r="T322" s="19"/>
      <c r="W322" s="38"/>
      <c r="X322" s="35"/>
    </row>
    <row r="323" spans="3:24" x14ac:dyDescent="0.3">
      <c r="C323" s="160">
        <v>45026</v>
      </c>
      <c r="D323" s="255">
        <v>2247.1</v>
      </c>
      <c r="E323" s="134">
        <f t="shared" si="20"/>
        <v>-6.2795736965463034E-3</v>
      </c>
      <c r="F323" s="34"/>
      <c r="G323" s="255">
        <v>1011.25</v>
      </c>
      <c r="H323" s="134">
        <f t="shared" si="21"/>
        <v>1.9320321014564268E-3</v>
      </c>
      <c r="I323" s="163"/>
      <c r="J323" s="256">
        <v>578.48</v>
      </c>
      <c r="K323" s="134">
        <f t="shared" si="22"/>
        <v>-1.9151469141980293E-3</v>
      </c>
      <c r="L323" s="163"/>
      <c r="M323" s="255">
        <v>2406.4</v>
      </c>
      <c r="N323" s="134">
        <f t="shared" si="23"/>
        <v>-9.3858060266753807E-3</v>
      </c>
      <c r="O323" s="163"/>
      <c r="P323" s="255">
        <v>19436.099999999999</v>
      </c>
      <c r="Q323" s="134">
        <f t="shared" si="24"/>
        <v>-5.6099151989563723E-3</v>
      </c>
      <c r="R323" s="19"/>
      <c r="S323" s="19"/>
      <c r="T323" s="19"/>
      <c r="X323" s="35"/>
    </row>
    <row r="324" spans="3:24" x14ac:dyDescent="0.3">
      <c r="C324" s="160">
        <v>44995</v>
      </c>
      <c r="D324" s="255">
        <v>2255.5</v>
      </c>
      <c r="E324" s="134">
        <f t="shared" si="20"/>
        <v>3.7381513951315615E-3</v>
      </c>
      <c r="F324" s="34"/>
      <c r="G324" s="255">
        <v>1025.0999999999999</v>
      </c>
      <c r="H324" s="134">
        <f t="shared" si="21"/>
        <v>1.3695920889987612E-2</v>
      </c>
      <c r="I324" s="163"/>
      <c r="J324" s="256">
        <v>582.27</v>
      </c>
      <c r="K324" s="134">
        <f t="shared" si="22"/>
        <v>6.5516526068316594E-3</v>
      </c>
      <c r="L324" s="163"/>
      <c r="M324" s="255">
        <v>2425.4</v>
      </c>
      <c r="N324" s="134">
        <f t="shared" si="23"/>
        <v>7.8956117021276029E-3</v>
      </c>
      <c r="O324" s="163"/>
      <c r="P324" s="255">
        <v>19528.75</v>
      </c>
      <c r="Q324" s="134">
        <f t="shared" si="24"/>
        <v>4.7669028251553502E-3</v>
      </c>
      <c r="R324" s="19"/>
      <c r="S324" s="19"/>
      <c r="T324" s="19"/>
      <c r="X324" s="35"/>
    </row>
    <row r="325" spans="3:24" x14ac:dyDescent="0.3">
      <c r="C325" s="25" t="s">
        <v>373</v>
      </c>
      <c r="D325" s="255">
        <v>2249.4</v>
      </c>
      <c r="E325" s="134">
        <f t="shared" si="20"/>
        <v>-2.7045001108401134E-3</v>
      </c>
      <c r="G325" s="255">
        <v>1031.2</v>
      </c>
      <c r="H325" s="134">
        <f t="shared" si="21"/>
        <v>5.9506389620527234E-3</v>
      </c>
      <c r="I325" s="163"/>
      <c r="J325" s="256">
        <v>591.09</v>
      </c>
      <c r="K325" s="134">
        <f t="shared" si="22"/>
        <v>1.5147611932608607E-2</v>
      </c>
      <c r="L325" s="163"/>
      <c r="M325" s="255">
        <v>2439.5</v>
      </c>
      <c r="N325" s="134">
        <f t="shared" si="23"/>
        <v>5.8134740661333062E-3</v>
      </c>
      <c r="O325" s="163"/>
      <c r="P325" s="255">
        <v>19638.3</v>
      </c>
      <c r="Q325" s="134">
        <f t="shared" si="24"/>
        <v>5.6096780387888678E-3</v>
      </c>
      <c r="R325" s="19"/>
      <c r="S325" s="19"/>
      <c r="T325" s="19"/>
      <c r="X325" s="35"/>
    </row>
    <row r="326" spans="3:24" x14ac:dyDescent="0.3">
      <c r="C326" s="25" t="s">
        <v>374</v>
      </c>
      <c r="D326" s="255">
        <v>2232.3000000000002</v>
      </c>
      <c r="E326" s="134">
        <f t="shared" si="20"/>
        <v>-7.6020272072552242E-3</v>
      </c>
      <c r="G326" s="255">
        <v>1016.15</v>
      </c>
      <c r="H326" s="134">
        <f t="shared" si="21"/>
        <v>-1.4594647013188577E-2</v>
      </c>
      <c r="I326" s="163"/>
      <c r="J326" s="256">
        <v>580.29999999999995</v>
      </c>
      <c r="K326" s="134">
        <f t="shared" si="22"/>
        <v>-1.8254411341758536E-2</v>
      </c>
      <c r="L326" s="163"/>
      <c r="M326" s="255">
        <v>2421.35</v>
      </c>
      <c r="N326" s="134">
        <f t="shared" si="23"/>
        <v>-7.4400491904078603E-3</v>
      </c>
      <c r="O326" s="163"/>
      <c r="P326" s="255">
        <v>19523.55</v>
      </c>
      <c r="Q326" s="134">
        <f t="shared" si="24"/>
        <v>-5.8431737981393672E-3</v>
      </c>
      <c r="R326" s="19"/>
      <c r="S326" s="19"/>
      <c r="T326" s="19"/>
      <c r="X326" s="35"/>
    </row>
    <row r="327" spans="3:24" x14ac:dyDescent="0.3">
      <c r="C327" s="25" t="s">
        <v>375</v>
      </c>
      <c r="D327" s="255">
        <v>2261.6999999999998</v>
      </c>
      <c r="E327" s="134">
        <f t="shared" si="20"/>
        <v>1.3170272812793815E-2</v>
      </c>
      <c r="G327" s="255">
        <v>1043.5</v>
      </c>
      <c r="H327" s="134">
        <f t="shared" si="21"/>
        <v>2.6915317620429979E-2</v>
      </c>
      <c r="I327" s="163"/>
      <c r="J327" s="256">
        <v>589.75</v>
      </c>
      <c r="K327" s="134">
        <f t="shared" si="22"/>
        <v>1.6284680337756319E-2</v>
      </c>
      <c r="L327" s="163"/>
      <c r="M327" s="255">
        <v>2499.5</v>
      </c>
      <c r="N327" s="134">
        <f t="shared" si="23"/>
        <v>3.2275383567018423E-2</v>
      </c>
      <c r="O327" s="163"/>
      <c r="P327" s="255">
        <v>19716.45</v>
      </c>
      <c r="Q327" s="134">
        <f t="shared" si="24"/>
        <v>9.8803752391343203E-3</v>
      </c>
      <c r="R327" s="19"/>
      <c r="S327" s="19"/>
      <c r="T327" s="19"/>
      <c r="X327" s="35"/>
    </row>
    <row r="328" spans="3:24" x14ac:dyDescent="0.3">
      <c r="C328" s="25" t="s">
        <v>376</v>
      </c>
      <c r="D328" s="255">
        <v>2239.9499999999998</v>
      </c>
      <c r="E328" s="134">
        <f t="shared" si="20"/>
        <v>-9.6166600344873565E-3</v>
      </c>
      <c r="G328" s="255">
        <v>1036.95</v>
      </c>
      <c r="H328" s="134">
        <f t="shared" si="21"/>
        <v>-6.2769525634882584E-3</v>
      </c>
      <c r="I328" s="163"/>
      <c r="J328" s="256">
        <v>592.29</v>
      </c>
      <c r="K328" s="134">
        <f t="shared" si="22"/>
        <v>4.306909707503026E-3</v>
      </c>
      <c r="L328" s="163"/>
      <c r="M328" s="255">
        <v>2501.8000000000002</v>
      </c>
      <c r="N328" s="134">
        <f t="shared" si="23"/>
        <v>9.2018403680738103E-4</v>
      </c>
      <c r="O328" s="163"/>
      <c r="P328" s="255">
        <v>19664.7</v>
      </c>
      <c r="Q328" s="134">
        <f t="shared" si="24"/>
        <v>-2.6247118522857438E-3</v>
      </c>
      <c r="R328" s="19"/>
      <c r="S328" s="19"/>
      <c r="T328" s="19"/>
      <c r="X328" s="35"/>
    </row>
    <row r="329" spans="3:24" x14ac:dyDescent="0.3">
      <c r="C329" s="25" t="s">
        <v>377</v>
      </c>
      <c r="D329" s="255">
        <v>2238.4</v>
      </c>
      <c r="E329" s="134">
        <f t="shared" si="20"/>
        <v>-6.9197973169032867E-4</v>
      </c>
      <c r="G329" s="255">
        <v>1045.3</v>
      </c>
      <c r="H329" s="134">
        <f t="shared" si="21"/>
        <v>8.0524615458796855E-3</v>
      </c>
      <c r="I329" s="163"/>
      <c r="J329" s="256">
        <v>591.53</v>
      </c>
      <c r="K329" s="134">
        <f t="shared" si="22"/>
        <v>-1.2831552111296496E-3</v>
      </c>
      <c r="L329" s="163"/>
      <c r="M329" s="255">
        <v>2494.5</v>
      </c>
      <c r="N329" s="134">
        <f t="shared" si="23"/>
        <v>-2.9178991126389553E-3</v>
      </c>
      <c r="O329" s="163"/>
      <c r="P329" s="255">
        <v>19674.55</v>
      </c>
      <c r="Q329" s="134">
        <f t="shared" si="24"/>
        <v>5.0089754738169567E-4</v>
      </c>
      <c r="R329" s="19"/>
      <c r="S329" s="19"/>
      <c r="T329" s="19"/>
      <c r="X329" s="35"/>
    </row>
    <row r="330" spans="3:24" x14ac:dyDescent="0.3">
      <c r="C330" s="25" t="s">
        <v>378</v>
      </c>
      <c r="D330" s="255">
        <v>2264.5500000000002</v>
      </c>
      <c r="E330" s="134">
        <f t="shared" si="20"/>
        <v>1.1682451751251044E-2</v>
      </c>
      <c r="G330" s="255">
        <v>1035.8</v>
      </c>
      <c r="H330" s="134">
        <f t="shared" si="21"/>
        <v>-9.0883000095666189E-3</v>
      </c>
      <c r="I330" s="163"/>
      <c r="J330" s="256">
        <v>589.9</v>
      </c>
      <c r="K330" s="134">
        <f t="shared" si="22"/>
        <v>-2.7555660744171817E-3</v>
      </c>
      <c r="L330" s="163"/>
      <c r="M330" s="255">
        <v>2517.6999999999998</v>
      </c>
      <c r="N330" s="134">
        <f t="shared" si="23"/>
        <v>9.3004610142313204E-3</v>
      </c>
      <c r="O330" s="163"/>
      <c r="P330" s="255">
        <v>19674.25</v>
      </c>
      <c r="Q330" s="134">
        <f t="shared" si="24"/>
        <v>-1.5248125115885358E-5</v>
      </c>
      <c r="R330" s="19"/>
      <c r="S330" s="19"/>
      <c r="T330" s="19"/>
      <c r="X330" s="35"/>
    </row>
    <row r="331" spans="3:24" x14ac:dyDescent="0.3">
      <c r="C331" s="25" t="s">
        <v>379</v>
      </c>
      <c r="D331" s="255">
        <v>2315.65</v>
      </c>
      <c r="E331" s="134">
        <f t="shared" si="20"/>
        <v>2.2565189552008036E-2</v>
      </c>
      <c r="G331" s="255">
        <v>1034.8</v>
      </c>
      <c r="H331" s="134">
        <f t="shared" si="21"/>
        <v>-9.6543734311638207E-4</v>
      </c>
      <c r="I331" s="163"/>
      <c r="J331" s="256">
        <v>599.49</v>
      </c>
      <c r="K331" s="134">
        <f t="shared" si="22"/>
        <v>1.6256992710629081E-2</v>
      </c>
      <c r="L331" s="163"/>
      <c r="M331" s="255">
        <v>2512.85</v>
      </c>
      <c r="N331" s="134">
        <f t="shared" si="23"/>
        <v>-1.9263613615601027E-3</v>
      </c>
      <c r="O331" s="163"/>
      <c r="P331" s="255">
        <v>19742.349999999999</v>
      </c>
      <c r="Q331" s="134">
        <f t="shared" si="24"/>
        <v>3.4613771808327254E-3</v>
      </c>
      <c r="R331" s="19"/>
      <c r="S331" s="19"/>
      <c r="T331" s="19"/>
      <c r="X331" s="35"/>
    </row>
    <row r="332" spans="3:24" x14ac:dyDescent="0.3">
      <c r="C332" s="25" t="s">
        <v>380</v>
      </c>
      <c r="D332" s="255">
        <v>2319.85</v>
      </c>
      <c r="E332" s="134">
        <f t="shared" ref="E332:E395" si="25">D332/D331-1</f>
        <v>1.8137456005873354E-3</v>
      </c>
      <c r="G332" s="255">
        <v>1047.8</v>
      </c>
      <c r="H332" s="134">
        <f t="shared" ref="H332:H395" si="26">G332/G331-1</f>
        <v>1.2562814070351758E-2</v>
      </c>
      <c r="I332" s="163"/>
      <c r="J332" s="256">
        <v>596.66</v>
      </c>
      <c r="K332" s="134">
        <f t="shared" ref="K332:K395" si="27">J332/J331-1</f>
        <v>-4.7206792440241951E-3</v>
      </c>
      <c r="L332" s="163"/>
      <c r="M332" s="255">
        <v>2499.1999999999998</v>
      </c>
      <c r="N332" s="134">
        <f t="shared" ref="N332:N395" si="28">M332/M331-1</f>
        <v>-5.4320791133574131E-3</v>
      </c>
      <c r="O332" s="163"/>
      <c r="P332" s="255">
        <v>19901.400000000001</v>
      </c>
      <c r="Q332" s="134">
        <f t="shared" ref="Q332:Q395" si="29">P332/P331-1</f>
        <v>8.0562850927068386E-3</v>
      </c>
      <c r="R332" s="19"/>
      <c r="S332" s="19"/>
      <c r="T332" s="19"/>
      <c r="X332" s="35"/>
    </row>
    <row r="333" spans="3:24" x14ac:dyDescent="0.3">
      <c r="C333" s="25" t="s">
        <v>381</v>
      </c>
      <c r="D333" s="255">
        <v>2368.6999999999998</v>
      </c>
      <c r="E333" s="134">
        <f t="shared" si="25"/>
        <v>2.1057395952324365E-2</v>
      </c>
      <c r="G333" s="255">
        <v>1057.9000000000001</v>
      </c>
      <c r="H333" s="134">
        <f t="shared" si="26"/>
        <v>9.6392441305594989E-3</v>
      </c>
      <c r="I333" s="163"/>
      <c r="J333" s="256">
        <v>603.66</v>
      </c>
      <c r="K333" s="134">
        <f t="shared" si="27"/>
        <v>1.1731974658934829E-2</v>
      </c>
      <c r="L333" s="163"/>
      <c r="M333" s="255">
        <v>2508.15</v>
      </c>
      <c r="N333" s="134">
        <f t="shared" si="28"/>
        <v>3.5811459667094425E-3</v>
      </c>
      <c r="O333" s="163"/>
      <c r="P333" s="255">
        <v>20133.3</v>
      </c>
      <c r="Q333" s="134">
        <f t="shared" si="29"/>
        <v>1.1652446561548402E-2</v>
      </c>
      <c r="R333" s="19"/>
      <c r="S333" s="19"/>
      <c r="T333" s="19"/>
      <c r="X333" s="35"/>
    </row>
    <row r="334" spans="3:24" x14ac:dyDescent="0.3">
      <c r="C334" s="25" t="s">
        <v>382</v>
      </c>
      <c r="D334" s="255">
        <v>2370.5</v>
      </c>
      <c r="E334" s="134">
        <f t="shared" si="25"/>
        <v>7.5991049943024969E-4</v>
      </c>
      <c r="G334" s="255">
        <v>1070.45</v>
      </c>
      <c r="H334" s="134">
        <f t="shared" si="26"/>
        <v>1.1863125059079271E-2</v>
      </c>
      <c r="I334" s="163"/>
      <c r="J334" s="256">
        <v>608.74</v>
      </c>
      <c r="K334" s="134">
        <f t="shared" si="27"/>
        <v>8.4153331345460103E-3</v>
      </c>
      <c r="L334" s="163"/>
      <c r="M334" s="255">
        <v>2481.5</v>
      </c>
      <c r="N334" s="134">
        <f t="shared" si="28"/>
        <v>-1.0625361322090021E-2</v>
      </c>
      <c r="O334" s="163"/>
      <c r="P334" s="255">
        <v>20192.349999999999</v>
      </c>
      <c r="Q334" s="134">
        <f t="shared" si="29"/>
        <v>2.9329518757481576E-3</v>
      </c>
      <c r="R334" s="19"/>
      <c r="S334" s="19"/>
      <c r="T334" s="19"/>
      <c r="X334" s="35"/>
    </row>
    <row r="335" spans="3:24" x14ac:dyDescent="0.3">
      <c r="C335" s="25" t="s">
        <v>383</v>
      </c>
      <c r="D335" s="255">
        <v>2399.4</v>
      </c>
      <c r="E335" s="134">
        <f t="shared" si="25"/>
        <v>1.2191520776207554E-2</v>
      </c>
      <c r="G335" s="255">
        <v>1074.55</v>
      </c>
      <c r="H335" s="134">
        <f t="shared" si="26"/>
        <v>3.8301648839271785E-3</v>
      </c>
      <c r="I335" s="163"/>
      <c r="J335" s="256">
        <v>605.91</v>
      </c>
      <c r="K335" s="134">
        <f t="shared" si="27"/>
        <v>-4.6489470052897275E-3</v>
      </c>
      <c r="L335" s="163"/>
      <c r="M335" s="255">
        <v>2483.1999999999998</v>
      </c>
      <c r="N335" s="134">
        <f t="shared" si="28"/>
        <v>6.8506951440649999E-4</v>
      </c>
      <c r="O335" s="163"/>
      <c r="P335" s="255">
        <v>20103.099999999999</v>
      </c>
      <c r="Q335" s="134">
        <f t="shared" si="29"/>
        <v>-4.4199907390670701E-3</v>
      </c>
      <c r="R335" s="19"/>
      <c r="S335" s="19"/>
      <c r="T335" s="19"/>
      <c r="W335" s="38"/>
      <c r="X335" s="35"/>
    </row>
    <row r="336" spans="3:24" x14ac:dyDescent="0.3">
      <c r="C336" s="25" t="s">
        <v>384</v>
      </c>
      <c r="D336" s="255">
        <v>2395.65</v>
      </c>
      <c r="E336" s="134">
        <f t="shared" si="25"/>
        <v>-1.5628907226806765E-3</v>
      </c>
      <c r="G336" s="255">
        <v>1052.9000000000001</v>
      </c>
      <c r="H336" s="134">
        <f t="shared" si="26"/>
        <v>-2.0147968917221037E-2</v>
      </c>
      <c r="I336" s="163"/>
      <c r="J336" s="256">
        <v>583.47</v>
      </c>
      <c r="K336" s="134">
        <f t="shared" si="27"/>
        <v>-3.703520324800702E-2</v>
      </c>
      <c r="L336" s="163"/>
      <c r="M336" s="255">
        <v>2488.5500000000002</v>
      </c>
      <c r="N336" s="134">
        <f t="shared" si="28"/>
        <v>2.1544780927835738E-3</v>
      </c>
      <c r="O336" s="163"/>
      <c r="P336" s="255">
        <v>20070</v>
      </c>
      <c r="Q336" s="134">
        <f t="shared" si="29"/>
        <v>-1.6465122294571088E-3</v>
      </c>
      <c r="R336" s="19"/>
      <c r="S336" s="19"/>
      <c r="T336" s="19"/>
      <c r="W336" s="38"/>
      <c r="X336" s="35"/>
    </row>
    <row r="337" spans="3:24" x14ac:dyDescent="0.3">
      <c r="C337" s="160">
        <v>45269</v>
      </c>
      <c r="D337" s="255">
        <v>2374.15</v>
      </c>
      <c r="E337" s="134">
        <f t="shared" si="25"/>
        <v>-8.9745997954625567E-3</v>
      </c>
      <c r="F337" s="34"/>
      <c r="G337" s="255">
        <v>1046.0999999999999</v>
      </c>
      <c r="H337" s="134">
        <f t="shared" si="26"/>
        <v>-6.4583531199545741E-3</v>
      </c>
      <c r="I337" s="163"/>
      <c r="J337" s="256">
        <v>579.54</v>
      </c>
      <c r="K337" s="134">
        <f t="shared" si="27"/>
        <v>-6.7355648105301702E-3</v>
      </c>
      <c r="L337" s="163"/>
      <c r="M337" s="255">
        <v>2487.25</v>
      </c>
      <c r="N337" s="134">
        <f t="shared" si="28"/>
        <v>-5.223925579153077E-4</v>
      </c>
      <c r="O337" s="163"/>
      <c r="P337" s="255">
        <v>19993.2</v>
      </c>
      <c r="Q337" s="134">
        <f t="shared" si="29"/>
        <v>-3.8266068759341687E-3</v>
      </c>
      <c r="R337" s="19"/>
      <c r="S337" s="19"/>
      <c r="T337" s="19"/>
      <c r="W337" s="38"/>
      <c r="X337" s="35"/>
    </row>
    <row r="338" spans="3:24" x14ac:dyDescent="0.3">
      <c r="C338" s="160">
        <v>45239</v>
      </c>
      <c r="D338" s="255">
        <v>2436.8000000000002</v>
      </c>
      <c r="E338" s="134">
        <f t="shared" si="25"/>
        <v>2.6388391634901032E-2</v>
      </c>
      <c r="F338" s="34"/>
      <c r="G338" s="255">
        <v>1085.9000000000001</v>
      </c>
      <c r="H338" s="134">
        <f t="shared" si="26"/>
        <v>3.8046075900965759E-2</v>
      </c>
      <c r="I338" s="163"/>
      <c r="J338" s="256">
        <v>592.73</v>
      </c>
      <c r="K338" s="134">
        <f t="shared" si="27"/>
        <v>2.2759429892673655E-2</v>
      </c>
      <c r="L338" s="163"/>
      <c r="M338" s="255">
        <v>2523.75</v>
      </c>
      <c r="N338" s="134">
        <f t="shared" si="28"/>
        <v>1.4674841692632334E-2</v>
      </c>
      <c r="O338" s="163"/>
      <c r="P338" s="255">
        <v>19996.349999999999</v>
      </c>
      <c r="Q338" s="134">
        <f t="shared" si="29"/>
        <v>1.5755356821300914E-4</v>
      </c>
      <c r="R338" s="19"/>
      <c r="S338" s="19"/>
      <c r="T338" s="19"/>
      <c r="W338" s="38"/>
      <c r="X338" s="35"/>
    </row>
    <row r="339" spans="3:24" x14ac:dyDescent="0.3">
      <c r="C339" s="160">
        <v>45147</v>
      </c>
      <c r="D339" s="255">
        <v>2440.3000000000002</v>
      </c>
      <c r="E339" s="134">
        <f t="shared" si="25"/>
        <v>1.4363099146421643E-3</v>
      </c>
      <c r="F339" s="34"/>
      <c r="G339" s="255">
        <v>1085.3</v>
      </c>
      <c r="H339" s="134">
        <f t="shared" si="26"/>
        <v>-5.5253706602831354E-4</v>
      </c>
      <c r="I339" s="163"/>
      <c r="J339" s="256">
        <v>581.89</v>
      </c>
      <c r="K339" s="134">
        <f t="shared" si="27"/>
        <v>-1.828825940984935E-2</v>
      </c>
      <c r="L339" s="163"/>
      <c r="M339" s="255">
        <v>2505.0500000000002</v>
      </c>
      <c r="N339" s="134">
        <f t="shared" si="28"/>
        <v>-7.4096087171866554E-3</v>
      </c>
      <c r="O339" s="163"/>
      <c r="P339" s="255">
        <v>19819.95</v>
      </c>
      <c r="Q339" s="134">
        <f t="shared" si="29"/>
        <v>-8.8216099438146456E-3</v>
      </c>
      <c r="R339" s="19"/>
      <c r="S339" s="19"/>
      <c r="T339" s="19"/>
      <c r="W339" s="38"/>
      <c r="X339" s="35"/>
    </row>
    <row r="340" spans="3:24" x14ac:dyDescent="0.3">
      <c r="C340" s="160">
        <v>45116</v>
      </c>
      <c r="D340" s="255">
        <v>2463.0500000000002</v>
      </c>
      <c r="E340" s="134">
        <f t="shared" si="25"/>
        <v>9.3226242675081838E-3</v>
      </c>
      <c r="F340" s="34"/>
      <c r="G340" s="255">
        <v>1086.1500000000001</v>
      </c>
      <c r="H340" s="134">
        <f t="shared" si="26"/>
        <v>7.8319358702683139E-4</v>
      </c>
      <c r="I340" s="163"/>
      <c r="J340" s="256">
        <v>587.07000000000005</v>
      </c>
      <c r="K340" s="134">
        <f t="shared" si="27"/>
        <v>8.9020261561465475E-3</v>
      </c>
      <c r="L340" s="163"/>
      <c r="M340" s="255">
        <v>2507.4</v>
      </c>
      <c r="N340" s="134">
        <f t="shared" si="28"/>
        <v>9.3810502784363869E-4</v>
      </c>
      <c r="O340" s="163"/>
      <c r="P340" s="255">
        <v>19727.05</v>
      </c>
      <c r="Q340" s="134">
        <f t="shared" si="29"/>
        <v>-4.6871964863686166E-3</v>
      </c>
      <c r="R340" s="19"/>
      <c r="S340" s="19"/>
      <c r="T340" s="19"/>
      <c r="W340" s="38"/>
      <c r="X340" s="35"/>
    </row>
    <row r="341" spans="3:24" x14ac:dyDescent="0.3">
      <c r="C341" s="160">
        <v>45086</v>
      </c>
      <c r="D341" s="255">
        <v>2454</v>
      </c>
      <c r="E341" s="134">
        <f t="shared" si="25"/>
        <v>-3.6743062463207021E-3</v>
      </c>
      <c r="F341" s="34"/>
      <c r="G341" s="255">
        <v>1090.0999999999999</v>
      </c>
      <c r="H341" s="134">
        <f t="shared" si="26"/>
        <v>3.6366984302351746E-3</v>
      </c>
      <c r="I341" s="163"/>
      <c r="J341" s="256">
        <v>584.66999999999996</v>
      </c>
      <c r="K341" s="134">
        <f t="shared" si="27"/>
        <v>-4.0880985231745992E-3</v>
      </c>
      <c r="L341" s="163"/>
      <c r="M341" s="255">
        <v>2502.4</v>
      </c>
      <c r="N341" s="134">
        <f t="shared" si="28"/>
        <v>-1.9940974714843795E-3</v>
      </c>
      <c r="O341" s="163"/>
      <c r="P341" s="255">
        <v>19611.05</v>
      </c>
      <c r="Q341" s="134">
        <f t="shared" si="29"/>
        <v>-5.8802507217247113E-3</v>
      </c>
      <c r="R341" s="19"/>
      <c r="S341" s="19"/>
      <c r="T341" s="19"/>
      <c r="W341" s="38"/>
      <c r="X341" s="35"/>
    </row>
    <row r="342" spans="3:24" x14ac:dyDescent="0.3">
      <c r="C342" s="160">
        <v>45055</v>
      </c>
      <c r="D342" s="255">
        <v>2419.5500000000002</v>
      </c>
      <c r="E342" s="134">
        <f t="shared" si="25"/>
        <v>-1.4038304808475899E-2</v>
      </c>
      <c r="F342" s="34"/>
      <c r="G342" s="255">
        <v>1103.75</v>
      </c>
      <c r="H342" s="134">
        <f t="shared" si="26"/>
        <v>1.2521786992019113E-2</v>
      </c>
      <c r="I342" s="163"/>
      <c r="J342" s="256">
        <v>583.09</v>
      </c>
      <c r="K342" s="134">
        <f t="shared" si="27"/>
        <v>-2.7023791198452773E-3</v>
      </c>
      <c r="L342" s="163"/>
      <c r="M342" s="255">
        <v>2491.3000000000002</v>
      </c>
      <c r="N342" s="134">
        <f t="shared" si="28"/>
        <v>-4.4357416879795553E-3</v>
      </c>
      <c r="O342" s="163"/>
      <c r="P342" s="255">
        <v>19574.900000000001</v>
      </c>
      <c r="Q342" s="134">
        <f t="shared" si="29"/>
        <v>-1.8433485203493971E-3</v>
      </c>
      <c r="R342" s="19"/>
      <c r="S342" s="19"/>
      <c r="T342" s="19"/>
      <c r="W342" s="38"/>
      <c r="X342" s="35"/>
    </row>
    <row r="343" spans="3:24" x14ac:dyDescent="0.3">
      <c r="C343" s="160">
        <v>45025</v>
      </c>
      <c r="D343" s="255">
        <v>2411.4499999999998</v>
      </c>
      <c r="E343" s="134">
        <f t="shared" si="25"/>
        <v>-3.3477299497841617E-3</v>
      </c>
      <c r="F343" s="34"/>
      <c r="G343" s="255">
        <v>1089.75</v>
      </c>
      <c r="H343" s="134">
        <f t="shared" si="26"/>
        <v>-1.2684031710079258E-2</v>
      </c>
      <c r="I343" s="163"/>
      <c r="J343" s="256">
        <v>582.70000000000005</v>
      </c>
      <c r="K343" s="134">
        <f t="shared" si="27"/>
        <v>-6.6885043475273243E-4</v>
      </c>
      <c r="L343" s="163"/>
      <c r="M343" s="255">
        <v>2474.85</v>
      </c>
      <c r="N343" s="134">
        <f t="shared" si="28"/>
        <v>-6.6029783647092444E-3</v>
      </c>
      <c r="O343" s="163"/>
      <c r="P343" s="255">
        <v>19528.8</v>
      </c>
      <c r="Q343" s="134">
        <f t="shared" si="29"/>
        <v>-2.3550567308135983E-3</v>
      </c>
      <c r="R343" s="19"/>
      <c r="S343" s="19"/>
      <c r="T343" s="19"/>
      <c r="X343" s="35"/>
    </row>
    <row r="344" spans="3:24" x14ac:dyDescent="0.3">
      <c r="C344" s="160">
        <v>44935</v>
      </c>
      <c r="D344" s="255">
        <v>2384.0500000000002</v>
      </c>
      <c r="E344" s="134">
        <f t="shared" si="25"/>
        <v>-1.1362458271993892E-2</v>
      </c>
      <c r="F344" s="34"/>
      <c r="G344" s="255">
        <v>1071.1500000000001</v>
      </c>
      <c r="H344" s="134">
        <f t="shared" si="26"/>
        <v>-1.7068134893324038E-2</v>
      </c>
      <c r="I344" s="163"/>
      <c r="J344" s="256">
        <v>578.42999999999995</v>
      </c>
      <c r="K344" s="134">
        <f t="shared" si="27"/>
        <v>-7.3279560665867605E-3</v>
      </c>
      <c r="L344" s="163"/>
      <c r="M344" s="255">
        <v>2498.25</v>
      </c>
      <c r="N344" s="134">
        <f t="shared" si="28"/>
        <v>9.4551184920299569E-3</v>
      </c>
      <c r="O344" s="163"/>
      <c r="P344" s="255">
        <v>19435.3</v>
      </c>
      <c r="Q344" s="134">
        <f t="shared" si="29"/>
        <v>-4.7878005817049152E-3</v>
      </c>
      <c r="R344" s="19"/>
      <c r="S344" s="19"/>
      <c r="T344" s="19"/>
      <c r="X344" s="35"/>
    </row>
    <row r="345" spans="3:24" x14ac:dyDescent="0.3">
      <c r="C345" s="25" t="s">
        <v>385</v>
      </c>
      <c r="D345" s="255">
        <v>2356.5</v>
      </c>
      <c r="E345" s="134">
        <f t="shared" si="25"/>
        <v>-1.1555965688639147E-2</v>
      </c>
      <c r="G345" s="255">
        <v>1061.45</v>
      </c>
      <c r="H345" s="134">
        <f t="shared" si="26"/>
        <v>-9.0556878121645923E-3</v>
      </c>
      <c r="I345" s="163"/>
      <c r="J345" s="256">
        <v>567.45000000000005</v>
      </c>
      <c r="K345" s="134">
        <f t="shared" si="27"/>
        <v>-1.8982417924381378E-2</v>
      </c>
      <c r="L345" s="163"/>
      <c r="M345" s="255">
        <v>2515</v>
      </c>
      <c r="N345" s="134">
        <f t="shared" si="28"/>
        <v>6.7046932852996566E-3</v>
      </c>
      <c r="O345" s="163"/>
      <c r="P345" s="255">
        <v>19253.8</v>
      </c>
      <c r="Q345" s="134">
        <f t="shared" si="29"/>
        <v>-9.3386775609329842E-3</v>
      </c>
      <c r="R345" s="19"/>
      <c r="S345" s="19"/>
      <c r="T345" s="19"/>
      <c r="X345" s="35"/>
    </row>
    <row r="346" spans="3:24" x14ac:dyDescent="0.3">
      <c r="C346" s="25" t="s">
        <v>386</v>
      </c>
      <c r="D346" s="255">
        <v>2369.35</v>
      </c>
      <c r="E346" s="134">
        <f t="shared" si="25"/>
        <v>5.4530023339698364E-3</v>
      </c>
      <c r="G346" s="255">
        <v>1059.7</v>
      </c>
      <c r="H346" s="134">
        <f t="shared" si="26"/>
        <v>-1.6486881153139343E-3</v>
      </c>
      <c r="I346" s="163"/>
      <c r="J346" s="256">
        <v>575.27</v>
      </c>
      <c r="K346" s="134">
        <f t="shared" si="27"/>
        <v>1.3780949863424041E-2</v>
      </c>
      <c r="L346" s="163"/>
      <c r="M346" s="255">
        <v>2574.85</v>
      </c>
      <c r="N346" s="134">
        <f t="shared" si="28"/>
        <v>2.379721669980106E-2</v>
      </c>
      <c r="O346" s="163"/>
      <c r="P346" s="255">
        <v>19347.45</v>
      </c>
      <c r="Q346" s="134">
        <f t="shared" si="29"/>
        <v>4.8639749036554214E-3</v>
      </c>
      <c r="R346" s="19"/>
      <c r="S346" s="19"/>
      <c r="T346" s="19"/>
      <c r="X346" s="35"/>
    </row>
    <row r="347" spans="3:24" x14ac:dyDescent="0.3">
      <c r="C347" s="25" t="s">
        <v>387</v>
      </c>
      <c r="D347" s="255">
        <v>2374.35</v>
      </c>
      <c r="E347" s="134">
        <f t="shared" si="25"/>
        <v>2.1102834110620083E-3</v>
      </c>
      <c r="G347" s="255">
        <v>1066.9000000000001</v>
      </c>
      <c r="H347" s="134">
        <f t="shared" si="26"/>
        <v>6.7943757667263682E-3</v>
      </c>
      <c r="I347" s="163"/>
      <c r="J347" s="256">
        <v>573.73</v>
      </c>
      <c r="K347" s="134">
        <f t="shared" si="27"/>
        <v>-2.6770038416742414E-3</v>
      </c>
      <c r="L347" s="163"/>
      <c r="M347" s="255">
        <v>2581.9499999999998</v>
      </c>
      <c r="N347" s="134">
        <f t="shared" si="28"/>
        <v>2.7574421810978578E-3</v>
      </c>
      <c r="O347" s="163"/>
      <c r="P347" s="255">
        <v>19342.650000000001</v>
      </c>
      <c r="Q347" s="134">
        <f t="shared" si="29"/>
        <v>-2.4809471015552198E-4</v>
      </c>
      <c r="R347" s="19"/>
      <c r="S347" s="19"/>
      <c r="T347" s="19"/>
      <c r="X347" s="35"/>
    </row>
    <row r="348" spans="3:24" x14ac:dyDescent="0.3">
      <c r="C348" s="25" t="s">
        <v>388</v>
      </c>
      <c r="D348" s="255">
        <v>2311.85</v>
      </c>
      <c r="E348" s="134">
        <f t="shared" si="25"/>
        <v>-2.63229936614231E-2</v>
      </c>
      <c r="G348" s="255">
        <v>1035.75</v>
      </c>
      <c r="H348" s="134">
        <f t="shared" si="26"/>
        <v>-2.9196738213515872E-2</v>
      </c>
      <c r="I348" s="163"/>
      <c r="J348" s="256">
        <v>561.16999999999996</v>
      </c>
      <c r="K348" s="134">
        <f t="shared" si="27"/>
        <v>-2.1891830652049027E-2</v>
      </c>
      <c r="L348" s="163"/>
      <c r="M348" s="255">
        <v>2514.1</v>
      </c>
      <c r="N348" s="134">
        <f t="shared" si="28"/>
        <v>-2.6278587888998617E-2</v>
      </c>
      <c r="O348" s="163"/>
      <c r="P348" s="255">
        <v>19306.05</v>
      </c>
      <c r="Q348" s="134">
        <f t="shared" si="29"/>
        <v>-1.8921916076650724E-3</v>
      </c>
      <c r="R348" s="19"/>
      <c r="S348" s="19"/>
      <c r="T348" s="19"/>
      <c r="X348" s="35"/>
    </row>
    <row r="349" spans="3:24" x14ac:dyDescent="0.3">
      <c r="C349" s="25" t="s">
        <v>389</v>
      </c>
      <c r="D349" s="255">
        <v>2310.25</v>
      </c>
      <c r="E349" s="134">
        <f t="shared" si="25"/>
        <v>-6.9208642429219314E-4</v>
      </c>
      <c r="G349" s="255">
        <v>1011.25</v>
      </c>
      <c r="H349" s="134">
        <f t="shared" si="26"/>
        <v>-2.3654356746319105E-2</v>
      </c>
      <c r="I349" s="163"/>
      <c r="J349" s="256">
        <v>559.29999999999995</v>
      </c>
      <c r="K349" s="134">
        <f t="shared" si="27"/>
        <v>-3.3323235383216909E-3</v>
      </c>
      <c r="L349" s="163"/>
      <c r="M349" s="255">
        <v>2527.9</v>
      </c>
      <c r="N349" s="134">
        <f t="shared" si="28"/>
        <v>5.4890418042241595E-3</v>
      </c>
      <c r="O349" s="163"/>
      <c r="P349" s="255">
        <v>19265.8</v>
      </c>
      <c r="Q349" s="134">
        <f t="shared" si="29"/>
        <v>-2.0848386904622762E-3</v>
      </c>
      <c r="R349" s="19"/>
      <c r="S349" s="19"/>
      <c r="T349" s="19"/>
      <c r="X349" s="35"/>
    </row>
    <row r="350" spans="3:24" x14ac:dyDescent="0.3">
      <c r="C350" s="25" t="s">
        <v>390</v>
      </c>
      <c r="D350" s="255">
        <v>2310.0500000000002</v>
      </c>
      <c r="E350" s="134">
        <f t="shared" si="25"/>
        <v>-8.6570717454770296E-5</v>
      </c>
      <c r="G350" s="255">
        <v>1015.65</v>
      </c>
      <c r="H350" s="134">
        <f t="shared" si="26"/>
        <v>4.3510506798516424E-3</v>
      </c>
      <c r="I350" s="163"/>
      <c r="J350" s="256">
        <v>562.46</v>
      </c>
      <c r="K350" s="134">
        <f t="shared" si="27"/>
        <v>5.64991954228522E-3</v>
      </c>
      <c r="L350" s="163"/>
      <c r="M350" s="255">
        <v>2521.6</v>
      </c>
      <c r="N350" s="134">
        <f t="shared" si="28"/>
        <v>-2.4921871909491244E-3</v>
      </c>
      <c r="O350" s="163"/>
      <c r="P350" s="255">
        <v>19386.7</v>
      </c>
      <c r="Q350" s="134">
        <f t="shared" si="29"/>
        <v>6.2753687882155518E-3</v>
      </c>
      <c r="R350" s="19"/>
      <c r="S350" s="19"/>
      <c r="T350" s="19"/>
      <c r="X350" s="35"/>
    </row>
    <row r="351" spans="3:24" x14ac:dyDescent="0.3">
      <c r="C351" s="25" t="s">
        <v>391</v>
      </c>
      <c r="D351" s="255">
        <v>2310.8000000000002</v>
      </c>
      <c r="E351" s="134">
        <f t="shared" si="25"/>
        <v>3.2466829722310742E-4</v>
      </c>
      <c r="G351" s="255">
        <v>1004.65</v>
      </c>
      <c r="H351" s="134">
        <f t="shared" si="26"/>
        <v>-1.0830502633781269E-2</v>
      </c>
      <c r="I351" s="163"/>
      <c r="J351" s="256">
        <v>561.70000000000005</v>
      </c>
      <c r="K351" s="134">
        <f t="shared" si="27"/>
        <v>-1.35120719695625E-3</v>
      </c>
      <c r="L351" s="163"/>
      <c r="M351" s="255">
        <v>2506.9499999999998</v>
      </c>
      <c r="N351" s="134">
        <f t="shared" si="28"/>
        <v>-5.8098032994924331E-3</v>
      </c>
      <c r="O351" s="163"/>
      <c r="P351" s="255">
        <v>19444</v>
      </c>
      <c r="Q351" s="134">
        <f t="shared" si="29"/>
        <v>2.9556345329528888E-3</v>
      </c>
      <c r="R351" s="19"/>
      <c r="S351" s="19"/>
      <c r="T351" s="19"/>
      <c r="X351" s="35"/>
    </row>
    <row r="352" spans="3:24" x14ac:dyDescent="0.3">
      <c r="C352" s="25" t="s">
        <v>392</v>
      </c>
      <c r="D352" s="255">
        <v>2300.75</v>
      </c>
      <c r="E352" s="134">
        <f t="shared" si="25"/>
        <v>-4.3491431538861258E-3</v>
      </c>
      <c r="G352" s="255">
        <v>1004</v>
      </c>
      <c r="H352" s="134">
        <f t="shared" si="26"/>
        <v>-6.4699148957347852E-4</v>
      </c>
      <c r="I352" s="163"/>
      <c r="J352" s="256">
        <v>559.91999999999996</v>
      </c>
      <c r="K352" s="134">
        <f t="shared" si="27"/>
        <v>-3.1689513975433625E-3</v>
      </c>
      <c r="L352" s="163"/>
      <c r="M352" s="255">
        <v>2494.3000000000002</v>
      </c>
      <c r="N352" s="134">
        <f t="shared" si="28"/>
        <v>-5.0459721972914151E-3</v>
      </c>
      <c r="O352" s="163"/>
      <c r="P352" s="255">
        <v>19396.45</v>
      </c>
      <c r="Q352" s="134">
        <f t="shared" si="29"/>
        <v>-2.4454844682163523E-3</v>
      </c>
      <c r="R352" s="19"/>
      <c r="S352" s="19"/>
      <c r="T352" s="19"/>
      <c r="X352" s="35"/>
    </row>
    <row r="353" spans="3:24" x14ac:dyDescent="0.3">
      <c r="C353" s="25" t="s">
        <v>393</v>
      </c>
      <c r="D353" s="255">
        <v>2301.4499999999998</v>
      </c>
      <c r="E353" s="134">
        <f t="shared" si="25"/>
        <v>3.0424861458211439E-4</v>
      </c>
      <c r="G353" s="255">
        <v>1001.05</v>
      </c>
      <c r="H353" s="134">
        <f t="shared" si="26"/>
        <v>-2.9382470119522219E-3</v>
      </c>
      <c r="I353" s="163"/>
      <c r="J353" s="256">
        <v>561.65</v>
      </c>
      <c r="K353" s="134">
        <f t="shared" si="27"/>
        <v>3.0897271038721197E-3</v>
      </c>
      <c r="L353" s="163"/>
      <c r="M353" s="255">
        <v>2486.75</v>
      </c>
      <c r="N353" s="134">
        <f t="shared" si="28"/>
        <v>-3.0269013350440188E-3</v>
      </c>
      <c r="O353" s="163"/>
      <c r="P353" s="255">
        <v>19393.599999999999</v>
      </c>
      <c r="Q353" s="134">
        <f t="shared" si="29"/>
        <v>-1.4693410392119244E-4</v>
      </c>
      <c r="R353" s="19"/>
      <c r="S353" s="19"/>
      <c r="T353" s="19"/>
      <c r="X353" s="35"/>
    </row>
    <row r="354" spans="3:24" x14ac:dyDescent="0.3">
      <c r="C354" s="25" t="s">
        <v>394</v>
      </c>
      <c r="D354" s="255">
        <v>2277.8000000000002</v>
      </c>
      <c r="E354" s="134">
        <f t="shared" si="25"/>
        <v>-1.0276130265701955E-2</v>
      </c>
      <c r="G354" s="256">
        <v>998.5</v>
      </c>
      <c r="H354" s="134">
        <f t="shared" si="26"/>
        <v>-2.5473253084261627E-3</v>
      </c>
      <c r="I354" s="163"/>
      <c r="J354" s="256">
        <v>554.92999999999995</v>
      </c>
      <c r="K354" s="134">
        <f t="shared" si="27"/>
        <v>-1.1964746728389652E-2</v>
      </c>
      <c r="L354" s="163"/>
      <c r="M354" s="255">
        <v>2477.6</v>
      </c>
      <c r="N354" s="134">
        <f t="shared" si="28"/>
        <v>-3.6795013571931934E-3</v>
      </c>
      <c r="O354" s="163"/>
      <c r="P354" s="255">
        <v>19310.150000000001</v>
      </c>
      <c r="Q354" s="134">
        <f t="shared" si="29"/>
        <v>-4.3029659269036014E-3</v>
      </c>
      <c r="R354" s="19"/>
      <c r="S354" s="19"/>
      <c r="T354" s="19"/>
      <c r="X354" s="35"/>
    </row>
    <row r="355" spans="3:24" x14ac:dyDescent="0.3">
      <c r="C355" s="25" t="s">
        <v>395</v>
      </c>
      <c r="D355" s="255">
        <v>2295.65</v>
      </c>
      <c r="E355" s="134">
        <f t="shared" si="25"/>
        <v>7.8365089121081866E-3</v>
      </c>
      <c r="G355" s="256">
        <v>991.4</v>
      </c>
      <c r="H355" s="134">
        <f t="shared" si="26"/>
        <v>-7.1106659989985666E-3</v>
      </c>
      <c r="I355" s="163"/>
      <c r="J355" s="256">
        <v>561.03</v>
      </c>
      <c r="K355" s="134">
        <f t="shared" si="27"/>
        <v>1.0992377416971566E-2</v>
      </c>
      <c r="L355" s="163"/>
      <c r="M355" s="255">
        <v>2503.15</v>
      </c>
      <c r="N355" s="134">
        <f t="shared" si="28"/>
        <v>1.0312399095899316E-2</v>
      </c>
      <c r="O355" s="163"/>
      <c r="P355" s="255">
        <v>19365.25</v>
      </c>
      <c r="Q355" s="134">
        <f t="shared" si="29"/>
        <v>2.8534216461291173E-3</v>
      </c>
      <c r="R355" s="19"/>
      <c r="S355" s="19"/>
      <c r="T355" s="19"/>
      <c r="W355" s="38"/>
      <c r="X355" s="35"/>
    </row>
    <row r="356" spans="3:24" x14ac:dyDescent="0.3">
      <c r="C356" s="25" t="s">
        <v>396</v>
      </c>
      <c r="D356" s="255">
        <v>2301.65</v>
      </c>
      <c r="E356" s="134">
        <f t="shared" si="25"/>
        <v>2.6136388386730491E-3</v>
      </c>
      <c r="G356" s="256">
        <v>990.7</v>
      </c>
      <c r="H356" s="134">
        <f t="shared" si="26"/>
        <v>-7.0607222110141699E-4</v>
      </c>
      <c r="I356" s="163"/>
      <c r="J356" s="256">
        <v>565.77</v>
      </c>
      <c r="K356" s="134">
        <f t="shared" si="27"/>
        <v>8.4487460563607009E-3</v>
      </c>
      <c r="L356" s="163"/>
      <c r="M356" s="255">
        <v>2539.65</v>
      </c>
      <c r="N356" s="134">
        <f t="shared" si="28"/>
        <v>1.4581627149791165E-2</v>
      </c>
      <c r="O356" s="163"/>
      <c r="P356" s="255">
        <v>19465</v>
      </c>
      <c r="Q356" s="134">
        <f t="shared" si="29"/>
        <v>5.1509792024373446E-3</v>
      </c>
      <c r="R356" s="19"/>
      <c r="S356" s="19"/>
      <c r="T356" s="19"/>
      <c r="W356" s="38"/>
      <c r="X356" s="35"/>
    </row>
    <row r="357" spans="3:24" x14ac:dyDescent="0.3">
      <c r="C357" s="25" t="s">
        <v>397</v>
      </c>
      <c r="D357" s="255">
        <v>2292.1</v>
      </c>
      <c r="E357" s="134">
        <f t="shared" si="25"/>
        <v>-4.1491973149697658E-3</v>
      </c>
      <c r="G357" s="255">
        <v>1001.65</v>
      </c>
      <c r="H357" s="134">
        <f t="shared" si="26"/>
        <v>1.1052790955889735E-2</v>
      </c>
      <c r="I357" s="163"/>
      <c r="J357" s="256">
        <v>566.25</v>
      </c>
      <c r="K357" s="134">
        <f t="shared" si="27"/>
        <v>8.4840129381191787E-4</v>
      </c>
      <c r="L357" s="163"/>
      <c r="M357" s="255">
        <v>2537.4</v>
      </c>
      <c r="N357" s="134">
        <f t="shared" si="28"/>
        <v>-8.8594885121962008E-4</v>
      </c>
      <c r="O357" s="163"/>
      <c r="P357" s="255">
        <v>19434.55</v>
      </c>
      <c r="Q357" s="134">
        <f t="shared" si="29"/>
        <v>-1.5643462625225535E-3</v>
      </c>
      <c r="R357" s="19"/>
      <c r="S357" s="19"/>
      <c r="T357" s="19"/>
      <c r="W357" s="38"/>
      <c r="X357" s="35"/>
    </row>
    <row r="358" spans="3:24" x14ac:dyDescent="0.3">
      <c r="C358" s="160">
        <v>45238</v>
      </c>
      <c r="D358" s="255">
        <v>2295.6999999999998</v>
      </c>
      <c r="E358" s="134">
        <f t="shared" si="25"/>
        <v>1.5706121024388064E-3</v>
      </c>
      <c r="F358" s="34"/>
      <c r="G358" s="255">
        <v>1005.7</v>
      </c>
      <c r="H358" s="134">
        <f t="shared" si="26"/>
        <v>4.043328507961963E-3</v>
      </c>
      <c r="I358" s="163"/>
      <c r="J358" s="256">
        <v>575.27</v>
      </c>
      <c r="K358" s="134">
        <f t="shared" si="27"/>
        <v>1.5929359823399603E-2</v>
      </c>
      <c r="L358" s="163"/>
      <c r="M358" s="255">
        <v>2544.65</v>
      </c>
      <c r="N358" s="134">
        <f t="shared" si="28"/>
        <v>2.8572554583432552E-3</v>
      </c>
      <c r="O358" s="163"/>
      <c r="P358" s="255">
        <v>19428.3</v>
      </c>
      <c r="Q358" s="134">
        <f t="shared" si="29"/>
        <v>-3.2159221592475973E-4</v>
      </c>
      <c r="R358" s="19"/>
      <c r="S358" s="19"/>
      <c r="T358" s="19"/>
      <c r="W358" s="38"/>
      <c r="X358" s="35"/>
    </row>
    <row r="359" spans="3:24" x14ac:dyDescent="0.3">
      <c r="C359" s="160">
        <v>45207</v>
      </c>
      <c r="D359" s="255">
        <v>2294.25</v>
      </c>
      <c r="E359" s="134">
        <f t="shared" si="25"/>
        <v>-6.3161562921976167E-4</v>
      </c>
      <c r="F359" s="34"/>
      <c r="G359" s="255">
        <v>1008.05</v>
      </c>
      <c r="H359" s="134">
        <f t="shared" si="26"/>
        <v>2.3366809187630455E-3</v>
      </c>
      <c r="I359" s="163"/>
      <c r="J359" s="256">
        <v>584.80999999999995</v>
      </c>
      <c r="K359" s="134">
        <f t="shared" si="27"/>
        <v>1.6583517304917583E-2</v>
      </c>
      <c r="L359" s="163"/>
      <c r="M359" s="255">
        <v>2520.1</v>
      </c>
      <c r="N359" s="134">
        <f t="shared" si="28"/>
        <v>-9.6476922170043444E-3</v>
      </c>
      <c r="O359" s="163"/>
      <c r="P359" s="255">
        <v>19543.099999999999</v>
      </c>
      <c r="Q359" s="134">
        <f t="shared" si="29"/>
        <v>5.908906080305476E-3</v>
      </c>
      <c r="R359" s="19"/>
      <c r="S359" s="19"/>
      <c r="T359" s="19"/>
      <c r="W359" s="38"/>
      <c r="X359" s="35"/>
    </row>
    <row r="360" spans="3:24" x14ac:dyDescent="0.3">
      <c r="C360" s="160">
        <v>45177</v>
      </c>
      <c r="D360" s="255">
        <v>2299.6999999999998</v>
      </c>
      <c r="E360" s="134">
        <f t="shared" si="25"/>
        <v>2.3755039773345477E-3</v>
      </c>
      <c r="F360" s="34"/>
      <c r="G360" s="255">
        <v>1010.2</v>
      </c>
      <c r="H360" s="134">
        <f t="shared" si="26"/>
        <v>2.1328307127623791E-3</v>
      </c>
      <c r="I360" s="163"/>
      <c r="J360" s="256">
        <v>590.28</v>
      </c>
      <c r="K360" s="134">
        <f t="shared" si="27"/>
        <v>9.3534652280227171E-3</v>
      </c>
      <c r="L360" s="163"/>
      <c r="M360" s="255">
        <v>2603.6</v>
      </c>
      <c r="N360" s="134">
        <f t="shared" si="28"/>
        <v>3.3133605809293254E-2</v>
      </c>
      <c r="O360" s="163"/>
      <c r="P360" s="255">
        <v>19632.55</v>
      </c>
      <c r="Q360" s="134">
        <f t="shared" si="29"/>
        <v>4.5770630043340255E-3</v>
      </c>
      <c r="R360" s="19"/>
      <c r="S360" s="19"/>
      <c r="T360" s="19"/>
      <c r="W360" s="38"/>
      <c r="X360" s="35"/>
    </row>
    <row r="361" spans="3:24" x14ac:dyDescent="0.3">
      <c r="C361" s="160">
        <v>45146</v>
      </c>
      <c r="D361" s="255">
        <v>2277.9499999999998</v>
      </c>
      <c r="E361" s="134">
        <f t="shared" si="25"/>
        <v>-9.4577553593947483E-3</v>
      </c>
      <c r="F361" s="34"/>
      <c r="G361" s="255">
        <v>1010.35</v>
      </c>
      <c r="H361" s="134">
        <f t="shared" si="26"/>
        <v>1.4848544842593903E-4</v>
      </c>
      <c r="I361" s="163"/>
      <c r="J361" s="256">
        <v>579.73</v>
      </c>
      <c r="K361" s="134">
        <f t="shared" si="27"/>
        <v>-1.7872873890357077E-2</v>
      </c>
      <c r="L361" s="163"/>
      <c r="M361" s="255">
        <v>2623.8</v>
      </c>
      <c r="N361" s="134">
        <f t="shared" si="28"/>
        <v>7.7584882470427274E-3</v>
      </c>
      <c r="O361" s="163"/>
      <c r="P361" s="255">
        <v>19570.849999999999</v>
      </c>
      <c r="Q361" s="134">
        <f t="shared" si="29"/>
        <v>-3.1427399904749853E-3</v>
      </c>
      <c r="R361" s="19"/>
      <c r="S361" s="19"/>
      <c r="T361" s="19"/>
      <c r="W361" s="38"/>
      <c r="X361" s="35"/>
    </row>
    <row r="362" spans="3:24" x14ac:dyDescent="0.3">
      <c r="C362" s="160">
        <v>45115</v>
      </c>
      <c r="D362" s="255">
        <v>2284.15</v>
      </c>
      <c r="E362" s="134">
        <f t="shared" si="25"/>
        <v>2.7217454290042742E-3</v>
      </c>
      <c r="F362" s="34"/>
      <c r="G362" s="255">
        <v>1039.2</v>
      </c>
      <c r="H362" s="134">
        <f t="shared" si="26"/>
        <v>2.8554461325283276E-2</v>
      </c>
      <c r="I362" s="163"/>
      <c r="J362" s="256">
        <v>582.08000000000004</v>
      </c>
      <c r="K362" s="134">
        <f t="shared" si="27"/>
        <v>4.0536111638176386E-3</v>
      </c>
      <c r="L362" s="163"/>
      <c r="M362" s="255">
        <v>2610.6</v>
      </c>
      <c r="N362" s="134">
        <f t="shared" si="28"/>
        <v>-5.030871255431113E-3</v>
      </c>
      <c r="O362" s="163"/>
      <c r="P362" s="255">
        <v>19597.3</v>
      </c>
      <c r="Q362" s="134">
        <f t="shared" si="29"/>
        <v>1.3514998071111339E-3</v>
      </c>
      <c r="R362" s="19"/>
      <c r="S362" s="19"/>
      <c r="T362" s="19"/>
      <c r="W362" s="38"/>
      <c r="X362" s="35"/>
    </row>
    <row r="363" spans="3:24" x14ac:dyDescent="0.3">
      <c r="C363" s="160">
        <v>45024</v>
      </c>
      <c r="D363" s="255">
        <v>2266.8000000000002</v>
      </c>
      <c r="E363" s="134">
        <f t="shared" si="25"/>
        <v>-7.5958233916335605E-3</v>
      </c>
      <c r="F363" s="34"/>
      <c r="G363" s="255">
        <v>1047.45</v>
      </c>
      <c r="H363" s="134">
        <f t="shared" si="26"/>
        <v>7.9387990762125327E-3</v>
      </c>
      <c r="I363" s="163"/>
      <c r="J363" s="256">
        <v>578.87</v>
      </c>
      <c r="K363" s="134">
        <f t="shared" si="27"/>
        <v>-5.5147058823530326E-3</v>
      </c>
      <c r="L363" s="163"/>
      <c r="M363" s="255">
        <v>2609.8000000000002</v>
      </c>
      <c r="N363" s="134">
        <f t="shared" si="28"/>
        <v>-3.0644296330339937E-4</v>
      </c>
      <c r="O363" s="163"/>
      <c r="P363" s="255">
        <v>19517</v>
      </c>
      <c r="Q363" s="134">
        <f t="shared" si="29"/>
        <v>-4.0975032274853662E-3</v>
      </c>
      <c r="R363" s="19"/>
      <c r="S363" s="19"/>
      <c r="T363" s="19"/>
      <c r="X363" s="35"/>
    </row>
    <row r="364" spans="3:24" x14ac:dyDescent="0.3">
      <c r="C364" s="160">
        <v>44993</v>
      </c>
      <c r="D364" s="255">
        <v>2261.1</v>
      </c>
      <c r="E364" s="134">
        <f t="shared" si="25"/>
        <v>-2.5145579671784768E-3</v>
      </c>
      <c r="F364" s="34"/>
      <c r="G364" s="255">
        <v>1039.5</v>
      </c>
      <c r="H364" s="134">
        <f t="shared" si="26"/>
        <v>-7.5898610912216169E-3</v>
      </c>
      <c r="I364" s="163"/>
      <c r="J364" s="256">
        <v>576.08000000000004</v>
      </c>
      <c r="K364" s="134">
        <f t="shared" si="27"/>
        <v>-4.8197350009500095E-3</v>
      </c>
      <c r="L364" s="163"/>
      <c r="M364" s="255">
        <v>2584.5</v>
      </c>
      <c r="N364" s="134">
        <f t="shared" si="28"/>
        <v>-9.6942294428692399E-3</v>
      </c>
      <c r="O364" s="163"/>
      <c r="P364" s="255">
        <v>19381.650000000001</v>
      </c>
      <c r="Q364" s="134">
        <f t="shared" si="29"/>
        <v>-6.934979761233695E-3</v>
      </c>
      <c r="R364" s="19"/>
      <c r="S364" s="19"/>
      <c r="T364" s="19"/>
      <c r="X364" s="35"/>
    </row>
    <row r="365" spans="3:24" x14ac:dyDescent="0.3">
      <c r="C365" s="160">
        <v>44965</v>
      </c>
      <c r="D365" s="255">
        <v>2265.4</v>
      </c>
      <c r="E365" s="134">
        <f t="shared" si="25"/>
        <v>1.9017292468268554E-3</v>
      </c>
      <c r="F365" s="34"/>
      <c r="G365" s="255">
        <v>1041.4000000000001</v>
      </c>
      <c r="H365" s="134">
        <f t="shared" si="26"/>
        <v>1.8278018278019559E-3</v>
      </c>
      <c r="I365" s="163"/>
      <c r="J365" s="256">
        <v>593.83000000000004</v>
      </c>
      <c r="K365" s="134">
        <f t="shared" si="27"/>
        <v>3.0811692820441605E-2</v>
      </c>
      <c r="L365" s="163"/>
      <c r="M365" s="255">
        <v>2626.75</v>
      </c>
      <c r="N365" s="134">
        <f t="shared" si="28"/>
        <v>1.6347455987618442E-2</v>
      </c>
      <c r="O365" s="163"/>
      <c r="P365" s="255">
        <v>19526.55</v>
      </c>
      <c r="Q365" s="134">
        <f t="shared" si="29"/>
        <v>7.4761436719783525E-3</v>
      </c>
      <c r="R365" s="19"/>
      <c r="S365" s="19"/>
      <c r="T365" s="19"/>
      <c r="X365" s="35"/>
    </row>
    <row r="366" spans="3:24" x14ac:dyDescent="0.3">
      <c r="C366" s="160">
        <v>44934</v>
      </c>
      <c r="D366" s="255">
        <v>2251.1</v>
      </c>
      <c r="E366" s="134">
        <f t="shared" si="25"/>
        <v>-6.3123510196875232E-3</v>
      </c>
      <c r="F366" s="34"/>
      <c r="G366" s="255">
        <v>1072.9000000000001</v>
      </c>
      <c r="H366" s="134">
        <f t="shared" si="26"/>
        <v>3.0247743422316065E-2</v>
      </c>
      <c r="I366" s="163"/>
      <c r="J366" s="256">
        <v>600.29999999999995</v>
      </c>
      <c r="K366" s="134">
        <f t="shared" si="27"/>
        <v>1.0895374096963728E-2</v>
      </c>
      <c r="L366" s="163"/>
      <c r="M366" s="255">
        <v>2634.8</v>
      </c>
      <c r="N366" s="134">
        <f t="shared" si="28"/>
        <v>3.0646235842772818E-3</v>
      </c>
      <c r="O366" s="163"/>
      <c r="P366" s="255">
        <v>19733.55</v>
      </c>
      <c r="Q366" s="134">
        <f t="shared" si="29"/>
        <v>1.0600951012851745E-2</v>
      </c>
      <c r="R366" s="19"/>
      <c r="S366" s="19"/>
      <c r="T366" s="19"/>
      <c r="X366" s="35"/>
    </row>
    <row r="367" spans="3:24" x14ac:dyDescent="0.3">
      <c r="C367" s="25" t="s">
        <v>398</v>
      </c>
      <c r="D367" s="255">
        <v>2170.5500000000002</v>
      </c>
      <c r="E367" s="134">
        <f t="shared" si="25"/>
        <v>-3.5782506330238384E-2</v>
      </c>
      <c r="G367" s="255">
        <v>1059.3499999999999</v>
      </c>
      <c r="H367" s="134">
        <f t="shared" si="26"/>
        <v>-1.2629322397241238E-2</v>
      </c>
      <c r="I367" s="163"/>
      <c r="J367" s="256">
        <v>598.86</v>
      </c>
      <c r="K367" s="134">
        <f t="shared" si="27"/>
        <v>-2.3988005997001016E-3</v>
      </c>
      <c r="L367" s="163"/>
      <c r="M367" s="255">
        <v>2614.9499999999998</v>
      </c>
      <c r="N367" s="134">
        <f t="shared" si="28"/>
        <v>-7.5337786549265484E-3</v>
      </c>
      <c r="O367" s="163"/>
      <c r="P367" s="255">
        <v>19753.8</v>
      </c>
      <c r="Q367" s="134">
        <f t="shared" si="29"/>
        <v>1.0261711653503092E-3</v>
      </c>
      <c r="R367" s="19"/>
      <c r="S367" s="19"/>
      <c r="T367" s="19"/>
      <c r="X367" s="35"/>
    </row>
    <row r="368" spans="3:24" x14ac:dyDescent="0.3">
      <c r="C368" s="25" t="s">
        <v>399</v>
      </c>
      <c r="D368" s="255">
        <v>2170.1</v>
      </c>
      <c r="E368" s="134">
        <f t="shared" si="25"/>
        <v>-2.0732072516194133E-4</v>
      </c>
      <c r="G368" s="255">
        <v>1051.05</v>
      </c>
      <c r="H368" s="134">
        <f t="shared" si="26"/>
        <v>-7.8349931561806363E-3</v>
      </c>
      <c r="I368" s="163"/>
      <c r="J368" s="256">
        <v>599.54</v>
      </c>
      <c r="K368" s="134">
        <f t="shared" si="27"/>
        <v>1.1354907657883384E-3</v>
      </c>
      <c r="L368" s="163"/>
      <c r="M368" s="255">
        <v>2615.85</v>
      </c>
      <c r="N368" s="134">
        <f t="shared" si="28"/>
        <v>3.4417484081927796E-4</v>
      </c>
      <c r="O368" s="163"/>
      <c r="P368" s="255">
        <v>19646.05</v>
      </c>
      <c r="Q368" s="134">
        <f t="shared" si="29"/>
        <v>-5.4546467008879107E-3</v>
      </c>
      <c r="R368" s="19"/>
      <c r="S368" s="19"/>
      <c r="T368" s="19"/>
      <c r="X368" s="35"/>
    </row>
    <row r="369" spans="3:24" x14ac:dyDescent="0.3">
      <c r="C369" s="25" t="s">
        <v>400</v>
      </c>
      <c r="D369" s="255">
        <v>2162.15</v>
      </c>
      <c r="E369" s="134">
        <f t="shared" si="25"/>
        <v>-3.6634256485875705E-3</v>
      </c>
      <c r="G369" s="256">
        <v>993.65</v>
      </c>
      <c r="H369" s="134">
        <f t="shared" si="26"/>
        <v>-5.4612054612054539E-2</v>
      </c>
      <c r="I369" s="163"/>
      <c r="J369" s="256">
        <v>601.07000000000005</v>
      </c>
      <c r="K369" s="134">
        <f t="shared" si="27"/>
        <v>2.5519564999834099E-3</v>
      </c>
      <c r="L369" s="163"/>
      <c r="M369" s="255">
        <v>2602.75</v>
      </c>
      <c r="N369" s="134">
        <f t="shared" si="28"/>
        <v>-5.0079324120266833E-3</v>
      </c>
      <c r="O369" s="163"/>
      <c r="P369" s="255">
        <v>19659.900000000001</v>
      </c>
      <c r="Q369" s="134">
        <f t="shared" si="29"/>
        <v>7.0497631839483432E-4</v>
      </c>
      <c r="R369" s="19"/>
      <c r="S369" s="19"/>
      <c r="T369" s="19"/>
      <c r="X369" s="35"/>
    </row>
    <row r="370" spans="3:24" x14ac:dyDescent="0.3">
      <c r="C370" s="25" t="s">
        <v>401</v>
      </c>
      <c r="D370" s="255">
        <v>2144.3000000000002</v>
      </c>
      <c r="E370" s="134">
        <f t="shared" si="25"/>
        <v>-8.2556714381517571E-3</v>
      </c>
      <c r="G370" s="256">
        <v>998.2</v>
      </c>
      <c r="H370" s="134">
        <f t="shared" si="26"/>
        <v>4.5790771398379615E-3</v>
      </c>
      <c r="I370" s="163"/>
      <c r="J370" s="256">
        <v>606.05999999999995</v>
      </c>
      <c r="K370" s="134">
        <f t="shared" si="27"/>
        <v>8.301861680003908E-3</v>
      </c>
      <c r="L370" s="163"/>
      <c r="M370" s="255">
        <v>2618</v>
      </c>
      <c r="N370" s="134">
        <f t="shared" si="28"/>
        <v>5.8591873979445541E-3</v>
      </c>
      <c r="O370" s="163"/>
      <c r="P370" s="255">
        <v>19778.3</v>
      </c>
      <c r="Q370" s="134">
        <f t="shared" si="29"/>
        <v>6.0224111007685099E-3</v>
      </c>
      <c r="R370" s="19"/>
      <c r="S370" s="19"/>
      <c r="T370" s="19"/>
      <c r="X370" s="35"/>
    </row>
    <row r="371" spans="3:24" x14ac:dyDescent="0.3">
      <c r="C371" s="25" t="s">
        <v>402</v>
      </c>
      <c r="D371" s="255">
        <v>2164.1</v>
      </c>
      <c r="E371" s="134">
        <f t="shared" si="25"/>
        <v>9.2337825863917367E-3</v>
      </c>
      <c r="G371" s="256">
        <v>977.1</v>
      </c>
      <c r="H371" s="134">
        <f t="shared" si="26"/>
        <v>-2.1138048487277072E-2</v>
      </c>
      <c r="I371" s="163"/>
      <c r="J371" s="256">
        <v>601.22</v>
      </c>
      <c r="K371" s="134">
        <f t="shared" si="27"/>
        <v>-7.9860079860079036E-3</v>
      </c>
      <c r="L371" s="163"/>
      <c r="M371" s="255">
        <v>2607.4</v>
      </c>
      <c r="N371" s="134">
        <f t="shared" si="28"/>
        <v>-4.0488922841863673E-3</v>
      </c>
      <c r="O371" s="163"/>
      <c r="P371" s="255">
        <v>19680.599999999999</v>
      </c>
      <c r="Q371" s="134">
        <f t="shared" si="29"/>
        <v>-4.9397572086580244E-3</v>
      </c>
      <c r="R371" s="19"/>
      <c r="S371" s="19"/>
      <c r="T371" s="19"/>
      <c r="X371" s="35"/>
    </row>
    <row r="372" spans="3:24" x14ac:dyDescent="0.3">
      <c r="C372" s="25" t="s">
        <v>403</v>
      </c>
      <c r="D372" s="255">
        <v>2144.35</v>
      </c>
      <c r="E372" s="134">
        <f t="shared" si="25"/>
        <v>-9.1261956471512251E-3</v>
      </c>
      <c r="G372" s="256">
        <v>990.5</v>
      </c>
      <c r="H372" s="134">
        <f t="shared" si="26"/>
        <v>1.3714051785896908E-2</v>
      </c>
      <c r="I372" s="163"/>
      <c r="J372" s="256">
        <v>606.67999999999995</v>
      </c>
      <c r="K372" s="134">
        <f t="shared" si="27"/>
        <v>9.0815342137651189E-3</v>
      </c>
      <c r="L372" s="163"/>
      <c r="M372" s="255">
        <v>2651.6</v>
      </c>
      <c r="N372" s="134">
        <f t="shared" si="28"/>
        <v>1.6951752703842748E-2</v>
      </c>
      <c r="O372" s="163"/>
      <c r="P372" s="255">
        <v>19672.349999999999</v>
      </c>
      <c r="Q372" s="134">
        <f t="shared" si="29"/>
        <v>-4.1919453675187679E-4</v>
      </c>
      <c r="R372" s="19"/>
      <c r="S372" s="19"/>
      <c r="T372" s="19"/>
      <c r="X372" s="35"/>
    </row>
    <row r="373" spans="3:24" x14ac:dyDescent="0.3">
      <c r="C373" s="25" t="s">
        <v>404</v>
      </c>
      <c r="D373" s="255">
        <v>2212.75</v>
      </c>
      <c r="E373" s="134">
        <f t="shared" si="25"/>
        <v>3.189777788140935E-2</v>
      </c>
      <c r="G373" s="256">
        <v>987.65</v>
      </c>
      <c r="H373" s="134">
        <f t="shared" si="26"/>
        <v>-2.8773346794548349E-3</v>
      </c>
      <c r="I373" s="163"/>
      <c r="J373" s="256">
        <v>608.65</v>
      </c>
      <c r="K373" s="134">
        <f t="shared" si="27"/>
        <v>3.2471813806289607E-3</v>
      </c>
      <c r="L373" s="163"/>
      <c r="M373" s="255">
        <v>2662.8</v>
      </c>
      <c r="N373" s="134">
        <f t="shared" si="28"/>
        <v>4.2238648363253084E-3</v>
      </c>
      <c r="O373" s="163"/>
      <c r="P373" s="255">
        <v>19745</v>
      </c>
      <c r="Q373" s="134">
        <f t="shared" si="29"/>
        <v>3.6930005820352552E-3</v>
      </c>
      <c r="R373" s="19"/>
      <c r="S373" s="19"/>
      <c r="T373" s="19"/>
      <c r="X373" s="35"/>
    </row>
    <row r="374" spans="3:24" x14ac:dyDescent="0.3">
      <c r="C374" s="25" t="s">
        <v>405</v>
      </c>
      <c r="D374" s="255">
        <v>2242.6</v>
      </c>
      <c r="E374" s="134">
        <f t="shared" si="25"/>
        <v>1.3490001129815798E-2</v>
      </c>
      <c r="G374" s="256">
        <v>994.45</v>
      </c>
      <c r="H374" s="134">
        <f t="shared" si="26"/>
        <v>6.8850301220069188E-3</v>
      </c>
      <c r="I374" s="163"/>
      <c r="J374" s="256">
        <v>612.97</v>
      </c>
      <c r="K374" s="134">
        <f t="shared" si="27"/>
        <v>7.0976751827815932E-3</v>
      </c>
      <c r="L374" s="163"/>
      <c r="M374" s="255">
        <v>2676.6</v>
      </c>
      <c r="N374" s="134">
        <f t="shared" si="28"/>
        <v>5.1825146462369798E-3</v>
      </c>
      <c r="O374" s="163"/>
      <c r="P374" s="255">
        <v>19979.150000000001</v>
      </c>
      <c r="Q374" s="134">
        <f t="shared" si="29"/>
        <v>1.1858698404659584E-2</v>
      </c>
      <c r="R374" s="19"/>
      <c r="S374" s="19"/>
      <c r="T374" s="19"/>
      <c r="X374" s="35"/>
    </row>
    <row r="375" spans="3:24" x14ac:dyDescent="0.3">
      <c r="C375" s="25" t="s">
        <v>406</v>
      </c>
      <c r="D375" s="255">
        <v>2241.25</v>
      </c>
      <c r="E375" s="134">
        <f t="shared" si="25"/>
        <v>-6.0197984482290856E-4</v>
      </c>
      <c r="G375" s="256">
        <v>997.75</v>
      </c>
      <c r="H375" s="134">
        <f t="shared" si="26"/>
        <v>3.3184172155462655E-3</v>
      </c>
      <c r="I375" s="163"/>
      <c r="J375" s="256">
        <v>612.87</v>
      </c>
      <c r="K375" s="134">
        <f t="shared" si="27"/>
        <v>-1.6314012105000941E-4</v>
      </c>
      <c r="L375" s="163"/>
      <c r="M375" s="255">
        <v>2685.95</v>
      </c>
      <c r="N375" s="134">
        <f t="shared" si="28"/>
        <v>3.4932376896061879E-3</v>
      </c>
      <c r="O375" s="163"/>
      <c r="P375" s="255">
        <v>19833.150000000001</v>
      </c>
      <c r="Q375" s="134">
        <f t="shared" si="29"/>
        <v>-7.3076181919651262E-3</v>
      </c>
      <c r="R375" s="19"/>
      <c r="S375" s="19"/>
      <c r="T375" s="19"/>
      <c r="X375" s="35"/>
    </row>
    <row r="376" spans="3:24" x14ac:dyDescent="0.3">
      <c r="C376" s="25" t="s">
        <v>407</v>
      </c>
      <c r="D376" s="255">
        <v>2226</v>
      </c>
      <c r="E376" s="134">
        <f t="shared" si="25"/>
        <v>-6.8042387060791576E-3</v>
      </c>
      <c r="G376" s="256">
        <v>997.85</v>
      </c>
      <c r="H376" s="134">
        <f t="shared" si="26"/>
        <v>1.0022550739163805E-4</v>
      </c>
      <c r="I376" s="163"/>
      <c r="J376" s="256">
        <v>613.67999999999995</v>
      </c>
      <c r="K376" s="134">
        <f t="shared" si="27"/>
        <v>1.3216505947426516E-3</v>
      </c>
      <c r="L376" s="163"/>
      <c r="M376" s="255">
        <v>2658.1</v>
      </c>
      <c r="N376" s="134">
        <f t="shared" si="28"/>
        <v>-1.0368770825964657E-2</v>
      </c>
      <c r="O376" s="163"/>
      <c r="P376" s="255">
        <v>19749.25</v>
      </c>
      <c r="Q376" s="134">
        <f t="shared" si="29"/>
        <v>-4.2302912043725716E-3</v>
      </c>
      <c r="R376" s="19"/>
      <c r="S376" s="19"/>
      <c r="T376" s="19"/>
      <c r="W376" s="38"/>
      <c r="X376" s="35"/>
    </row>
    <row r="377" spans="3:24" x14ac:dyDescent="0.3">
      <c r="C377" s="25" t="s">
        <v>408</v>
      </c>
      <c r="D377" s="255">
        <v>2239.15</v>
      </c>
      <c r="E377" s="134">
        <f t="shared" si="25"/>
        <v>5.9074573225517124E-3</v>
      </c>
      <c r="G377" s="256">
        <v>993.65</v>
      </c>
      <c r="H377" s="134">
        <f t="shared" si="26"/>
        <v>-4.2090494563311598E-3</v>
      </c>
      <c r="I377" s="163"/>
      <c r="J377" s="256">
        <v>617.52</v>
      </c>
      <c r="K377" s="134">
        <f t="shared" si="27"/>
        <v>6.2573328118888938E-3</v>
      </c>
      <c r="L377" s="163"/>
      <c r="M377" s="255">
        <v>2639.6</v>
      </c>
      <c r="N377" s="134">
        <f t="shared" si="28"/>
        <v>-6.9598585455776796E-3</v>
      </c>
      <c r="O377" s="163"/>
      <c r="P377" s="255">
        <v>19711.45</v>
      </c>
      <c r="Q377" s="134">
        <f t="shared" si="29"/>
        <v>-1.913996734053125E-3</v>
      </c>
      <c r="R377" s="19"/>
      <c r="S377" s="19"/>
      <c r="T377" s="19"/>
      <c r="W377" s="38"/>
      <c r="X377" s="35"/>
    </row>
    <row r="378" spans="3:24" x14ac:dyDescent="0.3">
      <c r="C378" s="25" t="s">
        <v>409</v>
      </c>
      <c r="D378" s="255">
        <v>2187.5</v>
      </c>
      <c r="E378" s="134">
        <f t="shared" si="25"/>
        <v>-2.3066788736797461E-2</v>
      </c>
      <c r="G378" s="256">
        <v>983.5</v>
      </c>
      <c r="H378" s="134">
        <f t="shared" si="26"/>
        <v>-1.0214864388869316E-2</v>
      </c>
      <c r="I378" s="163"/>
      <c r="J378" s="256">
        <v>613.44000000000005</v>
      </c>
      <c r="K378" s="134">
        <f t="shared" si="27"/>
        <v>-6.6070734551106902E-3</v>
      </c>
      <c r="L378" s="163"/>
      <c r="M378" s="255">
        <v>2623.5</v>
      </c>
      <c r="N378" s="134">
        <f t="shared" si="28"/>
        <v>-6.0994090013638536E-3</v>
      </c>
      <c r="O378" s="163"/>
      <c r="P378" s="255">
        <v>19564.5</v>
      </c>
      <c r="Q378" s="134">
        <f t="shared" si="29"/>
        <v>-7.4550578470888862E-3</v>
      </c>
      <c r="R378" s="19"/>
      <c r="S378" s="19"/>
      <c r="T378" s="19"/>
      <c r="W378" s="38"/>
      <c r="X378" s="35"/>
    </row>
    <row r="379" spans="3:24" x14ac:dyDescent="0.3">
      <c r="C379" s="25" t="s">
        <v>410</v>
      </c>
      <c r="D379" s="255">
        <v>2173.4499999999998</v>
      </c>
      <c r="E379" s="134">
        <f t="shared" si="25"/>
        <v>-6.4228571428571746E-3</v>
      </c>
      <c r="G379" s="256">
        <v>977</v>
      </c>
      <c r="H379" s="134">
        <f t="shared" si="26"/>
        <v>-6.6090493136756745E-3</v>
      </c>
      <c r="I379" s="163"/>
      <c r="J379" s="256">
        <v>605.39</v>
      </c>
      <c r="K379" s="134">
        <f t="shared" si="27"/>
        <v>-1.3122717788210836E-2</v>
      </c>
      <c r="L379" s="163"/>
      <c r="M379" s="255">
        <v>2618.1999999999998</v>
      </c>
      <c r="N379" s="134">
        <f t="shared" si="28"/>
        <v>-2.0202020202021442E-3</v>
      </c>
      <c r="O379" s="163"/>
      <c r="P379" s="255">
        <v>19413.75</v>
      </c>
      <c r="Q379" s="134">
        <f t="shared" si="29"/>
        <v>-7.7052825270259584E-3</v>
      </c>
      <c r="R379" s="19"/>
      <c r="S379" s="19"/>
      <c r="T379" s="19"/>
      <c r="W379" s="38"/>
      <c r="X379" s="35"/>
    </row>
    <row r="380" spans="3:24" x14ac:dyDescent="0.3">
      <c r="C380" s="160">
        <v>45267</v>
      </c>
      <c r="D380" s="255">
        <v>2210.1999999999998</v>
      </c>
      <c r="E380" s="134">
        <f t="shared" si="25"/>
        <v>1.6908601532126255E-2</v>
      </c>
      <c r="F380" s="34"/>
      <c r="G380" s="256">
        <v>983.45</v>
      </c>
      <c r="H380" s="134">
        <f t="shared" si="26"/>
        <v>6.6018423746161403E-3</v>
      </c>
      <c r="I380" s="163"/>
      <c r="J380" s="256">
        <v>617.62</v>
      </c>
      <c r="K380" s="134">
        <f t="shared" si="27"/>
        <v>2.0201853350732657E-2</v>
      </c>
      <c r="L380" s="163"/>
      <c r="M380" s="255">
        <v>2622.45</v>
      </c>
      <c r="N380" s="134">
        <f t="shared" si="28"/>
        <v>1.6232526163013627E-3</v>
      </c>
      <c r="O380" s="163"/>
      <c r="P380" s="255">
        <v>19384.3</v>
      </c>
      <c r="Q380" s="134">
        <f t="shared" si="29"/>
        <v>-1.5169660678643337E-3</v>
      </c>
      <c r="R380" s="19"/>
      <c r="S380" s="19"/>
      <c r="T380" s="19"/>
      <c r="W380" s="38"/>
      <c r="X380" s="35"/>
    </row>
    <row r="381" spans="3:24" x14ac:dyDescent="0.3">
      <c r="C381" s="160">
        <v>45237</v>
      </c>
      <c r="D381" s="255">
        <v>2175.35</v>
      </c>
      <c r="E381" s="134">
        <f t="shared" si="25"/>
        <v>-1.5767803818658943E-2</v>
      </c>
      <c r="F381" s="34"/>
      <c r="G381" s="256">
        <v>992.25</v>
      </c>
      <c r="H381" s="134">
        <f t="shared" si="26"/>
        <v>8.9480909044690193E-3</v>
      </c>
      <c r="I381" s="163"/>
      <c r="J381" s="256">
        <v>618.1</v>
      </c>
      <c r="K381" s="134">
        <f t="shared" si="27"/>
        <v>7.7717690489298441E-4</v>
      </c>
      <c r="L381" s="163"/>
      <c r="M381" s="255">
        <v>2638.85</v>
      </c>
      <c r="N381" s="134">
        <f t="shared" si="28"/>
        <v>6.2536940647104355E-3</v>
      </c>
      <c r="O381" s="163"/>
      <c r="P381" s="255">
        <v>19439.400000000001</v>
      </c>
      <c r="Q381" s="134">
        <f t="shared" si="29"/>
        <v>2.842506564590952E-3</v>
      </c>
      <c r="R381" s="19"/>
      <c r="S381" s="19"/>
      <c r="T381" s="19"/>
      <c r="W381" s="38"/>
      <c r="X381" s="35"/>
    </row>
    <row r="382" spans="3:24" x14ac:dyDescent="0.3">
      <c r="C382" s="160">
        <v>45206</v>
      </c>
      <c r="D382" s="255">
        <v>2187.8000000000002</v>
      </c>
      <c r="E382" s="134">
        <f t="shared" si="25"/>
        <v>5.7232169535939015E-3</v>
      </c>
      <c r="F382" s="34"/>
      <c r="G382" s="256">
        <v>996.3</v>
      </c>
      <c r="H382" s="134">
        <f t="shared" si="26"/>
        <v>4.0816326530612734E-3</v>
      </c>
      <c r="I382" s="163"/>
      <c r="J382" s="256">
        <v>633.25</v>
      </c>
      <c r="K382" s="134">
        <f t="shared" si="27"/>
        <v>2.4510596990778177E-2</v>
      </c>
      <c r="L382" s="163"/>
      <c r="M382" s="255">
        <v>2595.85</v>
      </c>
      <c r="N382" s="134">
        <f t="shared" si="28"/>
        <v>-1.6294976978608156E-2</v>
      </c>
      <c r="O382" s="163"/>
      <c r="P382" s="255">
        <v>19355.900000000001</v>
      </c>
      <c r="Q382" s="134">
        <f t="shared" si="29"/>
        <v>-4.2954000637879242E-3</v>
      </c>
      <c r="R382" s="19"/>
      <c r="S382" s="19"/>
      <c r="T382" s="19"/>
      <c r="W382" s="38"/>
      <c r="X382" s="35"/>
    </row>
    <row r="383" spans="3:24" x14ac:dyDescent="0.3">
      <c r="C383" s="160">
        <v>45114</v>
      </c>
      <c r="D383" s="255">
        <v>2223.1999999999998</v>
      </c>
      <c r="E383" s="134">
        <f t="shared" si="25"/>
        <v>1.6180638083919785E-2</v>
      </c>
      <c r="F383" s="34"/>
      <c r="G383" s="255">
        <v>1002.2</v>
      </c>
      <c r="H383" s="134">
        <f t="shared" si="26"/>
        <v>5.9219110709627376E-3</v>
      </c>
      <c r="I383" s="163"/>
      <c r="J383" s="256">
        <v>635.98</v>
      </c>
      <c r="K383" s="134">
        <f t="shared" si="27"/>
        <v>4.3110935649428583E-3</v>
      </c>
      <c r="L383" s="163"/>
      <c r="M383" s="255">
        <v>2612.9499999999998</v>
      </c>
      <c r="N383" s="134">
        <f t="shared" si="28"/>
        <v>6.5874376408496804E-3</v>
      </c>
      <c r="O383" s="163"/>
      <c r="P383" s="255">
        <v>19331.8</v>
      </c>
      <c r="Q383" s="134">
        <f t="shared" si="29"/>
        <v>-1.2450983937715154E-3</v>
      </c>
      <c r="R383" s="19"/>
      <c r="S383" s="19"/>
      <c r="T383" s="19"/>
      <c r="W383" s="38"/>
      <c r="X383" s="35"/>
    </row>
    <row r="384" spans="3:24" x14ac:dyDescent="0.3">
      <c r="C384" s="160">
        <v>45084</v>
      </c>
      <c r="D384" s="255">
        <v>2275.5</v>
      </c>
      <c r="E384" s="134">
        <f t="shared" si="25"/>
        <v>2.3524649154372135E-2</v>
      </c>
      <c r="F384" s="34"/>
      <c r="G384" s="255">
        <v>1012.8</v>
      </c>
      <c r="H384" s="134">
        <f t="shared" si="26"/>
        <v>1.0576731191378919E-2</v>
      </c>
      <c r="I384" s="163"/>
      <c r="J384" s="256">
        <v>645.48</v>
      </c>
      <c r="K384" s="134">
        <f t="shared" si="27"/>
        <v>1.4937576653353934E-2</v>
      </c>
      <c r="L384" s="163"/>
      <c r="M384" s="255">
        <v>2649</v>
      </c>
      <c r="N384" s="134">
        <f t="shared" si="28"/>
        <v>1.3796666602881924E-2</v>
      </c>
      <c r="O384" s="163"/>
      <c r="P384" s="255">
        <v>19497.3</v>
      </c>
      <c r="Q384" s="134">
        <f t="shared" si="29"/>
        <v>8.5610238053361876E-3</v>
      </c>
      <c r="R384" s="19"/>
      <c r="S384" s="19"/>
      <c r="T384" s="19"/>
      <c r="W384" s="38"/>
      <c r="X384" s="35"/>
    </row>
    <row r="385" spans="3:24" x14ac:dyDescent="0.3">
      <c r="C385" s="160">
        <v>45053</v>
      </c>
      <c r="D385" s="255">
        <v>2224.65</v>
      </c>
      <c r="E385" s="134">
        <f t="shared" si="25"/>
        <v>-2.2346736980883297E-2</v>
      </c>
      <c r="F385" s="34"/>
      <c r="G385" s="255">
        <v>1007.35</v>
      </c>
      <c r="H385" s="134">
        <f t="shared" si="26"/>
        <v>-5.3811216429698883E-3</v>
      </c>
      <c r="I385" s="163"/>
      <c r="J385" s="256">
        <v>642.46</v>
      </c>
      <c r="K385" s="134">
        <f t="shared" si="27"/>
        <v>-4.678688727768443E-3</v>
      </c>
      <c r="L385" s="163"/>
      <c r="M385" s="255">
        <v>2608.85</v>
      </c>
      <c r="N385" s="134">
        <f t="shared" si="28"/>
        <v>-1.5156662891657291E-2</v>
      </c>
      <c r="O385" s="163"/>
      <c r="P385" s="255">
        <v>19398.5</v>
      </c>
      <c r="Q385" s="134">
        <f t="shared" si="29"/>
        <v>-5.0673683022777194E-3</v>
      </c>
      <c r="R385" s="19"/>
      <c r="S385" s="19"/>
      <c r="T385" s="19"/>
      <c r="X385" s="35"/>
    </row>
    <row r="386" spans="3:24" x14ac:dyDescent="0.3">
      <c r="C386" s="160">
        <v>45023</v>
      </c>
      <c r="D386" s="255">
        <v>2274.4</v>
      </c>
      <c r="E386" s="134">
        <f t="shared" si="25"/>
        <v>2.2363068347829973E-2</v>
      </c>
      <c r="F386" s="34"/>
      <c r="G386" s="255">
        <v>1006.85</v>
      </c>
      <c r="H386" s="134">
        <f t="shared" si="26"/>
        <v>-4.9635181416585183E-4</v>
      </c>
      <c r="I386" s="163"/>
      <c r="J386" s="256">
        <v>649.41</v>
      </c>
      <c r="K386" s="134">
        <f t="shared" si="27"/>
        <v>1.0817794103912926E-2</v>
      </c>
      <c r="L386" s="163"/>
      <c r="M386" s="255">
        <v>2570.4499999999998</v>
      </c>
      <c r="N386" s="134">
        <f t="shared" si="28"/>
        <v>-1.4719129118193841E-2</v>
      </c>
      <c r="O386" s="163"/>
      <c r="P386" s="255">
        <v>19389</v>
      </c>
      <c r="Q386" s="134">
        <f t="shared" si="29"/>
        <v>-4.8972858726192836E-4</v>
      </c>
      <c r="R386" s="19"/>
      <c r="S386" s="19"/>
      <c r="T386" s="19"/>
      <c r="X386" s="35"/>
    </row>
    <row r="387" spans="3:24" x14ac:dyDescent="0.3">
      <c r="C387" s="160">
        <v>44992</v>
      </c>
      <c r="D387" s="255">
        <v>2274.35</v>
      </c>
      <c r="E387" s="134">
        <f t="shared" si="25"/>
        <v>-2.1983819908588664E-5</v>
      </c>
      <c r="F387" s="34"/>
      <c r="G387" s="255">
        <v>1008.05</v>
      </c>
      <c r="H387" s="134">
        <f t="shared" si="26"/>
        <v>1.1918359239211362E-3</v>
      </c>
      <c r="I387" s="163"/>
      <c r="J387" s="256">
        <v>652.72</v>
      </c>
      <c r="K387" s="134">
        <f t="shared" si="27"/>
        <v>5.0969341402196111E-3</v>
      </c>
      <c r="L387" s="163"/>
      <c r="M387" s="255">
        <v>2571.4499999999998</v>
      </c>
      <c r="N387" s="134">
        <f t="shared" si="28"/>
        <v>3.8903693905734116E-4</v>
      </c>
      <c r="O387" s="163"/>
      <c r="P387" s="255">
        <v>19322.55</v>
      </c>
      <c r="Q387" s="134">
        <f t="shared" si="29"/>
        <v>-3.4272009902522882E-3</v>
      </c>
      <c r="R387" s="19"/>
      <c r="S387" s="19"/>
      <c r="T387" s="19"/>
      <c r="X387" s="35"/>
    </row>
    <row r="388" spans="3:24" x14ac:dyDescent="0.3">
      <c r="C388" s="25" t="s">
        <v>411</v>
      </c>
      <c r="D388" s="255">
        <v>2289.4499999999998</v>
      </c>
      <c r="E388" s="134">
        <f t="shared" si="25"/>
        <v>6.6392595686679545E-3</v>
      </c>
      <c r="G388" s="255">
        <v>1001.4</v>
      </c>
      <c r="H388" s="134">
        <f t="shared" si="26"/>
        <v>-6.5968949952879274E-3</v>
      </c>
      <c r="I388" s="163"/>
      <c r="J388" s="256">
        <v>659.2</v>
      </c>
      <c r="K388" s="134">
        <f t="shared" si="27"/>
        <v>9.9276872165707797E-3</v>
      </c>
      <c r="L388" s="163"/>
      <c r="M388" s="255">
        <v>2597.1</v>
      </c>
      <c r="N388" s="134">
        <f t="shared" si="28"/>
        <v>9.9749168756926299E-3</v>
      </c>
      <c r="O388" s="163"/>
      <c r="P388" s="255">
        <v>19189.05</v>
      </c>
      <c r="Q388" s="134">
        <f t="shared" si="29"/>
        <v>-6.9090259825954625E-3</v>
      </c>
      <c r="R388" s="19"/>
      <c r="S388" s="19"/>
      <c r="T388" s="19"/>
      <c r="X388" s="35"/>
    </row>
    <row r="389" spans="3:24" x14ac:dyDescent="0.3">
      <c r="C389" s="25" t="s">
        <v>412</v>
      </c>
      <c r="D389" s="255">
        <v>2308.1</v>
      </c>
      <c r="E389" s="134">
        <f t="shared" si="25"/>
        <v>8.1460612810937416E-3</v>
      </c>
      <c r="G389" s="256">
        <v>996.25</v>
      </c>
      <c r="H389" s="134">
        <f t="shared" si="26"/>
        <v>-5.1428000798880991E-3</v>
      </c>
      <c r="I389" s="163"/>
      <c r="J389" s="256">
        <v>652.72</v>
      </c>
      <c r="K389" s="134">
        <f t="shared" si="27"/>
        <v>-9.8300970873786975E-3</v>
      </c>
      <c r="L389" s="163"/>
      <c r="M389" s="255">
        <v>2598.65</v>
      </c>
      <c r="N389" s="134">
        <f t="shared" si="28"/>
        <v>5.9681952947521211E-4</v>
      </c>
      <c r="O389" s="163"/>
      <c r="P389" s="255">
        <v>18972.099999999999</v>
      </c>
      <c r="Q389" s="134">
        <f t="shared" si="29"/>
        <v>-1.1305927078203548E-2</v>
      </c>
      <c r="R389" s="19"/>
      <c r="S389" s="19"/>
      <c r="T389" s="19"/>
      <c r="X389" s="35"/>
    </row>
    <row r="390" spans="3:24" x14ac:dyDescent="0.3">
      <c r="C390" s="25" t="s">
        <v>413</v>
      </c>
      <c r="D390" s="255">
        <v>2308.35</v>
      </c>
      <c r="E390" s="134">
        <f t="shared" si="25"/>
        <v>1.0831419782508789E-4</v>
      </c>
      <c r="G390" s="255">
        <v>1006.25</v>
      </c>
      <c r="H390" s="134">
        <f t="shared" si="26"/>
        <v>1.0037641154328814E-2</v>
      </c>
      <c r="I390" s="163"/>
      <c r="J390" s="256">
        <v>646.54</v>
      </c>
      <c r="K390" s="134">
        <f t="shared" si="27"/>
        <v>-9.4680720676554309E-3</v>
      </c>
      <c r="L390" s="163"/>
      <c r="M390" s="255">
        <v>2621.35</v>
      </c>
      <c r="N390" s="134">
        <f t="shared" si="28"/>
        <v>8.7353048698362024E-3</v>
      </c>
      <c r="O390" s="163"/>
      <c r="P390" s="255">
        <v>18817.400000000001</v>
      </c>
      <c r="Q390" s="134">
        <f t="shared" si="29"/>
        <v>-8.1540788842562328E-3</v>
      </c>
      <c r="R390" s="19"/>
      <c r="S390" s="19"/>
      <c r="T390" s="19"/>
      <c r="X390" s="35"/>
    </row>
    <row r="391" spans="3:24" x14ac:dyDescent="0.3">
      <c r="C391" s="25" t="s">
        <v>414</v>
      </c>
      <c r="D391" s="255">
        <v>2338.6</v>
      </c>
      <c r="E391" s="134">
        <f t="shared" si="25"/>
        <v>1.3104598522754252E-2</v>
      </c>
      <c r="G391" s="256">
        <v>993.95</v>
      </c>
      <c r="H391" s="134">
        <f t="shared" si="26"/>
        <v>-1.2223602484471963E-2</v>
      </c>
      <c r="I391" s="163"/>
      <c r="J391" s="256">
        <v>651.33000000000004</v>
      </c>
      <c r="K391" s="134">
        <f t="shared" si="27"/>
        <v>7.4086676771740745E-3</v>
      </c>
      <c r="L391" s="163"/>
      <c r="M391" s="255">
        <v>2630.9</v>
      </c>
      <c r="N391" s="134">
        <f t="shared" si="28"/>
        <v>3.6431609666776055E-3</v>
      </c>
      <c r="O391" s="163"/>
      <c r="P391" s="255">
        <v>18691.2</v>
      </c>
      <c r="Q391" s="134">
        <f t="shared" si="29"/>
        <v>-6.7065588232168016E-3</v>
      </c>
      <c r="R391" s="19"/>
      <c r="S391" s="19"/>
      <c r="T391" s="19"/>
      <c r="X391" s="35"/>
    </row>
    <row r="392" spans="3:24" x14ac:dyDescent="0.3">
      <c r="C392" s="25" t="s">
        <v>415</v>
      </c>
      <c r="D392" s="255">
        <v>2321.4</v>
      </c>
      <c r="E392" s="134">
        <f t="shared" si="25"/>
        <v>-7.3548276746771002E-3</v>
      </c>
      <c r="G392" s="256">
        <v>980.05</v>
      </c>
      <c r="H392" s="134">
        <f t="shared" si="26"/>
        <v>-1.3984606871573102E-2</v>
      </c>
      <c r="I392" s="163"/>
      <c r="J392" s="256">
        <v>639.82000000000005</v>
      </c>
      <c r="K392" s="134">
        <f t="shared" si="27"/>
        <v>-1.7671533631185454E-2</v>
      </c>
      <c r="L392" s="163"/>
      <c r="M392" s="255">
        <v>2658.3</v>
      </c>
      <c r="N392" s="134">
        <f t="shared" si="28"/>
        <v>1.0414686989243194E-2</v>
      </c>
      <c r="O392" s="163"/>
      <c r="P392" s="255">
        <v>18665.5</v>
      </c>
      <c r="Q392" s="134">
        <f t="shared" si="29"/>
        <v>-1.3749785995549324E-3</v>
      </c>
      <c r="R392" s="19"/>
      <c r="S392" s="19"/>
      <c r="T392" s="19"/>
      <c r="X392" s="35"/>
    </row>
    <row r="393" spans="3:24" x14ac:dyDescent="0.3">
      <c r="C393" s="25" t="s">
        <v>416</v>
      </c>
      <c r="D393" s="255">
        <v>2366.6</v>
      </c>
      <c r="E393" s="134">
        <f t="shared" si="25"/>
        <v>1.9471008873955364E-2</v>
      </c>
      <c r="G393" s="255">
        <v>1004.55</v>
      </c>
      <c r="H393" s="134">
        <f t="shared" si="26"/>
        <v>2.4998724554869733E-2</v>
      </c>
      <c r="I393" s="163"/>
      <c r="J393" s="256">
        <v>646.73</v>
      </c>
      <c r="K393" s="134">
        <f t="shared" si="27"/>
        <v>1.0799912475383699E-2</v>
      </c>
      <c r="L393" s="163"/>
      <c r="M393" s="255">
        <v>2636.3</v>
      </c>
      <c r="N393" s="134">
        <f t="shared" si="28"/>
        <v>-8.2759658428318561E-3</v>
      </c>
      <c r="O393" s="163"/>
      <c r="P393" s="255">
        <v>18771.25</v>
      </c>
      <c r="Q393" s="134">
        <f t="shared" si="29"/>
        <v>5.6655326672203632E-3</v>
      </c>
      <c r="R393" s="19"/>
      <c r="S393" s="19"/>
      <c r="T393" s="19"/>
      <c r="X393" s="35"/>
    </row>
    <row r="394" spans="3:24" x14ac:dyDescent="0.3">
      <c r="C394" s="25" t="s">
        <v>417</v>
      </c>
      <c r="D394" s="255">
        <v>2389.8000000000002</v>
      </c>
      <c r="E394" s="134">
        <f t="shared" si="25"/>
        <v>9.8030930448747E-3</v>
      </c>
      <c r="G394" s="256">
        <v>997.2</v>
      </c>
      <c r="H394" s="134">
        <f t="shared" si="26"/>
        <v>-7.316708974167474E-3</v>
      </c>
      <c r="I394" s="163"/>
      <c r="J394" s="256">
        <v>658.05</v>
      </c>
      <c r="K394" s="134">
        <f t="shared" si="27"/>
        <v>1.7503440384704527E-2</v>
      </c>
      <c r="L394" s="163"/>
      <c r="M394" s="255">
        <v>2671.25</v>
      </c>
      <c r="N394" s="134">
        <f t="shared" si="28"/>
        <v>1.3257216553502982E-2</v>
      </c>
      <c r="O394" s="163"/>
      <c r="P394" s="255">
        <v>18856.849999999999</v>
      </c>
      <c r="Q394" s="134">
        <f t="shared" si="29"/>
        <v>4.5601651461675274E-3</v>
      </c>
      <c r="R394" s="19"/>
      <c r="S394" s="19"/>
      <c r="T394" s="19"/>
      <c r="X394" s="35"/>
    </row>
    <row r="395" spans="3:24" x14ac:dyDescent="0.3">
      <c r="C395" s="25" t="s">
        <v>418</v>
      </c>
      <c r="D395" s="255">
        <v>2405.9499999999998</v>
      </c>
      <c r="E395" s="134">
        <f t="shared" si="25"/>
        <v>6.7578876893461537E-3</v>
      </c>
      <c r="G395" s="256">
        <v>983.5</v>
      </c>
      <c r="H395" s="134">
        <f t="shared" si="26"/>
        <v>-1.3738467709586866E-2</v>
      </c>
      <c r="I395" s="163"/>
      <c r="J395" s="256">
        <v>655.36</v>
      </c>
      <c r="K395" s="134">
        <f t="shared" si="27"/>
        <v>-4.0878352708759724E-3</v>
      </c>
      <c r="L395" s="163"/>
      <c r="M395" s="255">
        <v>2678.5</v>
      </c>
      <c r="N395" s="134">
        <f t="shared" si="28"/>
        <v>2.7140851661207055E-3</v>
      </c>
      <c r="O395" s="163"/>
      <c r="P395" s="255">
        <v>18816.7</v>
      </c>
      <c r="Q395" s="134">
        <f t="shared" si="29"/>
        <v>-2.129199733783671E-3</v>
      </c>
      <c r="R395" s="19"/>
      <c r="S395" s="19"/>
      <c r="T395" s="19"/>
      <c r="X395" s="35"/>
    </row>
    <row r="396" spans="3:24" x14ac:dyDescent="0.3">
      <c r="C396" s="25" t="s">
        <v>419</v>
      </c>
      <c r="D396" s="255">
        <v>2404.6999999999998</v>
      </c>
      <c r="E396" s="134">
        <f t="shared" ref="E396:E459" si="30">D396/D395-1</f>
        <v>-5.1954529395870086E-4</v>
      </c>
      <c r="G396" s="256">
        <v>978.45</v>
      </c>
      <c r="H396" s="134">
        <f t="shared" ref="H396:H459" si="31">G396/G395-1</f>
        <v>-5.1347229283171814E-3</v>
      </c>
      <c r="I396" s="163"/>
      <c r="J396" s="256">
        <v>657.76</v>
      </c>
      <c r="K396" s="134">
        <f t="shared" ref="K396:K459" si="32">J396/J395-1</f>
        <v>3.662109375E-3</v>
      </c>
      <c r="L396" s="163"/>
      <c r="M396" s="255">
        <v>2673.3</v>
      </c>
      <c r="N396" s="134">
        <f t="shared" ref="N396:N459" si="33">M396/M395-1</f>
        <v>-1.9413851036026442E-3</v>
      </c>
      <c r="O396" s="163"/>
      <c r="P396" s="255">
        <v>18755.45</v>
      </c>
      <c r="Q396" s="134">
        <f t="shared" ref="Q396:Q459" si="34">P396/P395-1</f>
        <v>-3.2550872363379391E-3</v>
      </c>
      <c r="R396" s="19"/>
      <c r="S396" s="19"/>
      <c r="T396" s="19"/>
      <c r="X396" s="35"/>
    </row>
    <row r="397" spans="3:24" x14ac:dyDescent="0.3">
      <c r="C397" s="25" t="s">
        <v>420</v>
      </c>
      <c r="D397" s="255">
        <v>2397.4499999999998</v>
      </c>
      <c r="E397" s="134">
        <f t="shared" si="30"/>
        <v>-3.0149290971847043E-3</v>
      </c>
      <c r="G397" s="256">
        <v>970.95</v>
      </c>
      <c r="H397" s="134">
        <f t="shared" si="31"/>
        <v>-7.6651847309520127E-3</v>
      </c>
      <c r="I397" s="163"/>
      <c r="J397" s="256">
        <v>661.93</v>
      </c>
      <c r="K397" s="134">
        <f t="shared" si="32"/>
        <v>6.3396983702261878E-3</v>
      </c>
      <c r="L397" s="163"/>
      <c r="M397" s="255">
        <v>2697.7</v>
      </c>
      <c r="N397" s="134">
        <f t="shared" si="33"/>
        <v>9.1272958515691283E-3</v>
      </c>
      <c r="O397" s="163"/>
      <c r="P397" s="255">
        <v>18826</v>
      </c>
      <c r="Q397" s="134">
        <f t="shared" si="34"/>
        <v>3.7615733026932219E-3</v>
      </c>
      <c r="R397" s="19"/>
      <c r="S397" s="19"/>
      <c r="T397" s="19"/>
      <c r="X397" s="35"/>
    </row>
    <row r="398" spans="3:24" x14ac:dyDescent="0.3">
      <c r="C398" s="25" t="s">
        <v>421</v>
      </c>
      <c r="D398" s="255">
        <v>2367.0500000000002</v>
      </c>
      <c r="E398" s="134">
        <f t="shared" si="30"/>
        <v>-1.2680139314688366E-2</v>
      </c>
      <c r="G398" s="256">
        <v>958.5</v>
      </c>
      <c r="H398" s="134">
        <f t="shared" si="31"/>
        <v>-1.2822493434265447E-2</v>
      </c>
      <c r="I398" s="163"/>
      <c r="J398" s="256">
        <v>652.96</v>
      </c>
      <c r="K398" s="134">
        <f t="shared" si="32"/>
        <v>-1.355128185759813E-2</v>
      </c>
      <c r="L398" s="163"/>
      <c r="M398" s="255">
        <v>2680.7</v>
      </c>
      <c r="N398" s="134">
        <f t="shared" si="33"/>
        <v>-6.3016643807688455E-3</v>
      </c>
      <c r="O398" s="163"/>
      <c r="P398" s="255">
        <v>18688.099999999999</v>
      </c>
      <c r="Q398" s="134">
        <f t="shared" si="34"/>
        <v>-7.3249760968873145E-3</v>
      </c>
      <c r="R398" s="19"/>
      <c r="S398" s="19"/>
      <c r="T398" s="19"/>
      <c r="W398" s="38"/>
      <c r="X398" s="35"/>
    </row>
    <row r="399" spans="3:24" x14ac:dyDescent="0.3">
      <c r="C399" s="25" t="s">
        <v>422</v>
      </c>
      <c r="D399" s="255">
        <v>2350.6999999999998</v>
      </c>
      <c r="E399" s="134">
        <f t="shared" si="30"/>
        <v>-6.907331911028658E-3</v>
      </c>
      <c r="G399" s="256">
        <v>977.95</v>
      </c>
      <c r="H399" s="134">
        <f t="shared" si="31"/>
        <v>2.0292123109024507E-2</v>
      </c>
      <c r="I399" s="163"/>
      <c r="J399" s="256">
        <v>655.12</v>
      </c>
      <c r="K399" s="134">
        <f t="shared" si="32"/>
        <v>3.3080127419748973E-3</v>
      </c>
      <c r="L399" s="163"/>
      <c r="M399" s="255">
        <v>2693.1</v>
      </c>
      <c r="N399" s="134">
        <f t="shared" si="33"/>
        <v>4.6256574775245252E-3</v>
      </c>
      <c r="O399" s="163"/>
      <c r="P399" s="255">
        <v>18755.900000000001</v>
      </c>
      <c r="Q399" s="134">
        <f t="shared" si="34"/>
        <v>3.6279771619374124E-3</v>
      </c>
      <c r="R399" s="19"/>
      <c r="S399" s="19"/>
      <c r="T399" s="19"/>
      <c r="W399" s="38"/>
      <c r="X399" s="35"/>
    </row>
    <row r="400" spans="3:24" x14ac:dyDescent="0.3">
      <c r="C400" s="25" t="s">
        <v>423</v>
      </c>
      <c r="D400" s="255">
        <v>2344.85</v>
      </c>
      <c r="E400" s="134">
        <f t="shared" si="30"/>
        <v>-2.4886204109413335E-3</v>
      </c>
      <c r="G400" s="255">
        <v>1000.05</v>
      </c>
      <c r="H400" s="134">
        <f t="shared" si="31"/>
        <v>2.259829234623445E-2</v>
      </c>
      <c r="I400" s="163"/>
      <c r="J400" s="256">
        <v>654.4</v>
      </c>
      <c r="K400" s="134">
        <f t="shared" si="32"/>
        <v>-1.0990352912444434E-3</v>
      </c>
      <c r="L400" s="163"/>
      <c r="M400" s="255">
        <v>2686.65</v>
      </c>
      <c r="N400" s="134">
        <f t="shared" si="33"/>
        <v>-2.3950094686420176E-3</v>
      </c>
      <c r="O400" s="163"/>
      <c r="P400" s="255">
        <v>18716.150000000001</v>
      </c>
      <c r="Q400" s="134">
        <f t="shared" si="34"/>
        <v>-2.1193331165126894E-3</v>
      </c>
      <c r="R400" s="19"/>
      <c r="S400" s="19"/>
      <c r="T400" s="19"/>
      <c r="W400" s="38"/>
      <c r="X400" s="35"/>
    </row>
    <row r="401" spans="3:24" x14ac:dyDescent="0.3">
      <c r="C401" s="160">
        <v>45266</v>
      </c>
      <c r="D401" s="255">
        <v>2337.85</v>
      </c>
      <c r="E401" s="134">
        <f t="shared" si="30"/>
        <v>-2.985265582020169E-3</v>
      </c>
      <c r="F401" s="34"/>
      <c r="G401" s="256">
        <v>987.75</v>
      </c>
      <c r="H401" s="134">
        <f t="shared" si="31"/>
        <v>-1.2299385030748455E-2</v>
      </c>
      <c r="I401" s="163"/>
      <c r="J401" s="256">
        <v>651.38</v>
      </c>
      <c r="K401" s="134">
        <f t="shared" si="32"/>
        <v>-4.6149144254278296E-3</v>
      </c>
      <c r="L401" s="163"/>
      <c r="M401" s="255">
        <v>2640.75</v>
      </c>
      <c r="N401" s="134">
        <f t="shared" si="33"/>
        <v>-1.7084473228742181E-2</v>
      </c>
      <c r="O401" s="163"/>
      <c r="P401" s="255">
        <v>18601.5</v>
      </c>
      <c r="Q401" s="134">
        <f t="shared" si="34"/>
        <v>-6.125725643361557E-3</v>
      </c>
      <c r="R401" s="19"/>
      <c r="S401" s="19"/>
      <c r="T401" s="19"/>
      <c r="W401" s="38"/>
      <c r="X401" s="35"/>
    </row>
    <row r="402" spans="3:24" x14ac:dyDescent="0.3">
      <c r="C402" s="160">
        <v>45175</v>
      </c>
      <c r="D402" s="255">
        <v>2429.6999999999998</v>
      </c>
      <c r="E402" s="134">
        <f t="shared" si="30"/>
        <v>3.9288234916696974E-2</v>
      </c>
      <c r="F402" s="34"/>
      <c r="G402" s="256">
        <v>985.95</v>
      </c>
      <c r="H402" s="134">
        <f t="shared" si="31"/>
        <v>-1.8223234624145102E-3</v>
      </c>
      <c r="I402" s="163"/>
      <c r="J402" s="256">
        <v>651.86</v>
      </c>
      <c r="K402" s="134">
        <f t="shared" si="32"/>
        <v>7.3689704934132294E-4</v>
      </c>
      <c r="L402" s="163"/>
      <c r="M402" s="255">
        <v>2614.9499999999998</v>
      </c>
      <c r="N402" s="134">
        <f t="shared" si="33"/>
        <v>-9.7699517182618933E-3</v>
      </c>
      <c r="O402" s="163"/>
      <c r="P402" s="255">
        <v>18563.400000000001</v>
      </c>
      <c r="Q402" s="134">
        <f t="shared" si="34"/>
        <v>-2.0482219175872451E-3</v>
      </c>
      <c r="R402" s="19"/>
      <c r="S402" s="19"/>
      <c r="T402" s="19"/>
      <c r="W402" s="38"/>
      <c r="X402" s="35"/>
    </row>
    <row r="403" spans="3:24" x14ac:dyDescent="0.3">
      <c r="C403" s="160">
        <v>45144</v>
      </c>
      <c r="D403" s="255">
        <v>2513.9499999999998</v>
      </c>
      <c r="E403" s="134">
        <f t="shared" si="30"/>
        <v>3.467506276495036E-2</v>
      </c>
      <c r="F403" s="34"/>
      <c r="G403" s="255">
        <v>1003.25</v>
      </c>
      <c r="H403" s="134">
        <f t="shared" si="31"/>
        <v>1.7546528728637378E-2</v>
      </c>
      <c r="I403" s="163"/>
      <c r="J403" s="256">
        <v>661.88</v>
      </c>
      <c r="K403" s="134">
        <f t="shared" si="32"/>
        <v>1.5371398766606204E-2</v>
      </c>
      <c r="L403" s="163"/>
      <c r="M403" s="255">
        <v>2634.45</v>
      </c>
      <c r="N403" s="134">
        <f t="shared" si="33"/>
        <v>7.4571215510812472E-3</v>
      </c>
      <c r="O403" s="163"/>
      <c r="P403" s="255">
        <v>18634.55</v>
      </c>
      <c r="Q403" s="134">
        <f t="shared" si="34"/>
        <v>3.8328107997456229E-3</v>
      </c>
      <c r="R403" s="19"/>
      <c r="S403" s="19"/>
      <c r="T403" s="19"/>
      <c r="W403" s="38"/>
      <c r="X403" s="35"/>
    </row>
    <row r="404" spans="3:24" x14ac:dyDescent="0.3">
      <c r="C404" s="160">
        <v>45113</v>
      </c>
      <c r="D404" s="255">
        <v>2567.35</v>
      </c>
      <c r="E404" s="134">
        <f t="shared" si="30"/>
        <v>2.1241472582987031E-2</v>
      </c>
      <c r="F404" s="34"/>
      <c r="G404" s="256">
        <v>994.75</v>
      </c>
      <c r="H404" s="134">
        <f t="shared" si="31"/>
        <v>-8.472464490406173E-3</v>
      </c>
      <c r="I404" s="163"/>
      <c r="J404" s="256">
        <v>665.43</v>
      </c>
      <c r="K404" s="134">
        <f t="shared" si="32"/>
        <v>5.36351000181301E-3</v>
      </c>
      <c r="L404" s="163"/>
      <c r="M404" s="255">
        <v>2654.85</v>
      </c>
      <c r="N404" s="134">
        <f t="shared" si="33"/>
        <v>7.7435517850026336E-3</v>
      </c>
      <c r="O404" s="163"/>
      <c r="P404" s="255">
        <v>18726.400000000001</v>
      </c>
      <c r="Q404" s="134">
        <f t="shared" si="34"/>
        <v>4.9290162628021772E-3</v>
      </c>
      <c r="R404" s="19"/>
      <c r="S404" s="19"/>
      <c r="T404" s="19"/>
      <c r="W404" s="38"/>
      <c r="X404" s="35"/>
    </row>
    <row r="405" spans="3:24" x14ac:dyDescent="0.3">
      <c r="C405" s="160">
        <v>45083</v>
      </c>
      <c r="D405" s="255">
        <v>2533.1</v>
      </c>
      <c r="E405" s="134">
        <f t="shared" si="30"/>
        <v>-1.334060412487581E-2</v>
      </c>
      <c r="F405" s="34"/>
      <c r="G405" s="256">
        <v>993.75</v>
      </c>
      <c r="H405" s="134">
        <f t="shared" si="31"/>
        <v>-1.0052777079668784E-3</v>
      </c>
      <c r="I405" s="163"/>
      <c r="J405" s="256">
        <v>665.38</v>
      </c>
      <c r="K405" s="134">
        <f t="shared" si="32"/>
        <v>-7.5139383556410699E-5</v>
      </c>
      <c r="L405" s="163"/>
      <c r="M405" s="255">
        <v>2624.1</v>
      </c>
      <c r="N405" s="134">
        <f t="shared" si="33"/>
        <v>-1.1582575286739338E-2</v>
      </c>
      <c r="O405" s="163"/>
      <c r="P405" s="255">
        <v>18599</v>
      </c>
      <c r="Q405" s="134">
        <f t="shared" si="34"/>
        <v>-6.8032296650718527E-3</v>
      </c>
      <c r="R405" s="19"/>
      <c r="S405" s="19"/>
      <c r="T405" s="19"/>
      <c r="W405" s="38"/>
      <c r="X405" s="35"/>
    </row>
    <row r="406" spans="3:24" x14ac:dyDescent="0.3">
      <c r="C406" s="160">
        <v>45052</v>
      </c>
      <c r="D406" s="255">
        <v>2532.1999999999998</v>
      </c>
      <c r="E406" s="134">
        <f t="shared" si="30"/>
        <v>-3.5529588251548283E-4</v>
      </c>
      <c r="F406" s="34"/>
      <c r="G406" s="256">
        <v>995.55</v>
      </c>
      <c r="H406" s="134">
        <f t="shared" si="31"/>
        <v>1.8113207547170163E-3</v>
      </c>
      <c r="I406" s="163"/>
      <c r="J406" s="256">
        <v>661.93</v>
      </c>
      <c r="K406" s="134">
        <f t="shared" si="32"/>
        <v>-5.185007063632896E-3</v>
      </c>
      <c r="L406" s="163"/>
      <c r="M406" s="255">
        <v>2638.55</v>
      </c>
      <c r="N406" s="134">
        <f t="shared" si="33"/>
        <v>5.5066498990130608E-3</v>
      </c>
      <c r="O406" s="163"/>
      <c r="P406" s="255">
        <v>18593.849999999999</v>
      </c>
      <c r="Q406" s="134">
        <f t="shared" si="34"/>
        <v>-2.7689660734453447E-4</v>
      </c>
      <c r="R406" s="19"/>
      <c r="S406" s="19"/>
      <c r="T406" s="19"/>
      <c r="X406" s="35"/>
    </row>
    <row r="407" spans="3:24" x14ac:dyDescent="0.3">
      <c r="C407" s="160">
        <v>44963</v>
      </c>
      <c r="D407" s="255">
        <v>2512.6</v>
      </c>
      <c r="E407" s="134">
        <f t="shared" si="30"/>
        <v>-7.7403048732327395E-3</v>
      </c>
      <c r="F407" s="34"/>
      <c r="G407" s="256">
        <v>969.8</v>
      </c>
      <c r="H407" s="134">
        <f t="shared" si="31"/>
        <v>-2.5865099693636706E-2</v>
      </c>
      <c r="I407" s="163"/>
      <c r="J407" s="256">
        <v>655.27</v>
      </c>
      <c r="K407" s="134">
        <f t="shared" si="32"/>
        <v>-1.0061486864169855E-2</v>
      </c>
      <c r="L407" s="163"/>
      <c r="M407" s="255">
        <v>2632.45</v>
      </c>
      <c r="N407" s="134">
        <f t="shared" si="33"/>
        <v>-2.3118758408976481E-3</v>
      </c>
      <c r="O407" s="163"/>
      <c r="P407" s="255">
        <v>18534.099999999999</v>
      </c>
      <c r="Q407" s="134">
        <f t="shared" si="34"/>
        <v>-3.2134280958489025E-3</v>
      </c>
      <c r="R407" s="19"/>
      <c r="S407" s="19"/>
      <c r="T407" s="19"/>
      <c r="X407" s="35"/>
    </row>
    <row r="408" spans="3:24" x14ac:dyDescent="0.3">
      <c r="C408" s="160">
        <v>44932</v>
      </c>
      <c r="D408" s="255">
        <v>2478.5500000000002</v>
      </c>
      <c r="E408" s="134">
        <f t="shared" si="30"/>
        <v>-1.3551699434848241E-2</v>
      </c>
      <c r="F408" s="34"/>
      <c r="G408" s="256">
        <v>968.95</v>
      </c>
      <c r="H408" s="134">
        <f t="shared" si="31"/>
        <v>-8.7646937512875223E-4</v>
      </c>
      <c r="I408" s="163"/>
      <c r="J408" s="256">
        <v>650.41999999999996</v>
      </c>
      <c r="K408" s="134">
        <f t="shared" si="32"/>
        <v>-7.4015291406596129E-3</v>
      </c>
      <c r="L408" s="163"/>
      <c r="M408" s="255">
        <v>2651.55</v>
      </c>
      <c r="N408" s="134">
        <f t="shared" si="33"/>
        <v>7.2555983969306848E-3</v>
      </c>
      <c r="O408" s="163"/>
      <c r="P408" s="255">
        <v>18487.75</v>
      </c>
      <c r="Q408" s="134">
        <f t="shared" si="34"/>
        <v>-2.5007958303882027E-3</v>
      </c>
      <c r="R408" s="19"/>
      <c r="S408" s="19"/>
      <c r="T408" s="19"/>
      <c r="X408" s="35"/>
    </row>
    <row r="409" spans="3:24" x14ac:dyDescent="0.3">
      <c r="C409" s="25" t="s">
        <v>424</v>
      </c>
      <c r="D409" s="255">
        <v>2519.75</v>
      </c>
      <c r="E409" s="134">
        <f t="shared" si="30"/>
        <v>1.662262209759735E-2</v>
      </c>
      <c r="G409" s="256">
        <v>970.6</v>
      </c>
      <c r="H409" s="134">
        <f t="shared" si="31"/>
        <v>1.7028742453171208E-3</v>
      </c>
      <c r="I409" s="163"/>
      <c r="J409" s="256">
        <v>658.29</v>
      </c>
      <c r="K409" s="134">
        <f t="shared" si="32"/>
        <v>1.2099873927615912E-2</v>
      </c>
      <c r="L409" s="163"/>
      <c r="M409" s="255">
        <v>2607.85</v>
      </c>
      <c r="N409" s="134">
        <f t="shared" si="33"/>
        <v>-1.6480926250683647E-2</v>
      </c>
      <c r="O409" s="163"/>
      <c r="P409" s="255">
        <v>18534.400000000001</v>
      </c>
      <c r="Q409" s="134">
        <f t="shared" si="34"/>
        <v>2.5232924504063892E-3</v>
      </c>
      <c r="R409" s="19"/>
      <c r="S409" s="19"/>
      <c r="T409" s="19"/>
      <c r="X409" s="35"/>
    </row>
    <row r="410" spans="3:24" x14ac:dyDescent="0.3">
      <c r="C410" s="25" t="s">
        <v>425</v>
      </c>
      <c r="D410" s="255">
        <v>2529.1</v>
      </c>
      <c r="E410" s="134">
        <f t="shared" si="30"/>
        <v>3.7106855838873187E-3</v>
      </c>
      <c r="G410" s="256">
        <v>969.1</v>
      </c>
      <c r="H410" s="134">
        <f t="shared" si="31"/>
        <v>-1.5454358128992318E-3</v>
      </c>
      <c r="I410" s="163"/>
      <c r="J410" s="256">
        <v>660.73</v>
      </c>
      <c r="K410" s="134">
        <f t="shared" si="32"/>
        <v>3.7065730908871775E-3</v>
      </c>
      <c r="L410" s="163"/>
      <c r="M410" s="255">
        <v>2594.1999999999998</v>
      </c>
      <c r="N410" s="134">
        <f t="shared" si="33"/>
        <v>-5.2341967521138955E-3</v>
      </c>
      <c r="O410" s="163"/>
      <c r="P410" s="255">
        <v>18633.849999999999</v>
      </c>
      <c r="Q410" s="134">
        <f t="shared" si="34"/>
        <v>5.3656983770715705E-3</v>
      </c>
      <c r="R410" s="19"/>
      <c r="S410" s="19"/>
      <c r="T410" s="19"/>
      <c r="X410" s="35"/>
    </row>
    <row r="411" spans="3:24" x14ac:dyDescent="0.3">
      <c r="C411" s="25" t="s">
        <v>426</v>
      </c>
      <c r="D411" s="255">
        <v>2534.35</v>
      </c>
      <c r="E411" s="134">
        <f t="shared" si="30"/>
        <v>2.0758372543592252E-3</v>
      </c>
      <c r="G411" s="256">
        <v>971.85</v>
      </c>
      <c r="H411" s="134">
        <f t="shared" si="31"/>
        <v>2.8376844494892861E-3</v>
      </c>
      <c r="I411" s="163"/>
      <c r="J411" s="256">
        <v>661.74</v>
      </c>
      <c r="K411" s="134">
        <f t="shared" si="32"/>
        <v>1.5286122924644818E-3</v>
      </c>
      <c r="L411" s="163"/>
      <c r="M411" s="255">
        <v>2582.9499999999998</v>
      </c>
      <c r="N411" s="134">
        <f t="shared" si="33"/>
        <v>-4.3365970241308061E-3</v>
      </c>
      <c r="O411" s="163"/>
      <c r="P411" s="255">
        <v>18598.650000000001</v>
      </c>
      <c r="Q411" s="134">
        <f t="shared" si="34"/>
        <v>-1.889035277196971E-3</v>
      </c>
      <c r="R411" s="19"/>
      <c r="S411" s="19"/>
      <c r="T411" s="19"/>
      <c r="X411" s="35"/>
    </row>
    <row r="412" spans="3:24" x14ac:dyDescent="0.3">
      <c r="C412" s="25" t="s">
        <v>427</v>
      </c>
      <c r="D412" s="255">
        <v>2515.4</v>
      </c>
      <c r="E412" s="134">
        <f t="shared" si="30"/>
        <v>-7.4772624144257005E-3</v>
      </c>
      <c r="G412" s="256">
        <v>970.25</v>
      </c>
      <c r="H412" s="134">
        <f t="shared" si="31"/>
        <v>-1.6463446005041682E-3</v>
      </c>
      <c r="I412" s="163"/>
      <c r="J412" s="256">
        <v>660.11</v>
      </c>
      <c r="K412" s="134">
        <f t="shared" si="32"/>
        <v>-2.4632030706923658E-3</v>
      </c>
      <c r="L412" s="163"/>
      <c r="M412" s="255">
        <v>2586.15</v>
      </c>
      <c r="N412" s="134">
        <f t="shared" si="33"/>
        <v>1.2388935132310319E-3</v>
      </c>
      <c r="O412" s="163"/>
      <c r="P412" s="255">
        <v>18499.349999999999</v>
      </c>
      <c r="Q412" s="134">
        <f t="shared" si="34"/>
        <v>-5.3390971925383335E-3</v>
      </c>
      <c r="R412" s="19"/>
      <c r="S412" s="19"/>
      <c r="T412" s="19"/>
      <c r="X412" s="35"/>
    </row>
    <row r="413" spans="3:24" x14ac:dyDescent="0.3">
      <c r="C413" s="25" t="s">
        <v>428</v>
      </c>
      <c r="D413" s="255">
        <v>2473.5500000000002</v>
      </c>
      <c r="E413" s="134">
        <f t="shared" si="30"/>
        <v>-1.6637512920410269E-2</v>
      </c>
      <c r="G413" s="256">
        <v>956.7</v>
      </c>
      <c r="H413" s="134">
        <f t="shared" si="31"/>
        <v>-1.3965472816284463E-2</v>
      </c>
      <c r="I413" s="163"/>
      <c r="J413" s="256">
        <v>648.12</v>
      </c>
      <c r="K413" s="134">
        <f t="shared" si="32"/>
        <v>-1.8163639393434461E-2</v>
      </c>
      <c r="L413" s="163"/>
      <c r="M413" s="255">
        <v>2523.25</v>
      </c>
      <c r="N413" s="134">
        <f t="shared" si="33"/>
        <v>-2.4321868414438508E-2</v>
      </c>
      <c r="O413" s="163"/>
      <c r="P413" s="255">
        <v>18321.150000000001</v>
      </c>
      <c r="Q413" s="134">
        <f t="shared" si="34"/>
        <v>-9.6327708811388968E-3</v>
      </c>
      <c r="R413" s="19"/>
      <c r="S413" s="19"/>
      <c r="T413" s="19"/>
      <c r="X413" s="35"/>
    </row>
    <row r="414" spans="3:24" x14ac:dyDescent="0.3">
      <c r="C414" s="25" t="s">
        <v>429</v>
      </c>
      <c r="D414" s="255">
        <v>2449.9</v>
      </c>
      <c r="E414" s="134">
        <f t="shared" si="30"/>
        <v>-9.5611570414990688E-3</v>
      </c>
      <c r="G414" s="256">
        <v>987.1</v>
      </c>
      <c r="H414" s="134">
        <f t="shared" si="31"/>
        <v>3.1775896310233032E-2</v>
      </c>
      <c r="I414" s="163"/>
      <c r="J414" s="256">
        <v>654.35</v>
      </c>
      <c r="K414" s="134">
        <f t="shared" si="32"/>
        <v>9.6124174535581197E-3</v>
      </c>
      <c r="L414" s="163"/>
      <c r="M414" s="255">
        <v>2526.65</v>
      </c>
      <c r="N414" s="134">
        <f t="shared" si="33"/>
        <v>1.3474685425542976E-3</v>
      </c>
      <c r="O414" s="163"/>
      <c r="P414" s="255">
        <v>18285.400000000001</v>
      </c>
      <c r="Q414" s="134">
        <f t="shared" si="34"/>
        <v>-1.9512967253693114E-3</v>
      </c>
      <c r="R414" s="19"/>
      <c r="S414" s="19"/>
      <c r="T414" s="19"/>
      <c r="X414" s="35"/>
    </row>
    <row r="415" spans="3:24" x14ac:dyDescent="0.3">
      <c r="C415" s="25" t="s">
        <v>430</v>
      </c>
      <c r="D415" s="255">
        <v>2470.8000000000002</v>
      </c>
      <c r="E415" s="134">
        <f t="shared" si="30"/>
        <v>8.5309604473653433E-3</v>
      </c>
      <c r="G415" s="256">
        <v>981.9</v>
      </c>
      <c r="H415" s="134">
        <f t="shared" si="31"/>
        <v>-5.267956640664595E-3</v>
      </c>
      <c r="I415" s="163"/>
      <c r="J415" s="256">
        <v>651.42999999999995</v>
      </c>
      <c r="K415" s="134">
        <f t="shared" si="32"/>
        <v>-4.4624436463667205E-3</v>
      </c>
      <c r="L415" s="163"/>
      <c r="M415" s="255">
        <v>2533.3000000000002</v>
      </c>
      <c r="N415" s="134">
        <f t="shared" si="33"/>
        <v>2.6319434824768617E-3</v>
      </c>
      <c r="O415" s="163"/>
      <c r="P415" s="255">
        <v>18348</v>
      </c>
      <c r="Q415" s="134">
        <f t="shared" si="34"/>
        <v>3.4234963413433128E-3</v>
      </c>
      <c r="R415" s="19"/>
      <c r="S415" s="19"/>
      <c r="T415" s="19"/>
      <c r="X415" s="35"/>
    </row>
    <row r="416" spans="3:24" x14ac:dyDescent="0.3">
      <c r="C416" s="25" t="s">
        <v>431</v>
      </c>
      <c r="D416" s="255">
        <v>2458.6</v>
      </c>
      <c r="E416" s="134">
        <f t="shared" si="30"/>
        <v>-4.9376720090660298E-3</v>
      </c>
      <c r="G416" s="256">
        <v>987.2</v>
      </c>
      <c r="H416" s="134">
        <f t="shared" si="31"/>
        <v>5.3976983399532941E-3</v>
      </c>
      <c r="I416" s="163"/>
      <c r="J416" s="256">
        <v>643.55999999999995</v>
      </c>
      <c r="K416" s="134">
        <f t="shared" si="32"/>
        <v>-1.2081113857206449E-2</v>
      </c>
      <c r="L416" s="163"/>
      <c r="M416" s="255">
        <v>2535.1999999999998</v>
      </c>
      <c r="N416" s="134">
        <f t="shared" si="33"/>
        <v>7.5000986855067175E-4</v>
      </c>
      <c r="O416" s="163"/>
      <c r="P416" s="255">
        <v>18314.400000000001</v>
      </c>
      <c r="Q416" s="134">
        <f t="shared" si="34"/>
        <v>-1.8312622629168551E-3</v>
      </c>
      <c r="R416" s="19"/>
      <c r="S416" s="19"/>
      <c r="T416" s="19"/>
      <c r="X416" s="35"/>
    </row>
    <row r="417" spans="3:24" x14ac:dyDescent="0.3">
      <c r="C417" s="25" t="s">
        <v>432</v>
      </c>
      <c r="D417" s="255">
        <v>2436.3000000000002</v>
      </c>
      <c r="E417" s="134">
        <f t="shared" si="30"/>
        <v>-9.0702025542991338E-3</v>
      </c>
      <c r="G417" s="256">
        <v>984.15</v>
      </c>
      <c r="H417" s="134">
        <f t="shared" si="31"/>
        <v>-3.089546191248016E-3</v>
      </c>
      <c r="I417" s="163"/>
      <c r="J417" s="256">
        <v>640.25</v>
      </c>
      <c r="K417" s="134">
        <f t="shared" si="32"/>
        <v>-5.1432655851822995E-3</v>
      </c>
      <c r="L417" s="163"/>
      <c r="M417" s="255">
        <v>2566.6</v>
      </c>
      <c r="N417" s="134">
        <f t="shared" si="33"/>
        <v>1.2385610602713815E-2</v>
      </c>
      <c r="O417" s="163"/>
      <c r="P417" s="255">
        <v>18203.400000000001</v>
      </c>
      <c r="Q417" s="134">
        <f t="shared" si="34"/>
        <v>-6.0608046127637039E-3</v>
      </c>
      <c r="R417" s="19"/>
      <c r="S417" s="19"/>
      <c r="T417" s="19"/>
      <c r="X417" s="35"/>
    </row>
    <row r="418" spans="3:24" x14ac:dyDescent="0.3">
      <c r="C418" s="25" t="s">
        <v>433</v>
      </c>
      <c r="D418" s="255">
        <v>2428.6</v>
      </c>
      <c r="E418" s="134">
        <f t="shared" si="30"/>
        <v>-3.1605303123589668E-3</v>
      </c>
      <c r="G418" s="256">
        <v>984.65</v>
      </c>
      <c r="H418" s="134">
        <f t="shared" si="31"/>
        <v>5.0805263425290903E-4</v>
      </c>
      <c r="I418" s="163"/>
      <c r="J418" s="256">
        <v>645.91</v>
      </c>
      <c r="K418" s="134">
        <f t="shared" si="32"/>
        <v>8.840296759078381E-3</v>
      </c>
      <c r="L418" s="163"/>
      <c r="M418" s="255">
        <v>2552.25</v>
      </c>
      <c r="N418" s="134">
        <f t="shared" si="33"/>
        <v>-5.5910543130990309E-3</v>
      </c>
      <c r="O418" s="163"/>
      <c r="P418" s="255">
        <v>18129.95</v>
      </c>
      <c r="Q418" s="134">
        <f t="shared" si="34"/>
        <v>-4.0349605018843437E-3</v>
      </c>
      <c r="R418" s="19"/>
      <c r="S418" s="19"/>
      <c r="T418" s="19"/>
      <c r="X418" s="35"/>
    </row>
    <row r="419" spans="3:24" x14ac:dyDescent="0.3">
      <c r="C419" s="25" t="s">
        <v>434</v>
      </c>
      <c r="D419" s="255">
        <v>2471.35</v>
      </c>
      <c r="E419" s="134">
        <f t="shared" si="30"/>
        <v>1.7602734085481408E-2</v>
      </c>
      <c r="G419" s="256">
        <v>982.1</v>
      </c>
      <c r="H419" s="134">
        <f t="shared" si="31"/>
        <v>-2.5897527040064094E-3</v>
      </c>
      <c r="I419" s="163"/>
      <c r="J419" s="256">
        <v>650.09</v>
      </c>
      <c r="K419" s="134">
        <f t="shared" si="32"/>
        <v>6.4714898360453965E-3</v>
      </c>
      <c r="L419" s="163"/>
      <c r="M419" s="255">
        <v>2545.1</v>
      </c>
      <c r="N419" s="134">
        <f t="shared" si="33"/>
        <v>-2.8014497012440742E-3</v>
      </c>
      <c r="O419" s="163"/>
      <c r="P419" s="255">
        <v>18181.75</v>
      </c>
      <c r="Q419" s="134">
        <f t="shared" si="34"/>
        <v>2.8571507367642912E-3</v>
      </c>
      <c r="R419" s="19"/>
      <c r="S419" s="19"/>
      <c r="T419" s="19"/>
      <c r="W419" s="38"/>
      <c r="X419" s="35"/>
    </row>
    <row r="420" spans="3:24" x14ac:dyDescent="0.3">
      <c r="C420" s="25" t="s">
        <v>435</v>
      </c>
      <c r="D420" s="255">
        <v>2542.65</v>
      </c>
      <c r="E420" s="134">
        <f t="shared" si="30"/>
        <v>2.8850628199162509E-2</v>
      </c>
      <c r="G420" s="256">
        <v>976.8</v>
      </c>
      <c r="H420" s="134">
        <f t="shared" si="31"/>
        <v>-5.3965991243254408E-3</v>
      </c>
      <c r="I420" s="163"/>
      <c r="J420" s="256">
        <v>645.42999999999995</v>
      </c>
      <c r="K420" s="134">
        <f t="shared" si="32"/>
        <v>-7.1682382439355319E-3</v>
      </c>
      <c r="L420" s="163"/>
      <c r="M420" s="255">
        <v>2544.1999999999998</v>
      </c>
      <c r="N420" s="134">
        <f t="shared" si="33"/>
        <v>-3.5362068288091741E-4</v>
      </c>
      <c r="O420" s="163"/>
      <c r="P420" s="255">
        <v>18286.5</v>
      </c>
      <c r="Q420" s="134">
        <f t="shared" si="34"/>
        <v>5.7612716047685808E-3</v>
      </c>
      <c r="R420" s="19"/>
      <c r="S420" s="19"/>
      <c r="T420" s="19"/>
      <c r="W420" s="38"/>
      <c r="X420" s="35"/>
    </row>
    <row r="421" spans="3:24" x14ac:dyDescent="0.3">
      <c r="C421" s="25" t="s">
        <v>436</v>
      </c>
      <c r="D421" s="255">
        <v>2531</v>
      </c>
      <c r="E421" s="134">
        <f t="shared" si="30"/>
        <v>-4.5818339134368058E-3</v>
      </c>
      <c r="G421" s="256">
        <v>990.1</v>
      </c>
      <c r="H421" s="134">
        <f t="shared" si="31"/>
        <v>1.3615888615888583E-2</v>
      </c>
      <c r="I421" s="163"/>
      <c r="J421" s="256">
        <v>648.36</v>
      </c>
      <c r="K421" s="134">
        <f t="shared" si="32"/>
        <v>4.5396092527463239E-3</v>
      </c>
      <c r="L421" s="163"/>
      <c r="M421" s="255">
        <v>2550.35</v>
      </c>
      <c r="N421" s="134">
        <f t="shared" si="33"/>
        <v>2.4172627938054969E-3</v>
      </c>
      <c r="O421" s="163"/>
      <c r="P421" s="255">
        <v>18398.849999999999</v>
      </c>
      <c r="Q421" s="134">
        <f t="shared" si="34"/>
        <v>6.1438766303010262E-3</v>
      </c>
      <c r="R421" s="19"/>
      <c r="S421" s="19"/>
      <c r="T421" s="19"/>
      <c r="W421" s="38"/>
      <c r="X421" s="35"/>
    </row>
    <row r="422" spans="3:24" x14ac:dyDescent="0.3">
      <c r="C422" s="160">
        <v>45265</v>
      </c>
      <c r="D422" s="255">
        <v>2552.75</v>
      </c>
      <c r="E422" s="134">
        <f t="shared" si="30"/>
        <v>8.5934413275385868E-3</v>
      </c>
      <c r="F422" s="34"/>
      <c r="G422" s="256">
        <v>985.2</v>
      </c>
      <c r="H422" s="134">
        <f t="shared" si="31"/>
        <v>-4.9489950510048786E-3</v>
      </c>
      <c r="I422" s="163"/>
      <c r="J422" s="256">
        <v>650.47</v>
      </c>
      <c r="K422" s="134">
        <f t="shared" si="32"/>
        <v>3.2543648590288576E-3</v>
      </c>
      <c r="L422" s="163"/>
      <c r="M422" s="255">
        <v>2587.25</v>
      </c>
      <c r="N422" s="134">
        <f t="shared" si="33"/>
        <v>1.446860234869729E-2</v>
      </c>
      <c r="O422" s="163"/>
      <c r="P422" s="255">
        <v>18314.8</v>
      </c>
      <c r="Q422" s="134">
        <f t="shared" si="34"/>
        <v>-4.5682202963771568E-3</v>
      </c>
      <c r="R422" s="19"/>
      <c r="S422" s="19"/>
      <c r="T422" s="19"/>
      <c r="W422" s="38"/>
      <c r="X422" s="35"/>
    </row>
    <row r="423" spans="3:24" x14ac:dyDescent="0.3">
      <c r="C423" s="160">
        <v>45235</v>
      </c>
      <c r="D423" s="255">
        <v>2560.9499999999998</v>
      </c>
      <c r="E423" s="134">
        <f t="shared" si="30"/>
        <v>3.2122221134069928E-3</v>
      </c>
      <c r="F423" s="34"/>
      <c r="G423" s="256">
        <v>988.6</v>
      </c>
      <c r="H423" s="134">
        <f t="shared" si="31"/>
        <v>3.4510759236703326E-3</v>
      </c>
      <c r="I423" s="163"/>
      <c r="J423" s="256">
        <v>656.08</v>
      </c>
      <c r="K423" s="134">
        <f t="shared" si="32"/>
        <v>8.6245330299630218E-3</v>
      </c>
      <c r="L423" s="163"/>
      <c r="M423" s="255">
        <v>2566.4499999999998</v>
      </c>
      <c r="N423" s="134">
        <f t="shared" si="33"/>
        <v>-8.0394240989468679E-3</v>
      </c>
      <c r="O423" s="163"/>
      <c r="P423" s="255">
        <v>18297</v>
      </c>
      <c r="Q423" s="134">
        <f t="shared" si="34"/>
        <v>-9.7189158494770389E-4</v>
      </c>
      <c r="R423" s="19"/>
      <c r="S423" s="19"/>
      <c r="T423" s="19"/>
      <c r="W423" s="38"/>
      <c r="X423" s="35"/>
    </row>
    <row r="424" spans="3:24" x14ac:dyDescent="0.3">
      <c r="C424" s="160">
        <v>45204</v>
      </c>
      <c r="D424" s="255">
        <v>2571.25</v>
      </c>
      <c r="E424" s="134">
        <f t="shared" si="30"/>
        <v>4.0219449813545527E-3</v>
      </c>
      <c r="F424" s="34"/>
      <c r="G424" s="256">
        <v>974.5</v>
      </c>
      <c r="H424" s="134">
        <f t="shared" si="31"/>
        <v>-1.4262593566659931E-2</v>
      </c>
      <c r="I424" s="163"/>
      <c r="J424" s="256">
        <v>651.91</v>
      </c>
      <c r="K424" s="134">
        <f t="shared" si="32"/>
        <v>-6.3559322033899246E-3</v>
      </c>
      <c r="L424" s="163"/>
      <c r="M424" s="255">
        <v>2509.4</v>
      </c>
      <c r="N424" s="134">
        <f t="shared" si="33"/>
        <v>-2.2229149213894628E-2</v>
      </c>
      <c r="O424" s="163"/>
      <c r="P424" s="255">
        <v>18315.099999999999</v>
      </c>
      <c r="Q424" s="134">
        <f t="shared" si="34"/>
        <v>9.8923320762955846E-4</v>
      </c>
      <c r="R424" s="19"/>
      <c r="S424" s="19"/>
      <c r="T424" s="19"/>
      <c r="W424" s="38"/>
      <c r="X424" s="35"/>
    </row>
    <row r="425" spans="3:24" x14ac:dyDescent="0.3">
      <c r="C425" s="160">
        <v>45174</v>
      </c>
      <c r="D425" s="255">
        <v>2587.4</v>
      </c>
      <c r="E425" s="134">
        <f t="shared" si="30"/>
        <v>6.2809917355373113E-3</v>
      </c>
      <c r="F425" s="34"/>
      <c r="G425" s="256">
        <v>965.85</v>
      </c>
      <c r="H425" s="134">
        <f t="shared" si="31"/>
        <v>-8.876346844535643E-3</v>
      </c>
      <c r="I425" s="163"/>
      <c r="J425" s="256">
        <v>666.25</v>
      </c>
      <c r="K425" s="134">
        <f t="shared" si="32"/>
        <v>2.1996901412771663E-2</v>
      </c>
      <c r="L425" s="163"/>
      <c r="M425" s="255">
        <v>2471.75</v>
      </c>
      <c r="N425" s="134">
        <f t="shared" si="33"/>
        <v>-1.5003586514704792E-2</v>
      </c>
      <c r="O425" s="163"/>
      <c r="P425" s="255">
        <v>18265.95</v>
      </c>
      <c r="Q425" s="134">
        <f t="shared" si="34"/>
        <v>-2.6835780312418622E-3</v>
      </c>
      <c r="R425" s="19"/>
      <c r="S425" s="19"/>
      <c r="T425" s="19"/>
      <c r="W425" s="38"/>
      <c r="X425" s="35"/>
    </row>
    <row r="426" spans="3:24" x14ac:dyDescent="0.3">
      <c r="C426" s="160">
        <v>45143</v>
      </c>
      <c r="D426" s="255">
        <v>2546.15</v>
      </c>
      <c r="E426" s="134">
        <f t="shared" si="30"/>
        <v>-1.594264512638166E-2</v>
      </c>
      <c r="F426" s="34"/>
      <c r="G426" s="256">
        <v>969.95</v>
      </c>
      <c r="H426" s="134">
        <f t="shared" si="31"/>
        <v>4.2449655743646009E-3</v>
      </c>
      <c r="I426" s="163"/>
      <c r="J426" s="256">
        <v>685.58</v>
      </c>
      <c r="K426" s="134">
        <f t="shared" si="32"/>
        <v>2.9013133208255271E-2</v>
      </c>
      <c r="L426" s="163"/>
      <c r="M426" s="255">
        <v>2450.6999999999998</v>
      </c>
      <c r="N426" s="134">
        <f t="shared" si="33"/>
        <v>-8.5162334378477977E-3</v>
      </c>
      <c r="O426" s="163"/>
      <c r="P426" s="255">
        <v>18264.400000000001</v>
      </c>
      <c r="Q426" s="134">
        <f t="shared" si="34"/>
        <v>-8.4857343855548883E-5</v>
      </c>
      <c r="R426" s="19"/>
      <c r="S426" s="19"/>
      <c r="T426" s="19"/>
      <c r="W426" s="38"/>
      <c r="X426" s="35"/>
    </row>
    <row r="427" spans="3:24" x14ac:dyDescent="0.3">
      <c r="C427" s="160">
        <v>45051</v>
      </c>
      <c r="D427" s="255">
        <v>2529.6999999999998</v>
      </c>
      <c r="E427" s="134">
        <f t="shared" si="30"/>
        <v>-6.4607348349470239E-3</v>
      </c>
      <c r="F427" s="34"/>
      <c r="G427" s="256">
        <v>959.5</v>
      </c>
      <c r="H427" s="134">
        <f t="shared" si="31"/>
        <v>-1.0773751224289918E-2</v>
      </c>
      <c r="I427" s="163"/>
      <c r="J427" s="256">
        <v>685.53</v>
      </c>
      <c r="K427" s="134">
        <f t="shared" si="32"/>
        <v>-7.2930948977645293E-5</v>
      </c>
      <c r="L427" s="163"/>
      <c r="M427" s="255">
        <v>2472.1</v>
      </c>
      <c r="N427" s="134">
        <f t="shared" si="33"/>
        <v>8.7321989635613662E-3</v>
      </c>
      <c r="O427" s="163"/>
      <c r="P427" s="255">
        <v>18069</v>
      </c>
      <c r="Q427" s="134">
        <f t="shared" si="34"/>
        <v>-1.0698407831628787E-2</v>
      </c>
      <c r="R427" s="19"/>
      <c r="S427" s="19"/>
      <c r="T427" s="19"/>
      <c r="X427" s="35"/>
    </row>
    <row r="428" spans="3:24" x14ac:dyDescent="0.3">
      <c r="C428" s="160">
        <v>45021</v>
      </c>
      <c r="D428" s="255">
        <v>2552.3000000000002</v>
      </c>
      <c r="E428" s="134">
        <f t="shared" si="30"/>
        <v>8.9338656757720347E-3</v>
      </c>
      <c r="F428" s="34"/>
      <c r="G428" s="256">
        <v>982.25</v>
      </c>
      <c r="H428" s="134">
        <f t="shared" si="31"/>
        <v>2.3710265763418503E-2</v>
      </c>
      <c r="I428" s="163"/>
      <c r="J428" s="256">
        <v>703.03</v>
      </c>
      <c r="K428" s="134">
        <f t="shared" si="32"/>
        <v>2.5527693901069348E-2</v>
      </c>
      <c r="L428" s="163"/>
      <c r="M428" s="255">
        <v>2465.15</v>
      </c>
      <c r="N428" s="134">
        <f t="shared" si="33"/>
        <v>-2.8113749443792191E-3</v>
      </c>
      <c r="O428" s="163"/>
      <c r="P428" s="255">
        <v>18255.8</v>
      </c>
      <c r="Q428" s="134">
        <f t="shared" si="34"/>
        <v>1.0338148209640741E-2</v>
      </c>
      <c r="R428" s="19"/>
      <c r="S428" s="19"/>
      <c r="T428" s="19"/>
      <c r="X428" s="35"/>
    </row>
    <row r="429" spans="3:24" x14ac:dyDescent="0.3">
      <c r="C429" s="160">
        <v>44990</v>
      </c>
      <c r="D429" s="255">
        <v>2568.75</v>
      </c>
      <c r="E429" s="134">
        <f t="shared" si="30"/>
        <v>6.445167104180527E-3</v>
      </c>
      <c r="F429" s="34"/>
      <c r="G429" s="256">
        <v>993.1</v>
      </c>
      <c r="H429" s="134">
        <f t="shared" si="31"/>
        <v>1.1046067701705242E-2</v>
      </c>
      <c r="I429" s="163"/>
      <c r="J429" s="256">
        <v>709.51</v>
      </c>
      <c r="K429" s="134">
        <f t="shared" si="32"/>
        <v>9.2172453522609832E-3</v>
      </c>
      <c r="L429" s="163"/>
      <c r="M429" s="255">
        <v>2463.9499999999998</v>
      </c>
      <c r="N429" s="134">
        <f t="shared" si="33"/>
        <v>-4.8678579396799204E-4</v>
      </c>
      <c r="O429" s="163"/>
      <c r="P429" s="255">
        <v>18089.849999999999</v>
      </c>
      <c r="Q429" s="134">
        <f t="shared" si="34"/>
        <v>-9.0902617250409046E-3</v>
      </c>
      <c r="R429" s="19"/>
      <c r="S429" s="19"/>
      <c r="T429" s="19"/>
      <c r="X429" s="35"/>
    </row>
    <row r="430" spans="3:24" x14ac:dyDescent="0.3">
      <c r="C430" s="160">
        <v>44962</v>
      </c>
      <c r="D430" s="255">
        <v>2550.75</v>
      </c>
      <c r="E430" s="134">
        <f t="shared" si="30"/>
        <v>-7.0072992700730419E-3</v>
      </c>
      <c r="F430" s="34"/>
      <c r="G430" s="256">
        <v>972</v>
      </c>
      <c r="H430" s="134">
        <f t="shared" si="31"/>
        <v>-2.1246601550699906E-2</v>
      </c>
      <c r="I430" s="163"/>
      <c r="J430" s="256">
        <v>721.54</v>
      </c>
      <c r="K430" s="134">
        <f t="shared" si="32"/>
        <v>1.6955363560767323E-2</v>
      </c>
      <c r="L430" s="163"/>
      <c r="M430" s="255">
        <v>2419.75</v>
      </c>
      <c r="N430" s="134">
        <f t="shared" si="33"/>
        <v>-1.7938675703646489E-2</v>
      </c>
      <c r="O430" s="163"/>
      <c r="P430" s="255">
        <v>18147.650000000001</v>
      </c>
      <c r="Q430" s="134">
        <f t="shared" si="34"/>
        <v>3.1951619278216548E-3</v>
      </c>
      <c r="R430" s="19"/>
      <c r="S430" s="19"/>
      <c r="T430" s="19"/>
      <c r="X430" s="35"/>
    </row>
    <row r="431" spans="3:24" x14ac:dyDescent="0.3">
      <c r="C431" s="25" t="s">
        <v>437</v>
      </c>
      <c r="D431" s="255">
        <v>2540.25</v>
      </c>
      <c r="E431" s="134">
        <f t="shared" si="30"/>
        <v>-4.1164363422522277E-3</v>
      </c>
      <c r="G431" s="256">
        <v>952.7</v>
      </c>
      <c r="H431" s="134">
        <f t="shared" si="31"/>
        <v>-1.9855967078189263E-2</v>
      </c>
      <c r="I431" s="163"/>
      <c r="J431" s="256">
        <v>709.7</v>
      </c>
      <c r="K431" s="134">
        <f t="shared" si="32"/>
        <v>-1.6409346675166914E-2</v>
      </c>
      <c r="L431" s="163"/>
      <c r="M431" s="255">
        <v>2419.25</v>
      </c>
      <c r="N431" s="134">
        <f t="shared" si="33"/>
        <v>-2.0663291662359473E-4</v>
      </c>
      <c r="O431" s="163"/>
      <c r="P431" s="255">
        <v>18065</v>
      </c>
      <c r="Q431" s="134">
        <f t="shared" si="34"/>
        <v>-4.5543086845956093E-3</v>
      </c>
      <c r="R431" s="19"/>
      <c r="S431" s="19"/>
      <c r="T431" s="19"/>
      <c r="X431" s="35"/>
    </row>
    <row r="432" spans="3:24" x14ac:dyDescent="0.3">
      <c r="C432" s="25" t="s">
        <v>438</v>
      </c>
      <c r="D432" s="255">
        <v>2495.5</v>
      </c>
      <c r="E432" s="134">
        <f t="shared" si="30"/>
        <v>-1.7616376340911288E-2</v>
      </c>
      <c r="G432" s="256">
        <v>943.7</v>
      </c>
      <c r="H432" s="134">
        <f t="shared" si="31"/>
        <v>-9.4468353101710978E-3</v>
      </c>
      <c r="I432" s="163"/>
      <c r="J432" s="256">
        <v>697.42</v>
      </c>
      <c r="K432" s="134">
        <f t="shared" si="32"/>
        <v>-1.7303085810906116E-2</v>
      </c>
      <c r="L432" s="163"/>
      <c r="M432" s="255">
        <v>2389.1999999999998</v>
      </c>
      <c r="N432" s="134">
        <f t="shared" si="33"/>
        <v>-1.242120491887988E-2</v>
      </c>
      <c r="O432" s="163"/>
      <c r="P432" s="255">
        <v>17915.05</v>
      </c>
      <c r="Q432" s="134">
        <f t="shared" si="34"/>
        <v>-8.3005812344312258E-3</v>
      </c>
      <c r="R432" s="19"/>
      <c r="S432" s="19"/>
      <c r="T432" s="19"/>
      <c r="X432" s="35"/>
    </row>
    <row r="433" spans="3:24" x14ac:dyDescent="0.3">
      <c r="C433" s="25" t="s">
        <v>439</v>
      </c>
      <c r="D433" s="255">
        <v>2496.6</v>
      </c>
      <c r="E433" s="134">
        <f t="shared" si="30"/>
        <v>4.4079342817071598E-4</v>
      </c>
      <c r="G433" s="256">
        <v>931.6</v>
      </c>
      <c r="H433" s="134">
        <f t="shared" si="31"/>
        <v>-1.2821871357422965E-2</v>
      </c>
      <c r="I433" s="163"/>
      <c r="J433" s="256">
        <v>686.05</v>
      </c>
      <c r="K433" s="134">
        <f t="shared" si="32"/>
        <v>-1.6302945140661329E-2</v>
      </c>
      <c r="L433" s="163"/>
      <c r="M433" s="255">
        <v>2411.75</v>
      </c>
      <c r="N433" s="134">
        <f t="shared" si="33"/>
        <v>9.4383057090239308E-3</v>
      </c>
      <c r="O433" s="163"/>
      <c r="P433" s="255">
        <v>17813.599999999999</v>
      </c>
      <c r="Q433" s="134">
        <f t="shared" si="34"/>
        <v>-5.6628365536239844E-3</v>
      </c>
      <c r="R433" s="19"/>
      <c r="S433" s="19"/>
      <c r="T433" s="19"/>
      <c r="X433" s="35"/>
    </row>
    <row r="434" spans="3:24" x14ac:dyDescent="0.3">
      <c r="C434" s="25" t="s">
        <v>440</v>
      </c>
      <c r="D434" s="255">
        <v>2491.9499999999998</v>
      </c>
      <c r="E434" s="134">
        <f t="shared" si="30"/>
        <v>-1.8625330449411059E-3</v>
      </c>
      <c r="G434" s="256">
        <v>944.4</v>
      </c>
      <c r="H434" s="134">
        <f t="shared" si="31"/>
        <v>1.3739802490339237E-2</v>
      </c>
      <c r="I434" s="163"/>
      <c r="J434" s="256">
        <v>685.34</v>
      </c>
      <c r="K434" s="134">
        <f t="shared" si="32"/>
        <v>-1.0349099919829685E-3</v>
      </c>
      <c r="L434" s="163"/>
      <c r="M434" s="255">
        <v>2411.35</v>
      </c>
      <c r="N434" s="134">
        <f t="shared" si="33"/>
        <v>-1.6585466984553321E-4</v>
      </c>
      <c r="O434" s="163"/>
      <c r="P434" s="255">
        <v>17769.25</v>
      </c>
      <c r="Q434" s="134">
        <f t="shared" si="34"/>
        <v>-2.4896708133110845E-3</v>
      </c>
      <c r="R434" s="19"/>
      <c r="S434" s="19"/>
      <c r="T434" s="19"/>
      <c r="X434" s="35"/>
    </row>
    <row r="435" spans="3:24" x14ac:dyDescent="0.3">
      <c r="C435" s="25" t="s">
        <v>441</v>
      </c>
      <c r="D435" s="255">
        <v>2499.8000000000002</v>
      </c>
      <c r="E435" s="134">
        <f t="shared" si="30"/>
        <v>3.1501434619476409E-3</v>
      </c>
      <c r="G435" s="256">
        <v>948.5</v>
      </c>
      <c r="H435" s="134">
        <f t="shared" si="31"/>
        <v>4.3413807708598817E-3</v>
      </c>
      <c r="I435" s="163"/>
      <c r="J435" s="256">
        <v>700.11</v>
      </c>
      <c r="K435" s="134">
        <f t="shared" si="32"/>
        <v>2.1551346776782276E-2</v>
      </c>
      <c r="L435" s="163"/>
      <c r="M435" s="255">
        <v>2421.15</v>
      </c>
      <c r="N435" s="134">
        <f t="shared" si="33"/>
        <v>4.0641134634127329E-3</v>
      </c>
      <c r="O435" s="163"/>
      <c r="P435" s="255">
        <v>17743.400000000001</v>
      </c>
      <c r="Q435" s="134">
        <f t="shared" si="34"/>
        <v>-1.4547603303458612E-3</v>
      </c>
      <c r="R435" s="19"/>
      <c r="S435" s="19"/>
      <c r="T435" s="19"/>
      <c r="X435" s="35"/>
    </row>
    <row r="436" spans="3:24" x14ac:dyDescent="0.3">
      <c r="C436" s="25" t="s">
        <v>442</v>
      </c>
      <c r="D436" s="255">
        <v>2477</v>
      </c>
      <c r="E436" s="134">
        <f t="shared" si="30"/>
        <v>-9.1207296583727393E-3</v>
      </c>
      <c r="G436" s="256">
        <v>944.45</v>
      </c>
      <c r="H436" s="134">
        <f t="shared" si="31"/>
        <v>-4.2698998418555512E-3</v>
      </c>
      <c r="I436" s="163"/>
      <c r="J436" s="256">
        <v>704.66</v>
      </c>
      <c r="K436" s="134">
        <f t="shared" si="32"/>
        <v>6.4989787319134074E-3</v>
      </c>
      <c r="L436" s="163"/>
      <c r="M436" s="255">
        <v>2440.15</v>
      </c>
      <c r="N436" s="134">
        <f t="shared" si="33"/>
        <v>7.847510480556652E-3</v>
      </c>
      <c r="O436" s="163"/>
      <c r="P436" s="255">
        <v>17624.05</v>
      </c>
      <c r="Q436" s="134">
        <f t="shared" si="34"/>
        <v>-6.7264447625596802E-3</v>
      </c>
      <c r="R436" s="19"/>
      <c r="S436" s="19"/>
      <c r="T436" s="19"/>
      <c r="X436" s="35"/>
    </row>
    <row r="437" spans="3:24" x14ac:dyDescent="0.3">
      <c r="C437" s="25" t="s">
        <v>443</v>
      </c>
      <c r="D437" s="255">
        <v>2472.85</v>
      </c>
      <c r="E437" s="134">
        <f t="shared" si="30"/>
        <v>-1.6754138070246283E-3</v>
      </c>
      <c r="G437" s="256">
        <v>942.7</v>
      </c>
      <c r="H437" s="134">
        <f t="shared" si="31"/>
        <v>-1.8529302768807154E-3</v>
      </c>
      <c r="I437" s="163"/>
      <c r="J437" s="256">
        <v>701.98</v>
      </c>
      <c r="K437" s="134">
        <f t="shared" si="32"/>
        <v>-3.8032526324751625E-3</v>
      </c>
      <c r="L437" s="163"/>
      <c r="M437" s="255">
        <v>2408.1</v>
      </c>
      <c r="N437" s="134">
        <f t="shared" si="33"/>
        <v>-1.3134438456652298E-2</v>
      </c>
      <c r="O437" s="163"/>
      <c r="P437" s="255">
        <v>17624.45</v>
      </c>
      <c r="Q437" s="134">
        <f t="shared" si="34"/>
        <v>2.2696258805465774E-5</v>
      </c>
      <c r="R437" s="19"/>
      <c r="S437" s="19"/>
      <c r="T437" s="19"/>
      <c r="X437" s="35"/>
    </row>
    <row r="438" spans="3:24" x14ac:dyDescent="0.3">
      <c r="C438" s="25" t="s">
        <v>444</v>
      </c>
      <c r="D438" s="255">
        <v>2470.4499999999998</v>
      </c>
      <c r="E438" s="134">
        <f t="shared" si="30"/>
        <v>-9.7054006510710611E-4</v>
      </c>
      <c r="G438" s="256">
        <v>933.4</v>
      </c>
      <c r="H438" s="134">
        <f t="shared" si="31"/>
        <v>-9.8652805770659269E-3</v>
      </c>
      <c r="I438" s="163"/>
      <c r="J438" s="256">
        <v>705.33</v>
      </c>
      <c r="K438" s="134">
        <f t="shared" si="32"/>
        <v>4.7722157326419712E-3</v>
      </c>
      <c r="L438" s="163"/>
      <c r="M438" s="255">
        <v>2408.6</v>
      </c>
      <c r="N438" s="134">
        <f t="shared" si="33"/>
        <v>2.0763257339817542E-4</v>
      </c>
      <c r="O438" s="163"/>
      <c r="P438" s="255">
        <v>17618.75</v>
      </c>
      <c r="Q438" s="134">
        <f t="shared" si="34"/>
        <v>-3.2341434768179411E-4</v>
      </c>
      <c r="R438" s="19"/>
      <c r="S438" s="19"/>
      <c r="T438" s="19"/>
      <c r="X438" s="35"/>
    </row>
    <row r="439" spans="3:24" x14ac:dyDescent="0.3">
      <c r="C439" s="25" t="s">
        <v>445</v>
      </c>
      <c r="D439" s="255">
        <v>2483.5</v>
      </c>
      <c r="E439" s="134">
        <f t="shared" si="30"/>
        <v>5.2824384221499265E-3</v>
      </c>
      <c r="G439" s="256">
        <v>932.1</v>
      </c>
      <c r="H439" s="134">
        <f t="shared" si="31"/>
        <v>-1.3927576601671099E-3</v>
      </c>
      <c r="I439" s="163"/>
      <c r="J439" s="256">
        <v>708.84</v>
      </c>
      <c r="K439" s="134">
        <f t="shared" si="32"/>
        <v>4.976394028327169E-3</v>
      </c>
      <c r="L439" s="163"/>
      <c r="M439" s="255">
        <v>2432.5</v>
      </c>
      <c r="N439" s="134">
        <f t="shared" si="33"/>
        <v>9.9227767167648917E-3</v>
      </c>
      <c r="O439" s="163"/>
      <c r="P439" s="255">
        <v>17660.150000000001</v>
      </c>
      <c r="Q439" s="134">
        <f t="shared" si="34"/>
        <v>2.3497694217808895E-3</v>
      </c>
      <c r="R439" s="19"/>
      <c r="S439" s="19"/>
      <c r="T439" s="19"/>
      <c r="X439" s="35"/>
    </row>
    <row r="440" spans="3:24" x14ac:dyDescent="0.3">
      <c r="C440" s="25" t="s">
        <v>446</v>
      </c>
      <c r="D440" s="255">
        <v>2461.65</v>
      </c>
      <c r="E440" s="134">
        <f t="shared" si="30"/>
        <v>-8.798067243809049E-3</v>
      </c>
      <c r="G440" s="256">
        <v>990.85</v>
      </c>
      <c r="H440" s="134">
        <f t="shared" si="31"/>
        <v>6.3029717841433408E-2</v>
      </c>
      <c r="I440" s="163"/>
      <c r="J440" s="256">
        <v>706.96</v>
      </c>
      <c r="K440" s="134">
        <f t="shared" si="32"/>
        <v>-2.6522205293154633E-3</v>
      </c>
      <c r="L440" s="163"/>
      <c r="M440" s="255">
        <v>2369.6999999999998</v>
      </c>
      <c r="N440" s="134">
        <f t="shared" si="33"/>
        <v>-2.581706063720457E-2</v>
      </c>
      <c r="O440" s="163"/>
      <c r="P440" s="255">
        <v>17706.849999999999</v>
      </c>
      <c r="Q440" s="134">
        <f t="shared" si="34"/>
        <v>2.6443716502972947E-3</v>
      </c>
      <c r="R440" s="19"/>
      <c r="S440" s="19"/>
      <c r="T440" s="19"/>
      <c r="W440" s="38"/>
      <c r="X440" s="35"/>
    </row>
    <row r="441" spans="3:24" x14ac:dyDescent="0.3">
      <c r="C441" s="25" t="s">
        <v>447</v>
      </c>
      <c r="D441" s="255">
        <v>2439.25</v>
      </c>
      <c r="E441" s="134">
        <f t="shared" si="30"/>
        <v>-9.0995876749334625E-3</v>
      </c>
      <c r="G441" s="255">
        <v>1026.1500000000001</v>
      </c>
      <c r="H441" s="134">
        <f t="shared" si="31"/>
        <v>3.5625977695917799E-2</v>
      </c>
      <c r="I441" s="163"/>
      <c r="J441" s="256">
        <v>706.96</v>
      </c>
      <c r="K441" s="134">
        <f t="shared" si="32"/>
        <v>0</v>
      </c>
      <c r="L441" s="163"/>
      <c r="M441" s="255">
        <v>2350.1999999999998</v>
      </c>
      <c r="N441" s="134">
        <f t="shared" si="33"/>
        <v>-8.2288897328776089E-3</v>
      </c>
      <c r="O441" s="163"/>
      <c r="P441" s="255">
        <v>17828</v>
      </c>
      <c r="Q441" s="134">
        <f t="shared" si="34"/>
        <v>6.8419848815572948E-3</v>
      </c>
      <c r="R441" s="19"/>
      <c r="S441" s="19"/>
      <c r="T441" s="19"/>
      <c r="W441" s="38"/>
      <c r="X441" s="35"/>
    </row>
    <row r="442" spans="3:24" x14ac:dyDescent="0.3">
      <c r="C442" s="160">
        <v>45264</v>
      </c>
      <c r="D442" s="255">
        <v>2424.5</v>
      </c>
      <c r="E442" s="134">
        <f t="shared" si="30"/>
        <v>-6.0469406579891638E-3</v>
      </c>
      <c r="F442" s="34"/>
      <c r="G442" s="255">
        <v>1020.65</v>
      </c>
      <c r="H442" s="134">
        <f t="shared" si="31"/>
        <v>-5.3598401793111261E-3</v>
      </c>
      <c r="I442" s="163"/>
      <c r="J442" s="256">
        <v>709.41</v>
      </c>
      <c r="K442" s="134">
        <f t="shared" si="32"/>
        <v>3.4655426049563509E-3</v>
      </c>
      <c r="L442" s="163"/>
      <c r="M442" s="255">
        <v>2347.8000000000002</v>
      </c>
      <c r="N442" s="134">
        <f t="shared" si="33"/>
        <v>-1.0211896859839698E-3</v>
      </c>
      <c r="O442" s="163"/>
      <c r="P442" s="255">
        <v>17812.400000000001</v>
      </c>
      <c r="Q442" s="134">
        <f t="shared" si="34"/>
        <v>-8.7502804577066495E-4</v>
      </c>
      <c r="R442" s="19"/>
      <c r="S442" s="19"/>
      <c r="T442" s="19"/>
      <c r="W442" s="38"/>
      <c r="X442" s="35"/>
    </row>
    <row r="443" spans="3:24" x14ac:dyDescent="0.3">
      <c r="C443" s="160">
        <v>45234</v>
      </c>
      <c r="D443" s="255">
        <v>2398.6</v>
      </c>
      <c r="E443" s="134">
        <f t="shared" si="30"/>
        <v>-1.0682614972159277E-2</v>
      </c>
      <c r="F443" s="34"/>
      <c r="G443" s="255">
        <v>1016.8</v>
      </c>
      <c r="H443" s="134">
        <f t="shared" si="31"/>
        <v>-3.772106010875409E-3</v>
      </c>
      <c r="I443" s="163"/>
      <c r="J443" s="256">
        <v>712.05</v>
      </c>
      <c r="K443" s="134">
        <f t="shared" si="32"/>
        <v>3.7214022920455392E-3</v>
      </c>
      <c r="L443" s="163"/>
      <c r="M443" s="255">
        <v>2346.15</v>
      </c>
      <c r="N443" s="134">
        <f t="shared" si="33"/>
        <v>-7.0278558650660461E-4</v>
      </c>
      <c r="O443" s="163"/>
      <c r="P443" s="255">
        <v>17722.3</v>
      </c>
      <c r="Q443" s="134">
        <f t="shared" si="34"/>
        <v>-5.0582740113629399E-3</v>
      </c>
      <c r="R443" s="19"/>
      <c r="S443" s="19"/>
      <c r="T443" s="19"/>
      <c r="W443" s="38"/>
      <c r="X443" s="35"/>
    </row>
    <row r="444" spans="3:24" x14ac:dyDescent="0.3">
      <c r="C444" s="160">
        <v>45203</v>
      </c>
      <c r="D444" s="255">
        <v>2389.6999999999998</v>
      </c>
      <c r="E444" s="134">
        <f t="shared" si="30"/>
        <v>-3.710497790377798E-3</v>
      </c>
      <c r="F444" s="34"/>
      <c r="G444" s="255">
        <v>1003.65</v>
      </c>
      <c r="H444" s="134">
        <f t="shared" si="31"/>
        <v>-1.2932730133752957E-2</v>
      </c>
      <c r="I444" s="163"/>
      <c r="J444" s="256">
        <v>707.78</v>
      </c>
      <c r="K444" s="134">
        <f t="shared" si="32"/>
        <v>-5.9967698897549493E-3</v>
      </c>
      <c r="L444" s="163"/>
      <c r="M444" s="255">
        <v>2355.6999999999998</v>
      </c>
      <c r="N444" s="134">
        <f t="shared" si="33"/>
        <v>4.0704984762269802E-3</v>
      </c>
      <c r="O444" s="163"/>
      <c r="P444" s="255">
        <v>17624.05</v>
      </c>
      <c r="Q444" s="134">
        <f t="shared" si="34"/>
        <v>-5.5438628169030002E-3</v>
      </c>
      <c r="R444" s="19"/>
      <c r="S444" s="19"/>
      <c r="T444" s="19"/>
      <c r="W444" s="38"/>
      <c r="X444" s="35"/>
    </row>
    <row r="445" spans="3:24" x14ac:dyDescent="0.3">
      <c r="C445" s="160">
        <v>45081</v>
      </c>
      <c r="D445" s="255">
        <v>2369.3000000000002</v>
      </c>
      <c r="E445" s="134">
        <f t="shared" si="30"/>
        <v>-8.5366363978740534E-3</v>
      </c>
      <c r="F445" s="34"/>
      <c r="G445" s="256">
        <v>989.15</v>
      </c>
      <c r="H445" s="134">
        <f t="shared" si="31"/>
        <v>-1.4447267473720937E-2</v>
      </c>
      <c r="I445" s="163"/>
      <c r="J445" s="256">
        <v>696.03</v>
      </c>
      <c r="K445" s="134">
        <f t="shared" si="32"/>
        <v>-1.6601203763881411E-2</v>
      </c>
      <c r="L445" s="163"/>
      <c r="M445" s="255">
        <v>2332.0500000000002</v>
      </c>
      <c r="N445" s="134">
        <f t="shared" si="33"/>
        <v>-1.0039478711210914E-2</v>
      </c>
      <c r="O445" s="163"/>
      <c r="P445" s="255">
        <v>17599.150000000001</v>
      </c>
      <c r="Q445" s="134">
        <f t="shared" si="34"/>
        <v>-1.4128421106384126E-3</v>
      </c>
      <c r="R445" s="19"/>
      <c r="S445" s="19"/>
      <c r="T445" s="19"/>
      <c r="W445" s="38"/>
      <c r="X445" s="35"/>
    </row>
    <row r="446" spans="3:24" x14ac:dyDescent="0.3">
      <c r="C446" s="160">
        <v>45050</v>
      </c>
      <c r="D446" s="255">
        <v>2376.15</v>
      </c>
      <c r="E446" s="134">
        <f t="shared" si="30"/>
        <v>2.8911492845988818E-3</v>
      </c>
      <c r="F446" s="34"/>
      <c r="G446" s="256">
        <v>975.6</v>
      </c>
      <c r="H446" s="134">
        <f t="shared" si="31"/>
        <v>-1.3698630136986245E-2</v>
      </c>
      <c r="I446" s="163"/>
      <c r="J446" s="256">
        <v>702.65</v>
      </c>
      <c r="K446" s="134">
        <f t="shared" si="32"/>
        <v>9.5110842923438188E-3</v>
      </c>
      <c r="L446" s="163"/>
      <c r="M446" s="255">
        <v>2322.4499999999998</v>
      </c>
      <c r="N446" s="134">
        <f t="shared" si="33"/>
        <v>-4.1165498166850778E-3</v>
      </c>
      <c r="O446" s="163"/>
      <c r="P446" s="255">
        <v>17557.05</v>
      </c>
      <c r="Q446" s="134">
        <f t="shared" si="34"/>
        <v>-2.3921609850476866E-3</v>
      </c>
      <c r="R446" s="19"/>
      <c r="S446" s="19"/>
      <c r="T446" s="19"/>
      <c r="W446" s="38"/>
      <c r="X446" s="35"/>
    </row>
    <row r="447" spans="3:24" x14ac:dyDescent="0.3">
      <c r="C447" s="160">
        <v>44989</v>
      </c>
      <c r="D447" s="255">
        <v>2362.35</v>
      </c>
      <c r="E447" s="134">
        <f t="shared" si="30"/>
        <v>-5.8077141594596871E-3</v>
      </c>
      <c r="F447" s="34"/>
      <c r="G447" s="256">
        <v>977.15</v>
      </c>
      <c r="H447" s="134">
        <f t="shared" si="31"/>
        <v>1.5887658876587718E-3</v>
      </c>
      <c r="I447" s="163"/>
      <c r="J447" s="256">
        <v>700.06</v>
      </c>
      <c r="K447" s="134">
        <f t="shared" si="32"/>
        <v>-3.6860456841956157E-3</v>
      </c>
      <c r="L447" s="163"/>
      <c r="M447" s="255">
        <v>2327.6</v>
      </c>
      <c r="N447" s="134">
        <f t="shared" si="33"/>
        <v>2.2174858446899481E-3</v>
      </c>
      <c r="O447" s="163"/>
      <c r="P447" s="255">
        <v>17398.05</v>
      </c>
      <c r="Q447" s="134">
        <f t="shared" si="34"/>
        <v>-9.0561911027193798E-3</v>
      </c>
      <c r="R447" s="19"/>
      <c r="S447" s="19"/>
      <c r="T447" s="19"/>
      <c r="W447" s="38"/>
      <c r="X447" s="35"/>
    </row>
    <row r="448" spans="3:24" x14ac:dyDescent="0.3">
      <c r="C448" s="25" t="s">
        <v>448</v>
      </c>
      <c r="D448" s="255">
        <v>2411.85</v>
      </c>
      <c r="E448" s="134">
        <f t="shared" si="30"/>
        <v>2.0953711346752169E-2</v>
      </c>
      <c r="G448" s="256">
        <v>972.45</v>
      </c>
      <c r="H448" s="134">
        <f t="shared" si="31"/>
        <v>-4.8099063603335157E-3</v>
      </c>
      <c r="I448" s="163"/>
      <c r="J448" s="256">
        <v>688.16</v>
      </c>
      <c r="K448" s="134">
        <f t="shared" si="32"/>
        <v>-1.6998542982030074E-2</v>
      </c>
      <c r="L448" s="163"/>
      <c r="M448" s="255">
        <v>2353</v>
      </c>
      <c r="N448" s="134">
        <f t="shared" si="33"/>
        <v>1.0912527925760473E-2</v>
      </c>
      <c r="O448" s="163"/>
      <c r="P448" s="255">
        <v>17359.75</v>
      </c>
      <c r="Q448" s="134">
        <f t="shared" si="34"/>
        <v>-2.2013961334746979E-3</v>
      </c>
      <c r="R448" s="19"/>
      <c r="S448" s="19"/>
      <c r="T448" s="19"/>
      <c r="W448" s="38"/>
      <c r="X448" s="35"/>
    </row>
    <row r="449" spans="3:24" x14ac:dyDescent="0.3">
      <c r="C449" s="25" t="s">
        <v>449</v>
      </c>
      <c r="D449" s="255">
        <v>2399.1</v>
      </c>
      <c r="E449" s="134">
        <f t="shared" si="30"/>
        <v>-5.2863984078611592E-3</v>
      </c>
      <c r="G449" s="256">
        <v>954.75</v>
      </c>
      <c r="H449" s="134">
        <f t="shared" si="31"/>
        <v>-1.8201449946012693E-2</v>
      </c>
      <c r="I449" s="163"/>
      <c r="J449" s="256">
        <v>678.38</v>
      </c>
      <c r="K449" s="134">
        <f t="shared" si="32"/>
        <v>-1.4211811206696123E-2</v>
      </c>
      <c r="L449" s="163"/>
      <c r="M449" s="255">
        <v>2315.1999999999998</v>
      </c>
      <c r="N449" s="134">
        <f t="shared" si="33"/>
        <v>-1.6064598385040485E-2</v>
      </c>
      <c r="O449" s="163"/>
      <c r="P449" s="255">
        <v>17080.7</v>
      </c>
      <c r="Q449" s="134">
        <f t="shared" si="34"/>
        <v>-1.6074540243955049E-2</v>
      </c>
      <c r="R449" s="19"/>
      <c r="S449" s="19"/>
      <c r="T449" s="19"/>
      <c r="X449" s="35"/>
    </row>
    <row r="450" spans="3:24" x14ac:dyDescent="0.3">
      <c r="C450" s="25" t="s">
        <v>450</v>
      </c>
      <c r="D450" s="255">
        <v>2380.3000000000002</v>
      </c>
      <c r="E450" s="134">
        <f t="shared" si="30"/>
        <v>-7.8362719353090027E-3</v>
      </c>
      <c r="G450" s="256">
        <v>953.8</v>
      </c>
      <c r="H450" s="134">
        <f t="shared" si="31"/>
        <v>-9.9502487562197484E-4</v>
      </c>
      <c r="I450" s="163"/>
      <c r="J450" s="256">
        <v>685.34</v>
      </c>
      <c r="K450" s="134">
        <f t="shared" si="32"/>
        <v>1.0259736430908939E-2</v>
      </c>
      <c r="L450" s="163"/>
      <c r="M450" s="255">
        <v>2336.0500000000002</v>
      </c>
      <c r="N450" s="134">
        <f t="shared" si="33"/>
        <v>9.0057014512787692E-3</v>
      </c>
      <c r="O450" s="163"/>
      <c r="P450" s="255">
        <v>16951.7</v>
      </c>
      <c r="Q450" s="134">
        <f t="shared" si="34"/>
        <v>-7.5523836845093895E-3</v>
      </c>
      <c r="R450" s="19"/>
      <c r="S450" s="19"/>
      <c r="T450" s="19"/>
      <c r="X450" s="35"/>
    </row>
    <row r="451" spans="3:24" x14ac:dyDescent="0.3">
      <c r="C451" s="25" t="s">
        <v>451</v>
      </c>
      <c r="D451" s="255">
        <v>2387.65</v>
      </c>
      <c r="E451" s="134">
        <f t="shared" si="30"/>
        <v>3.0878460698231525E-3</v>
      </c>
      <c r="G451" s="256">
        <v>955.05</v>
      </c>
      <c r="H451" s="134">
        <f t="shared" si="31"/>
        <v>1.3105472845460486E-3</v>
      </c>
      <c r="I451" s="163"/>
      <c r="J451" s="256">
        <v>671.67</v>
      </c>
      <c r="K451" s="134">
        <f t="shared" si="32"/>
        <v>-1.9946304024279993E-2</v>
      </c>
      <c r="L451" s="163"/>
      <c r="M451" s="255">
        <v>2352.0500000000002</v>
      </c>
      <c r="N451" s="134">
        <f t="shared" si="33"/>
        <v>6.8491684681406539E-3</v>
      </c>
      <c r="O451" s="163"/>
      <c r="P451" s="255">
        <v>16985.7</v>
      </c>
      <c r="Q451" s="134">
        <f t="shared" si="34"/>
        <v>2.0056985435088492E-3</v>
      </c>
      <c r="R451" s="19"/>
      <c r="S451" s="19"/>
      <c r="T451" s="19"/>
      <c r="X451" s="35"/>
    </row>
    <row r="452" spans="3:24" x14ac:dyDescent="0.3">
      <c r="C452" s="25" t="s">
        <v>452</v>
      </c>
      <c r="D452" s="255">
        <v>2381.4499999999998</v>
      </c>
      <c r="E452" s="134">
        <f t="shared" si="30"/>
        <v>-2.5966954955710664E-3</v>
      </c>
      <c r="G452" s="256">
        <v>953.95</v>
      </c>
      <c r="H452" s="134">
        <f t="shared" si="31"/>
        <v>-1.1517721585256879E-3</v>
      </c>
      <c r="I452" s="163"/>
      <c r="J452" s="256">
        <v>668.74</v>
      </c>
      <c r="K452" s="134">
        <f t="shared" si="32"/>
        <v>-4.362261229472697E-3</v>
      </c>
      <c r="L452" s="163"/>
      <c r="M452" s="255">
        <v>2364.5500000000002</v>
      </c>
      <c r="N452" s="134">
        <f t="shared" si="33"/>
        <v>5.314512871750221E-3</v>
      </c>
      <c r="O452" s="163"/>
      <c r="P452" s="255">
        <v>16945.05</v>
      </c>
      <c r="Q452" s="134">
        <f t="shared" si="34"/>
        <v>-2.3931895653402924E-3</v>
      </c>
      <c r="R452" s="19"/>
      <c r="S452" s="19"/>
      <c r="T452" s="19"/>
      <c r="X452" s="35"/>
    </row>
    <row r="453" spans="3:24" x14ac:dyDescent="0.3">
      <c r="C453" s="25" t="s">
        <v>453</v>
      </c>
      <c r="D453" s="255">
        <v>2383.6999999999998</v>
      </c>
      <c r="E453" s="134">
        <f t="shared" si="30"/>
        <v>9.4480253626993971E-4</v>
      </c>
      <c r="G453" s="256">
        <v>968.1</v>
      </c>
      <c r="H453" s="134">
        <f t="shared" si="31"/>
        <v>1.4833062529482577E-2</v>
      </c>
      <c r="I453" s="163"/>
      <c r="J453" s="256">
        <v>680.54</v>
      </c>
      <c r="K453" s="134">
        <f t="shared" si="32"/>
        <v>1.7645123665400497E-2</v>
      </c>
      <c r="L453" s="163"/>
      <c r="M453" s="255">
        <v>2368.1</v>
      </c>
      <c r="N453" s="134">
        <f t="shared" si="33"/>
        <v>1.5013427502059695E-3</v>
      </c>
      <c r="O453" s="163"/>
      <c r="P453" s="255">
        <v>17076.900000000001</v>
      </c>
      <c r="Q453" s="134">
        <f t="shared" si="34"/>
        <v>7.781033399134385E-3</v>
      </c>
      <c r="R453" s="19"/>
      <c r="S453" s="19"/>
      <c r="T453" s="19"/>
      <c r="X453" s="35"/>
    </row>
    <row r="454" spans="3:24" x14ac:dyDescent="0.3">
      <c r="C454" s="25" t="s">
        <v>454</v>
      </c>
      <c r="D454" s="255">
        <v>2381.25</v>
      </c>
      <c r="E454" s="134">
        <f t="shared" si="30"/>
        <v>-1.0278139027561917E-3</v>
      </c>
      <c r="G454" s="256">
        <v>961.5</v>
      </c>
      <c r="H454" s="134">
        <f t="shared" si="31"/>
        <v>-6.8174775333127435E-3</v>
      </c>
      <c r="I454" s="163"/>
      <c r="J454" s="256">
        <v>686.82</v>
      </c>
      <c r="K454" s="134">
        <f t="shared" si="32"/>
        <v>9.2279660269787289E-3</v>
      </c>
      <c r="L454" s="163"/>
      <c r="M454" s="255">
        <v>2377.0500000000002</v>
      </c>
      <c r="N454" s="134">
        <f t="shared" si="33"/>
        <v>3.7794012077194683E-3</v>
      </c>
      <c r="O454" s="163"/>
      <c r="P454" s="255">
        <v>17151.900000000001</v>
      </c>
      <c r="Q454" s="134">
        <f t="shared" si="34"/>
        <v>4.3918978268888687E-3</v>
      </c>
      <c r="R454" s="19"/>
      <c r="S454" s="19"/>
      <c r="T454" s="19"/>
      <c r="X454" s="35"/>
    </row>
    <row r="455" spans="3:24" x14ac:dyDescent="0.3">
      <c r="C455" s="25" t="s">
        <v>455</v>
      </c>
      <c r="D455" s="255">
        <v>2349.35</v>
      </c>
      <c r="E455" s="134">
        <f t="shared" si="30"/>
        <v>-1.3396325459317571E-2</v>
      </c>
      <c r="G455" s="256">
        <v>953.2</v>
      </c>
      <c r="H455" s="134">
        <f t="shared" si="31"/>
        <v>-8.6323452938117384E-3</v>
      </c>
      <c r="I455" s="163"/>
      <c r="J455" s="256">
        <v>678.86</v>
      </c>
      <c r="K455" s="134">
        <f t="shared" si="32"/>
        <v>-1.1589645030721352E-2</v>
      </c>
      <c r="L455" s="163"/>
      <c r="M455" s="255">
        <v>2358.4499999999998</v>
      </c>
      <c r="N455" s="134">
        <f t="shared" si="33"/>
        <v>-7.8248248879915216E-3</v>
      </c>
      <c r="O455" s="163"/>
      <c r="P455" s="255">
        <v>17107.5</v>
      </c>
      <c r="Q455" s="134">
        <f t="shared" si="34"/>
        <v>-2.5886344953037765E-3</v>
      </c>
      <c r="R455" s="19"/>
      <c r="S455" s="19"/>
      <c r="T455" s="19"/>
      <c r="X455" s="35"/>
    </row>
    <row r="456" spans="3:24" x14ac:dyDescent="0.3">
      <c r="C456" s="25" t="s">
        <v>456</v>
      </c>
      <c r="D456" s="255">
        <v>2303.35</v>
      </c>
      <c r="E456" s="134">
        <f t="shared" si="30"/>
        <v>-1.9579883797646191E-2</v>
      </c>
      <c r="G456" s="256">
        <v>950.4</v>
      </c>
      <c r="H456" s="134">
        <f t="shared" si="31"/>
        <v>-2.9374737725557098E-3</v>
      </c>
      <c r="I456" s="163"/>
      <c r="J456" s="256">
        <v>679.1</v>
      </c>
      <c r="K456" s="134">
        <f t="shared" si="32"/>
        <v>3.535338655982212E-4</v>
      </c>
      <c r="L456" s="163"/>
      <c r="M456" s="255">
        <v>2372.4</v>
      </c>
      <c r="N456" s="134">
        <f t="shared" si="33"/>
        <v>5.9149017363100409E-3</v>
      </c>
      <c r="O456" s="163"/>
      <c r="P456" s="255">
        <v>16988.400000000001</v>
      </c>
      <c r="Q456" s="134">
        <f t="shared" si="34"/>
        <v>-6.9618588338447029E-3</v>
      </c>
      <c r="R456" s="19"/>
      <c r="S456" s="19"/>
      <c r="T456" s="19"/>
      <c r="X456" s="35"/>
    </row>
    <row r="457" spans="3:24" x14ac:dyDescent="0.3">
      <c r="C457" s="25" t="s">
        <v>457</v>
      </c>
      <c r="D457" s="255">
        <v>2307.5500000000002</v>
      </c>
      <c r="E457" s="134">
        <f t="shared" si="30"/>
        <v>1.823431089500227E-3</v>
      </c>
      <c r="G457" s="256">
        <v>963.1</v>
      </c>
      <c r="H457" s="134">
        <f t="shared" si="31"/>
        <v>1.3362794612794771E-2</v>
      </c>
      <c r="I457" s="163"/>
      <c r="J457" s="256">
        <v>686.44</v>
      </c>
      <c r="K457" s="134">
        <f t="shared" si="32"/>
        <v>1.0808422912678584E-2</v>
      </c>
      <c r="L457" s="163"/>
      <c r="M457" s="255">
        <v>2349.9</v>
      </c>
      <c r="N457" s="134">
        <f t="shared" si="33"/>
        <v>-9.4840667678300905E-3</v>
      </c>
      <c r="O457" s="163"/>
      <c r="P457" s="255">
        <v>17100.05</v>
      </c>
      <c r="Q457" s="134">
        <f t="shared" si="34"/>
        <v>6.5721315721314344E-3</v>
      </c>
      <c r="R457" s="19"/>
      <c r="S457" s="19"/>
      <c r="T457" s="19"/>
      <c r="X457" s="35"/>
    </row>
    <row r="458" spans="3:24" x14ac:dyDescent="0.3">
      <c r="C458" s="25" t="s">
        <v>458</v>
      </c>
      <c r="D458" s="255">
        <v>2309.65</v>
      </c>
      <c r="E458" s="134">
        <f t="shared" si="30"/>
        <v>9.1005612012740045E-4</v>
      </c>
      <c r="G458" s="256">
        <v>958.5</v>
      </c>
      <c r="H458" s="134">
        <f t="shared" si="31"/>
        <v>-4.7762433807496674E-3</v>
      </c>
      <c r="I458" s="163"/>
      <c r="J458" s="256">
        <v>667.73</v>
      </c>
      <c r="K458" s="134">
        <f t="shared" si="32"/>
        <v>-2.7256570129945867E-2</v>
      </c>
      <c r="L458" s="163"/>
      <c r="M458" s="255">
        <v>2341.1999999999998</v>
      </c>
      <c r="N458" s="134">
        <f t="shared" si="33"/>
        <v>-3.7022852036258103E-3</v>
      </c>
      <c r="O458" s="163"/>
      <c r="P458" s="255">
        <v>16985.599999999999</v>
      </c>
      <c r="Q458" s="134">
        <f t="shared" si="34"/>
        <v>-6.6929628860734613E-3</v>
      </c>
      <c r="R458" s="19"/>
      <c r="S458" s="19"/>
      <c r="T458" s="19"/>
      <c r="X458" s="35"/>
    </row>
    <row r="459" spans="3:24" x14ac:dyDescent="0.3">
      <c r="C459" s="25" t="s">
        <v>459</v>
      </c>
      <c r="D459" s="255">
        <v>2272.4</v>
      </c>
      <c r="E459" s="134">
        <f t="shared" si="30"/>
        <v>-1.6127984759595648E-2</v>
      </c>
      <c r="G459" s="256">
        <v>963.3</v>
      </c>
      <c r="H459" s="134">
        <f t="shared" si="31"/>
        <v>5.0078247261344799E-3</v>
      </c>
      <c r="I459" s="163"/>
      <c r="J459" s="256">
        <v>673.44</v>
      </c>
      <c r="K459" s="134">
        <f t="shared" si="32"/>
        <v>8.5513605798750447E-3</v>
      </c>
      <c r="L459" s="163"/>
      <c r="M459" s="255">
        <v>2311.4499999999998</v>
      </c>
      <c r="N459" s="134">
        <f t="shared" si="33"/>
        <v>-1.2707158722022882E-2</v>
      </c>
      <c r="O459" s="163"/>
      <c r="P459" s="255">
        <v>16972.150000000001</v>
      </c>
      <c r="Q459" s="134">
        <f t="shared" si="34"/>
        <v>-7.9184721175562522E-4</v>
      </c>
      <c r="R459" s="19"/>
      <c r="S459" s="19"/>
      <c r="T459" s="19"/>
      <c r="X459" s="35"/>
    </row>
    <row r="460" spans="3:24" x14ac:dyDescent="0.3">
      <c r="C460" s="25" t="s">
        <v>460</v>
      </c>
      <c r="D460" s="255">
        <v>2305.4</v>
      </c>
      <c r="E460" s="134">
        <f t="shared" ref="E460:E523" si="35">D460/D459-1</f>
        <v>1.4522091181130126E-2</v>
      </c>
      <c r="G460" s="256">
        <v>966.5</v>
      </c>
      <c r="H460" s="134">
        <f t="shared" ref="H460:H523" si="36">G460/G459-1</f>
        <v>3.321914253088476E-3</v>
      </c>
      <c r="I460" s="163"/>
      <c r="J460" s="256">
        <v>669.65</v>
      </c>
      <c r="K460" s="134">
        <f t="shared" ref="K460:K523" si="37">J460/J459-1</f>
        <v>-5.6278213352340956E-3</v>
      </c>
      <c r="L460" s="163"/>
      <c r="M460" s="255">
        <v>2302.25</v>
      </c>
      <c r="N460" s="134">
        <f t="shared" ref="N460:N523" si="38">M460/M459-1</f>
        <v>-3.9801855977849021E-3</v>
      </c>
      <c r="O460" s="163"/>
      <c r="P460" s="255">
        <v>17043.3</v>
      </c>
      <c r="Q460" s="134">
        <f t="shared" ref="Q460:Q523" si="39">P460/P459-1</f>
        <v>4.1921618651730164E-3</v>
      </c>
      <c r="R460" s="19"/>
      <c r="S460" s="19"/>
      <c r="T460" s="19"/>
      <c r="W460" s="38"/>
      <c r="X460" s="35"/>
    </row>
    <row r="461" spans="3:24" x14ac:dyDescent="0.3">
      <c r="C461" s="25" t="s">
        <v>461</v>
      </c>
      <c r="D461" s="255">
        <v>2281.6</v>
      </c>
      <c r="E461" s="134">
        <f t="shared" si="35"/>
        <v>-1.0323588097510217E-2</v>
      </c>
      <c r="G461" s="256">
        <v>965.15</v>
      </c>
      <c r="H461" s="134">
        <f t="shared" si="36"/>
        <v>-1.3967925504397849E-3</v>
      </c>
      <c r="I461" s="163"/>
      <c r="J461" s="256">
        <v>676.22</v>
      </c>
      <c r="K461" s="134">
        <f t="shared" si="37"/>
        <v>9.8110953483163676E-3</v>
      </c>
      <c r="L461" s="163"/>
      <c r="M461" s="255">
        <v>2292.5500000000002</v>
      </c>
      <c r="N461" s="134">
        <f t="shared" si="38"/>
        <v>-4.2132696275382076E-3</v>
      </c>
      <c r="O461" s="163"/>
      <c r="P461" s="255">
        <v>17154.3</v>
      </c>
      <c r="Q461" s="134">
        <f t="shared" si="39"/>
        <v>6.5128232208551129E-3</v>
      </c>
      <c r="R461" s="19"/>
      <c r="S461" s="19"/>
      <c r="T461" s="19"/>
      <c r="W461" s="38"/>
      <c r="X461" s="35"/>
    </row>
    <row r="462" spans="3:24" x14ac:dyDescent="0.3">
      <c r="C462" s="160">
        <v>45202</v>
      </c>
      <c r="D462" s="255">
        <v>2292.5500000000002</v>
      </c>
      <c r="E462" s="134">
        <f t="shared" si="35"/>
        <v>4.7992636746143624E-3</v>
      </c>
      <c r="F462" s="34"/>
      <c r="G462" s="256">
        <v>980.75</v>
      </c>
      <c r="H462" s="134">
        <f t="shared" si="36"/>
        <v>1.6163290680205167E-2</v>
      </c>
      <c r="I462" s="163"/>
      <c r="J462" s="256">
        <v>682.79</v>
      </c>
      <c r="K462" s="134">
        <f t="shared" si="37"/>
        <v>9.7157729732926246E-3</v>
      </c>
      <c r="L462" s="163"/>
      <c r="M462" s="255">
        <v>2313.5</v>
      </c>
      <c r="N462" s="134">
        <f t="shared" si="38"/>
        <v>9.1382957841703583E-3</v>
      </c>
      <c r="O462" s="163"/>
      <c r="P462" s="255">
        <v>17412.900000000001</v>
      </c>
      <c r="Q462" s="134">
        <f t="shared" si="39"/>
        <v>1.507493747923272E-2</v>
      </c>
      <c r="R462" s="19"/>
      <c r="S462" s="19"/>
      <c r="T462" s="19"/>
      <c r="W462" s="38"/>
      <c r="X462" s="35"/>
    </row>
    <row r="463" spans="3:24" x14ac:dyDescent="0.3">
      <c r="C463" s="160">
        <v>45172</v>
      </c>
      <c r="D463" s="255">
        <v>2300.5500000000002</v>
      </c>
      <c r="E463" s="134">
        <f t="shared" si="35"/>
        <v>3.4895640225949265E-3</v>
      </c>
      <c r="F463" s="34"/>
      <c r="G463" s="256">
        <v>993.25</v>
      </c>
      <c r="H463" s="134">
        <f t="shared" si="36"/>
        <v>1.2745347947999086E-2</v>
      </c>
      <c r="I463" s="163"/>
      <c r="J463" s="256">
        <v>682.94</v>
      </c>
      <c r="K463" s="134">
        <f t="shared" si="37"/>
        <v>2.1968687297713174E-4</v>
      </c>
      <c r="L463" s="163"/>
      <c r="M463" s="255">
        <v>2308.5500000000002</v>
      </c>
      <c r="N463" s="134">
        <f t="shared" si="38"/>
        <v>-2.1396153014912045E-3</v>
      </c>
      <c r="O463" s="163"/>
      <c r="P463" s="255">
        <v>17589.599999999999</v>
      </c>
      <c r="Q463" s="134">
        <f t="shared" si="39"/>
        <v>1.0147649156659444E-2</v>
      </c>
      <c r="R463" s="19"/>
      <c r="S463" s="19"/>
      <c r="T463" s="19"/>
      <c r="W463" s="38"/>
      <c r="X463" s="35"/>
    </row>
    <row r="464" spans="3:24" x14ac:dyDescent="0.3">
      <c r="C464" s="160">
        <v>45141</v>
      </c>
      <c r="D464" s="255">
        <v>2307.4</v>
      </c>
      <c r="E464" s="134">
        <f t="shared" si="35"/>
        <v>2.9775488470147327E-3</v>
      </c>
      <c r="F464" s="34"/>
      <c r="G464" s="255">
        <v>1010.8</v>
      </c>
      <c r="H464" s="134">
        <f t="shared" si="36"/>
        <v>1.7669267556003065E-2</v>
      </c>
      <c r="I464" s="163"/>
      <c r="J464" s="256">
        <v>687.25</v>
      </c>
      <c r="K464" s="134">
        <f t="shared" si="37"/>
        <v>6.3109497173983176E-3</v>
      </c>
      <c r="L464" s="163"/>
      <c r="M464" s="255">
        <v>2348.1</v>
      </c>
      <c r="N464" s="134">
        <f t="shared" si="38"/>
        <v>1.7131965952654093E-2</v>
      </c>
      <c r="O464" s="163"/>
      <c r="P464" s="255">
        <v>17754.400000000001</v>
      </c>
      <c r="Q464" s="134">
        <f t="shared" si="39"/>
        <v>9.3691726929550079E-3</v>
      </c>
      <c r="R464" s="19"/>
      <c r="S464" s="19"/>
      <c r="T464" s="19"/>
      <c r="W464" s="38"/>
      <c r="X464" s="35"/>
    </row>
    <row r="465" spans="3:24" x14ac:dyDescent="0.3">
      <c r="C465" s="160">
        <v>45080</v>
      </c>
      <c r="D465" s="255">
        <v>2300.35</v>
      </c>
      <c r="E465" s="134">
        <f t="shared" si="35"/>
        <v>-3.0553870156887486E-3</v>
      </c>
      <c r="F465" s="34"/>
      <c r="G465" s="255">
        <v>1002.05</v>
      </c>
      <c r="H465" s="134">
        <f t="shared" si="36"/>
        <v>-8.6565096952908593E-3</v>
      </c>
      <c r="I465" s="163"/>
      <c r="J465" s="256">
        <v>682.17</v>
      </c>
      <c r="K465" s="134">
        <f t="shared" si="37"/>
        <v>-7.391778828665041E-3</v>
      </c>
      <c r="L465" s="163"/>
      <c r="M465" s="255">
        <v>2351</v>
      </c>
      <c r="N465" s="134">
        <f t="shared" si="38"/>
        <v>1.2350410970571879E-3</v>
      </c>
      <c r="O465" s="163"/>
      <c r="P465" s="255">
        <v>17711.45</v>
      </c>
      <c r="Q465" s="134">
        <f t="shared" si="39"/>
        <v>-2.4191186410129628E-3</v>
      </c>
      <c r="R465" s="19"/>
      <c r="S465" s="19"/>
      <c r="T465" s="19"/>
      <c r="W465" s="38"/>
      <c r="X465" s="35"/>
    </row>
    <row r="466" spans="3:24" x14ac:dyDescent="0.3">
      <c r="C466" s="160">
        <v>44988</v>
      </c>
      <c r="D466" s="255">
        <v>2271.9499999999998</v>
      </c>
      <c r="E466" s="134">
        <f t="shared" si="35"/>
        <v>-1.2345947355837161E-2</v>
      </c>
      <c r="F466" s="34"/>
      <c r="G466" s="255">
        <v>1007.95</v>
      </c>
      <c r="H466" s="134">
        <f t="shared" si="36"/>
        <v>5.8879297440248557E-3</v>
      </c>
      <c r="I466" s="163"/>
      <c r="J466" s="256">
        <v>681.55</v>
      </c>
      <c r="K466" s="134">
        <f t="shared" si="37"/>
        <v>-9.0886435932391318E-4</v>
      </c>
      <c r="L466" s="163"/>
      <c r="M466" s="255">
        <v>2318.75</v>
      </c>
      <c r="N466" s="134">
        <f t="shared" si="38"/>
        <v>-1.3717566992769048E-2</v>
      </c>
      <c r="O466" s="163"/>
      <c r="P466" s="255">
        <v>17594.349999999999</v>
      </c>
      <c r="Q466" s="134">
        <f t="shared" si="39"/>
        <v>-6.6115422509168686E-3</v>
      </c>
      <c r="R466" s="19"/>
      <c r="S466" s="19"/>
      <c r="T466" s="19"/>
      <c r="X466" s="35"/>
    </row>
    <row r="467" spans="3:24" x14ac:dyDescent="0.3">
      <c r="C467" s="160">
        <v>44960</v>
      </c>
      <c r="D467" s="255">
        <v>2247</v>
      </c>
      <c r="E467" s="134">
        <f t="shared" si="35"/>
        <v>-1.0981755760470002E-2</v>
      </c>
      <c r="F467" s="34"/>
      <c r="G467" s="256">
        <v>989.1</v>
      </c>
      <c r="H467" s="134">
        <f t="shared" si="36"/>
        <v>-1.8701324470459912E-2</v>
      </c>
      <c r="I467" s="163"/>
      <c r="J467" s="256">
        <v>677.76</v>
      </c>
      <c r="K467" s="134">
        <f t="shared" si="37"/>
        <v>-5.5608539358813491E-3</v>
      </c>
      <c r="L467" s="163"/>
      <c r="M467" s="255">
        <v>2309.9</v>
      </c>
      <c r="N467" s="134">
        <f t="shared" si="38"/>
        <v>-3.8167115902965065E-3</v>
      </c>
      <c r="O467" s="163"/>
      <c r="P467" s="255">
        <v>17321.900000000001</v>
      </c>
      <c r="Q467" s="134">
        <f t="shared" si="39"/>
        <v>-1.548508470048604E-2</v>
      </c>
      <c r="R467" s="19"/>
      <c r="S467" s="19"/>
      <c r="T467" s="19"/>
      <c r="X467" s="35"/>
    </row>
    <row r="468" spans="3:24" x14ac:dyDescent="0.3">
      <c r="C468" s="160">
        <v>44929</v>
      </c>
      <c r="D468" s="255">
        <v>2235.4499999999998</v>
      </c>
      <c r="E468" s="134">
        <f t="shared" si="35"/>
        <v>-5.1401869158879121E-3</v>
      </c>
      <c r="F468" s="34"/>
      <c r="G468" s="256">
        <v>994.5</v>
      </c>
      <c r="H468" s="134">
        <f t="shared" si="36"/>
        <v>5.4595086442219554E-3</v>
      </c>
      <c r="I468" s="163"/>
      <c r="J468" s="256">
        <v>684.09</v>
      </c>
      <c r="K468" s="134">
        <f t="shared" si="37"/>
        <v>9.3395892351275656E-3</v>
      </c>
      <c r="L468" s="163"/>
      <c r="M468" s="255">
        <v>2307.5</v>
      </c>
      <c r="N468" s="134">
        <f t="shared" si="38"/>
        <v>-1.0390060175765603E-3</v>
      </c>
      <c r="O468" s="163"/>
      <c r="P468" s="255">
        <v>17450.900000000001</v>
      </c>
      <c r="Q468" s="134">
        <f t="shared" si="39"/>
        <v>7.4472199931878702E-3</v>
      </c>
      <c r="R468" s="19"/>
      <c r="S468" s="19"/>
      <c r="T468" s="19"/>
      <c r="X468" s="35"/>
    </row>
    <row r="469" spans="3:24" x14ac:dyDescent="0.3">
      <c r="C469" s="25" t="s">
        <v>462</v>
      </c>
      <c r="D469" s="255">
        <v>2168.5500000000002</v>
      </c>
      <c r="E469" s="134">
        <f t="shared" si="35"/>
        <v>-2.9926860363684971E-2</v>
      </c>
      <c r="G469" s="256">
        <v>975</v>
      </c>
      <c r="H469" s="134">
        <f t="shared" si="36"/>
        <v>-1.9607843137254943E-2</v>
      </c>
      <c r="I469" s="163"/>
      <c r="J469" s="256">
        <v>665.86</v>
      </c>
      <c r="K469" s="134">
        <f t="shared" si="37"/>
        <v>-2.6648540396731479E-2</v>
      </c>
      <c r="L469" s="163"/>
      <c r="M469" s="255">
        <v>2300.8000000000002</v>
      </c>
      <c r="N469" s="134">
        <f t="shared" si="38"/>
        <v>-2.9035752979413854E-3</v>
      </c>
      <c r="O469" s="163"/>
      <c r="P469" s="255">
        <v>17303.95</v>
      </c>
      <c r="Q469" s="134">
        <f t="shared" si="39"/>
        <v>-8.420769129385941E-3</v>
      </c>
      <c r="R469" s="19"/>
      <c r="S469" s="19"/>
      <c r="T469" s="19"/>
      <c r="X469" s="35"/>
    </row>
    <row r="470" spans="3:24" x14ac:dyDescent="0.3">
      <c r="C470" s="25" t="s">
        <v>463</v>
      </c>
      <c r="D470" s="255">
        <v>2191.9</v>
      </c>
      <c r="E470" s="134">
        <f t="shared" si="35"/>
        <v>1.076756357935027E-2</v>
      </c>
      <c r="G470" s="256">
        <v>974.85</v>
      </c>
      <c r="H470" s="134">
        <f t="shared" si="36"/>
        <v>-1.5384615384617106E-4</v>
      </c>
      <c r="I470" s="163"/>
      <c r="J470" s="256">
        <v>679.44</v>
      </c>
      <c r="K470" s="134">
        <f t="shared" si="37"/>
        <v>2.0394677559847585E-2</v>
      </c>
      <c r="L470" s="163"/>
      <c r="M470" s="255">
        <v>2279.65</v>
      </c>
      <c r="N470" s="134">
        <f t="shared" si="38"/>
        <v>-9.1924547983310845E-3</v>
      </c>
      <c r="O470" s="163"/>
      <c r="P470" s="255">
        <v>17392.7</v>
      </c>
      <c r="Q470" s="134">
        <f t="shared" si="39"/>
        <v>5.128886757070017E-3</v>
      </c>
      <c r="R470" s="19"/>
      <c r="S470" s="19"/>
      <c r="T470" s="19"/>
      <c r="X470" s="35"/>
    </row>
    <row r="471" spans="3:24" x14ac:dyDescent="0.3">
      <c r="C471" s="25" t="s">
        <v>464</v>
      </c>
      <c r="D471" s="255">
        <v>2224.5</v>
      </c>
      <c r="E471" s="134">
        <f t="shared" si="35"/>
        <v>1.4872941283817553E-2</v>
      </c>
      <c r="G471" s="256">
        <v>972.1</v>
      </c>
      <c r="H471" s="134">
        <f t="shared" si="36"/>
        <v>-2.8209468123301384E-3</v>
      </c>
      <c r="I471" s="163"/>
      <c r="J471" s="256">
        <v>708.26</v>
      </c>
      <c r="K471" s="134">
        <f t="shared" si="37"/>
        <v>4.2417284822795054E-2</v>
      </c>
      <c r="L471" s="163"/>
      <c r="M471" s="255">
        <v>2275.6999999999998</v>
      </c>
      <c r="N471" s="134">
        <f t="shared" si="38"/>
        <v>-1.7327221283970351E-3</v>
      </c>
      <c r="O471" s="163"/>
      <c r="P471" s="255">
        <v>17465.8</v>
      </c>
      <c r="Q471" s="134">
        <f t="shared" si="39"/>
        <v>4.2029127162543922E-3</v>
      </c>
      <c r="R471" s="19"/>
      <c r="S471" s="19"/>
      <c r="T471" s="19"/>
      <c r="X471" s="35"/>
    </row>
    <row r="472" spans="3:24" x14ac:dyDescent="0.3">
      <c r="C472" s="25" t="s">
        <v>465</v>
      </c>
      <c r="D472" s="255">
        <v>2242.6999999999998</v>
      </c>
      <c r="E472" s="134">
        <f t="shared" si="35"/>
        <v>8.1816138458079557E-3</v>
      </c>
      <c r="G472" s="256">
        <v>972.85</v>
      </c>
      <c r="H472" s="134">
        <f t="shared" si="36"/>
        <v>7.7152556321369303E-4</v>
      </c>
      <c r="I472" s="163"/>
      <c r="J472" s="256">
        <v>714.59</v>
      </c>
      <c r="K472" s="134">
        <f t="shared" si="37"/>
        <v>8.9373958715726065E-3</v>
      </c>
      <c r="L472" s="163"/>
      <c r="M472" s="255">
        <v>2268.15</v>
      </c>
      <c r="N472" s="134">
        <f t="shared" si="38"/>
        <v>-3.3176605000657666E-3</v>
      </c>
      <c r="O472" s="163"/>
      <c r="P472" s="255">
        <v>17511.25</v>
      </c>
      <c r="Q472" s="134">
        <f t="shared" si="39"/>
        <v>2.6022283548421399E-3</v>
      </c>
      <c r="R472" s="19"/>
      <c r="S472" s="19"/>
      <c r="T472" s="19"/>
      <c r="X472" s="35"/>
    </row>
    <row r="473" spans="3:24" x14ac:dyDescent="0.3">
      <c r="C473" s="25" t="s">
        <v>466</v>
      </c>
      <c r="D473" s="255">
        <v>2274.3000000000002</v>
      </c>
      <c r="E473" s="134">
        <f t="shared" si="35"/>
        <v>1.4090159183127726E-2</v>
      </c>
      <c r="G473" s="256">
        <v>965.2</v>
      </c>
      <c r="H473" s="134">
        <f t="shared" si="36"/>
        <v>-7.8634938582514691E-3</v>
      </c>
      <c r="I473" s="163"/>
      <c r="J473" s="256">
        <v>708.84</v>
      </c>
      <c r="K473" s="134">
        <f t="shared" si="37"/>
        <v>-8.046572160259724E-3</v>
      </c>
      <c r="L473" s="163"/>
      <c r="M473" s="255">
        <v>2294.65</v>
      </c>
      <c r="N473" s="134">
        <f t="shared" si="38"/>
        <v>1.1683530630690164E-2</v>
      </c>
      <c r="O473" s="163"/>
      <c r="P473" s="255">
        <v>17554.3</v>
      </c>
      <c r="Q473" s="134">
        <f t="shared" si="39"/>
        <v>2.4584195874080006E-3</v>
      </c>
      <c r="R473" s="19"/>
      <c r="S473" s="19"/>
      <c r="T473" s="19"/>
      <c r="X473" s="35"/>
    </row>
    <row r="474" spans="3:24" x14ac:dyDescent="0.3">
      <c r="C474" s="25" t="s">
        <v>467</v>
      </c>
      <c r="D474" s="255">
        <v>2318.1999999999998</v>
      </c>
      <c r="E474" s="134">
        <f t="shared" si="35"/>
        <v>1.9302642571340511E-2</v>
      </c>
      <c r="G474" s="255">
        <v>1000.25</v>
      </c>
      <c r="H474" s="134">
        <f t="shared" si="36"/>
        <v>3.6313717364276688E-2</v>
      </c>
      <c r="I474" s="163"/>
      <c r="J474" s="256">
        <v>716.03</v>
      </c>
      <c r="K474" s="134">
        <f t="shared" si="37"/>
        <v>1.014333276903101E-2</v>
      </c>
      <c r="L474" s="163"/>
      <c r="M474" s="255">
        <v>2331.85</v>
      </c>
      <c r="N474" s="134">
        <f t="shared" si="38"/>
        <v>1.6211622687555716E-2</v>
      </c>
      <c r="O474" s="163"/>
      <c r="P474" s="255">
        <v>17826.7</v>
      </c>
      <c r="Q474" s="134">
        <f t="shared" si="39"/>
        <v>1.5517565496772967E-2</v>
      </c>
      <c r="R474" s="19"/>
      <c r="S474" s="19"/>
      <c r="T474" s="19"/>
      <c r="X474" s="35"/>
    </row>
    <row r="475" spans="3:24" x14ac:dyDescent="0.3">
      <c r="C475" s="25" t="s">
        <v>468</v>
      </c>
      <c r="D475" s="255">
        <v>2312.35</v>
      </c>
      <c r="E475" s="134">
        <f t="shared" si="35"/>
        <v>-2.5235096195324047E-3</v>
      </c>
      <c r="G475" s="255">
        <v>1010.95</v>
      </c>
      <c r="H475" s="134">
        <f t="shared" si="36"/>
        <v>1.0697325668582947E-2</v>
      </c>
      <c r="I475" s="163"/>
      <c r="J475" s="256">
        <v>726.53</v>
      </c>
      <c r="K475" s="134">
        <f t="shared" si="37"/>
        <v>1.4664190047902981E-2</v>
      </c>
      <c r="L475" s="163"/>
      <c r="M475" s="255">
        <v>2320.0500000000002</v>
      </c>
      <c r="N475" s="134">
        <f t="shared" si="38"/>
        <v>-5.0603598001585093E-3</v>
      </c>
      <c r="O475" s="163"/>
      <c r="P475" s="255">
        <v>17844.599999999999</v>
      </c>
      <c r="Q475" s="134">
        <f t="shared" si="39"/>
        <v>1.0041118098131907E-3</v>
      </c>
      <c r="R475" s="19"/>
      <c r="S475" s="19"/>
      <c r="T475" s="19"/>
      <c r="X475" s="35"/>
    </row>
    <row r="476" spans="3:24" x14ac:dyDescent="0.3">
      <c r="C476" s="25" t="s">
        <v>469</v>
      </c>
      <c r="D476" s="255">
        <v>2318.85</v>
      </c>
      <c r="E476" s="134">
        <f t="shared" si="35"/>
        <v>2.8109931455013726E-3</v>
      </c>
      <c r="G476" s="255">
        <v>1018.85</v>
      </c>
      <c r="H476" s="134">
        <f t="shared" si="36"/>
        <v>7.8144319699291476E-3</v>
      </c>
      <c r="I476" s="163"/>
      <c r="J476" s="256">
        <v>738.81</v>
      </c>
      <c r="K476" s="134">
        <f t="shared" si="37"/>
        <v>1.6902261434490029E-2</v>
      </c>
      <c r="L476" s="163"/>
      <c r="M476" s="255">
        <v>2333.1</v>
      </c>
      <c r="N476" s="134">
        <f t="shared" si="38"/>
        <v>5.624878774164177E-3</v>
      </c>
      <c r="O476" s="163"/>
      <c r="P476" s="255">
        <v>17944.2</v>
      </c>
      <c r="Q476" s="134">
        <f t="shared" si="39"/>
        <v>5.5815204599711787E-3</v>
      </c>
      <c r="R476" s="19"/>
      <c r="S476" s="19"/>
      <c r="T476" s="19"/>
      <c r="X476" s="35"/>
    </row>
    <row r="477" spans="3:24" x14ac:dyDescent="0.3">
      <c r="C477" s="25" t="s">
        <v>470</v>
      </c>
      <c r="D477" s="255">
        <v>2326.1999999999998</v>
      </c>
      <c r="E477" s="134">
        <f t="shared" si="35"/>
        <v>3.1696746231968387E-3</v>
      </c>
      <c r="G477" s="255">
        <v>1024.9000000000001</v>
      </c>
      <c r="H477" s="134">
        <f t="shared" si="36"/>
        <v>5.9380674289641888E-3</v>
      </c>
      <c r="I477" s="163"/>
      <c r="J477" s="256">
        <v>738.38</v>
      </c>
      <c r="K477" s="134">
        <f t="shared" si="37"/>
        <v>-5.8201702738180927E-4</v>
      </c>
      <c r="L477" s="163"/>
      <c r="M477" s="255">
        <v>2316.75</v>
      </c>
      <c r="N477" s="134">
        <f t="shared" si="38"/>
        <v>-7.0078436415069723E-3</v>
      </c>
      <c r="O477" s="163"/>
      <c r="P477" s="255">
        <v>18035.849999999999</v>
      </c>
      <c r="Q477" s="134">
        <f t="shared" si="39"/>
        <v>5.1074999164073542E-3</v>
      </c>
      <c r="R477" s="19"/>
      <c r="S477" s="19"/>
      <c r="T477" s="19"/>
      <c r="X477" s="35"/>
    </row>
    <row r="478" spans="3:24" x14ac:dyDescent="0.3">
      <c r="C478" s="25" t="s">
        <v>471</v>
      </c>
      <c r="D478" s="255">
        <v>2255.3000000000002</v>
      </c>
      <c r="E478" s="134">
        <f t="shared" si="35"/>
        <v>-3.0478892614564379E-2</v>
      </c>
      <c r="G478" s="255">
        <v>1010.65</v>
      </c>
      <c r="H478" s="134">
        <f t="shared" si="36"/>
        <v>-1.3903795492243298E-2</v>
      </c>
      <c r="I478" s="163"/>
      <c r="J478" s="256">
        <v>737.9</v>
      </c>
      <c r="K478" s="134">
        <f t="shared" si="37"/>
        <v>-6.5007177875897604E-4</v>
      </c>
      <c r="L478" s="163"/>
      <c r="M478" s="255">
        <v>2311.3000000000002</v>
      </c>
      <c r="N478" s="134">
        <f t="shared" si="38"/>
        <v>-2.3524333657062302E-3</v>
      </c>
      <c r="O478" s="163"/>
      <c r="P478" s="255">
        <v>18015.849999999999</v>
      </c>
      <c r="Q478" s="134">
        <f t="shared" si="39"/>
        <v>-1.1089025468719038E-3</v>
      </c>
      <c r="R478" s="19"/>
      <c r="S478" s="19"/>
      <c r="T478" s="19"/>
      <c r="X478" s="35"/>
    </row>
    <row r="479" spans="3:24" x14ac:dyDescent="0.3">
      <c r="C479" s="25" t="s">
        <v>472</v>
      </c>
      <c r="D479" s="255">
        <v>2226.85</v>
      </c>
      <c r="E479" s="134">
        <f t="shared" si="35"/>
        <v>-1.26147297477055E-2</v>
      </c>
      <c r="G479" s="255">
        <v>1009.95</v>
      </c>
      <c r="H479" s="134">
        <f t="shared" si="36"/>
        <v>-6.9262355909560647E-4</v>
      </c>
      <c r="I479" s="163"/>
      <c r="J479" s="256">
        <v>730.32</v>
      </c>
      <c r="K479" s="134">
        <f t="shared" si="37"/>
        <v>-1.0272394633419113E-2</v>
      </c>
      <c r="L479" s="163"/>
      <c r="M479" s="255">
        <v>2296.1</v>
      </c>
      <c r="N479" s="134">
        <f t="shared" si="38"/>
        <v>-6.5763855838706364E-3</v>
      </c>
      <c r="O479" s="163"/>
      <c r="P479" s="255">
        <v>17929.849999999999</v>
      </c>
      <c r="Q479" s="134">
        <f t="shared" si="39"/>
        <v>-4.7735743803373198E-3</v>
      </c>
      <c r="R479" s="19"/>
      <c r="S479" s="19"/>
      <c r="T479" s="19"/>
      <c r="X479" s="35"/>
    </row>
    <row r="480" spans="3:24" x14ac:dyDescent="0.3">
      <c r="C480" s="25" t="s">
        <v>473</v>
      </c>
      <c r="D480" s="255">
        <v>2216.4</v>
      </c>
      <c r="E480" s="134">
        <f t="shared" si="35"/>
        <v>-4.6927273951994364E-3</v>
      </c>
      <c r="G480" s="255">
        <v>1017.3</v>
      </c>
      <c r="H480" s="134">
        <f t="shared" si="36"/>
        <v>7.2775879994058101E-3</v>
      </c>
      <c r="I480" s="163"/>
      <c r="J480" s="256">
        <v>703.7</v>
      </c>
      <c r="K480" s="134">
        <f t="shared" si="37"/>
        <v>-3.6449775440902665E-2</v>
      </c>
      <c r="L480" s="163"/>
      <c r="M480" s="255">
        <v>2301.9499999999998</v>
      </c>
      <c r="N480" s="134">
        <f t="shared" si="38"/>
        <v>2.5477984408344145E-3</v>
      </c>
      <c r="O480" s="163"/>
      <c r="P480" s="255">
        <v>17770.900000000001</v>
      </c>
      <c r="Q480" s="134">
        <f t="shared" si="39"/>
        <v>-8.8651048391368281E-3</v>
      </c>
      <c r="R480" s="19"/>
      <c r="S480" s="19"/>
      <c r="T480" s="19"/>
      <c r="W480" s="38"/>
      <c r="X480" s="35"/>
    </row>
    <row r="481" spans="3:24" x14ac:dyDescent="0.3">
      <c r="C481" s="160">
        <v>45201</v>
      </c>
      <c r="D481" s="255">
        <v>2289.4</v>
      </c>
      <c r="E481" s="134">
        <f t="shared" si="35"/>
        <v>3.2936293087890256E-2</v>
      </c>
      <c r="F481" s="34"/>
      <c r="G481" s="255">
        <v>1020.3</v>
      </c>
      <c r="H481" s="134">
        <f t="shared" si="36"/>
        <v>2.9489826010027365E-3</v>
      </c>
      <c r="I481" s="163"/>
      <c r="J481" s="256">
        <v>697.09</v>
      </c>
      <c r="K481" s="134">
        <f t="shared" si="37"/>
        <v>-9.3932073326702392E-3</v>
      </c>
      <c r="L481" s="163"/>
      <c r="M481" s="255">
        <v>2316.15</v>
      </c>
      <c r="N481" s="134">
        <f t="shared" si="38"/>
        <v>6.1686830730469655E-3</v>
      </c>
      <c r="O481" s="163"/>
      <c r="P481" s="255">
        <v>17856.5</v>
      </c>
      <c r="Q481" s="134">
        <f t="shared" si="39"/>
        <v>4.8168635240757318E-3</v>
      </c>
      <c r="R481" s="19"/>
      <c r="S481" s="19"/>
      <c r="T481" s="19"/>
      <c r="W481" s="38"/>
      <c r="X481" s="35"/>
    </row>
    <row r="482" spans="3:24" x14ac:dyDescent="0.3">
      <c r="C482" s="160">
        <v>45171</v>
      </c>
      <c r="D482" s="255">
        <v>2218.35</v>
      </c>
      <c r="E482" s="134">
        <f t="shared" si="35"/>
        <v>-3.1034332139425302E-2</v>
      </c>
      <c r="F482" s="34"/>
      <c r="G482" s="255">
        <v>1012.55</v>
      </c>
      <c r="H482" s="134">
        <f t="shared" si="36"/>
        <v>-7.5958051553464134E-3</v>
      </c>
      <c r="I482" s="163"/>
      <c r="J482" s="256">
        <v>687.64</v>
      </c>
      <c r="K482" s="134">
        <f t="shared" si="37"/>
        <v>-1.3556355707297518E-2</v>
      </c>
      <c r="L482" s="163"/>
      <c r="M482" s="255">
        <v>2327.65</v>
      </c>
      <c r="N482" s="134">
        <f t="shared" si="38"/>
        <v>4.9651361094920077E-3</v>
      </c>
      <c r="O482" s="163"/>
      <c r="P482" s="255">
        <v>17893.45</v>
      </c>
      <c r="Q482" s="134">
        <f t="shared" si="39"/>
        <v>2.0692744938817231E-3</v>
      </c>
      <c r="R482" s="19"/>
      <c r="S482" s="19"/>
      <c r="T482" s="19"/>
      <c r="W482" s="38"/>
      <c r="X482" s="35"/>
    </row>
    <row r="483" spans="3:24" x14ac:dyDescent="0.3">
      <c r="C483" s="160">
        <v>45140</v>
      </c>
      <c r="D483" s="255">
        <v>2197.1</v>
      </c>
      <c r="E483" s="134">
        <f t="shared" si="35"/>
        <v>-9.579191741609705E-3</v>
      </c>
      <c r="F483" s="34"/>
      <c r="G483" s="255">
        <v>1029.4000000000001</v>
      </c>
      <c r="H483" s="134">
        <f t="shared" si="36"/>
        <v>1.6641153523282881E-2</v>
      </c>
      <c r="I483" s="163"/>
      <c r="J483" s="256">
        <v>692.86</v>
      </c>
      <c r="K483" s="134">
        <f t="shared" si="37"/>
        <v>7.5911814321447668E-3</v>
      </c>
      <c r="L483" s="163"/>
      <c r="M483" s="255">
        <v>2333.75</v>
      </c>
      <c r="N483" s="134">
        <f t="shared" si="38"/>
        <v>2.6206689150001239E-3</v>
      </c>
      <c r="O483" s="163"/>
      <c r="P483" s="255">
        <v>17871.7</v>
      </c>
      <c r="Q483" s="134">
        <f t="shared" si="39"/>
        <v>-1.2155285872763599E-3</v>
      </c>
      <c r="R483" s="19"/>
      <c r="S483" s="19"/>
      <c r="T483" s="19"/>
      <c r="W483" s="38"/>
      <c r="X483" s="35"/>
    </row>
    <row r="484" spans="3:24" x14ac:dyDescent="0.3">
      <c r="C484" s="160">
        <v>45109</v>
      </c>
      <c r="D484" s="255">
        <v>2204.4</v>
      </c>
      <c r="E484" s="134">
        <f t="shared" si="35"/>
        <v>3.3225615584180357E-3</v>
      </c>
      <c r="F484" s="34"/>
      <c r="G484" s="255">
        <v>1030.95</v>
      </c>
      <c r="H484" s="134">
        <f t="shared" si="36"/>
        <v>1.5057314940740696E-3</v>
      </c>
      <c r="I484" s="163"/>
      <c r="J484" s="256">
        <v>680.44</v>
      </c>
      <c r="K484" s="134">
        <f t="shared" si="37"/>
        <v>-1.7925699275466833E-2</v>
      </c>
      <c r="L484" s="163"/>
      <c r="M484" s="255">
        <v>2315.1999999999998</v>
      </c>
      <c r="N484" s="134">
        <f t="shared" si="38"/>
        <v>-7.9485806106053269E-3</v>
      </c>
      <c r="O484" s="163"/>
      <c r="P484" s="255">
        <v>17721.5</v>
      </c>
      <c r="Q484" s="134">
        <f t="shared" si="39"/>
        <v>-8.4043487748787227E-3</v>
      </c>
      <c r="R484" s="19"/>
      <c r="S484" s="19"/>
      <c r="T484" s="19"/>
      <c r="W484" s="38"/>
      <c r="X484" s="35"/>
    </row>
    <row r="485" spans="3:24" x14ac:dyDescent="0.3">
      <c r="C485" s="160">
        <v>45079</v>
      </c>
      <c r="D485" s="255">
        <v>2219.15</v>
      </c>
      <c r="E485" s="134">
        <f t="shared" si="35"/>
        <v>6.6911631282888795E-3</v>
      </c>
      <c r="F485" s="34"/>
      <c r="G485" s="255">
        <v>1006.7</v>
      </c>
      <c r="H485" s="134">
        <f t="shared" si="36"/>
        <v>-2.3521994277123093E-2</v>
      </c>
      <c r="I485" s="163"/>
      <c r="J485" s="256">
        <v>685.34</v>
      </c>
      <c r="K485" s="134">
        <f t="shared" si="37"/>
        <v>7.2012227382280969E-3</v>
      </c>
      <c r="L485" s="163"/>
      <c r="M485" s="255">
        <v>2333.3000000000002</v>
      </c>
      <c r="N485" s="134">
        <f t="shared" si="38"/>
        <v>7.8178991015895871E-3</v>
      </c>
      <c r="O485" s="163"/>
      <c r="P485" s="255">
        <v>17764.599999999999</v>
      </c>
      <c r="Q485" s="134">
        <f t="shared" si="39"/>
        <v>2.4320740343648506E-3</v>
      </c>
      <c r="R485" s="19"/>
      <c r="S485" s="19"/>
      <c r="T485" s="19"/>
      <c r="W485" s="38"/>
      <c r="X485" s="35"/>
    </row>
    <row r="486" spans="3:24" x14ac:dyDescent="0.3">
      <c r="C486" s="160">
        <v>44987</v>
      </c>
      <c r="D486" s="255">
        <v>2210.4499999999998</v>
      </c>
      <c r="E486" s="134">
        <f t="shared" si="35"/>
        <v>-3.9204199806233131E-3</v>
      </c>
      <c r="F486" s="34"/>
      <c r="G486" s="256">
        <v>969.95</v>
      </c>
      <c r="H486" s="134">
        <f t="shared" si="36"/>
        <v>-3.6505413728022296E-2</v>
      </c>
      <c r="I486" s="163"/>
      <c r="J486" s="256">
        <v>686.82</v>
      </c>
      <c r="K486" s="134">
        <f t="shared" si="37"/>
        <v>2.1595120670032664E-3</v>
      </c>
      <c r="L486" s="163"/>
      <c r="M486" s="255">
        <v>2341.5500000000002</v>
      </c>
      <c r="N486" s="134">
        <f t="shared" si="38"/>
        <v>3.535764796639862E-3</v>
      </c>
      <c r="O486" s="163"/>
      <c r="P486" s="255">
        <v>17854.05</v>
      </c>
      <c r="Q486" s="134">
        <f t="shared" si="39"/>
        <v>5.0352949123537716E-3</v>
      </c>
      <c r="R486" s="19"/>
      <c r="S486" s="19"/>
      <c r="T486" s="19"/>
      <c r="W486" s="38"/>
      <c r="X486" s="35"/>
    </row>
    <row r="487" spans="3:24" x14ac:dyDescent="0.3">
      <c r="C487" s="160">
        <v>44959</v>
      </c>
      <c r="D487" s="255">
        <v>2202.8000000000002</v>
      </c>
      <c r="E487" s="134">
        <f t="shared" si="35"/>
        <v>-3.4608337668798894E-3</v>
      </c>
      <c r="F487" s="34"/>
      <c r="G487" s="256">
        <v>967.25</v>
      </c>
      <c r="H487" s="134">
        <f t="shared" si="36"/>
        <v>-2.7836486416825679E-3</v>
      </c>
      <c r="I487" s="163"/>
      <c r="J487" s="256">
        <v>667.59</v>
      </c>
      <c r="K487" s="134">
        <f t="shared" si="37"/>
        <v>-2.7998602253865634E-2</v>
      </c>
      <c r="L487" s="163"/>
      <c r="M487" s="255">
        <v>2291.4499999999998</v>
      </c>
      <c r="N487" s="134">
        <f t="shared" si="38"/>
        <v>-2.139608379065161E-2</v>
      </c>
      <c r="O487" s="163"/>
      <c r="P487" s="255">
        <v>17610.400000000001</v>
      </c>
      <c r="Q487" s="134">
        <f t="shared" si="39"/>
        <v>-1.3646763619458824E-2</v>
      </c>
      <c r="R487" s="19"/>
      <c r="S487" s="19"/>
      <c r="T487" s="19"/>
      <c r="X487" s="35"/>
    </row>
    <row r="488" spans="3:24" x14ac:dyDescent="0.3">
      <c r="C488" s="160">
        <v>44928</v>
      </c>
      <c r="D488" s="255">
        <v>2224.65</v>
      </c>
      <c r="E488" s="134">
        <f t="shared" si="35"/>
        <v>9.9191937534046648E-3</v>
      </c>
      <c r="F488" s="34"/>
      <c r="G488" s="256">
        <v>956.15</v>
      </c>
      <c r="H488" s="134">
        <f t="shared" si="36"/>
        <v>-1.1475833548720615E-2</v>
      </c>
      <c r="I488" s="163"/>
      <c r="J488" s="256">
        <v>709.99</v>
      </c>
      <c r="K488" s="134">
        <f t="shared" si="37"/>
        <v>6.3512035830374902E-2</v>
      </c>
      <c r="L488" s="163"/>
      <c r="M488" s="255">
        <v>2315.3000000000002</v>
      </c>
      <c r="N488" s="134">
        <f t="shared" si="38"/>
        <v>1.0408256780641167E-2</v>
      </c>
      <c r="O488" s="163"/>
      <c r="P488" s="255">
        <v>17616.3</v>
      </c>
      <c r="Q488" s="134">
        <f t="shared" si="39"/>
        <v>3.3502930086748428E-4</v>
      </c>
      <c r="R488" s="19"/>
      <c r="S488" s="19"/>
      <c r="T488" s="19"/>
      <c r="X488" s="35"/>
    </row>
    <row r="489" spans="3:24" x14ac:dyDescent="0.3">
      <c r="C489" s="25" t="s">
        <v>474</v>
      </c>
      <c r="D489" s="255">
        <v>2182.4499999999998</v>
      </c>
      <c r="E489" s="134">
        <f t="shared" si="35"/>
        <v>-1.8969276065898155E-2</v>
      </c>
      <c r="G489" s="256">
        <v>973.4</v>
      </c>
      <c r="H489" s="134">
        <f t="shared" si="36"/>
        <v>1.8041102337499337E-2</v>
      </c>
      <c r="I489" s="163"/>
      <c r="J489" s="256">
        <v>726.34</v>
      </c>
      <c r="K489" s="134">
        <f t="shared" si="37"/>
        <v>2.302849335906143E-2</v>
      </c>
      <c r="L489" s="163"/>
      <c r="M489" s="255">
        <v>2279.5500000000002</v>
      </c>
      <c r="N489" s="134">
        <f t="shared" si="38"/>
        <v>-1.5440763615946151E-2</v>
      </c>
      <c r="O489" s="163"/>
      <c r="P489" s="255">
        <v>17662.150000000001</v>
      </c>
      <c r="Q489" s="134">
        <f t="shared" si="39"/>
        <v>2.6027031783066867E-3</v>
      </c>
      <c r="R489" s="19"/>
      <c r="S489" s="19"/>
      <c r="T489" s="19"/>
      <c r="X489" s="35"/>
    </row>
    <row r="490" spans="3:24" x14ac:dyDescent="0.3">
      <c r="C490" s="25" t="s">
        <v>475</v>
      </c>
      <c r="D490" s="255">
        <v>2151.4</v>
      </c>
      <c r="E490" s="134">
        <f t="shared" si="35"/>
        <v>-1.4227130060253224E-2</v>
      </c>
      <c r="G490" s="256">
        <v>955.35</v>
      </c>
      <c r="H490" s="134">
        <f t="shared" si="36"/>
        <v>-1.8543250462297101E-2</v>
      </c>
      <c r="I490" s="163"/>
      <c r="J490" s="256">
        <v>714.64</v>
      </c>
      <c r="K490" s="134">
        <f t="shared" si="37"/>
        <v>-1.6108158713550202E-2</v>
      </c>
      <c r="L490" s="163"/>
      <c r="M490" s="255">
        <v>2283.4</v>
      </c>
      <c r="N490" s="134">
        <f t="shared" si="38"/>
        <v>1.6889298326423496E-3</v>
      </c>
      <c r="O490" s="163"/>
      <c r="P490" s="255">
        <v>17648.95</v>
      </c>
      <c r="Q490" s="134">
        <f t="shared" si="39"/>
        <v>-7.4736088188587235E-4</v>
      </c>
      <c r="R490" s="19"/>
      <c r="S490" s="19"/>
      <c r="T490" s="19"/>
      <c r="X490" s="35"/>
    </row>
    <row r="491" spans="3:24" x14ac:dyDescent="0.3">
      <c r="C491" s="25" t="s">
        <v>476</v>
      </c>
      <c r="D491" s="255">
        <v>2131.1</v>
      </c>
      <c r="E491" s="134">
        <f t="shared" si="35"/>
        <v>-9.4357162777727321E-3</v>
      </c>
      <c r="G491" s="256">
        <v>945</v>
      </c>
      <c r="H491" s="134">
        <f t="shared" si="36"/>
        <v>-1.0833725859632604E-2</v>
      </c>
      <c r="I491" s="163"/>
      <c r="J491" s="256">
        <v>714.11</v>
      </c>
      <c r="K491" s="134">
        <f t="shared" si="37"/>
        <v>-7.4163215045330855E-4</v>
      </c>
      <c r="L491" s="163"/>
      <c r="M491" s="255">
        <v>2290.65</v>
      </c>
      <c r="N491" s="134">
        <f t="shared" si="38"/>
        <v>3.1750897784006415E-3</v>
      </c>
      <c r="O491" s="163"/>
      <c r="P491" s="255">
        <v>17604.349999999999</v>
      </c>
      <c r="Q491" s="134">
        <f t="shared" si="39"/>
        <v>-2.5270625164670601E-3</v>
      </c>
      <c r="R491" s="19"/>
      <c r="S491" s="19"/>
      <c r="T491" s="19"/>
      <c r="X491" s="35"/>
    </row>
    <row r="492" spans="3:24" x14ac:dyDescent="0.3">
      <c r="C492" s="25" t="s">
        <v>477</v>
      </c>
      <c r="D492" s="255">
        <v>2128.35</v>
      </c>
      <c r="E492" s="134">
        <f t="shared" si="35"/>
        <v>-1.2904134015296886E-3</v>
      </c>
      <c r="G492" s="256">
        <v>950.4</v>
      </c>
      <c r="H492" s="134">
        <f t="shared" si="36"/>
        <v>5.7142857142857828E-3</v>
      </c>
      <c r="I492" s="163"/>
      <c r="J492" s="256">
        <v>708.21</v>
      </c>
      <c r="K492" s="134">
        <f t="shared" si="37"/>
        <v>-8.2620324599851358E-3</v>
      </c>
      <c r="L492" s="163"/>
      <c r="M492" s="255">
        <v>2315.3000000000002</v>
      </c>
      <c r="N492" s="134">
        <f t="shared" si="38"/>
        <v>1.0761137668347409E-2</v>
      </c>
      <c r="O492" s="163"/>
      <c r="P492" s="255">
        <v>17891.95</v>
      </c>
      <c r="Q492" s="134">
        <f t="shared" si="39"/>
        <v>1.6336871284654109E-2</v>
      </c>
      <c r="R492" s="19"/>
      <c r="S492" s="19"/>
      <c r="T492" s="19"/>
      <c r="X492" s="35"/>
    </row>
    <row r="493" spans="3:24" x14ac:dyDescent="0.3">
      <c r="C493" s="25" t="s">
        <v>478</v>
      </c>
      <c r="D493" s="255">
        <v>2127.9</v>
      </c>
      <c r="E493" s="134">
        <f t="shared" si="35"/>
        <v>-2.1143139051371662E-4</v>
      </c>
      <c r="G493" s="256">
        <v>971.8</v>
      </c>
      <c r="H493" s="134">
        <f t="shared" si="36"/>
        <v>2.2516835016834991E-2</v>
      </c>
      <c r="I493" s="163"/>
      <c r="J493" s="256">
        <v>714.97</v>
      </c>
      <c r="K493" s="134">
        <f t="shared" si="37"/>
        <v>9.5451913980315606E-3</v>
      </c>
      <c r="L493" s="163"/>
      <c r="M493" s="255">
        <v>2382.35</v>
      </c>
      <c r="N493" s="134">
        <f t="shared" si="38"/>
        <v>2.8959530082494522E-2</v>
      </c>
      <c r="O493" s="163"/>
      <c r="P493" s="255">
        <v>18118.3</v>
      </c>
      <c r="Q493" s="134">
        <f t="shared" si="39"/>
        <v>1.2650940786219422E-2</v>
      </c>
      <c r="R493" s="19"/>
      <c r="S493" s="19"/>
      <c r="T493" s="19"/>
      <c r="X493" s="35"/>
    </row>
    <row r="494" spans="3:24" x14ac:dyDescent="0.3">
      <c r="C494" s="25" t="s">
        <v>479</v>
      </c>
      <c r="D494" s="255">
        <v>2113.75</v>
      </c>
      <c r="E494" s="134">
        <f t="shared" si="35"/>
        <v>-6.6497485784107191E-3</v>
      </c>
      <c r="G494" s="256">
        <v>977.15</v>
      </c>
      <c r="H494" s="134">
        <f t="shared" si="36"/>
        <v>5.5052479934143417E-3</v>
      </c>
      <c r="I494" s="163"/>
      <c r="J494" s="256">
        <v>718.19</v>
      </c>
      <c r="K494" s="134">
        <f t="shared" si="37"/>
        <v>4.5036854693203399E-3</v>
      </c>
      <c r="L494" s="163"/>
      <c r="M494" s="255">
        <v>2409.6</v>
      </c>
      <c r="N494" s="134">
        <f t="shared" si="38"/>
        <v>1.1438285726278696E-2</v>
      </c>
      <c r="O494" s="163"/>
      <c r="P494" s="255">
        <v>18118.55</v>
      </c>
      <c r="Q494" s="134">
        <f t="shared" si="39"/>
        <v>1.379820402580556E-5</v>
      </c>
      <c r="R494" s="19"/>
      <c r="S494" s="19"/>
      <c r="T494" s="19"/>
      <c r="X494" s="35"/>
    </row>
    <row r="495" spans="3:24" x14ac:dyDescent="0.3">
      <c r="C495" s="25" t="s">
        <v>480</v>
      </c>
      <c r="D495" s="255">
        <v>2105.1999999999998</v>
      </c>
      <c r="E495" s="134">
        <f t="shared" si="35"/>
        <v>-4.0449438202248E-3</v>
      </c>
      <c r="G495" s="256">
        <v>975.85</v>
      </c>
      <c r="H495" s="134">
        <f t="shared" si="36"/>
        <v>-1.3303996315815469E-3</v>
      </c>
      <c r="I495" s="163"/>
      <c r="J495" s="256">
        <v>708.16</v>
      </c>
      <c r="K495" s="134">
        <f t="shared" si="37"/>
        <v>-1.3965663682312557E-2</v>
      </c>
      <c r="L495" s="163"/>
      <c r="M495" s="255">
        <v>2402.6</v>
      </c>
      <c r="N495" s="134">
        <f t="shared" si="38"/>
        <v>-2.9050464807437448E-3</v>
      </c>
      <c r="O495" s="163"/>
      <c r="P495" s="255">
        <v>18027.650000000001</v>
      </c>
      <c r="Q495" s="134">
        <f t="shared" si="39"/>
        <v>-5.016957758760876E-3</v>
      </c>
      <c r="R495" s="19"/>
      <c r="S495" s="19"/>
      <c r="T495" s="19"/>
      <c r="X495" s="35"/>
    </row>
    <row r="496" spans="3:24" x14ac:dyDescent="0.3">
      <c r="C496" s="25" t="s">
        <v>481</v>
      </c>
      <c r="D496" s="255">
        <v>2137.4499999999998</v>
      </c>
      <c r="E496" s="134">
        <f t="shared" si="35"/>
        <v>1.5319209576287296E-2</v>
      </c>
      <c r="G496" s="256">
        <v>980.45</v>
      </c>
      <c r="H496" s="134">
        <f t="shared" si="36"/>
        <v>4.7138392170928967E-3</v>
      </c>
      <c r="I496" s="163"/>
      <c r="J496" s="256">
        <v>716.65</v>
      </c>
      <c r="K496" s="134">
        <f t="shared" si="37"/>
        <v>1.1988816086760057E-2</v>
      </c>
      <c r="L496" s="163"/>
      <c r="M496" s="255">
        <v>2453.1999999999998</v>
      </c>
      <c r="N496" s="134">
        <f t="shared" si="38"/>
        <v>2.1060517772413245E-2</v>
      </c>
      <c r="O496" s="163"/>
      <c r="P496" s="255">
        <v>18107.849999999999</v>
      </c>
      <c r="Q496" s="134">
        <f t="shared" si="39"/>
        <v>4.4487218245305993E-3</v>
      </c>
      <c r="R496" s="19"/>
      <c r="S496" s="19"/>
      <c r="T496" s="19"/>
      <c r="X496" s="35"/>
    </row>
    <row r="497" spans="3:24" x14ac:dyDescent="0.3">
      <c r="C497" s="25" t="s">
        <v>482</v>
      </c>
      <c r="D497" s="255">
        <v>2169.5</v>
      </c>
      <c r="E497" s="134">
        <f t="shared" si="35"/>
        <v>1.4994502795387055E-2</v>
      </c>
      <c r="G497" s="256">
        <v>998.95</v>
      </c>
      <c r="H497" s="134">
        <f t="shared" si="36"/>
        <v>1.8868886735682544E-2</v>
      </c>
      <c r="I497" s="163"/>
      <c r="J497" s="256">
        <v>702.12</v>
      </c>
      <c r="K497" s="134">
        <f t="shared" si="37"/>
        <v>-2.027489011372352E-2</v>
      </c>
      <c r="L497" s="163"/>
      <c r="M497" s="255">
        <v>2488.65</v>
      </c>
      <c r="N497" s="134">
        <f t="shared" si="38"/>
        <v>1.4450513614870486E-2</v>
      </c>
      <c r="O497" s="163"/>
      <c r="P497" s="255">
        <v>18165.349999999999</v>
      </c>
      <c r="Q497" s="134">
        <f t="shared" si="39"/>
        <v>3.1754183958889737E-3</v>
      </c>
      <c r="R497" s="19"/>
      <c r="S497" s="19"/>
      <c r="T497" s="19"/>
      <c r="X497" s="35"/>
    </row>
    <row r="498" spans="3:24" x14ac:dyDescent="0.3">
      <c r="C498" s="25" t="s">
        <v>483</v>
      </c>
      <c r="D498" s="255">
        <v>2188.4499999999998</v>
      </c>
      <c r="E498" s="134">
        <f t="shared" si="35"/>
        <v>8.7347315049550733E-3</v>
      </c>
      <c r="G498" s="256">
        <v>987.2</v>
      </c>
      <c r="H498" s="134">
        <f t="shared" si="36"/>
        <v>-1.1762350467991345E-2</v>
      </c>
      <c r="I498" s="163"/>
      <c r="J498" s="256">
        <v>689.89</v>
      </c>
      <c r="K498" s="134">
        <f t="shared" si="37"/>
        <v>-1.7418674870392503E-2</v>
      </c>
      <c r="L498" s="163"/>
      <c r="M498" s="255">
        <v>2437.4499999999998</v>
      </c>
      <c r="N498" s="134">
        <f t="shared" si="38"/>
        <v>-2.0573403250758515E-2</v>
      </c>
      <c r="O498" s="163"/>
      <c r="P498" s="255">
        <v>18053.3</v>
      </c>
      <c r="Q498" s="134">
        <f t="shared" si="39"/>
        <v>-6.1683369712116631E-3</v>
      </c>
      <c r="R498" s="19"/>
      <c r="S498" s="19"/>
      <c r="T498" s="19"/>
      <c r="X498" s="35"/>
    </row>
    <row r="499" spans="3:24" x14ac:dyDescent="0.3">
      <c r="C499" s="25" t="s">
        <v>484</v>
      </c>
      <c r="D499" s="255">
        <v>2178.65</v>
      </c>
      <c r="E499" s="134">
        <f t="shared" si="35"/>
        <v>-4.4780552445793376E-3</v>
      </c>
      <c r="G499" s="256">
        <v>970.35</v>
      </c>
      <c r="H499" s="134">
        <f t="shared" si="36"/>
        <v>-1.7068476499189633E-2</v>
      </c>
      <c r="I499" s="163"/>
      <c r="J499" s="256">
        <v>684.42</v>
      </c>
      <c r="K499" s="134">
        <f t="shared" si="37"/>
        <v>-7.9288002435171645E-3</v>
      </c>
      <c r="L499" s="163"/>
      <c r="M499" s="255">
        <v>2449.8000000000002</v>
      </c>
      <c r="N499" s="134">
        <f t="shared" si="38"/>
        <v>5.0667706004228208E-3</v>
      </c>
      <c r="O499" s="163"/>
      <c r="P499" s="255">
        <v>17894.849999999999</v>
      </c>
      <c r="Q499" s="134">
        <f t="shared" si="39"/>
        <v>-8.776788731146179E-3</v>
      </c>
      <c r="R499" s="19"/>
      <c r="S499" s="19"/>
      <c r="T499" s="19"/>
      <c r="W499" s="38"/>
      <c r="X499" s="35"/>
    </row>
    <row r="500" spans="3:24" x14ac:dyDescent="0.3">
      <c r="C500" s="25" t="s">
        <v>485</v>
      </c>
      <c r="D500" s="255">
        <v>2198.75</v>
      </c>
      <c r="E500" s="134">
        <f t="shared" si="35"/>
        <v>9.2258967709359929E-3</v>
      </c>
      <c r="G500" s="256">
        <v>974.6</v>
      </c>
      <c r="H500" s="134">
        <f t="shared" si="36"/>
        <v>4.3798629360540797E-3</v>
      </c>
      <c r="I500" s="163"/>
      <c r="J500" s="256">
        <v>689.12</v>
      </c>
      <c r="K500" s="134">
        <f t="shared" si="37"/>
        <v>6.8671283714678566E-3</v>
      </c>
      <c r="L500" s="163"/>
      <c r="M500" s="255">
        <v>2505.15</v>
      </c>
      <c r="N500" s="134">
        <f t="shared" si="38"/>
        <v>2.2593681116825914E-2</v>
      </c>
      <c r="O500" s="163"/>
      <c r="P500" s="255">
        <v>17956.599999999999</v>
      </c>
      <c r="Q500" s="134">
        <f t="shared" si="39"/>
        <v>3.4507134734294009E-3</v>
      </c>
      <c r="R500" s="19"/>
      <c r="S500" s="19"/>
      <c r="T500" s="19"/>
      <c r="W500" s="38"/>
      <c r="X500" s="35"/>
    </row>
    <row r="501" spans="3:24" x14ac:dyDescent="0.3">
      <c r="C501" s="160">
        <v>45261</v>
      </c>
      <c r="D501" s="255">
        <v>2219.3000000000002</v>
      </c>
      <c r="E501" s="134">
        <f t="shared" si="35"/>
        <v>9.3462194428652889E-3</v>
      </c>
      <c r="F501" s="34"/>
      <c r="G501" s="256">
        <v>973.25</v>
      </c>
      <c r="H501" s="134">
        <f t="shared" si="36"/>
        <v>-1.3851836650934368E-3</v>
      </c>
      <c r="I501" s="163"/>
      <c r="J501" s="256">
        <v>689.7</v>
      </c>
      <c r="K501" s="134">
        <f t="shared" si="37"/>
        <v>8.4165312282347138E-4</v>
      </c>
      <c r="L501" s="163"/>
      <c r="M501" s="255">
        <v>2495.5</v>
      </c>
      <c r="N501" s="134">
        <f t="shared" si="38"/>
        <v>-3.8520647466220304E-3</v>
      </c>
      <c r="O501" s="163"/>
      <c r="P501" s="255">
        <v>17858.2</v>
      </c>
      <c r="Q501" s="134">
        <f t="shared" si="39"/>
        <v>-5.479879264448595E-3</v>
      </c>
      <c r="R501" s="19"/>
      <c r="S501" s="19"/>
      <c r="T501" s="19"/>
      <c r="W501" s="38"/>
      <c r="X501" s="35"/>
    </row>
    <row r="502" spans="3:24" x14ac:dyDescent="0.3">
      <c r="C502" s="160">
        <v>45231</v>
      </c>
      <c r="D502" s="255">
        <v>2195.8000000000002</v>
      </c>
      <c r="E502" s="134">
        <f t="shared" si="35"/>
        <v>-1.0588924435632863E-2</v>
      </c>
      <c r="F502" s="34"/>
      <c r="G502" s="256">
        <v>967.75</v>
      </c>
      <c r="H502" s="134">
        <f t="shared" si="36"/>
        <v>-5.6511687644490438E-3</v>
      </c>
      <c r="I502" s="163"/>
      <c r="J502" s="256">
        <v>688.69</v>
      </c>
      <c r="K502" s="134">
        <f t="shared" si="37"/>
        <v>-1.4644048136871479E-3</v>
      </c>
      <c r="L502" s="163"/>
      <c r="M502" s="255">
        <v>2479.5</v>
      </c>
      <c r="N502" s="134">
        <f t="shared" si="38"/>
        <v>-6.4115407733921215E-3</v>
      </c>
      <c r="O502" s="163"/>
      <c r="P502" s="255">
        <v>17895.7</v>
      </c>
      <c r="Q502" s="134">
        <f t="shared" si="39"/>
        <v>2.0998756873593649E-3</v>
      </c>
      <c r="R502" s="19"/>
      <c r="S502" s="19"/>
      <c r="T502" s="19"/>
      <c r="W502" s="38"/>
      <c r="X502" s="35"/>
    </row>
    <row r="503" spans="3:24" x14ac:dyDescent="0.3">
      <c r="C503" s="160">
        <v>45200</v>
      </c>
      <c r="D503" s="255">
        <v>2270.1</v>
      </c>
      <c r="E503" s="134">
        <f t="shared" si="35"/>
        <v>3.3837325803807161E-2</v>
      </c>
      <c r="F503" s="34"/>
      <c r="G503" s="256">
        <v>968.55</v>
      </c>
      <c r="H503" s="134">
        <f t="shared" si="36"/>
        <v>8.2665977783524802E-4</v>
      </c>
      <c r="I503" s="163"/>
      <c r="J503" s="256">
        <v>694.78</v>
      </c>
      <c r="K503" s="134">
        <f t="shared" si="37"/>
        <v>8.842875604408329E-3</v>
      </c>
      <c r="L503" s="163"/>
      <c r="M503" s="255">
        <v>2529.1999999999998</v>
      </c>
      <c r="N503" s="134">
        <f t="shared" si="38"/>
        <v>2.0044363783020769E-2</v>
      </c>
      <c r="O503" s="163"/>
      <c r="P503" s="255">
        <v>17914.150000000001</v>
      </c>
      <c r="Q503" s="134">
        <f t="shared" si="39"/>
        <v>1.0309739211096236E-3</v>
      </c>
      <c r="R503" s="19"/>
      <c r="S503" s="19"/>
      <c r="T503" s="19"/>
      <c r="W503" s="38"/>
      <c r="X503" s="35"/>
    </row>
    <row r="504" spans="3:24" x14ac:dyDescent="0.3">
      <c r="C504" s="160">
        <v>45170</v>
      </c>
      <c r="D504" s="255">
        <v>2236.75</v>
      </c>
      <c r="E504" s="134">
        <f t="shared" si="35"/>
        <v>-1.4690982776089156E-2</v>
      </c>
      <c r="F504" s="34"/>
      <c r="G504" s="256">
        <v>958.3</v>
      </c>
      <c r="H504" s="134">
        <f t="shared" si="36"/>
        <v>-1.0582830003613597E-2</v>
      </c>
      <c r="I504" s="163"/>
      <c r="J504" s="256">
        <v>704.09</v>
      </c>
      <c r="K504" s="134">
        <f t="shared" si="37"/>
        <v>1.3399925156164727E-2</v>
      </c>
      <c r="L504" s="163"/>
      <c r="M504" s="255">
        <v>2552.35</v>
      </c>
      <c r="N504" s="134">
        <f t="shared" si="38"/>
        <v>9.1530918867626099E-3</v>
      </c>
      <c r="O504" s="163"/>
      <c r="P504" s="255">
        <v>18101.2</v>
      </c>
      <c r="Q504" s="134">
        <f t="shared" si="39"/>
        <v>1.0441466661828658E-2</v>
      </c>
      <c r="R504" s="19"/>
      <c r="S504" s="19"/>
      <c r="T504" s="19"/>
      <c r="W504" s="38"/>
      <c r="X504" s="35"/>
    </row>
    <row r="505" spans="3:24" x14ac:dyDescent="0.3">
      <c r="C505" s="160">
        <v>45078</v>
      </c>
      <c r="D505" s="255">
        <v>2238.65</v>
      </c>
      <c r="E505" s="134">
        <f t="shared" si="35"/>
        <v>8.4944674192466429E-4</v>
      </c>
      <c r="F505" s="34"/>
      <c r="G505" s="256">
        <v>948.3</v>
      </c>
      <c r="H505" s="134">
        <f t="shared" si="36"/>
        <v>-1.0435145570280691E-2</v>
      </c>
      <c r="I505" s="163"/>
      <c r="J505" s="256">
        <v>689.32</v>
      </c>
      <c r="K505" s="134">
        <f t="shared" si="37"/>
        <v>-2.0977431862403972E-2</v>
      </c>
      <c r="L505" s="163"/>
      <c r="M505" s="255">
        <v>2522.3000000000002</v>
      </c>
      <c r="N505" s="134">
        <f t="shared" si="38"/>
        <v>-1.177346367073473E-2</v>
      </c>
      <c r="O505" s="163"/>
      <c r="P505" s="255">
        <v>17859.45</v>
      </c>
      <c r="Q505" s="134">
        <f t="shared" si="39"/>
        <v>-1.3355468145758276E-2</v>
      </c>
      <c r="R505" s="19"/>
      <c r="S505" s="19"/>
      <c r="T505" s="19"/>
      <c r="W505" s="38"/>
      <c r="X505" s="35"/>
    </row>
    <row r="506" spans="3:24" x14ac:dyDescent="0.3">
      <c r="C506" s="160">
        <v>45047</v>
      </c>
      <c r="D506" s="255">
        <v>2266.9</v>
      </c>
      <c r="E506" s="134">
        <f t="shared" si="35"/>
        <v>1.261921247180231E-2</v>
      </c>
      <c r="F506" s="34"/>
      <c r="G506" s="256">
        <v>942.15</v>
      </c>
      <c r="H506" s="134">
        <f t="shared" si="36"/>
        <v>-6.4852894653590898E-3</v>
      </c>
      <c r="I506" s="163"/>
      <c r="J506" s="256">
        <v>690.75</v>
      </c>
      <c r="K506" s="134">
        <f t="shared" si="37"/>
        <v>2.0745082109905333E-3</v>
      </c>
      <c r="L506" s="163"/>
      <c r="M506" s="255">
        <v>2518.1</v>
      </c>
      <c r="N506" s="134">
        <f t="shared" si="38"/>
        <v>-1.6651468897436184E-3</v>
      </c>
      <c r="O506" s="163"/>
      <c r="P506" s="255">
        <v>17992.150000000001</v>
      </c>
      <c r="Q506" s="134">
        <f t="shared" si="39"/>
        <v>7.4302400129904189E-3</v>
      </c>
      <c r="R506" s="19"/>
      <c r="S506" s="19"/>
      <c r="T506" s="19"/>
      <c r="W506" s="38"/>
      <c r="X506" s="35"/>
    </row>
    <row r="507" spans="3:24" x14ac:dyDescent="0.3">
      <c r="C507" s="160">
        <v>45017</v>
      </c>
      <c r="D507" s="255">
        <v>2265.3000000000002</v>
      </c>
      <c r="E507" s="134">
        <f t="shared" si="35"/>
        <v>-7.0580969606071076E-4</v>
      </c>
      <c r="F507" s="34"/>
      <c r="G507" s="256">
        <v>931.65</v>
      </c>
      <c r="H507" s="134">
        <f t="shared" si="36"/>
        <v>-1.1144722177997113E-2</v>
      </c>
      <c r="I507" s="163"/>
      <c r="J507" s="256">
        <v>686.39</v>
      </c>
      <c r="K507" s="134">
        <f t="shared" si="37"/>
        <v>-6.3119797321752324E-3</v>
      </c>
      <c r="L507" s="163"/>
      <c r="M507" s="255">
        <v>2510.9499999999998</v>
      </c>
      <c r="N507" s="134">
        <f t="shared" si="38"/>
        <v>-2.839442436757933E-3</v>
      </c>
      <c r="O507" s="163"/>
      <c r="P507" s="255">
        <v>18042.95</v>
      </c>
      <c r="Q507" s="134">
        <f t="shared" si="39"/>
        <v>2.8234535616922241E-3</v>
      </c>
      <c r="R507" s="19"/>
      <c r="S507" s="19"/>
      <c r="T507" s="19"/>
      <c r="X507" s="35"/>
    </row>
    <row r="508" spans="3:24" x14ac:dyDescent="0.3">
      <c r="C508" s="160">
        <v>44986</v>
      </c>
      <c r="D508" s="255">
        <v>2302.85</v>
      </c>
      <c r="E508" s="134">
        <f t="shared" si="35"/>
        <v>1.6576170926587919E-2</v>
      </c>
      <c r="F508" s="34"/>
      <c r="G508" s="256">
        <v>941.7</v>
      </c>
      <c r="H508" s="134">
        <f t="shared" si="36"/>
        <v>1.0787312832072127E-2</v>
      </c>
      <c r="I508" s="163"/>
      <c r="J508" s="256">
        <v>690.28</v>
      </c>
      <c r="K508" s="134">
        <f t="shared" si="37"/>
        <v>5.6673319832747371E-3</v>
      </c>
      <c r="L508" s="163"/>
      <c r="M508" s="255">
        <v>2537</v>
      </c>
      <c r="N508" s="134">
        <f t="shared" si="38"/>
        <v>1.0374559429698005E-2</v>
      </c>
      <c r="O508" s="163"/>
      <c r="P508" s="255">
        <v>18232.55</v>
      </c>
      <c r="Q508" s="134">
        <f t="shared" si="39"/>
        <v>1.0508259458680502E-2</v>
      </c>
      <c r="R508" s="19"/>
      <c r="S508" s="19"/>
      <c r="T508" s="19"/>
      <c r="X508" s="35"/>
    </row>
    <row r="509" spans="3:24" x14ac:dyDescent="0.3">
      <c r="C509" s="160">
        <v>44958</v>
      </c>
      <c r="D509" s="255">
        <v>2292.4499999999998</v>
      </c>
      <c r="E509" s="134">
        <f t="shared" si="35"/>
        <v>-4.5161430401459146E-3</v>
      </c>
      <c r="F509" s="34"/>
      <c r="G509" s="256">
        <v>941.35</v>
      </c>
      <c r="H509" s="134">
        <f t="shared" si="36"/>
        <v>-3.7166825953061089E-4</v>
      </c>
      <c r="I509" s="163"/>
      <c r="J509" s="256">
        <v>692.34</v>
      </c>
      <c r="K509" s="134">
        <f t="shared" si="37"/>
        <v>2.9842962276178664E-3</v>
      </c>
      <c r="L509" s="163"/>
      <c r="M509" s="255">
        <v>2530</v>
      </c>
      <c r="N509" s="134">
        <f t="shared" si="38"/>
        <v>-2.7591643673630095E-3</v>
      </c>
      <c r="O509" s="163"/>
      <c r="P509" s="255">
        <v>18197.45</v>
      </c>
      <c r="Q509" s="134">
        <f t="shared" si="39"/>
        <v>-1.92512841045267E-3</v>
      </c>
      <c r="R509" s="19"/>
      <c r="S509" s="19"/>
      <c r="T509" s="19"/>
      <c r="X509" s="35"/>
    </row>
    <row r="510" spans="3:24" x14ac:dyDescent="0.3">
      <c r="C510" s="25" t="s">
        <v>486</v>
      </c>
      <c r="D510" s="255">
        <v>2290.35</v>
      </c>
      <c r="E510" s="134">
        <f t="shared" si="35"/>
        <v>-9.1605051364251899E-4</v>
      </c>
      <c r="G510" s="256">
        <v>937.15</v>
      </c>
      <c r="H510" s="134">
        <f t="shared" si="36"/>
        <v>-4.4616773782334418E-3</v>
      </c>
      <c r="I510" s="163"/>
      <c r="J510" s="256">
        <v>687.4</v>
      </c>
      <c r="K510" s="134">
        <f t="shared" si="37"/>
        <v>-7.1352225785019652E-3</v>
      </c>
      <c r="L510" s="163"/>
      <c r="M510" s="255">
        <v>2550.15</v>
      </c>
      <c r="N510" s="134">
        <f t="shared" si="38"/>
        <v>7.9644268774703431E-3</v>
      </c>
      <c r="O510" s="163"/>
      <c r="P510" s="255">
        <v>18105.3</v>
      </c>
      <c r="Q510" s="134">
        <f t="shared" si="39"/>
        <v>-5.063896315143146E-3</v>
      </c>
      <c r="R510" s="19"/>
      <c r="S510" s="19"/>
      <c r="T510" s="19"/>
      <c r="X510" s="35"/>
    </row>
    <row r="511" spans="3:24" x14ac:dyDescent="0.3">
      <c r="C511" s="25" t="s">
        <v>487</v>
      </c>
      <c r="D511" s="255">
        <v>2275.9499999999998</v>
      </c>
      <c r="E511" s="134">
        <f t="shared" si="35"/>
        <v>-6.2872486737834965E-3</v>
      </c>
      <c r="G511" s="256">
        <v>928.55</v>
      </c>
      <c r="H511" s="134">
        <f t="shared" si="36"/>
        <v>-9.176759323480832E-3</v>
      </c>
      <c r="I511" s="163"/>
      <c r="J511" s="256">
        <v>691.62</v>
      </c>
      <c r="K511" s="134">
        <f t="shared" si="37"/>
        <v>6.1390747745126983E-3</v>
      </c>
      <c r="L511" s="163"/>
      <c r="M511" s="255">
        <v>2601.6999999999998</v>
      </c>
      <c r="N511" s="134">
        <f t="shared" si="38"/>
        <v>2.0214497186439973E-2</v>
      </c>
      <c r="O511" s="163"/>
      <c r="P511" s="255">
        <v>18191</v>
      </c>
      <c r="Q511" s="134">
        <f t="shared" si="39"/>
        <v>4.7334206005975599E-3</v>
      </c>
      <c r="R511" s="19"/>
      <c r="S511" s="19"/>
      <c r="T511" s="19"/>
      <c r="X511" s="35"/>
    </row>
    <row r="512" spans="3:24" x14ac:dyDescent="0.3">
      <c r="C512" s="25" t="s">
        <v>488</v>
      </c>
      <c r="D512" s="255">
        <v>2307.25</v>
      </c>
      <c r="E512" s="134">
        <f t="shared" si="35"/>
        <v>1.3752498956479897E-2</v>
      </c>
      <c r="G512" s="256">
        <v>933.2</v>
      </c>
      <c r="H512" s="134">
        <f t="shared" si="36"/>
        <v>5.0078078724895558E-3</v>
      </c>
      <c r="I512" s="163"/>
      <c r="J512" s="256">
        <v>694.4</v>
      </c>
      <c r="K512" s="134">
        <f t="shared" si="37"/>
        <v>4.019548306873677E-3</v>
      </c>
      <c r="L512" s="163"/>
      <c r="M512" s="255">
        <v>2587.9</v>
      </c>
      <c r="N512" s="134">
        <f t="shared" si="38"/>
        <v>-5.3042241611253038E-3</v>
      </c>
      <c r="O512" s="163"/>
      <c r="P512" s="255">
        <v>18122.5</v>
      </c>
      <c r="Q512" s="134">
        <f t="shared" si="39"/>
        <v>-3.7655983728217546E-3</v>
      </c>
      <c r="R512" s="19"/>
      <c r="S512" s="19"/>
      <c r="T512" s="19"/>
      <c r="X512" s="35"/>
    </row>
    <row r="513" spans="3:24" x14ac:dyDescent="0.3">
      <c r="C513" s="25" t="s">
        <v>489</v>
      </c>
      <c r="D513" s="255">
        <v>2325</v>
      </c>
      <c r="E513" s="134">
        <f t="shared" si="35"/>
        <v>7.6931411853937703E-3</v>
      </c>
      <c r="G513" s="256">
        <v>918.4</v>
      </c>
      <c r="H513" s="134">
        <f t="shared" si="36"/>
        <v>-1.5859408486926796E-2</v>
      </c>
      <c r="I513" s="163"/>
      <c r="J513" s="256">
        <v>687.49</v>
      </c>
      <c r="K513" s="134">
        <f t="shared" si="37"/>
        <v>-9.9510368663594528E-3</v>
      </c>
      <c r="L513" s="163"/>
      <c r="M513" s="255">
        <v>2537.15</v>
      </c>
      <c r="N513" s="134">
        <f t="shared" si="38"/>
        <v>-1.9610494995942696E-2</v>
      </c>
      <c r="O513" s="163"/>
      <c r="P513" s="255">
        <v>18132.3</v>
      </c>
      <c r="Q513" s="134">
        <f t="shared" si="39"/>
        <v>5.4076424334392748E-4</v>
      </c>
      <c r="R513" s="19"/>
      <c r="S513" s="19"/>
      <c r="T513" s="19"/>
      <c r="X513" s="35"/>
    </row>
    <row r="514" spans="3:24" x14ac:dyDescent="0.3">
      <c r="C514" s="25" t="s">
        <v>490</v>
      </c>
      <c r="D514" s="255">
        <v>2293.3000000000002</v>
      </c>
      <c r="E514" s="134">
        <f t="shared" si="35"/>
        <v>-1.3634408602150483E-2</v>
      </c>
      <c r="G514" s="256">
        <v>906.8</v>
      </c>
      <c r="H514" s="134">
        <f t="shared" si="36"/>
        <v>-1.2630662020905903E-2</v>
      </c>
      <c r="I514" s="163"/>
      <c r="J514" s="256">
        <v>689.17</v>
      </c>
      <c r="K514" s="134">
        <f t="shared" si="37"/>
        <v>2.4436719079550251E-3</v>
      </c>
      <c r="L514" s="163"/>
      <c r="M514" s="255">
        <v>2513.5500000000002</v>
      </c>
      <c r="N514" s="134">
        <f t="shared" si="38"/>
        <v>-9.3017756143704E-3</v>
      </c>
      <c r="O514" s="163"/>
      <c r="P514" s="255">
        <v>18014.599999999999</v>
      </c>
      <c r="Q514" s="134">
        <f t="shared" si="39"/>
        <v>-6.4911787252582842E-3</v>
      </c>
      <c r="R514" s="19"/>
      <c r="S514" s="19"/>
      <c r="T514" s="19"/>
      <c r="X514" s="35"/>
    </row>
    <row r="515" spans="3:24" x14ac:dyDescent="0.3">
      <c r="C515" s="25" t="s">
        <v>491</v>
      </c>
      <c r="D515" s="255">
        <v>2219.35</v>
      </c>
      <c r="E515" s="134">
        <f t="shared" si="35"/>
        <v>-3.2246108228317416E-2</v>
      </c>
      <c r="G515" s="256">
        <v>891.7</v>
      </c>
      <c r="H515" s="134">
        <f t="shared" si="36"/>
        <v>-1.6651962946625409E-2</v>
      </c>
      <c r="I515" s="163"/>
      <c r="J515" s="256">
        <v>682.31</v>
      </c>
      <c r="K515" s="134">
        <f t="shared" si="37"/>
        <v>-9.9540026408578841E-3</v>
      </c>
      <c r="L515" s="163"/>
      <c r="M515" s="255">
        <v>2490.25</v>
      </c>
      <c r="N515" s="134">
        <f t="shared" si="38"/>
        <v>-9.269757912116372E-3</v>
      </c>
      <c r="O515" s="163"/>
      <c r="P515" s="255">
        <v>17806.8</v>
      </c>
      <c r="Q515" s="134">
        <f t="shared" si="39"/>
        <v>-1.1535088206232724E-2</v>
      </c>
      <c r="R515" s="19"/>
      <c r="S515" s="19"/>
      <c r="T515" s="19"/>
      <c r="X515" s="35"/>
    </row>
    <row r="516" spans="3:24" x14ac:dyDescent="0.3">
      <c r="C516" s="25" t="s">
        <v>492</v>
      </c>
      <c r="D516" s="255">
        <v>2297.4499999999998</v>
      </c>
      <c r="E516" s="134">
        <f t="shared" si="35"/>
        <v>3.5190483700182407E-2</v>
      </c>
      <c r="G516" s="256">
        <v>940.25</v>
      </c>
      <c r="H516" s="134">
        <f t="shared" si="36"/>
        <v>5.4446562745317895E-2</v>
      </c>
      <c r="I516" s="163"/>
      <c r="J516" s="256">
        <v>699.63</v>
      </c>
      <c r="K516" s="134">
        <f t="shared" si="37"/>
        <v>2.5384356084477755E-2</v>
      </c>
      <c r="L516" s="163"/>
      <c r="M516" s="255">
        <v>2551.75</v>
      </c>
      <c r="N516" s="134">
        <f t="shared" si="38"/>
        <v>2.4696315630960752E-2</v>
      </c>
      <c r="O516" s="163"/>
      <c r="P516" s="255">
        <v>18127.349999999999</v>
      </c>
      <c r="Q516" s="134">
        <f t="shared" si="39"/>
        <v>1.8001549969674402E-2</v>
      </c>
      <c r="R516" s="19"/>
      <c r="S516" s="19"/>
      <c r="T516" s="19"/>
      <c r="X516" s="35"/>
    </row>
    <row r="517" spans="3:24" x14ac:dyDescent="0.3">
      <c r="C517" s="25" t="s">
        <v>493</v>
      </c>
      <c r="D517" s="255">
        <v>2298.6999999999998</v>
      </c>
      <c r="E517" s="134">
        <f t="shared" si="35"/>
        <v>5.4408148164264425E-4</v>
      </c>
      <c r="G517" s="256">
        <v>965.6</v>
      </c>
      <c r="H517" s="134">
        <f t="shared" si="36"/>
        <v>2.696091465035888E-2</v>
      </c>
      <c r="I517" s="163"/>
      <c r="J517" s="256">
        <v>723.89</v>
      </c>
      <c r="K517" s="134">
        <f t="shared" si="37"/>
        <v>3.467547132055504E-2</v>
      </c>
      <c r="L517" s="163"/>
      <c r="M517" s="255">
        <v>2565.75</v>
      </c>
      <c r="N517" s="134">
        <f t="shared" si="38"/>
        <v>5.4864308807680562E-3</v>
      </c>
      <c r="O517" s="163"/>
      <c r="P517" s="255">
        <v>18199.099999999999</v>
      </c>
      <c r="Q517" s="134">
        <f t="shared" si="39"/>
        <v>3.9581075005448163E-3</v>
      </c>
      <c r="R517" s="19"/>
      <c r="S517" s="19"/>
      <c r="T517" s="19"/>
      <c r="X517" s="35"/>
    </row>
    <row r="518" spans="3:24" x14ac:dyDescent="0.3">
      <c r="C518" s="25" t="s">
        <v>494</v>
      </c>
      <c r="D518" s="255">
        <v>2319.8000000000002</v>
      </c>
      <c r="E518" s="134">
        <f t="shared" si="35"/>
        <v>9.1791012311308595E-3</v>
      </c>
      <c r="G518" s="256">
        <v>979</v>
      </c>
      <c r="H518" s="134">
        <f t="shared" si="36"/>
        <v>1.3877381938691036E-2</v>
      </c>
      <c r="I518" s="163"/>
      <c r="J518" s="256">
        <v>723.94</v>
      </c>
      <c r="K518" s="134">
        <f t="shared" si="37"/>
        <v>6.907126773403327E-5</v>
      </c>
      <c r="L518" s="163"/>
      <c r="M518" s="255">
        <v>2576.6999999999998</v>
      </c>
      <c r="N518" s="134">
        <f t="shared" si="38"/>
        <v>4.2677579655070463E-3</v>
      </c>
      <c r="O518" s="163"/>
      <c r="P518" s="255">
        <v>18385.3</v>
      </c>
      <c r="Q518" s="134">
        <f t="shared" si="39"/>
        <v>1.0231275172948084E-2</v>
      </c>
      <c r="R518" s="19"/>
      <c r="S518" s="19"/>
      <c r="T518" s="19"/>
      <c r="X518" s="35"/>
    </row>
    <row r="519" spans="3:24" x14ac:dyDescent="0.3">
      <c r="C519" s="25" t="s">
        <v>495</v>
      </c>
      <c r="D519" s="255">
        <v>2322.85</v>
      </c>
      <c r="E519" s="134">
        <f t="shared" si="35"/>
        <v>1.3147685145269428E-3</v>
      </c>
      <c r="G519" s="256">
        <v>988.65</v>
      </c>
      <c r="H519" s="134">
        <f t="shared" si="36"/>
        <v>9.8569969356485654E-3</v>
      </c>
      <c r="I519" s="163"/>
      <c r="J519" s="256">
        <v>738.62</v>
      </c>
      <c r="K519" s="134">
        <f t="shared" si="37"/>
        <v>2.0277923584827384E-2</v>
      </c>
      <c r="L519" s="163"/>
      <c r="M519" s="255">
        <v>2599.85</v>
      </c>
      <c r="N519" s="134">
        <f t="shared" si="38"/>
        <v>8.9843598401055935E-3</v>
      </c>
      <c r="O519" s="163"/>
      <c r="P519" s="255">
        <v>18420.45</v>
      </c>
      <c r="Q519" s="134">
        <f t="shared" si="39"/>
        <v>1.911853491648241E-3</v>
      </c>
      <c r="R519" s="19"/>
      <c r="S519" s="19"/>
      <c r="T519" s="19"/>
      <c r="W519" s="38"/>
      <c r="X519" s="35"/>
    </row>
    <row r="520" spans="3:24" x14ac:dyDescent="0.3">
      <c r="C520" s="25" t="s">
        <v>496</v>
      </c>
      <c r="D520" s="255">
        <v>2324.3000000000002</v>
      </c>
      <c r="E520" s="134">
        <f t="shared" si="35"/>
        <v>6.2423316184867517E-4</v>
      </c>
      <c r="G520" s="256">
        <v>991.5</v>
      </c>
      <c r="H520" s="134">
        <f t="shared" si="36"/>
        <v>2.8827188590503372E-3</v>
      </c>
      <c r="I520" s="163"/>
      <c r="J520" s="256">
        <v>739.15</v>
      </c>
      <c r="K520" s="134">
        <f t="shared" si="37"/>
        <v>7.1755435812725921E-4</v>
      </c>
      <c r="L520" s="163"/>
      <c r="M520" s="255">
        <v>2592.9</v>
      </c>
      <c r="N520" s="134">
        <f t="shared" si="38"/>
        <v>-2.6732311479508164E-3</v>
      </c>
      <c r="O520" s="163"/>
      <c r="P520" s="255">
        <v>18269</v>
      </c>
      <c r="Q520" s="134">
        <f t="shared" si="39"/>
        <v>-8.2218404002074585E-3</v>
      </c>
      <c r="R520" s="19"/>
      <c r="S520" s="19"/>
      <c r="T520" s="19"/>
      <c r="W520" s="38"/>
      <c r="X520" s="35"/>
    </row>
    <row r="521" spans="3:24" x14ac:dyDescent="0.3">
      <c r="C521" s="25" t="s">
        <v>497</v>
      </c>
      <c r="D521" s="255">
        <v>2400.6999999999998</v>
      </c>
      <c r="E521" s="134">
        <f t="shared" si="35"/>
        <v>3.2870111431398508E-2</v>
      </c>
      <c r="G521" s="255">
        <v>1026.7</v>
      </c>
      <c r="H521" s="134">
        <f t="shared" si="36"/>
        <v>3.5501765002521557E-2</v>
      </c>
      <c r="I521" s="163"/>
      <c r="J521" s="256">
        <v>739.29</v>
      </c>
      <c r="K521" s="134">
        <f t="shared" si="37"/>
        <v>1.8940675099776705E-4</v>
      </c>
      <c r="L521" s="163"/>
      <c r="M521" s="255">
        <v>2616.5500000000002</v>
      </c>
      <c r="N521" s="134">
        <f t="shared" si="38"/>
        <v>9.121061359867344E-3</v>
      </c>
      <c r="O521" s="163"/>
      <c r="P521" s="255">
        <v>18414.900000000001</v>
      </c>
      <c r="Q521" s="134">
        <f t="shared" si="39"/>
        <v>7.9862061415514329E-3</v>
      </c>
      <c r="R521" s="19"/>
      <c r="S521" s="19"/>
      <c r="T521" s="19"/>
      <c r="W521" s="38"/>
      <c r="X521" s="35"/>
    </row>
    <row r="522" spans="3:24" x14ac:dyDescent="0.3">
      <c r="C522" s="25" t="s">
        <v>498</v>
      </c>
      <c r="D522" s="255">
        <v>2399.9499999999998</v>
      </c>
      <c r="E522" s="134">
        <f t="shared" si="35"/>
        <v>-3.1240888074313133E-4</v>
      </c>
      <c r="G522" s="255">
        <v>1036.5</v>
      </c>
      <c r="H522" s="134">
        <f t="shared" si="36"/>
        <v>9.5451446381611404E-3</v>
      </c>
      <c r="I522" s="163"/>
      <c r="J522" s="256">
        <v>748.83</v>
      </c>
      <c r="K522" s="134">
        <f t="shared" si="37"/>
        <v>1.2904273018707224E-2</v>
      </c>
      <c r="L522" s="163"/>
      <c r="M522" s="255">
        <v>2636.3</v>
      </c>
      <c r="N522" s="134">
        <f t="shared" si="38"/>
        <v>7.5481072404501859E-3</v>
      </c>
      <c r="O522" s="163"/>
      <c r="P522" s="255">
        <v>18660.3</v>
      </c>
      <c r="Q522" s="134">
        <f t="shared" si="39"/>
        <v>1.3326165224899267E-2</v>
      </c>
      <c r="R522" s="19"/>
      <c r="S522" s="19"/>
      <c r="T522" s="19"/>
      <c r="W522" s="38"/>
      <c r="X522" s="35"/>
    </row>
    <row r="523" spans="3:24" x14ac:dyDescent="0.3">
      <c r="C523" s="25" t="s">
        <v>499</v>
      </c>
      <c r="D523" s="255">
        <v>2330.8000000000002</v>
      </c>
      <c r="E523" s="134">
        <f t="shared" si="35"/>
        <v>-2.8813100272922165E-2</v>
      </c>
      <c r="G523" s="255">
        <v>1033.7</v>
      </c>
      <c r="H523" s="134">
        <f t="shared" si="36"/>
        <v>-2.7013989387361104E-3</v>
      </c>
      <c r="I523" s="163"/>
      <c r="J523" s="256">
        <v>735.4</v>
      </c>
      <c r="K523" s="134">
        <f t="shared" si="37"/>
        <v>-1.7934644712418124E-2</v>
      </c>
      <c r="L523" s="163"/>
      <c r="M523" s="255">
        <v>2648.8</v>
      </c>
      <c r="N523" s="134">
        <f t="shared" si="38"/>
        <v>4.7414937601941709E-3</v>
      </c>
      <c r="O523" s="163"/>
      <c r="P523" s="255">
        <v>18608</v>
      </c>
      <c r="Q523" s="134">
        <f t="shared" si="39"/>
        <v>-2.8027416493839885E-3</v>
      </c>
      <c r="R523" s="19"/>
      <c r="S523" s="19"/>
      <c r="T523" s="19"/>
      <c r="W523" s="38"/>
      <c r="X523" s="35"/>
    </row>
    <row r="524" spans="3:24" x14ac:dyDescent="0.3">
      <c r="C524" s="160">
        <v>44907</v>
      </c>
      <c r="D524" s="255">
        <v>2336.1</v>
      </c>
      <c r="E524" s="134">
        <f t="shared" ref="E524:E587" si="40">D524/D523-1</f>
        <v>2.2738973742919555E-3</v>
      </c>
      <c r="F524" s="34"/>
      <c r="G524" s="255">
        <v>1034.1500000000001</v>
      </c>
      <c r="H524" s="134">
        <f t="shared" ref="H524:H587" si="41">G524/G523-1</f>
        <v>4.3532939924539882E-4</v>
      </c>
      <c r="I524" s="163"/>
      <c r="J524" s="256">
        <v>741.4</v>
      </c>
      <c r="K524" s="134">
        <f t="shared" ref="K524:K587" si="42">J524/J523-1</f>
        <v>8.158825129181313E-3</v>
      </c>
      <c r="L524" s="163"/>
      <c r="M524" s="255">
        <v>2688.15</v>
      </c>
      <c r="N524" s="134">
        <f t="shared" ref="N524:N587" si="43">M524/M523-1</f>
        <v>1.4855783751132501E-2</v>
      </c>
      <c r="O524" s="163"/>
      <c r="P524" s="255">
        <v>18497.150000000001</v>
      </c>
      <c r="Q524" s="134">
        <f t="shared" ref="Q524:Q587" si="44">P524/P523-1</f>
        <v>-5.957115219260456E-3</v>
      </c>
      <c r="R524" s="19"/>
      <c r="S524" s="19"/>
      <c r="T524" s="19"/>
      <c r="W524" s="38"/>
      <c r="X524" s="35"/>
    </row>
    <row r="525" spans="3:24" x14ac:dyDescent="0.3">
      <c r="C525" s="160">
        <v>44816</v>
      </c>
      <c r="D525" s="255">
        <v>2365.5</v>
      </c>
      <c r="E525" s="134">
        <f t="shared" si="40"/>
        <v>1.2585077693591851E-2</v>
      </c>
      <c r="F525" s="34"/>
      <c r="G525" s="255">
        <v>1033.75</v>
      </c>
      <c r="H525" s="134">
        <f t="shared" si="41"/>
        <v>-3.8679108446559862E-4</v>
      </c>
      <c r="I525" s="163"/>
      <c r="J525" s="256">
        <v>732.72</v>
      </c>
      <c r="K525" s="134">
        <f t="shared" si="42"/>
        <v>-1.1707580253574212E-2</v>
      </c>
      <c r="L525" s="163"/>
      <c r="M525" s="255">
        <v>2739.65</v>
      </c>
      <c r="N525" s="134">
        <f t="shared" si="43"/>
        <v>1.9158157096888173E-2</v>
      </c>
      <c r="O525" s="163"/>
      <c r="P525" s="255">
        <v>18496.599999999999</v>
      </c>
      <c r="Q525" s="134">
        <f t="shared" si="44"/>
        <v>-2.9734310420970189E-5</v>
      </c>
      <c r="R525" s="19"/>
      <c r="S525" s="19"/>
      <c r="T525" s="19"/>
      <c r="W525" s="38"/>
      <c r="X525" s="35"/>
    </row>
    <row r="526" spans="3:24" x14ac:dyDescent="0.3">
      <c r="C526" s="160">
        <v>44785</v>
      </c>
      <c r="D526" s="255">
        <v>2384.6</v>
      </c>
      <c r="E526" s="134">
        <f t="shared" si="40"/>
        <v>8.0744028746564389E-3</v>
      </c>
      <c r="F526" s="34"/>
      <c r="G526" s="255">
        <v>1046.25</v>
      </c>
      <c r="H526" s="134">
        <f t="shared" si="41"/>
        <v>1.2091898428053138E-2</v>
      </c>
      <c r="I526" s="163"/>
      <c r="J526" s="256">
        <v>746.05</v>
      </c>
      <c r="K526" s="134">
        <f t="shared" si="42"/>
        <v>1.8192488262910755E-2</v>
      </c>
      <c r="L526" s="163"/>
      <c r="M526" s="255">
        <v>2761.75</v>
      </c>
      <c r="N526" s="134">
        <f t="shared" si="43"/>
        <v>8.0667238515867989E-3</v>
      </c>
      <c r="O526" s="163"/>
      <c r="P526" s="255">
        <v>18609.349999999999</v>
      </c>
      <c r="Q526" s="134">
        <f t="shared" si="44"/>
        <v>6.0957148881415346E-3</v>
      </c>
      <c r="R526" s="19"/>
      <c r="S526" s="19"/>
      <c r="T526" s="19"/>
      <c r="W526" s="38"/>
      <c r="X526" s="35"/>
    </row>
    <row r="527" spans="3:24" x14ac:dyDescent="0.3">
      <c r="C527" s="160">
        <v>44754</v>
      </c>
      <c r="D527" s="255">
        <v>2373.1999999999998</v>
      </c>
      <c r="E527" s="134">
        <f t="shared" si="40"/>
        <v>-4.7806760043613838E-3</v>
      </c>
      <c r="F527" s="34"/>
      <c r="G527" s="255">
        <v>1029.5</v>
      </c>
      <c r="H527" s="134">
        <f t="shared" si="41"/>
        <v>-1.6009557945041775E-2</v>
      </c>
      <c r="I527" s="163"/>
      <c r="J527" s="256">
        <v>745.38</v>
      </c>
      <c r="K527" s="134">
        <f t="shared" si="42"/>
        <v>-8.980631324977395E-4</v>
      </c>
      <c r="L527" s="163"/>
      <c r="M527" s="255">
        <v>2772.4</v>
      </c>
      <c r="N527" s="134">
        <f t="shared" si="43"/>
        <v>3.8562505657644408E-3</v>
      </c>
      <c r="O527" s="163"/>
      <c r="P527" s="255">
        <v>18560.5</v>
      </c>
      <c r="Q527" s="134">
        <f t="shared" si="44"/>
        <v>-2.6250245172453335E-3</v>
      </c>
      <c r="R527" s="19"/>
      <c r="S527" s="19"/>
      <c r="T527" s="19"/>
      <c r="W527" s="38"/>
      <c r="X527" s="35"/>
    </row>
    <row r="528" spans="3:24" x14ac:dyDescent="0.3">
      <c r="C528" s="160">
        <v>44724</v>
      </c>
      <c r="D528" s="255">
        <v>2385.6</v>
      </c>
      <c r="E528" s="134">
        <f t="shared" si="40"/>
        <v>5.2250126411597098E-3</v>
      </c>
      <c r="F528" s="34"/>
      <c r="G528" s="255">
        <v>1043.2</v>
      </c>
      <c r="H528" s="134">
        <f t="shared" si="41"/>
        <v>1.3307430791646535E-2</v>
      </c>
      <c r="I528" s="163"/>
      <c r="J528" s="256">
        <v>755.55</v>
      </c>
      <c r="K528" s="134">
        <f t="shared" si="42"/>
        <v>1.3644047331562437E-2</v>
      </c>
      <c r="L528" s="163"/>
      <c r="M528" s="255">
        <v>2757.2</v>
      </c>
      <c r="N528" s="134">
        <f t="shared" si="43"/>
        <v>-5.4826143413649886E-3</v>
      </c>
      <c r="O528" s="163"/>
      <c r="P528" s="255">
        <v>18642.75</v>
      </c>
      <c r="Q528" s="134">
        <f t="shared" si="44"/>
        <v>4.4314538940222192E-3</v>
      </c>
      <c r="R528" s="19"/>
      <c r="S528" s="19"/>
      <c r="T528" s="19"/>
      <c r="X528" s="35"/>
    </row>
    <row r="529" spans="3:24" x14ac:dyDescent="0.3">
      <c r="C529" s="160">
        <v>44693</v>
      </c>
      <c r="D529" s="255">
        <v>2399.0500000000002</v>
      </c>
      <c r="E529" s="134">
        <f t="shared" si="40"/>
        <v>5.6379946344735643E-3</v>
      </c>
      <c r="F529" s="34"/>
      <c r="G529" s="255">
        <v>1056.7</v>
      </c>
      <c r="H529" s="134">
        <f t="shared" si="41"/>
        <v>1.2940950920245387E-2</v>
      </c>
      <c r="I529" s="163"/>
      <c r="J529" s="256">
        <v>770.03</v>
      </c>
      <c r="K529" s="134">
        <f t="shared" si="42"/>
        <v>1.9164846800344248E-2</v>
      </c>
      <c r="L529" s="163"/>
      <c r="M529" s="255">
        <v>2733.8</v>
      </c>
      <c r="N529" s="134">
        <f t="shared" si="43"/>
        <v>-8.4868707384301301E-3</v>
      </c>
      <c r="O529" s="163"/>
      <c r="P529" s="255">
        <v>18701.05</v>
      </c>
      <c r="Q529" s="134">
        <f t="shared" si="44"/>
        <v>3.1272210376687148E-3</v>
      </c>
      <c r="R529" s="19"/>
      <c r="S529" s="19"/>
      <c r="T529" s="19"/>
      <c r="X529" s="35"/>
    </row>
    <row r="530" spans="3:24" x14ac:dyDescent="0.3">
      <c r="C530" s="160">
        <v>44604</v>
      </c>
      <c r="D530" s="255">
        <v>2398.6</v>
      </c>
      <c r="E530" s="134">
        <f t="shared" si="40"/>
        <v>-1.875742481399767E-4</v>
      </c>
      <c r="F530" s="34"/>
      <c r="G530" s="255">
        <v>1039.3499999999999</v>
      </c>
      <c r="H530" s="134">
        <f t="shared" si="41"/>
        <v>-1.6419040408820029E-2</v>
      </c>
      <c r="I530" s="163"/>
      <c r="J530" s="256">
        <v>751.81</v>
      </c>
      <c r="K530" s="134">
        <f t="shared" si="42"/>
        <v>-2.3661415788995277E-2</v>
      </c>
      <c r="L530" s="163"/>
      <c r="M530" s="255">
        <v>2736.2</v>
      </c>
      <c r="N530" s="134">
        <f t="shared" si="43"/>
        <v>8.7789889531042498E-4</v>
      </c>
      <c r="O530" s="163"/>
      <c r="P530" s="255">
        <v>18696.099999999999</v>
      </c>
      <c r="Q530" s="134">
        <f t="shared" si="44"/>
        <v>-2.6469102002302236E-4</v>
      </c>
      <c r="R530" s="19"/>
      <c r="S530" s="19"/>
      <c r="T530" s="19"/>
      <c r="X530" s="35"/>
    </row>
    <row r="531" spans="3:24" x14ac:dyDescent="0.3">
      <c r="C531" s="160">
        <v>44573</v>
      </c>
      <c r="D531" s="255">
        <v>2398.5500000000002</v>
      </c>
      <c r="E531" s="134">
        <f t="shared" si="40"/>
        <v>-2.0845493204246779E-5</v>
      </c>
      <c r="F531" s="34"/>
      <c r="G531" s="255">
        <v>1048.7</v>
      </c>
      <c r="H531" s="134">
        <f t="shared" si="41"/>
        <v>8.9960071198347258E-3</v>
      </c>
      <c r="I531" s="163"/>
      <c r="J531" s="256">
        <v>746.87</v>
      </c>
      <c r="K531" s="134">
        <f t="shared" si="42"/>
        <v>-6.5708091140047609E-3</v>
      </c>
      <c r="L531" s="163"/>
      <c r="M531" s="255">
        <v>2733.55</v>
      </c>
      <c r="N531" s="134">
        <f t="shared" si="43"/>
        <v>-9.6849645493735093E-4</v>
      </c>
      <c r="O531" s="163"/>
      <c r="P531" s="255">
        <v>18812.5</v>
      </c>
      <c r="Q531" s="134">
        <f t="shared" si="44"/>
        <v>6.2258973796673889E-3</v>
      </c>
      <c r="R531" s="19"/>
      <c r="S531" s="19"/>
      <c r="T531" s="19"/>
      <c r="X531" s="35"/>
    </row>
    <row r="532" spans="3:24" x14ac:dyDescent="0.3">
      <c r="C532" s="25" t="s">
        <v>500</v>
      </c>
      <c r="D532" s="255">
        <v>2365.6999999999998</v>
      </c>
      <c r="E532" s="134">
        <f t="shared" si="40"/>
        <v>-1.3695774530445681E-2</v>
      </c>
      <c r="G532" s="255">
        <v>1035.5</v>
      </c>
      <c r="H532" s="134">
        <f t="shared" si="41"/>
        <v>-1.2587012491656391E-2</v>
      </c>
      <c r="I532" s="163"/>
      <c r="J532" s="256">
        <v>757.75</v>
      </c>
      <c r="K532" s="134">
        <f t="shared" si="42"/>
        <v>1.4567461539491511E-2</v>
      </c>
      <c r="L532" s="163"/>
      <c r="M532" s="255">
        <v>2748.7</v>
      </c>
      <c r="N532" s="134">
        <f t="shared" si="43"/>
        <v>5.5422436026411059E-3</v>
      </c>
      <c r="O532" s="163"/>
      <c r="P532" s="255">
        <v>18758.349999999999</v>
      </c>
      <c r="Q532" s="134">
        <f t="shared" si="44"/>
        <v>-2.8784053156146738E-3</v>
      </c>
      <c r="R532" s="19"/>
      <c r="S532" s="19"/>
      <c r="T532" s="19"/>
      <c r="X532" s="35"/>
    </row>
    <row r="533" spans="3:24" x14ac:dyDescent="0.3">
      <c r="C533" s="25" t="s">
        <v>501</v>
      </c>
      <c r="D533" s="255">
        <v>2320.9499999999998</v>
      </c>
      <c r="E533" s="134">
        <f t="shared" si="40"/>
        <v>-1.8916177030054548E-2</v>
      </c>
      <c r="G533" s="255">
        <v>1028.2</v>
      </c>
      <c r="H533" s="134">
        <f t="shared" si="41"/>
        <v>-7.0497344278126484E-3</v>
      </c>
      <c r="I533" s="163"/>
      <c r="J533" s="256">
        <v>742.89</v>
      </c>
      <c r="K533" s="134">
        <f t="shared" si="42"/>
        <v>-1.9610689541405546E-2</v>
      </c>
      <c r="L533" s="163"/>
      <c r="M533" s="255">
        <v>2727.95</v>
      </c>
      <c r="N533" s="134">
        <f t="shared" si="43"/>
        <v>-7.549023174591607E-3</v>
      </c>
      <c r="O533" s="163"/>
      <c r="P533" s="255">
        <v>18618.05</v>
      </c>
      <c r="Q533" s="134">
        <f t="shared" si="44"/>
        <v>-7.4793358690928846E-3</v>
      </c>
      <c r="R533" s="19"/>
      <c r="S533" s="19"/>
      <c r="T533" s="19"/>
      <c r="X533" s="35"/>
    </row>
    <row r="534" spans="3:24" x14ac:dyDescent="0.3">
      <c r="C534" s="25" t="s">
        <v>502</v>
      </c>
      <c r="D534" s="255">
        <v>2325.5500000000002</v>
      </c>
      <c r="E534" s="134">
        <f t="shared" si="40"/>
        <v>1.9819470475452849E-3</v>
      </c>
      <c r="G534" s="255">
        <v>1038.8499999999999</v>
      </c>
      <c r="H534" s="134">
        <f t="shared" si="41"/>
        <v>1.0357907021979917E-2</v>
      </c>
      <c r="I534" s="163"/>
      <c r="J534" s="256">
        <v>748.11</v>
      </c>
      <c r="K534" s="134">
        <f t="shared" si="42"/>
        <v>7.0266122844566681E-3</v>
      </c>
      <c r="L534" s="163"/>
      <c r="M534" s="255">
        <v>2692.35</v>
      </c>
      <c r="N534" s="134">
        <f t="shared" si="43"/>
        <v>-1.3050092560347504E-2</v>
      </c>
      <c r="O534" s="163"/>
      <c r="P534" s="255">
        <v>18562.75</v>
      </c>
      <c r="Q534" s="134">
        <f t="shared" si="44"/>
        <v>-2.9702358732519585E-3</v>
      </c>
      <c r="R534" s="19"/>
      <c r="S534" s="19"/>
      <c r="T534" s="19"/>
      <c r="X534" s="35"/>
    </row>
    <row r="535" spans="3:24" x14ac:dyDescent="0.3">
      <c r="C535" s="25" t="s">
        <v>503</v>
      </c>
      <c r="D535" s="255">
        <v>2278.6999999999998</v>
      </c>
      <c r="E535" s="134">
        <f t="shared" si="40"/>
        <v>-2.0145771967921777E-2</v>
      </c>
      <c r="G535" s="255">
        <v>1032.0999999999999</v>
      </c>
      <c r="H535" s="134">
        <f t="shared" si="41"/>
        <v>-6.4975694277326079E-3</v>
      </c>
      <c r="I535" s="163"/>
      <c r="J535" s="256">
        <v>745.24</v>
      </c>
      <c r="K535" s="134">
        <f t="shared" si="42"/>
        <v>-3.8363342289235991E-3</v>
      </c>
      <c r="L535" s="163"/>
      <c r="M535" s="255">
        <v>2662.1</v>
      </c>
      <c r="N535" s="134">
        <f t="shared" si="43"/>
        <v>-1.1235537727264266E-2</v>
      </c>
      <c r="O535" s="163"/>
      <c r="P535" s="255">
        <v>18512.75</v>
      </c>
      <c r="Q535" s="134">
        <f t="shared" si="44"/>
        <v>-2.6935664166138906E-3</v>
      </c>
      <c r="R535" s="19"/>
      <c r="S535" s="19"/>
      <c r="T535" s="19"/>
      <c r="X535" s="35"/>
    </row>
    <row r="536" spans="3:24" x14ac:dyDescent="0.3">
      <c r="C536" s="25" t="s">
        <v>504</v>
      </c>
      <c r="D536" s="255">
        <v>2259.4499999999998</v>
      </c>
      <c r="E536" s="134">
        <f t="shared" si="40"/>
        <v>-8.4477991837451638E-3</v>
      </c>
      <c r="G536" s="255">
        <v>1023.8</v>
      </c>
      <c r="H536" s="134">
        <f t="shared" si="41"/>
        <v>-8.0418564092625822E-3</v>
      </c>
      <c r="I536" s="163"/>
      <c r="J536" s="256">
        <v>742.65</v>
      </c>
      <c r="K536" s="134">
        <f t="shared" si="42"/>
        <v>-3.4753904782351963E-3</v>
      </c>
      <c r="L536" s="163"/>
      <c r="M536" s="255">
        <v>2703.9</v>
      </c>
      <c r="N536" s="134">
        <f t="shared" si="43"/>
        <v>1.5701889485744358E-2</v>
      </c>
      <c r="O536" s="163"/>
      <c r="P536" s="255">
        <v>18484.099999999999</v>
      </c>
      <c r="Q536" s="134">
        <f t="shared" si="44"/>
        <v>-1.5475820718154898E-3</v>
      </c>
      <c r="R536" s="19"/>
      <c r="S536" s="19"/>
      <c r="T536" s="19"/>
      <c r="X536" s="35"/>
    </row>
    <row r="537" spans="3:24" x14ac:dyDescent="0.3">
      <c r="C537" s="25" t="s">
        <v>505</v>
      </c>
      <c r="D537" s="255">
        <v>2280.75</v>
      </c>
      <c r="E537" s="134">
        <f t="shared" si="40"/>
        <v>9.4270729602337067E-3</v>
      </c>
      <c r="G537" s="255">
        <v>1028.5</v>
      </c>
      <c r="H537" s="134">
        <f t="shared" si="41"/>
        <v>4.5907403789802181E-3</v>
      </c>
      <c r="I537" s="163"/>
      <c r="J537" s="256">
        <v>736.89</v>
      </c>
      <c r="K537" s="134">
        <f t="shared" si="42"/>
        <v>-7.7560088870934907E-3</v>
      </c>
      <c r="L537" s="163"/>
      <c r="M537" s="255">
        <v>2696.45</v>
      </c>
      <c r="N537" s="134">
        <f t="shared" si="43"/>
        <v>-2.75527941122089E-3</v>
      </c>
      <c r="O537" s="163"/>
      <c r="P537" s="255">
        <v>18267.25</v>
      </c>
      <c r="Q537" s="134">
        <f t="shared" si="44"/>
        <v>-1.1731704546069199E-2</v>
      </c>
      <c r="R537" s="19"/>
      <c r="S537" s="19"/>
      <c r="T537" s="19"/>
      <c r="X537" s="35"/>
    </row>
    <row r="538" spans="3:24" x14ac:dyDescent="0.3">
      <c r="C538" s="25" t="s">
        <v>506</v>
      </c>
      <c r="D538" s="255">
        <v>2288.8000000000002</v>
      </c>
      <c r="E538" s="134">
        <f t="shared" si="40"/>
        <v>3.5295407212541097E-3</v>
      </c>
      <c r="G538" s="255">
        <v>1039.2</v>
      </c>
      <c r="H538" s="134">
        <f t="shared" si="41"/>
        <v>1.0403500243072461E-2</v>
      </c>
      <c r="I538" s="163"/>
      <c r="J538" s="256">
        <v>736.17</v>
      </c>
      <c r="K538" s="134">
        <f t="shared" si="42"/>
        <v>-9.7707934698532117E-4</v>
      </c>
      <c r="L538" s="163"/>
      <c r="M538" s="255">
        <v>2696.95</v>
      </c>
      <c r="N538" s="134">
        <f t="shared" si="43"/>
        <v>1.8542898996831703E-4</v>
      </c>
      <c r="O538" s="163"/>
      <c r="P538" s="255">
        <v>18244.2</v>
      </c>
      <c r="Q538" s="134">
        <f t="shared" si="44"/>
        <v>-1.261821018489373E-3</v>
      </c>
      <c r="R538" s="19"/>
      <c r="S538" s="19"/>
      <c r="T538" s="19"/>
      <c r="X538" s="35"/>
    </row>
    <row r="539" spans="3:24" x14ac:dyDescent="0.3">
      <c r="C539" s="25" t="s">
        <v>507</v>
      </c>
      <c r="D539" s="255">
        <v>2246.35</v>
      </c>
      <c r="E539" s="134">
        <f t="shared" si="40"/>
        <v>-1.8546836770360176E-2</v>
      </c>
      <c r="G539" s="255">
        <v>1036.3</v>
      </c>
      <c r="H539" s="134">
        <f t="shared" si="41"/>
        <v>-2.7906081601232202E-3</v>
      </c>
      <c r="I539" s="163"/>
      <c r="J539" s="256">
        <v>728.45</v>
      </c>
      <c r="K539" s="134">
        <f t="shared" si="42"/>
        <v>-1.0486708233152564E-2</v>
      </c>
      <c r="L539" s="163"/>
      <c r="M539" s="255">
        <v>2662</v>
      </c>
      <c r="N539" s="134">
        <f t="shared" si="43"/>
        <v>-1.2959083409036065E-2</v>
      </c>
      <c r="O539" s="163"/>
      <c r="P539" s="255">
        <v>18159.95</v>
      </c>
      <c r="Q539" s="134">
        <f t="shared" si="44"/>
        <v>-4.6179059646352938E-3</v>
      </c>
      <c r="R539" s="19"/>
      <c r="S539" s="19"/>
      <c r="T539" s="19"/>
      <c r="X539" s="35"/>
    </row>
    <row r="540" spans="3:24" x14ac:dyDescent="0.3">
      <c r="C540" s="25" t="s">
        <v>508</v>
      </c>
      <c r="D540" s="255">
        <v>2275.25</v>
      </c>
      <c r="E540" s="134">
        <f t="shared" si="40"/>
        <v>1.2865314844080489E-2</v>
      </c>
      <c r="G540" s="255">
        <v>1015.75</v>
      </c>
      <c r="H540" s="134">
        <f t="shared" si="41"/>
        <v>-1.9830165010132128E-2</v>
      </c>
      <c r="I540" s="163"/>
      <c r="J540" s="256">
        <v>734.92</v>
      </c>
      <c r="K540" s="134">
        <f t="shared" si="42"/>
        <v>8.881872468940788E-3</v>
      </c>
      <c r="L540" s="163"/>
      <c r="M540" s="255">
        <v>2699.25</v>
      </c>
      <c r="N540" s="134">
        <f t="shared" si="43"/>
        <v>1.3993238166791988E-2</v>
      </c>
      <c r="O540" s="163"/>
      <c r="P540" s="255">
        <v>18307.650000000001</v>
      </c>
      <c r="Q540" s="134">
        <f t="shared" si="44"/>
        <v>8.133282305292644E-3</v>
      </c>
      <c r="R540" s="19"/>
      <c r="S540" s="19"/>
      <c r="T540" s="19"/>
      <c r="X540" s="35"/>
    </row>
    <row r="541" spans="3:24" x14ac:dyDescent="0.3">
      <c r="C541" s="25" t="s">
        <v>509</v>
      </c>
      <c r="D541" s="255">
        <v>2339.0500000000002</v>
      </c>
      <c r="E541" s="134">
        <f t="shared" si="40"/>
        <v>2.8040874629161605E-2</v>
      </c>
      <c r="G541" s="255">
        <v>1036.2</v>
      </c>
      <c r="H541" s="134">
        <f t="shared" si="41"/>
        <v>2.0132906719173116E-2</v>
      </c>
      <c r="I541" s="163"/>
      <c r="J541" s="256">
        <v>739.19</v>
      </c>
      <c r="K541" s="134">
        <f t="shared" si="42"/>
        <v>5.8101562074786006E-3</v>
      </c>
      <c r="L541" s="163"/>
      <c r="M541" s="255">
        <v>2693.2</v>
      </c>
      <c r="N541" s="134">
        <f t="shared" si="43"/>
        <v>-2.2413633416690226E-3</v>
      </c>
      <c r="O541" s="163"/>
      <c r="P541" s="255">
        <v>18343.900000000001</v>
      </c>
      <c r="Q541" s="134">
        <f t="shared" si="44"/>
        <v>1.980046592544582E-3</v>
      </c>
      <c r="R541" s="19"/>
      <c r="S541" s="19"/>
      <c r="T541" s="19"/>
      <c r="X541" s="35"/>
    </row>
    <row r="542" spans="3:24" x14ac:dyDescent="0.3">
      <c r="C542" s="25" t="s">
        <v>510</v>
      </c>
      <c r="D542" s="255">
        <v>2369.4499999999998</v>
      </c>
      <c r="E542" s="134">
        <f t="shared" si="40"/>
        <v>1.2996729441439703E-2</v>
      </c>
      <c r="G542" s="255">
        <v>1049.2</v>
      </c>
      <c r="H542" s="134">
        <f t="shared" si="41"/>
        <v>1.2545840571318356E-2</v>
      </c>
      <c r="I542" s="163"/>
      <c r="J542" s="256">
        <v>735.98</v>
      </c>
      <c r="K542" s="134">
        <f t="shared" si="42"/>
        <v>-4.3425912147080359E-3</v>
      </c>
      <c r="L542" s="163"/>
      <c r="M542" s="255">
        <v>2682.45</v>
      </c>
      <c r="N542" s="134">
        <f t="shared" si="43"/>
        <v>-3.9915342343680438E-3</v>
      </c>
      <c r="O542" s="163"/>
      <c r="P542" s="255">
        <v>18409.650000000001</v>
      </c>
      <c r="Q542" s="134">
        <f t="shared" si="44"/>
        <v>3.5842977774627194E-3</v>
      </c>
      <c r="R542" s="19"/>
      <c r="S542" s="19"/>
      <c r="T542" s="19"/>
      <c r="W542" s="38"/>
      <c r="X542" s="35"/>
    </row>
    <row r="543" spans="3:24" x14ac:dyDescent="0.3">
      <c r="C543" s="25" t="s">
        <v>511</v>
      </c>
      <c r="D543" s="255">
        <v>2403.4</v>
      </c>
      <c r="E543" s="134">
        <f t="shared" si="40"/>
        <v>1.4328219629027972E-2</v>
      </c>
      <c r="G543" s="255">
        <v>1057.2</v>
      </c>
      <c r="H543" s="134">
        <f t="shared" si="41"/>
        <v>7.6248570339305655E-3</v>
      </c>
      <c r="I543" s="163"/>
      <c r="J543" s="256">
        <v>739</v>
      </c>
      <c r="K543" s="134">
        <f t="shared" si="42"/>
        <v>4.1033723742491812E-3</v>
      </c>
      <c r="L543" s="163"/>
      <c r="M543" s="255">
        <v>2675</v>
      </c>
      <c r="N543" s="134">
        <f t="shared" si="43"/>
        <v>-2.7773117858673757E-3</v>
      </c>
      <c r="O543" s="163"/>
      <c r="P543" s="255">
        <v>18403.400000000001</v>
      </c>
      <c r="Q543" s="134">
        <f t="shared" si="44"/>
        <v>-3.3949586222448147E-4</v>
      </c>
      <c r="R543" s="19"/>
      <c r="S543" s="19"/>
      <c r="T543" s="19"/>
      <c r="W543" s="38"/>
      <c r="X543" s="35"/>
    </row>
    <row r="544" spans="3:24" x14ac:dyDescent="0.3">
      <c r="C544" s="25" t="s">
        <v>512</v>
      </c>
      <c r="D544" s="255">
        <v>2378.25</v>
      </c>
      <c r="E544" s="134">
        <f t="shared" si="40"/>
        <v>-1.0464342181908948E-2</v>
      </c>
      <c r="G544" s="255">
        <v>1065.25</v>
      </c>
      <c r="H544" s="134">
        <f t="shared" si="41"/>
        <v>7.6144532727959735E-3</v>
      </c>
      <c r="I544" s="163"/>
      <c r="J544" s="256">
        <v>741.97</v>
      </c>
      <c r="K544" s="134">
        <f t="shared" si="42"/>
        <v>4.0189445196210372E-3</v>
      </c>
      <c r="L544" s="163"/>
      <c r="M544" s="255">
        <v>2654.55</v>
      </c>
      <c r="N544" s="134">
        <f t="shared" si="43"/>
        <v>-7.6448598130840484E-3</v>
      </c>
      <c r="O544" s="163"/>
      <c r="P544" s="255">
        <v>18329.150000000001</v>
      </c>
      <c r="Q544" s="134">
        <f t="shared" si="44"/>
        <v>-4.0345805666344159E-3</v>
      </c>
      <c r="R544" s="19"/>
      <c r="S544" s="19"/>
      <c r="T544" s="19"/>
      <c r="W544" s="38"/>
      <c r="X544" s="35"/>
    </row>
    <row r="545" spans="3:24" x14ac:dyDescent="0.3">
      <c r="C545" s="160">
        <v>44876</v>
      </c>
      <c r="D545" s="255">
        <v>2388.6999999999998</v>
      </c>
      <c r="E545" s="134">
        <f t="shared" si="40"/>
        <v>4.3939871754441473E-3</v>
      </c>
      <c r="F545" s="34"/>
      <c r="G545" s="255">
        <v>1067.5</v>
      </c>
      <c r="H545" s="134">
        <f t="shared" si="41"/>
        <v>2.1121802393804234E-3</v>
      </c>
      <c r="I545" s="163"/>
      <c r="J545" s="256">
        <v>736.41</v>
      </c>
      <c r="K545" s="134">
        <f t="shared" si="42"/>
        <v>-7.4935644298287363E-3</v>
      </c>
      <c r="L545" s="163"/>
      <c r="M545" s="255">
        <v>2661.2</v>
      </c>
      <c r="N545" s="134">
        <f t="shared" si="43"/>
        <v>2.5051326966905041E-3</v>
      </c>
      <c r="O545" s="163"/>
      <c r="P545" s="255">
        <v>18349.7</v>
      </c>
      <c r="Q545" s="134">
        <f t="shared" si="44"/>
        <v>1.1211649203590746E-3</v>
      </c>
      <c r="R545" s="19"/>
      <c r="S545" s="19"/>
      <c r="T545" s="19"/>
      <c r="W545" s="38"/>
      <c r="X545" s="35"/>
    </row>
    <row r="546" spans="3:24" x14ac:dyDescent="0.3">
      <c r="C546" s="160">
        <v>44845</v>
      </c>
      <c r="D546" s="255">
        <v>2338.4499999999998</v>
      </c>
      <c r="E546" s="134">
        <f t="shared" si="40"/>
        <v>-2.103654707581526E-2</v>
      </c>
      <c r="F546" s="34"/>
      <c r="G546" s="255">
        <v>1070.25</v>
      </c>
      <c r="H546" s="134">
        <f t="shared" si="41"/>
        <v>2.5761124121779222E-3</v>
      </c>
      <c r="I546" s="163"/>
      <c r="J546" s="256">
        <v>725</v>
      </c>
      <c r="K546" s="134">
        <f t="shared" si="42"/>
        <v>-1.5494086174821065E-2</v>
      </c>
      <c r="L546" s="163"/>
      <c r="M546" s="255">
        <v>2656.35</v>
      </c>
      <c r="N546" s="134">
        <f t="shared" si="43"/>
        <v>-1.8224860964978218E-3</v>
      </c>
      <c r="O546" s="163"/>
      <c r="P546" s="255">
        <v>18028.2</v>
      </c>
      <c r="Q546" s="134">
        <f t="shared" si="44"/>
        <v>-1.7520722409630651E-2</v>
      </c>
      <c r="R546" s="19"/>
      <c r="S546" s="19"/>
      <c r="T546" s="19"/>
      <c r="W546" s="38"/>
      <c r="X546" s="35"/>
    </row>
    <row r="547" spans="3:24" x14ac:dyDescent="0.3">
      <c r="C547" s="160">
        <v>44815</v>
      </c>
      <c r="D547" s="255">
        <v>2391.15</v>
      </c>
      <c r="E547" s="134">
        <f t="shared" si="40"/>
        <v>2.2536295409352425E-2</v>
      </c>
      <c r="F547" s="34"/>
      <c r="G547" s="255">
        <v>1111.95</v>
      </c>
      <c r="H547" s="134">
        <f t="shared" si="41"/>
        <v>3.8962859145059703E-2</v>
      </c>
      <c r="I547" s="163"/>
      <c r="J547" s="256">
        <v>722.98</v>
      </c>
      <c r="K547" s="134">
        <f t="shared" si="42"/>
        <v>-2.786206896551735E-3</v>
      </c>
      <c r="L547" s="163"/>
      <c r="M547" s="255">
        <v>2652.25</v>
      </c>
      <c r="N547" s="134">
        <f t="shared" si="43"/>
        <v>-1.5434713046096338E-3</v>
      </c>
      <c r="O547" s="163"/>
      <c r="P547" s="255">
        <v>18157</v>
      </c>
      <c r="Q547" s="134">
        <f t="shared" si="44"/>
        <v>7.1443627206264626E-3</v>
      </c>
      <c r="R547" s="19"/>
      <c r="S547" s="19"/>
      <c r="T547" s="19"/>
      <c r="W547" s="38"/>
      <c r="X547" s="35"/>
    </row>
    <row r="548" spans="3:24" x14ac:dyDescent="0.3">
      <c r="C548" s="160">
        <v>44753</v>
      </c>
      <c r="D548" s="255">
        <v>2425.9</v>
      </c>
      <c r="E548" s="134">
        <f t="shared" si="40"/>
        <v>1.4532756205173136E-2</v>
      </c>
      <c r="F548" s="34"/>
      <c r="G548" s="255">
        <v>1122.3499999999999</v>
      </c>
      <c r="H548" s="134">
        <f t="shared" si="41"/>
        <v>9.3529385314086166E-3</v>
      </c>
      <c r="I548" s="163"/>
      <c r="J548" s="256">
        <v>717.85</v>
      </c>
      <c r="K548" s="134">
        <f t="shared" si="42"/>
        <v>-7.0956319676892532E-3</v>
      </c>
      <c r="L548" s="163"/>
      <c r="M548" s="255">
        <v>2628.65</v>
      </c>
      <c r="N548" s="134">
        <f t="shared" si="43"/>
        <v>-8.8981053822225764E-3</v>
      </c>
      <c r="O548" s="163"/>
      <c r="P548" s="255">
        <v>18202.8</v>
      </c>
      <c r="Q548" s="134">
        <f t="shared" si="44"/>
        <v>2.5224431348791487E-3</v>
      </c>
      <c r="R548" s="19"/>
      <c r="S548" s="19"/>
      <c r="T548" s="19"/>
      <c r="W548" s="38"/>
      <c r="X548" s="35"/>
    </row>
    <row r="549" spans="3:24" x14ac:dyDescent="0.3">
      <c r="C549" s="160">
        <v>44662</v>
      </c>
      <c r="D549" s="255">
        <v>2482.1999999999998</v>
      </c>
      <c r="E549" s="134">
        <f t="shared" si="40"/>
        <v>2.3207881610948444E-2</v>
      </c>
      <c r="F549" s="34"/>
      <c r="G549" s="255">
        <v>1123.3499999999999</v>
      </c>
      <c r="H549" s="134">
        <f t="shared" si="41"/>
        <v>8.9098765982087436E-4</v>
      </c>
      <c r="I549" s="163"/>
      <c r="J549" s="256">
        <v>708.64</v>
      </c>
      <c r="K549" s="134">
        <f t="shared" si="42"/>
        <v>-1.2829978407745357E-2</v>
      </c>
      <c r="L549" s="163"/>
      <c r="M549" s="255">
        <v>2648</v>
      </c>
      <c r="N549" s="134">
        <f t="shared" si="43"/>
        <v>7.361193007817679E-3</v>
      </c>
      <c r="O549" s="163"/>
      <c r="P549" s="255">
        <v>18117.150000000001</v>
      </c>
      <c r="Q549" s="134">
        <f t="shared" si="44"/>
        <v>-4.7053200606499423E-3</v>
      </c>
      <c r="R549" s="19"/>
      <c r="S549" s="19"/>
      <c r="T549" s="19"/>
      <c r="W549" s="38"/>
      <c r="X549" s="35"/>
    </row>
    <row r="550" spans="3:24" x14ac:dyDescent="0.3">
      <c r="C550" s="160">
        <v>44631</v>
      </c>
      <c r="D550" s="255">
        <v>2554.1</v>
      </c>
      <c r="E550" s="134">
        <f t="shared" si="40"/>
        <v>2.8966239626138091E-2</v>
      </c>
      <c r="F550" s="34"/>
      <c r="G550" s="255">
        <v>1131.5</v>
      </c>
      <c r="H550" s="134">
        <f t="shared" si="41"/>
        <v>7.2550852361241702E-3</v>
      </c>
      <c r="I550" s="163"/>
      <c r="J550" s="256">
        <v>696.36</v>
      </c>
      <c r="K550" s="134">
        <f t="shared" si="42"/>
        <v>-1.7328968164371128E-2</v>
      </c>
      <c r="L550" s="163"/>
      <c r="M550" s="255">
        <v>2643.55</v>
      </c>
      <c r="N550" s="134">
        <f t="shared" si="43"/>
        <v>-1.6805135951660777E-3</v>
      </c>
      <c r="O550" s="163"/>
      <c r="P550" s="255">
        <v>18052.7</v>
      </c>
      <c r="Q550" s="134">
        <f t="shared" si="44"/>
        <v>-3.5574027923818141E-3</v>
      </c>
      <c r="R550" s="19"/>
      <c r="S550" s="19"/>
      <c r="T550" s="19"/>
      <c r="X550" s="35"/>
    </row>
    <row r="551" spans="3:24" x14ac:dyDescent="0.3">
      <c r="C551" s="160">
        <v>44603</v>
      </c>
      <c r="D551" s="255">
        <v>2547.9</v>
      </c>
      <c r="E551" s="134">
        <f t="shared" si="40"/>
        <v>-2.4274695587486184E-3</v>
      </c>
      <c r="F551" s="34"/>
      <c r="G551" s="255">
        <v>1132.75</v>
      </c>
      <c r="H551" s="134">
        <f t="shared" si="41"/>
        <v>1.1047282368537026E-3</v>
      </c>
      <c r="I551" s="163"/>
      <c r="J551" s="256">
        <v>687.92</v>
      </c>
      <c r="K551" s="134">
        <f t="shared" si="42"/>
        <v>-1.212016772933544E-2</v>
      </c>
      <c r="L551" s="163"/>
      <c r="M551" s="255">
        <v>2634.45</v>
      </c>
      <c r="N551" s="134">
        <f t="shared" si="43"/>
        <v>-3.4423407917385518E-3</v>
      </c>
      <c r="O551" s="163"/>
      <c r="P551" s="255">
        <v>18082.849999999999</v>
      </c>
      <c r="Q551" s="134">
        <f t="shared" si="44"/>
        <v>1.6701102882115126E-3</v>
      </c>
      <c r="R551" s="19"/>
      <c r="S551" s="19"/>
      <c r="T551" s="19"/>
      <c r="X551" s="35"/>
    </row>
    <row r="552" spans="3:24" x14ac:dyDescent="0.3">
      <c r="C552" s="160">
        <v>44572</v>
      </c>
      <c r="D552" s="255">
        <v>2620.4499999999998</v>
      </c>
      <c r="E552" s="134">
        <f t="shared" si="40"/>
        <v>2.8474429922681344E-2</v>
      </c>
      <c r="F552" s="34"/>
      <c r="G552" s="255">
        <v>1142.2</v>
      </c>
      <c r="H552" s="134">
        <f t="shared" si="41"/>
        <v>8.3425292429928355E-3</v>
      </c>
      <c r="I552" s="163"/>
      <c r="J552" s="256">
        <v>687.78</v>
      </c>
      <c r="K552" s="134">
        <f t="shared" si="42"/>
        <v>-2.0351203628321546E-4</v>
      </c>
      <c r="L552" s="163"/>
      <c r="M552" s="255">
        <v>2643.75</v>
      </c>
      <c r="N552" s="134">
        <f t="shared" si="43"/>
        <v>3.5301486078689326E-3</v>
      </c>
      <c r="O552" s="163"/>
      <c r="P552" s="255">
        <v>18145.400000000001</v>
      </c>
      <c r="Q552" s="134">
        <f t="shared" si="44"/>
        <v>3.4590786297514775E-3</v>
      </c>
      <c r="R552" s="19"/>
      <c r="S552" s="19"/>
      <c r="T552" s="19"/>
      <c r="X552" s="35"/>
    </row>
    <row r="553" spans="3:24" x14ac:dyDescent="0.3">
      <c r="C553" s="25" t="s">
        <v>513</v>
      </c>
      <c r="D553" s="255">
        <v>2558.65</v>
      </c>
      <c r="E553" s="134">
        <f t="shared" si="40"/>
        <v>-2.3583735617928148E-2</v>
      </c>
      <c r="G553" s="255">
        <v>1132.8</v>
      </c>
      <c r="H553" s="134">
        <f t="shared" si="41"/>
        <v>-8.2297320959552334E-3</v>
      </c>
      <c r="I553" s="163"/>
      <c r="J553" s="256">
        <v>700.78</v>
      </c>
      <c r="K553" s="134">
        <f t="shared" si="42"/>
        <v>1.890139288726056E-2</v>
      </c>
      <c r="L553" s="163"/>
      <c r="M553" s="255">
        <v>2584.4</v>
      </c>
      <c r="N553" s="134">
        <f t="shared" si="43"/>
        <v>-2.2449172576832099E-2</v>
      </c>
      <c r="O553" s="163"/>
      <c r="P553" s="255">
        <v>18012.2</v>
      </c>
      <c r="Q553" s="134">
        <f t="shared" si="44"/>
        <v>-7.3407034289683093E-3</v>
      </c>
      <c r="R553" s="19"/>
      <c r="S553" s="19"/>
      <c r="T553" s="19"/>
      <c r="X553" s="35"/>
    </row>
    <row r="554" spans="3:24" x14ac:dyDescent="0.3">
      <c r="C554" s="25" t="s">
        <v>514</v>
      </c>
      <c r="D554" s="255">
        <v>2494.4499999999998</v>
      </c>
      <c r="E554" s="134">
        <f t="shared" si="40"/>
        <v>-2.5091356770171824E-2</v>
      </c>
      <c r="G554" s="255">
        <v>1131.95</v>
      </c>
      <c r="H554" s="134">
        <f t="shared" si="41"/>
        <v>-7.5035310734450356E-4</v>
      </c>
      <c r="I554" s="163"/>
      <c r="J554" s="256">
        <v>713.65</v>
      </c>
      <c r="K554" s="134">
        <f t="shared" si="42"/>
        <v>1.8365250149833034E-2</v>
      </c>
      <c r="L554" s="163"/>
      <c r="M554" s="255">
        <v>2560.5500000000002</v>
      </c>
      <c r="N554" s="134">
        <f t="shared" si="43"/>
        <v>-9.2284476087293177E-3</v>
      </c>
      <c r="O554" s="163"/>
      <c r="P554" s="255">
        <v>17786.8</v>
      </c>
      <c r="Q554" s="134">
        <f t="shared" si="44"/>
        <v>-1.2513740686867836E-2</v>
      </c>
      <c r="R554" s="19"/>
      <c r="S554" s="19"/>
      <c r="T554" s="19"/>
      <c r="X554" s="35"/>
    </row>
    <row r="555" spans="3:24" x14ac:dyDescent="0.3">
      <c r="C555" s="25" t="s">
        <v>515</v>
      </c>
      <c r="D555" s="255">
        <v>2499.4499999999998</v>
      </c>
      <c r="E555" s="134">
        <f t="shared" si="40"/>
        <v>2.0044498787308296E-3</v>
      </c>
      <c r="G555" s="255">
        <v>1188.1500000000001</v>
      </c>
      <c r="H555" s="134">
        <f t="shared" si="41"/>
        <v>4.9648836079332126E-2</v>
      </c>
      <c r="I555" s="163"/>
      <c r="J555" s="256">
        <v>706.6</v>
      </c>
      <c r="K555" s="134">
        <f t="shared" si="42"/>
        <v>-9.8787921249912092E-3</v>
      </c>
      <c r="L555" s="163"/>
      <c r="M555" s="255">
        <v>2564.4</v>
      </c>
      <c r="N555" s="134">
        <f t="shared" si="43"/>
        <v>1.5035832145438022E-3</v>
      </c>
      <c r="O555" s="163"/>
      <c r="P555" s="255">
        <v>17736.95</v>
      </c>
      <c r="Q555" s="134">
        <f t="shared" si="44"/>
        <v>-2.8026401601186635E-3</v>
      </c>
      <c r="R555" s="19"/>
      <c r="S555" s="19"/>
      <c r="T555" s="19"/>
      <c r="X555" s="35"/>
    </row>
    <row r="556" spans="3:24" x14ac:dyDescent="0.3">
      <c r="C556" s="25" t="s">
        <v>516</v>
      </c>
      <c r="D556" s="255">
        <v>2500.35</v>
      </c>
      <c r="E556" s="134">
        <f t="shared" si="40"/>
        <v>3.6007921742786664E-4</v>
      </c>
      <c r="G556" s="255">
        <v>1180.6500000000001</v>
      </c>
      <c r="H556" s="134">
        <f t="shared" si="41"/>
        <v>-6.3123343012245758E-3</v>
      </c>
      <c r="I556" s="163"/>
      <c r="J556" s="256">
        <v>694.15</v>
      </c>
      <c r="K556" s="134">
        <f t="shared" si="42"/>
        <v>-1.761958675346742E-2</v>
      </c>
      <c r="L556" s="163"/>
      <c r="M556" s="255">
        <v>2618.3000000000002</v>
      </c>
      <c r="N556" s="134">
        <f t="shared" si="43"/>
        <v>2.1018561846825712E-2</v>
      </c>
      <c r="O556" s="163"/>
      <c r="P556" s="255">
        <v>17656.349999999999</v>
      </c>
      <c r="Q556" s="134">
        <f t="shared" si="44"/>
        <v>-4.5441860071772089E-3</v>
      </c>
      <c r="R556" s="19"/>
      <c r="S556" s="19"/>
      <c r="T556" s="19"/>
      <c r="X556" s="35"/>
    </row>
    <row r="557" spans="3:24" x14ac:dyDescent="0.3">
      <c r="C557" s="25" t="s">
        <v>517</v>
      </c>
      <c r="D557" s="255">
        <v>2547.5</v>
      </c>
      <c r="E557" s="134">
        <f t="shared" si="40"/>
        <v>1.8857359969604248E-2</v>
      </c>
      <c r="G557" s="255">
        <v>1156.75</v>
      </c>
      <c r="H557" s="134">
        <f t="shared" si="41"/>
        <v>-2.0243086435438151E-2</v>
      </c>
      <c r="I557" s="163"/>
      <c r="J557" s="256">
        <v>709.15</v>
      </c>
      <c r="K557" s="134">
        <f t="shared" si="42"/>
        <v>2.1609162284808692E-2</v>
      </c>
      <c r="L557" s="163"/>
      <c r="M557" s="255">
        <v>2643.5</v>
      </c>
      <c r="N557" s="134">
        <f t="shared" si="43"/>
        <v>9.6245655578046652E-3</v>
      </c>
      <c r="O557" s="163"/>
      <c r="P557" s="255">
        <v>17730.75</v>
      </c>
      <c r="Q557" s="134">
        <f t="shared" si="44"/>
        <v>4.2137814440696975E-3</v>
      </c>
      <c r="R557" s="19"/>
      <c r="S557" s="19"/>
      <c r="T557" s="19"/>
      <c r="X557" s="35"/>
    </row>
    <row r="558" spans="3:24" x14ac:dyDescent="0.3">
      <c r="C558" s="25" t="s">
        <v>518</v>
      </c>
      <c r="D558" s="255">
        <v>2540.5</v>
      </c>
      <c r="E558" s="134">
        <f t="shared" si="40"/>
        <v>-2.7477919528949846E-3</v>
      </c>
      <c r="G558" s="255">
        <v>1143.5</v>
      </c>
      <c r="H558" s="134">
        <f t="shared" si="41"/>
        <v>-1.1454506159498612E-2</v>
      </c>
      <c r="I558" s="163"/>
      <c r="J558" s="256">
        <v>699.85</v>
      </c>
      <c r="K558" s="134">
        <f t="shared" si="42"/>
        <v>-1.3114291757738039E-2</v>
      </c>
      <c r="L558" s="163"/>
      <c r="M558" s="255">
        <v>2637.7</v>
      </c>
      <c r="N558" s="134">
        <f t="shared" si="43"/>
        <v>-2.1940609041044556E-3</v>
      </c>
      <c r="O558" s="163"/>
      <c r="P558" s="255">
        <v>17576.3</v>
      </c>
      <c r="Q558" s="134">
        <f t="shared" si="44"/>
        <v>-8.7108554347673506E-3</v>
      </c>
      <c r="R558" s="19"/>
      <c r="S558" s="19"/>
      <c r="T558" s="19"/>
      <c r="X558" s="35"/>
    </row>
    <row r="559" spans="3:24" x14ac:dyDescent="0.3">
      <c r="C559" s="25" t="s">
        <v>519</v>
      </c>
      <c r="D559" s="255">
        <v>2576.1</v>
      </c>
      <c r="E559" s="134">
        <f t="shared" si="40"/>
        <v>1.4012989568982448E-2</v>
      </c>
      <c r="G559" s="255">
        <v>1158.1500000000001</v>
      </c>
      <c r="H559" s="134">
        <f t="shared" si="41"/>
        <v>1.281154350677749E-2</v>
      </c>
      <c r="I559" s="163"/>
      <c r="J559" s="256">
        <v>713.5</v>
      </c>
      <c r="K559" s="134">
        <f t="shared" si="42"/>
        <v>1.9504179467028537E-2</v>
      </c>
      <c r="L559" s="163"/>
      <c r="M559" s="255">
        <v>2689.75</v>
      </c>
      <c r="N559" s="134">
        <f t="shared" si="43"/>
        <v>1.9733100807521664E-2</v>
      </c>
      <c r="O559" s="163"/>
      <c r="P559" s="255">
        <v>17563.95</v>
      </c>
      <c r="Q559" s="134">
        <f t="shared" si="44"/>
        <v>-7.0265072853781252E-4</v>
      </c>
      <c r="R559" s="19"/>
      <c r="S559" s="19"/>
      <c r="T559" s="19"/>
      <c r="X559" s="35"/>
    </row>
    <row r="560" spans="3:24" x14ac:dyDescent="0.3">
      <c r="C560" s="25" t="s">
        <v>520</v>
      </c>
      <c r="D560" s="255">
        <v>2580.6</v>
      </c>
      <c r="E560" s="134">
        <f t="shared" si="40"/>
        <v>1.7468265983462405E-3</v>
      </c>
      <c r="G560" s="255">
        <v>1164.25</v>
      </c>
      <c r="H560" s="134">
        <f t="shared" si="41"/>
        <v>5.2670206795319974E-3</v>
      </c>
      <c r="I560" s="163"/>
      <c r="J560" s="256">
        <v>676.65</v>
      </c>
      <c r="K560" s="134">
        <f t="shared" si="42"/>
        <v>-5.1646811492641942E-2</v>
      </c>
      <c r="L560" s="163"/>
      <c r="M560" s="255">
        <v>2664.95</v>
      </c>
      <c r="N560" s="134">
        <f t="shared" si="43"/>
        <v>-9.2201877497909424E-3</v>
      </c>
      <c r="O560" s="163"/>
      <c r="P560" s="255">
        <v>17512.25</v>
      </c>
      <c r="Q560" s="134">
        <f t="shared" si="44"/>
        <v>-2.9435292175166161E-3</v>
      </c>
      <c r="R560" s="19"/>
      <c r="S560" s="19"/>
      <c r="T560" s="19"/>
      <c r="X560" s="35"/>
    </row>
    <row r="561" spans="3:24" x14ac:dyDescent="0.3">
      <c r="C561" s="25" t="s">
        <v>521</v>
      </c>
      <c r="D561" s="255">
        <v>2564.1999999999998</v>
      </c>
      <c r="E561" s="134">
        <f t="shared" si="40"/>
        <v>-6.3551112144463184E-3</v>
      </c>
      <c r="G561" s="255">
        <v>1166.45</v>
      </c>
      <c r="H561" s="134">
        <f t="shared" si="41"/>
        <v>1.8896285162122162E-3</v>
      </c>
      <c r="I561" s="163"/>
      <c r="J561" s="256">
        <v>683.1</v>
      </c>
      <c r="K561" s="134">
        <f t="shared" si="42"/>
        <v>9.5322544890268368E-3</v>
      </c>
      <c r="L561" s="163"/>
      <c r="M561" s="255">
        <v>2712.65</v>
      </c>
      <c r="N561" s="134">
        <f t="shared" si="43"/>
        <v>1.7899022495731831E-2</v>
      </c>
      <c r="O561" s="163"/>
      <c r="P561" s="255">
        <v>17486.95</v>
      </c>
      <c r="Q561" s="134">
        <f t="shared" si="44"/>
        <v>-1.4447029936187628E-3</v>
      </c>
      <c r="R561" s="19"/>
      <c r="S561" s="19"/>
      <c r="T561" s="19"/>
      <c r="X561" s="35"/>
    </row>
    <row r="562" spans="3:24" x14ac:dyDescent="0.3">
      <c r="C562" s="25" t="s">
        <v>522</v>
      </c>
      <c r="D562" s="255">
        <v>2550.9499999999998</v>
      </c>
      <c r="E562" s="134">
        <f t="shared" si="40"/>
        <v>-5.1673036424615404E-3</v>
      </c>
      <c r="G562" s="255">
        <v>1162</v>
      </c>
      <c r="H562" s="134">
        <f t="shared" si="41"/>
        <v>-3.8149942132110759E-3</v>
      </c>
      <c r="I562" s="163"/>
      <c r="J562" s="256">
        <v>678.2</v>
      </c>
      <c r="K562" s="134">
        <f t="shared" si="42"/>
        <v>-7.173181086224556E-3</v>
      </c>
      <c r="L562" s="163"/>
      <c r="M562" s="255">
        <v>2691.4</v>
      </c>
      <c r="N562" s="134">
        <f t="shared" si="43"/>
        <v>-7.8336681842479106E-3</v>
      </c>
      <c r="O562" s="163"/>
      <c r="P562" s="255">
        <v>17311.8</v>
      </c>
      <c r="Q562" s="134">
        <f t="shared" si="44"/>
        <v>-1.0016040533083359E-2</v>
      </c>
      <c r="R562" s="19"/>
      <c r="S562" s="19"/>
      <c r="T562" s="19"/>
      <c r="X562" s="35"/>
    </row>
    <row r="563" spans="3:24" x14ac:dyDescent="0.3">
      <c r="C563" s="25" t="s">
        <v>523</v>
      </c>
      <c r="D563" s="255">
        <v>2496.6</v>
      </c>
      <c r="E563" s="134">
        <f t="shared" si="40"/>
        <v>-2.1305788039749918E-2</v>
      </c>
      <c r="G563" s="255">
        <v>1143.7</v>
      </c>
      <c r="H563" s="134">
        <f t="shared" si="41"/>
        <v>-1.5748709122203053E-2</v>
      </c>
      <c r="I563" s="163"/>
      <c r="J563" s="256">
        <v>678.35</v>
      </c>
      <c r="K563" s="134">
        <f t="shared" si="42"/>
        <v>2.2117369507523854E-4</v>
      </c>
      <c r="L563" s="163"/>
      <c r="M563" s="255">
        <v>2619.75</v>
      </c>
      <c r="N563" s="134">
        <f t="shared" si="43"/>
        <v>-2.6621832503529785E-2</v>
      </c>
      <c r="O563" s="163"/>
      <c r="P563" s="255">
        <v>17185.7</v>
      </c>
      <c r="Q563" s="134">
        <f t="shared" si="44"/>
        <v>-7.2840490301412375E-3</v>
      </c>
      <c r="R563" s="19"/>
      <c r="S563" s="19"/>
      <c r="T563" s="19"/>
      <c r="W563" s="38"/>
      <c r="X563" s="35"/>
    </row>
    <row r="564" spans="3:24" x14ac:dyDescent="0.3">
      <c r="C564" s="25" t="s">
        <v>524</v>
      </c>
      <c r="D564" s="255">
        <v>2496.85</v>
      </c>
      <c r="E564" s="134">
        <f t="shared" si="40"/>
        <v>1.0013618521198531E-4</v>
      </c>
      <c r="G564" s="255">
        <v>1151.8499999999999</v>
      </c>
      <c r="H564" s="134">
        <f t="shared" si="41"/>
        <v>7.125994578997874E-3</v>
      </c>
      <c r="I564" s="163"/>
      <c r="J564" s="256">
        <v>663.8</v>
      </c>
      <c r="K564" s="134">
        <f t="shared" si="42"/>
        <v>-2.1449104444608347E-2</v>
      </c>
      <c r="L564" s="163"/>
      <c r="M564" s="255">
        <v>2621.6</v>
      </c>
      <c r="N564" s="134">
        <f t="shared" si="43"/>
        <v>7.0617425326835459E-4</v>
      </c>
      <c r="O564" s="163"/>
      <c r="P564" s="255">
        <v>17014.349999999999</v>
      </c>
      <c r="Q564" s="134">
        <f t="shared" si="44"/>
        <v>-9.9704987285942348E-3</v>
      </c>
      <c r="R564" s="19"/>
      <c r="S564" s="19"/>
      <c r="T564" s="19"/>
      <c r="W564" s="38"/>
      <c r="X564" s="35"/>
    </row>
    <row r="565" spans="3:24" x14ac:dyDescent="0.3">
      <c r="C565" s="160">
        <v>44905</v>
      </c>
      <c r="D565" s="255">
        <v>2529.1999999999998</v>
      </c>
      <c r="E565" s="134">
        <f t="shared" si="40"/>
        <v>1.295632496946153E-2</v>
      </c>
      <c r="F565" s="34"/>
      <c r="G565" s="255">
        <v>1162.95</v>
      </c>
      <c r="H565" s="134">
        <f t="shared" si="41"/>
        <v>9.6366714415940802E-3</v>
      </c>
      <c r="I565" s="163"/>
      <c r="J565" s="256">
        <v>673.4</v>
      </c>
      <c r="K565" s="134">
        <f t="shared" si="42"/>
        <v>1.4462187405845262E-2</v>
      </c>
      <c r="L565" s="163"/>
      <c r="M565" s="255">
        <v>2655.15</v>
      </c>
      <c r="N565" s="134">
        <f t="shared" si="43"/>
        <v>1.2797528227036947E-2</v>
      </c>
      <c r="O565" s="163"/>
      <c r="P565" s="255">
        <v>17123.599999999999</v>
      </c>
      <c r="Q565" s="134">
        <f t="shared" si="44"/>
        <v>6.4210504662240986E-3</v>
      </c>
      <c r="R565" s="19"/>
      <c r="S565" s="19"/>
      <c r="T565" s="19"/>
      <c r="W565" s="38"/>
      <c r="X565" s="35"/>
    </row>
    <row r="566" spans="3:24" x14ac:dyDescent="0.3">
      <c r="C566" s="160">
        <v>44875</v>
      </c>
      <c r="D566" s="255">
        <v>2501.6999999999998</v>
      </c>
      <c r="E566" s="134">
        <f t="shared" si="40"/>
        <v>-1.087300332120833E-2</v>
      </c>
      <c r="F566" s="34"/>
      <c r="G566" s="255">
        <v>1164.3499999999999</v>
      </c>
      <c r="H566" s="134">
        <f t="shared" si="41"/>
        <v>1.2038350745946502E-3</v>
      </c>
      <c r="I566" s="163"/>
      <c r="J566" s="256">
        <v>664.15</v>
      </c>
      <c r="K566" s="134">
        <f t="shared" si="42"/>
        <v>-1.3736263736263687E-2</v>
      </c>
      <c r="L566" s="163"/>
      <c r="M566" s="255">
        <v>2612</v>
      </c>
      <c r="N566" s="134">
        <f t="shared" si="43"/>
        <v>-1.6251435888744559E-2</v>
      </c>
      <c r="O566" s="163"/>
      <c r="P566" s="255">
        <v>16983.55</v>
      </c>
      <c r="Q566" s="134">
        <f t="shared" si="44"/>
        <v>-8.1787708192202491E-3</v>
      </c>
      <c r="R566" s="19"/>
      <c r="S566" s="19"/>
      <c r="T566" s="19"/>
      <c r="W566" s="38"/>
      <c r="X566" s="35"/>
    </row>
    <row r="567" spans="3:24" x14ac:dyDescent="0.3">
      <c r="C567" s="160">
        <v>44844</v>
      </c>
      <c r="D567" s="255">
        <v>2540.9</v>
      </c>
      <c r="E567" s="134">
        <f t="shared" si="40"/>
        <v>1.5669344845505195E-2</v>
      </c>
      <c r="F567" s="34"/>
      <c r="G567" s="255">
        <v>1199.6500000000001</v>
      </c>
      <c r="H567" s="134">
        <f t="shared" si="41"/>
        <v>3.0317344441104677E-2</v>
      </c>
      <c r="I567" s="163"/>
      <c r="J567" s="256">
        <v>682.8</v>
      </c>
      <c r="K567" s="134">
        <f t="shared" si="42"/>
        <v>2.8081005796883218E-2</v>
      </c>
      <c r="L567" s="163"/>
      <c r="M567" s="255">
        <v>2645.45</v>
      </c>
      <c r="N567" s="134">
        <f t="shared" si="43"/>
        <v>1.2806278713629382E-2</v>
      </c>
      <c r="O567" s="163"/>
      <c r="P567" s="255">
        <v>17241</v>
      </c>
      <c r="Q567" s="134">
        <f t="shared" si="44"/>
        <v>1.5158786001748803E-2</v>
      </c>
      <c r="R567" s="19"/>
      <c r="S567" s="19"/>
      <c r="T567" s="19"/>
      <c r="W567" s="38"/>
      <c r="X567" s="35"/>
    </row>
    <row r="568" spans="3:24" x14ac:dyDescent="0.3">
      <c r="C568" s="160">
        <v>44752</v>
      </c>
      <c r="D568" s="255">
        <v>2560.4</v>
      </c>
      <c r="E568" s="134">
        <f t="shared" si="40"/>
        <v>7.6744460624187383E-3</v>
      </c>
      <c r="F568" s="34"/>
      <c r="G568" s="255">
        <v>1181.8</v>
      </c>
      <c r="H568" s="134">
        <f t="shared" si="41"/>
        <v>-1.4879339807443936E-2</v>
      </c>
      <c r="I568" s="163"/>
      <c r="J568" s="256">
        <v>690.25</v>
      </c>
      <c r="K568" s="134">
        <f t="shared" si="42"/>
        <v>1.0910954891622859E-2</v>
      </c>
      <c r="L568" s="163"/>
      <c r="M568" s="255">
        <v>2662.6</v>
      </c>
      <c r="N568" s="134">
        <f t="shared" si="43"/>
        <v>6.4828290082972195E-3</v>
      </c>
      <c r="O568" s="163"/>
      <c r="P568" s="255">
        <v>17314.650000000001</v>
      </c>
      <c r="Q568" s="134">
        <f t="shared" si="44"/>
        <v>4.2717939794676418E-3</v>
      </c>
      <c r="R568" s="19"/>
      <c r="S568" s="19"/>
      <c r="T568" s="19"/>
      <c r="W568" s="38"/>
      <c r="X568" s="35"/>
    </row>
    <row r="569" spans="3:24" x14ac:dyDescent="0.3">
      <c r="C569" s="160">
        <v>44722</v>
      </c>
      <c r="D569" s="255">
        <v>2575.0500000000002</v>
      </c>
      <c r="E569" s="134">
        <f t="shared" si="40"/>
        <v>5.7217622246523714E-3</v>
      </c>
      <c r="F569" s="34"/>
      <c r="G569" s="255">
        <v>1147.8499999999999</v>
      </c>
      <c r="H569" s="134">
        <f t="shared" si="41"/>
        <v>-2.8727365036385177E-2</v>
      </c>
      <c r="I569" s="163"/>
      <c r="J569" s="256">
        <v>686.15</v>
      </c>
      <c r="K569" s="134">
        <f t="shared" si="42"/>
        <v>-5.9398768562115567E-3</v>
      </c>
      <c r="L569" s="163"/>
      <c r="M569" s="255">
        <v>2661.95</v>
      </c>
      <c r="N569" s="134">
        <f t="shared" si="43"/>
        <v>-2.4412228648695855E-4</v>
      </c>
      <c r="O569" s="163"/>
      <c r="P569" s="255">
        <v>17331.8</v>
      </c>
      <c r="Q569" s="134">
        <f t="shared" si="44"/>
        <v>9.9049071162271574E-4</v>
      </c>
      <c r="R569" s="19"/>
      <c r="S569" s="19"/>
      <c r="T569" s="19"/>
      <c r="W569" s="38"/>
      <c r="X569" s="35"/>
    </row>
    <row r="570" spans="3:24" x14ac:dyDescent="0.3">
      <c r="C570" s="160">
        <v>44661</v>
      </c>
      <c r="D570" s="255">
        <v>2545.65</v>
      </c>
      <c r="E570" s="134">
        <f t="shared" si="40"/>
        <v>-1.1417254033902258E-2</v>
      </c>
      <c r="F570" s="34"/>
      <c r="G570" s="255">
        <v>1140.95</v>
      </c>
      <c r="H570" s="134">
        <f t="shared" si="41"/>
        <v>-6.0112384022301679E-3</v>
      </c>
      <c r="I570" s="163"/>
      <c r="J570" s="256">
        <v>689.85</v>
      </c>
      <c r="K570" s="134">
        <f t="shared" si="42"/>
        <v>5.392406908110603E-3</v>
      </c>
      <c r="L570" s="163"/>
      <c r="M570" s="255">
        <v>2686.65</v>
      </c>
      <c r="N570" s="134">
        <f t="shared" si="43"/>
        <v>9.2789120757339472E-3</v>
      </c>
      <c r="O570" s="163"/>
      <c r="P570" s="255">
        <v>17274.3</v>
      </c>
      <c r="Q570" s="134">
        <f t="shared" si="44"/>
        <v>-3.3176011724114218E-3</v>
      </c>
      <c r="R570" s="19"/>
      <c r="S570" s="19"/>
      <c r="T570" s="19"/>
      <c r="W570" s="38"/>
      <c r="X570" s="35"/>
    </row>
    <row r="571" spans="3:24" x14ac:dyDescent="0.3">
      <c r="C571" s="160">
        <v>44630</v>
      </c>
      <c r="D571" s="255">
        <v>2478.9</v>
      </c>
      <c r="E571" s="134">
        <f t="shared" si="40"/>
        <v>-2.6221200872075912E-2</v>
      </c>
      <c r="F571" s="34"/>
      <c r="G571" s="255">
        <v>1093.7</v>
      </c>
      <c r="H571" s="134">
        <f t="shared" si="41"/>
        <v>-4.1412857706297435E-2</v>
      </c>
      <c r="I571" s="163"/>
      <c r="J571" s="256">
        <v>665.05</v>
      </c>
      <c r="K571" s="134">
        <f t="shared" si="42"/>
        <v>-3.594984416902236E-2</v>
      </c>
      <c r="L571" s="163"/>
      <c r="M571" s="255">
        <v>2656.25</v>
      </c>
      <c r="N571" s="134">
        <f t="shared" si="43"/>
        <v>-1.131520667001662E-2</v>
      </c>
      <c r="O571" s="163"/>
      <c r="P571" s="255">
        <v>16887.349999999999</v>
      </c>
      <c r="Q571" s="134">
        <f t="shared" si="44"/>
        <v>-2.2400328812166137E-2</v>
      </c>
      <c r="R571" s="19"/>
      <c r="S571" s="19"/>
      <c r="T571" s="19"/>
      <c r="X571" s="35"/>
    </row>
    <row r="572" spans="3:24" x14ac:dyDescent="0.3">
      <c r="C572" s="25" t="s">
        <v>525</v>
      </c>
      <c r="D572" s="255">
        <v>2503.4499999999998</v>
      </c>
      <c r="E572" s="134">
        <f t="shared" si="40"/>
        <v>9.9035862681027265E-3</v>
      </c>
      <c r="G572" s="255">
        <v>1104.75</v>
      </c>
      <c r="H572" s="134">
        <f t="shared" si="41"/>
        <v>1.010331900886885E-2</v>
      </c>
      <c r="I572" s="163"/>
      <c r="J572" s="256">
        <v>672.85</v>
      </c>
      <c r="K572" s="134">
        <f t="shared" si="42"/>
        <v>1.1728441470566286E-2</v>
      </c>
      <c r="L572" s="163"/>
      <c r="M572" s="255">
        <v>2690.3</v>
      </c>
      <c r="N572" s="134">
        <f t="shared" si="43"/>
        <v>1.2818823529411771E-2</v>
      </c>
      <c r="O572" s="163"/>
      <c r="P572" s="255">
        <v>17094.349999999999</v>
      </c>
      <c r="Q572" s="134">
        <f t="shared" si="44"/>
        <v>1.2257695849259953E-2</v>
      </c>
      <c r="R572" s="19"/>
      <c r="S572" s="19"/>
      <c r="T572" s="19"/>
      <c r="X572" s="35"/>
    </row>
    <row r="573" spans="3:24" x14ac:dyDescent="0.3">
      <c r="C573" s="25" t="s">
        <v>526</v>
      </c>
      <c r="D573" s="255">
        <v>2543.85</v>
      </c>
      <c r="E573" s="134">
        <f t="shared" si="40"/>
        <v>1.6137729932693023E-2</v>
      </c>
      <c r="G573" s="255">
        <v>1093</v>
      </c>
      <c r="H573" s="134">
        <f t="shared" si="41"/>
        <v>-1.0635890472957654E-2</v>
      </c>
      <c r="I573" s="163"/>
      <c r="J573" s="256">
        <v>656</v>
      </c>
      <c r="K573" s="134">
        <f t="shared" si="42"/>
        <v>-2.5042728691387461E-2</v>
      </c>
      <c r="L573" s="163"/>
      <c r="M573" s="255">
        <v>2704.2</v>
      </c>
      <c r="N573" s="134">
        <f t="shared" si="43"/>
        <v>5.166710032338262E-3</v>
      </c>
      <c r="O573" s="163"/>
      <c r="P573" s="255">
        <v>16818.099999999999</v>
      </c>
      <c r="Q573" s="134">
        <f t="shared" si="44"/>
        <v>-1.616031027795739E-2</v>
      </c>
      <c r="R573" s="19"/>
      <c r="S573" s="19"/>
      <c r="T573" s="19"/>
      <c r="X573" s="35"/>
    </row>
    <row r="574" spans="3:24" x14ac:dyDescent="0.3">
      <c r="C574" s="25" t="s">
        <v>527</v>
      </c>
      <c r="D574" s="255">
        <v>2480.75</v>
      </c>
      <c r="E574" s="134">
        <f t="shared" si="40"/>
        <v>-2.4804921673840852E-2</v>
      </c>
      <c r="G574" s="255">
        <v>1047.95</v>
      </c>
      <c r="H574" s="134">
        <f t="shared" si="41"/>
        <v>-4.1216834400731872E-2</v>
      </c>
      <c r="I574" s="163"/>
      <c r="J574" s="256">
        <v>664</v>
      </c>
      <c r="K574" s="134">
        <f t="shared" si="42"/>
        <v>1.2195121951219523E-2</v>
      </c>
      <c r="L574" s="163"/>
      <c r="M574" s="255">
        <v>2769.75</v>
      </c>
      <c r="N574" s="134">
        <f t="shared" si="43"/>
        <v>2.4240071000665608E-2</v>
      </c>
      <c r="O574" s="163"/>
      <c r="P574" s="255">
        <v>16858.599999999999</v>
      </c>
      <c r="Q574" s="134">
        <f t="shared" si="44"/>
        <v>2.4081198232857037E-3</v>
      </c>
      <c r="R574" s="19"/>
      <c r="S574" s="19"/>
      <c r="T574" s="19"/>
      <c r="X574" s="35"/>
    </row>
    <row r="575" spans="3:24" x14ac:dyDescent="0.3">
      <c r="C575" s="25" t="s">
        <v>528</v>
      </c>
      <c r="D575" s="255">
        <v>2487.8000000000002</v>
      </c>
      <c r="E575" s="134">
        <f t="shared" si="40"/>
        <v>2.8418824952132216E-3</v>
      </c>
      <c r="G575" s="255">
        <v>1067.2</v>
      </c>
      <c r="H575" s="134">
        <f t="shared" si="41"/>
        <v>1.8369197003673898E-2</v>
      </c>
      <c r="I575" s="163"/>
      <c r="J575" s="256">
        <v>677.55</v>
      </c>
      <c r="K575" s="134">
        <f t="shared" si="42"/>
        <v>2.0406626506024095E-2</v>
      </c>
      <c r="L575" s="163"/>
      <c r="M575" s="255">
        <v>2804.3</v>
      </c>
      <c r="N575" s="134">
        <f t="shared" si="43"/>
        <v>1.2474050004513071E-2</v>
      </c>
      <c r="O575" s="163"/>
      <c r="P575" s="255">
        <v>17007.400000000001</v>
      </c>
      <c r="Q575" s="134">
        <f t="shared" si="44"/>
        <v>8.8263556878982463E-3</v>
      </c>
      <c r="R575" s="19"/>
      <c r="S575" s="19"/>
      <c r="T575" s="19"/>
      <c r="X575" s="35"/>
    </row>
    <row r="576" spans="3:24" x14ac:dyDescent="0.3">
      <c r="C576" s="25" t="s">
        <v>529</v>
      </c>
      <c r="D576" s="255">
        <v>2514.15</v>
      </c>
      <c r="E576" s="134">
        <f t="shared" si="40"/>
        <v>1.0591687434681196E-2</v>
      </c>
      <c r="G576" s="255">
        <v>1063.3499999999999</v>
      </c>
      <c r="H576" s="134">
        <f t="shared" si="41"/>
        <v>-3.6075712143929239E-3</v>
      </c>
      <c r="I576" s="163"/>
      <c r="J576" s="256">
        <v>680</v>
      </c>
      <c r="K576" s="134">
        <f t="shared" si="42"/>
        <v>3.6159693011585947E-3</v>
      </c>
      <c r="L576" s="163"/>
      <c r="M576" s="255">
        <v>2802.2</v>
      </c>
      <c r="N576" s="134">
        <f t="shared" si="43"/>
        <v>-7.4884998038737827E-4</v>
      </c>
      <c r="O576" s="163"/>
      <c r="P576" s="255">
        <v>17016.3</v>
      </c>
      <c r="Q576" s="134">
        <f t="shared" si="44"/>
        <v>5.2330162164682115E-4</v>
      </c>
      <c r="R576" s="19"/>
      <c r="S576" s="19"/>
      <c r="T576" s="19"/>
      <c r="X576" s="35"/>
    </row>
    <row r="577" spans="3:24" x14ac:dyDescent="0.3">
      <c r="C577" s="25" t="s">
        <v>530</v>
      </c>
      <c r="D577" s="255">
        <v>2572.35</v>
      </c>
      <c r="E577" s="134">
        <f t="shared" si="40"/>
        <v>2.3148976791360854E-2</v>
      </c>
      <c r="G577" s="255">
        <v>1134.4000000000001</v>
      </c>
      <c r="H577" s="134">
        <f t="shared" si="41"/>
        <v>6.6817134527672239E-2</v>
      </c>
      <c r="I577" s="163"/>
      <c r="J577" s="256">
        <v>702.75</v>
      </c>
      <c r="K577" s="134">
        <f t="shared" si="42"/>
        <v>3.3455882352941169E-2</v>
      </c>
      <c r="L577" s="163"/>
      <c r="M577" s="255">
        <v>2800.65</v>
      </c>
      <c r="N577" s="134">
        <f t="shared" si="43"/>
        <v>-5.5313682106905571E-4</v>
      </c>
      <c r="O577" s="163"/>
      <c r="P577" s="255">
        <v>17327.349999999999</v>
      </c>
      <c r="Q577" s="134">
        <f t="shared" si="44"/>
        <v>1.8279531978162122E-2</v>
      </c>
      <c r="R577" s="19"/>
      <c r="S577" s="19"/>
      <c r="T577" s="19"/>
      <c r="X577" s="35"/>
    </row>
    <row r="578" spans="3:24" x14ac:dyDescent="0.3">
      <c r="C578" s="25" t="s">
        <v>531</v>
      </c>
      <c r="D578" s="255">
        <v>2622.3</v>
      </c>
      <c r="E578" s="134">
        <f t="shared" si="40"/>
        <v>1.9418041868330516E-2</v>
      </c>
      <c r="G578" s="255">
        <v>1150.05</v>
      </c>
      <c r="H578" s="134">
        <f t="shared" si="41"/>
        <v>1.3795839210154925E-2</v>
      </c>
      <c r="I578" s="163"/>
      <c r="J578" s="256">
        <v>721.05</v>
      </c>
      <c r="K578" s="134">
        <f t="shared" si="42"/>
        <v>2.6040554962646789E-2</v>
      </c>
      <c r="L578" s="163"/>
      <c r="M578" s="255">
        <v>2809.95</v>
      </c>
      <c r="N578" s="134">
        <f t="shared" si="43"/>
        <v>3.3206577044613272E-3</v>
      </c>
      <c r="O578" s="163"/>
      <c r="P578" s="255">
        <v>17629.8</v>
      </c>
      <c r="Q578" s="134">
        <f t="shared" si="44"/>
        <v>1.7455063815297933E-2</v>
      </c>
      <c r="R578" s="19"/>
      <c r="S578" s="19"/>
      <c r="T578" s="19"/>
      <c r="X578" s="35"/>
    </row>
    <row r="579" spans="3:24" x14ac:dyDescent="0.3">
      <c r="C579" s="25" t="s">
        <v>532</v>
      </c>
      <c r="D579" s="255">
        <v>2627.3</v>
      </c>
      <c r="E579" s="134">
        <f t="shared" si="40"/>
        <v>1.906723105670638E-3</v>
      </c>
      <c r="G579" s="255">
        <v>1097.3</v>
      </c>
      <c r="H579" s="134">
        <f t="shared" si="41"/>
        <v>-4.586757097517502E-2</v>
      </c>
      <c r="I579" s="163"/>
      <c r="J579" s="256">
        <v>716.95</v>
      </c>
      <c r="K579" s="134">
        <f t="shared" si="42"/>
        <v>-5.686152139241285E-3</v>
      </c>
      <c r="L579" s="163"/>
      <c r="M579" s="255">
        <v>2818.75</v>
      </c>
      <c r="N579" s="134">
        <f t="shared" si="43"/>
        <v>3.1317283225680281E-3</v>
      </c>
      <c r="O579" s="163"/>
      <c r="P579" s="255">
        <v>17718.349999999999</v>
      </c>
      <c r="Q579" s="134">
        <f t="shared" si="44"/>
        <v>5.0227455785090136E-3</v>
      </c>
      <c r="R579" s="19"/>
      <c r="S579" s="19"/>
      <c r="T579" s="19"/>
      <c r="X579" s="35"/>
    </row>
    <row r="580" spans="3:24" x14ac:dyDescent="0.3">
      <c r="C580" s="25" t="s">
        <v>533</v>
      </c>
      <c r="D580" s="255">
        <v>2682.4</v>
      </c>
      <c r="E580" s="134">
        <f t="shared" si="40"/>
        <v>2.0972100635633595E-2</v>
      </c>
      <c r="G580" s="255">
        <v>1113.6500000000001</v>
      </c>
      <c r="H580" s="134">
        <f t="shared" si="41"/>
        <v>1.4900209605395176E-2</v>
      </c>
      <c r="I580" s="163"/>
      <c r="J580" s="256">
        <v>719.85</v>
      </c>
      <c r="K580" s="134">
        <f t="shared" si="42"/>
        <v>4.0449124764627697E-3</v>
      </c>
      <c r="L580" s="163"/>
      <c r="M580" s="255">
        <v>2833.9</v>
      </c>
      <c r="N580" s="134">
        <f t="shared" si="43"/>
        <v>5.3747228381375578E-3</v>
      </c>
      <c r="O580" s="163"/>
      <c r="P580" s="255">
        <v>17816.25</v>
      </c>
      <c r="Q580" s="134">
        <f t="shared" si="44"/>
        <v>5.5253451929779818E-3</v>
      </c>
      <c r="R580" s="19"/>
      <c r="S580" s="19"/>
      <c r="T580" s="19"/>
      <c r="X580" s="35"/>
    </row>
    <row r="581" spans="3:24" x14ac:dyDescent="0.3">
      <c r="C581" s="25" t="s">
        <v>534</v>
      </c>
      <c r="D581" s="255">
        <v>2682.45</v>
      </c>
      <c r="E581" s="134">
        <f t="shared" si="40"/>
        <v>1.8640023859095578E-5</v>
      </c>
      <c r="G581" s="255">
        <v>1102.75</v>
      </c>
      <c r="H581" s="134">
        <f t="shared" si="41"/>
        <v>-9.7876352534459476E-3</v>
      </c>
      <c r="I581" s="163"/>
      <c r="J581" s="256">
        <v>711.9</v>
      </c>
      <c r="K581" s="134">
        <f t="shared" si="42"/>
        <v>-1.104396749322778E-2</v>
      </c>
      <c r="L581" s="163"/>
      <c r="M581" s="255">
        <v>2806.8</v>
      </c>
      <c r="N581" s="134">
        <f t="shared" si="43"/>
        <v>-9.5627933236881457E-3</v>
      </c>
      <c r="O581" s="163"/>
      <c r="P581" s="255">
        <v>17622.25</v>
      </c>
      <c r="Q581" s="134">
        <f t="shared" si="44"/>
        <v>-1.0888935662667465E-2</v>
      </c>
      <c r="R581" s="19"/>
      <c r="S581" s="19"/>
      <c r="T581" s="19"/>
      <c r="X581" s="35"/>
    </row>
    <row r="582" spans="3:24" x14ac:dyDescent="0.3">
      <c r="C582" s="25" t="s">
        <v>535</v>
      </c>
      <c r="D582" s="255">
        <v>2703.95</v>
      </c>
      <c r="E582" s="134">
        <f t="shared" si="40"/>
        <v>8.0150608585434213E-3</v>
      </c>
      <c r="G582" s="255">
        <v>1105.75</v>
      </c>
      <c r="H582" s="134">
        <f t="shared" si="41"/>
        <v>2.720471548401715E-3</v>
      </c>
      <c r="I582" s="163"/>
      <c r="J582" s="256">
        <v>703.4</v>
      </c>
      <c r="K582" s="134">
        <f t="shared" si="42"/>
        <v>-1.1939879196516401E-2</v>
      </c>
      <c r="L582" s="163"/>
      <c r="M582" s="255">
        <v>2799.05</v>
      </c>
      <c r="N582" s="134">
        <f t="shared" si="43"/>
        <v>-2.7611514892403877E-3</v>
      </c>
      <c r="O582" s="163"/>
      <c r="P582" s="255">
        <v>17530.849999999999</v>
      </c>
      <c r="Q582" s="134">
        <f t="shared" si="44"/>
        <v>-5.1866248634540035E-3</v>
      </c>
      <c r="R582" s="19"/>
      <c r="S582" s="19"/>
      <c r="T582" s="19"/>
      <c r="X582" s="35"/>
    </row>
    <row r="583" spans="3:24" x14ac:dyDescent="0.3">
      <c r="C583" s="25" t="s">
        <v>536</v>
      </c>
      <c r="D583" s="255">
        <v>2820.75</v>
      </c>
      <c r="E583" s="134">
        <f t="shared" si="40"/>
        <v>4.3196065015995266E-2</v>
      </c>
      <c r="G583" s="255">
        <v>1170.3</v>
      </c>
      <c r="H583" s="134">
        <f t="shared" si="41"/>
        <v>5.8376667420303008E-2</v>
      </c>
      <c r="I583" s="163"/>
      <c r="J583" s="256">
        <v>742.85</v>
      </c>
      <c r="K583" s="134">
        <f t="shared" si="42"/>
        <v>5.6084731305089619E-2</v>
      </c>
      <c r="L583" s="163"/>
      <c r="M583" s="255">
        <v>2901.85</v>
      </c>
      <c r="N583" s="134">
        <f t="shared" si="43"/>
        <v>3.6726746574730518E-2</v>
      </c>
      <c r="O583" s="163"/>
      <c r="P583" s="255">
        <v>17877.400000000001</v>
      </c>
      <c r="Q583" s="134">
        <f t="shared" si="44"/>
        <v>1.9768008967049777E-2</v>
      </c>
      <c r="R583" s="19"/>
      <c r="S583" s="19"/>
      <c r="T583" s="19"/>
      <c r="W583" s="38"/>
      <c r="X583" s="35"/>
    </row>
    <row r="584" spans="3:24" x14ac:dyDescent="0.3">
      <c r="C584" s="25" t="s">
        <v>537</v>
      </c>
      <c r="D584" s="255">
        <v>2822.4</v>
      </c>
      <c r="E584" s="134">
        <f t="shared" si="40"/>
        <v>5.8495081095455426E-4</v>
      </c>
      <c r="G584" s="255">
        <v>1155.9000000000001</v>
      </c>
      <c r="H584" s="134">
        <f t="shared" si="41"/>
        <v>-1.2304537298128526E-2</v>
      </c>
      <c r="I584" s="163"/>
      <c r="J584" s="256">
        <v>747.75</v>
      </c>
      <c r="K584" s="134">
        <f t="shared" si="42"/>
        <v>6.5962172713198708E-3</v>
      </c>
      <c r="L584" s="163"/>
      <c r="M584" s="255">
        <v>2869.15</v>
      </c>
      <c r="N584" s="134">
        <f t="shared" si="43"/>
        <v>-1.1268673432465404E-2</v>
      </c>
      <c r="O584" s="163"/>
      <c r="P584" s="255">
        <v>18003.75</v>
      </c>
      <c r="Q584" s="134">
        <f t="shared" si="44"/>
        <v>7.067582534372896E-3</v>
      </c>
      <c r="R584" s="19"/>
      <c r="S584" s="19"/>
      <c r="T584" s="19"/>
      <c r="W584" s="38"/>
      <c r="X584" s="35"/>
    </row>
    <row r="585" spans="3:24" x14ac:dyDescent="0.3">
      <c r="C585" s="25" t="s">
        <v>538</v>
      </c>
      <c r="D585" s="255">
        <v>2826.05</v>
      </c>
      <c r="E585" s="134">
        <f t="shared" si="40"/>
        <v>1.2932256235826944E-3</v>
      </c>
      <c r="G585" s="255">
        <v>1160.7</v>
      </c>
      <c r="H585" s="134">
        <f t="shared" si="41"/>
        <v>4.1526083571243877E-3</v>
      </c>
      <c r="I585" s="163"/>
      <c r="J585" s="256">
        <v>755.8</v>
      </c>
      <c r="K585" s="134">
        <f t="shared" si="42"/>
        <v>1.076563022400534E-2</v>
      </c>
      <c r="L585" s="163"/>
      <c r="M585" s="255">
        <v>2857.45</v>
      </c>
      <c r="N585" s="134">
        <f t="shared" si="43"/>
        <v>-4.0778627816601132E-3</v>
      </c>
      <c r="O585" s="163"/>
      <c r="P585" s="255">
        <v>18070.05</v>
      </c>
      <c r="Q585" s="134">
        <f t="shared" si="44"/>
        <v>3.6825661320558645E-3</v>
      </c>
      <c r="R585" s="19"/>
      <c r="S585" s="19"/>
      <c r="T585" s="19"/>
      <c r="W585" s="38"/>
      <c r="X585" s="35"/>
    </row>
    <row r="586" spans="3:24" x14ac:dyDescent="0.3">
      <c r="C586" s="160">
        <v>44904</v>
      </c>
      <c r="D586" s="255">
        <v>2727.2</v>
      </c>
      <c r="E586" s="134">
        <f t="shared" si="40"/>
        <v>-3.4978149714265605E-2</v>
      </c>
      <c r="F586" s="34"/>
      <c r="G586" s="255">
        <v>1159.75</v>
      </c>
      <c r="H586" s="134">
        <f t="shared" si="41"/>
        <v>-8.1847161195836016E-4</v>
      </c>
      <c r="I586" s="163"/>
      <c r="J586" s="256">
        <v>756.35</v>
      </c>
      <c r="K586" s="134">
        <f t="shared" si="42"/>
        <v>7.277057422598876E-4</v>
      </c>
      <c r="L586" s="163"/>
      <c r="M586" s="255">
        <v>2857.6</v>
      </c>
      <c r="N586" s="134">
        <f t="shared" si="43"/>
        <v>5.2494356856724878E-5</v>
      </c>
      <c r="O586" s="163"/>
      <c r="P586" s="255">
        <v>17936.349999999999</v>
      </c>
      <c r="Q586" s="134">
        <f t="shared" si="44"/>
        <v>-7.3989834007101019E-3</v>
      </c>
      <c r="R586" s="19"/>
      <c r="S586" s="19"/>
      <c r="T586" s="19"/>
      <c r="W586" s="38"/>
      <c r="X586" s="35"/>
    </row>
    <row r="587" spans="3:24" x14ac:dyDescent="0.3">
      <c r="C587" s="160">
        <v>44813</v>
      </c>
      <c r="D587" s="255">
        <v>2639.25</v>
      </c>
      <c r="E587" s="134">
        <f t="shared" si="40"/>
        <v>-3.2249193311821633E-2</v>
      </c>
      <c r="F587" s="34"/>
      <c r="G587" s="255">
        <v>1113.05</v>
      </c>
      <c r="H587" s="134">
        <f t="shared" si="41"/>
        <v>-4.0267298986850664E-2</v>
      </c>
      <c r="I587" s="163"/>
      <c r="J587" s="256">
        <v>741.65</v>
      </c>
      <c r="K587" s="134">
        <f t="shared" si="42"/>
        <v>-1.9435446552522051E-2</v>
      </c>
      <c r="L587" s="163"/>
      <c r="M587" s="255">
        <v>2844.15</v>
      </c>
      <c r="N587" s="134">
        <f t="shared" si="43"/>
        <v>-4.706746920492666E-3</v>
      </c>
      <c r="O587" s="163"/>
      <c r="P587" s="255">
        <v>17833.349999999999</v>
      </c>
      <c r="Q587" s="134">
        <f t="shared" si="44"/>
        <v>-5.7425284408477717E-3</v>
      </c>
      <c r="R587" s="19"/>
      <c r="S587" s="19"/>
      <c r="T587" s="19"/>
      <c r="W587" s="38"/>
      <c r="X587" s="35"/>
    </row>
    <row r="588" spans="3:24" x14ac:dyDescent="0.3">
      <c r="C588" s="160">
        <v>44782</v>
      </c>
      <c r="D588" s="255">
        <v>2648.45</v>
      </c>
      <c r="E588" s="134">
        <f t="shared" ref="E588:E651" si="45">D588/D587-1</f>
        <v>3.4858387799563406E-3</v>
      </c>
      <c r="F588" s="34"/>
      <c r="G588" s="255">
        <v>1116.9000000000001</v>
      </c>
      <c r="H588" s="134">
        <f t="shared" ref="H588:H651" si="46">G588/G587-1</f>
        <v>3.4589641076323563E-3</v>
      </c>
      <c r="I588" s="163"/>
      <c r="J588" s="256">
        <v>737.5</v>
      </c>
      <c r="K588" s="134">
        <f t="shared" ref="K588:K651" si="47">J588/J587-1</f>
        <v>-5.5956313625025178E-3</v>
      </c>
      <c r="L588" s="163"/>
      <c r="M588" s="255">
        <v>2869.65</v>
      </c>
      <c r="N588" s="134">
        <f t="shared" ref="N588:N651" si="48">M588/M587-1</f>
        <v>8.9657718474764891E-3</v>
      </c>
      <c r="O588" s="163"/>
      <c r="P588" s="255">
        <v>17798.75</v>
      </c>
      <c r="Q588" s="134">
        <f t="shared" ref="Q588:Q651" si="49">P588/P587-1</f>
        <v>-1.9401851026306094E-3</v>
      </c>
      <c r="R588" s="19"/>
      <c r="S588" s="19"/>
      <c r="T588" s="19"/>
      <c r="W588" s="38"/>
      <c r="X588" s="35"/>
    </row>
    <row r="589" spans="3:24" x14ac:dyDescent="0.3">
      <c r="C589" s="160">
        <v>44751</v>
      </c>
      <c r="D589" s="255">
        <v>2620.5</v>
      </c>
      <c r="E589" s="134">
        <f t="shared" si="45"/>
        <v>-1.0553342521097187E-2</v>
      </c>
      <c r="F589" s="34"/>
      <c r="G589" s="255">
        <v>1125.1500000000001</v>
      </c>
      <c r="H589" s="134">
        <f t="shared" si="46"/>
        <v>7.3865162503357062E-3</v>
      </c>
      <c r="I589" s="163"/>
      <c r="J589" s="256">
        <v>740.55</v>
      </c>
      <c r="K589" s="134">
        <f t="shared" si="47"/>
        <v>4.1355932203388512E-3</v>
      </c>
      <c r="L589" s="163"/>
      <c r="M589" s="255">
        <v>2803.85</v>
      </c>
      <c r="N589" s="134">
        <f t="shared" si="48"/>
        <v>-2.2929625564093281E-2</v>
      </c>
      <c r="O589" s="163"/>
      <c r="P589" s="255">
        <v>17624.400000000001</v>
      </c>
      <c r="Q589" s="134">
        <f t="shared" si="49"/>
        <v>-9.7956317157102957E-3</v>
      </c>
      <c r="R589" s="19"/>
      <c r="S589" s="19"/>
      <c r="T589" s="19"/>
      <c r="W589" s="38"/>
      <c r="X589" s="35"/>
    </row>
    <row r="590" spans="3:24" x14ac:dyDescent="0.3">
      <c r="C590" s="160">
        <v>44721</v>
      </c>
      <c r="D590" s="255">
        <v>2621</v>
      </c>
      <c r="E590" s="134">
        <f t="shared" si="45"/>
        <v>1.9080328181653172E-4</v>
      </c>
      <c r="F590" s="34"/>
      <c r="G590" s="255">
        <v>1120</v>
      </c>
      <c r="H590" s="134">
        <f t="shared" si="46"/>
        <v>-4.5771674887793434E-3</v>
      </c>
      <c r="I590" s="163"/>
      <c r="J590" s="256">
        <v>737.75</v>
      </c>
      <c r="K590" s="134">
        <f t="shared" si="47"/>
        <v>-3.7809736007020645E-3</v>
      </c>
      <c r="L590" s="163"/>
      <c r="M590" s="255">
        <v>2815.8</v>
      </c>
      <c r="N590" s="134">
        <f t="shared" si="48"/>
        <v>4.2619968971235878E-3</v>
      </c>
      <c r="O590" s="163"/>
      <c r="P590" s="255">
        <v>17655.599999999999</v>
      </c>
      <c r="Q590" s="134">
        <f t="shared" si="49"/>
        <v>1.7702730305710901E-3</v>
      </c>
      <c r="R590" s="19"/>
      <c r="S590" s="19"/>
      <c r="T590" s="19"/>
      <c r="X590" s="35"/>
    </row>
    <row r="591" spans="3:24" x14ac:dyDescent="0.3">
      <c r="C591" s="160">
        <v>44690</v>
      </c>
      <c r="D591" s="255">
        <v>2601.1999999999998</v>
      </c>
      <c r="E591" s="134">
        <f t="shared" si="45"/>
        <v>-7.5543685616177303E-3</v>
      </c>
      <c r="F591" s="34"/>
      <c r="G591" s="255">
        <v>1119.1500000000001</v>
      </c>
      <c r="H591" s="134">
        <f t="shared" si="46"/>
        <v>-7.5892857142845216E-4</v>
      </c>
      <c r="I591" s="163"/>
      <c r="J591" s="256">
        <v>747</v>
      </c>
      <c r="K591" s="134">
        <f t="shared" si="47"/>
        <v>1.2538122670281204E-2</v>
      </c>
      <c r="L591" s="163"/>
      <c r="M591" s="255">
        <v>2832.75</v>
      </c>
      <c r="N591" s="134">
        <f t="shared" si="48"/>
        <v>6.0196036650330687E-3</v>
      </c>
      <c r="O591" s="163"/>
      <c r="P591" s="255">
        <v>17665.8</v>
      </c>
      <c r="Q591" s="134">
        <f t="shared" si="49"/>
        <v>5.7772038333459008E-4</v>
      </c>
      <c r="R591" s="19"/>
      <c r="S591" s="19"/>
      <c r="T591" s="19"/>
      <c r="X591" s="35"/>
    </row>
    <row r="592" spans="3:24" x14ac:dyDescent="0.3">
      <c r="C592" s="160">
        <v>44601</v>
      </c>
      <c r="D592" s="255">
        <v>2603.4</v>
      </c>
      <c r="E592" s="134">
        <f t="shared" si="45"/>
        <v>8.4576349377218918E-4</v>
      </c>
      <c r="F592" s="34"/>
      <c r="G592" s="255">
        <v>1119.8</v>
      </c>
      <c r="H592" s="134">
        <f t="shared" si="46"/>
        <v>5.8079792699805566E-4</v>
      </c>
      <c r="I592" s="163"/>
      <c r="J592" s="256">
        <v>745.95</v>
      </c>
      <c r="K592" s="134">
        <f t="shared" si="47"/>
        <v>-1.4056224899597902E-3</v>
      </c>
      <c r="L592" s="163"/>
      <c r="M592" s="255">
        <v>2866.7</v>
      </c>
      <c r="N592" s="134">
        <f t="shared" si="48"/>
        <v>1.1984820404200791E-2</v>
      </c>
      <c r="O592" s="163"/>
      <c r="P592" s="255">
        <v>17539.45</v>
      </c>
      <c r="Q592" s="134">
        <f t="shared" si="49"/>
        <v>-7.1522376569416179E-3</v>
      </c>
      <c r="R592" s="19"/>
      <c r="S592" s="19"/>
      <c r="T592" s="19"/>
      <c r="X592" s="35"/>
    </row>
    <row r="593" spans="3:24" x14ac:dyDescent="0.3">
      <c r="C593" s="160">
        <v>44570</v>
      </c>
      <c r="D593" s="255">
        <v>2666.35</v>
      </c>
      <c r="E593" s="134">
        <f t="shared" si="45"/>
        <v>2.417991856802626E-2</v>
      </c>
      <c r="F593" s="34"/>
      <c r="G593" s="255">
        <v>1139.0999999999999</v>
      </c>
      <c r="H593" s="134">
        <f t="shared" si="46"/>
        <v>1.7235220575102739E-2</v>
      </c>
      <c r="I593" s="163"/>
      <c r="J593" s="256">
        <v>756.8</v>
      </c>
      <c r="K593" s="134">
        <f t="shared" si="47"/>
        <v>1.4545210805013697E-2</v>
      </c>
      <c r="L593" s="163"/>
      <c r="M593" s="255">
        <v>2820.3</v>
      </c>
      <c r="N593" s="134">
        <f t="shared" si="48"/>
        <v>-1.6185858303973122E-2</v>
      </c>
      <c r="O593" s="163"/>
      <c r="P593" s="255">
        <v>17542.8</v>
      </c>
      <c r="Q593" s="134">
        <f t="shared" si="49"/>
        <v>1.9099800734911909E-4</v>
      </c>
      <c r="R593" s="19"/>
      <c r="S593" s="19"/>
      <c r="T593" s="19"/>
      <c r="X593" s="35"/>
    </row>
    <row r="594" spans="3:24" x14ac:dyDescent="0.3">
      <c r="C594" s="25" t="s">
        <v>539</v>
      </c>
      <c r="D594" s="255">
        <v>2543.4</v>
      </c>
      <c r="E594" s="134">
        <f t="shared" si="45"/>
        <v>-4.611172576743483E-2</v>
      </c>
      <c r="G594" s="255">
        <v>1129.55</v>
      </c>
      <c r="H594" s="134">
        <f t="shared" si="46"/>
        <v>-8.38381178123071E-3</v>
      </c>
      <c r="I594" s="163"/>
      <c r="J594" s="256">
        <v>768.9</v>
      </c>
      <c r="K594" s="134">
        <f t="shared" si="47"/>
        <v>1.5988372093023395E-2</v>
      </c>
      <c r="L594" s="163"/>
      <c r="M594" s="255">
        <v>2736.3</v>
      </c>
      <c r="N594" s="134">
        <f t="shared" si="48"/>
        <v>-2.978406552494417E-2</v>
      </c>
      <c r="O594" s="163"/>
      <c r="P594" s="255">
        <v>17759.3</v>
      </c>
      <c r="Q594" s="134">
        <f t="shared" si="49"/>
        <v>1.2341245411222834E-2</v>
      </c>
      <c r="R594" s="19"/>
      <c r="S594" s="19"/>
      <c r="T594" s="19"/>
      <c r="X594" s="35"/>
    </row>
    <row r="595" spans="3:24" x14ac:dyDescent="0.3">
      <c r="C595" s="25" t="s">
        <v>540</v>
      </c>
      <c r="D595" s="255">
        <v>2419.4</v>
      </c>
      <c r="E595" s="134">
        <f t="shared" si="45"/>
        <v>-4.8753636864040217E-2</v>
      </c>
      <c r="G595" s="255">
        <v>1132.4000000000001</v>
      </c>
      <c r="H595" s="134">
        <f t="shared" si="46"/>
        <v>2.523128679562836E-3</v>
      </c>
      <c r="I595" s="163"/>
      <c r="J595" s="256">
        <v>750.65</v>
      </c>
      <c r="K595" s="134">
        <f t="shared" si="47"/>
        <v>-2.3735206138639664E-2</v>
      </c>
      <c r="L595" s="163"/>
      <c r="M595" s="255">
        <v>2700.35</v>
      </c>
      <c r="N595" s="134">
        <f t="shared" si="48"/>
        <v>-1.3138179293206265E-2</v>
      </c>
      <c r="O595" s="163"/>
      <c r="P595" s="255">
        <v>17312.900000000001</v>
      </c>
      <c r="Q595" s="134">
        <f t="shared" si="49"/>
        <v>-2.5136125860816483E-2</v>
      </c>
      <c r="R595" s="19"/>
      <c r="S595" s="19"/>
      <c r="T595" s="19"/>
      <c r="X595" s="35"/>
    </row>
    <row r="596" spans="3:24" x14ac:dyDescent="0.3">
      <c r="C596" s="25" t="s">
        <v>541</v>
      </c>
      <c r="D596" s="255">
        <v>2401.5500000000002</v>
      </c>
      <c r="E596" s="134">
        <f t="shared" si="45"/>
        <v>-7.3778622799041127E-3</v>
      </c>
      <c r="G596" s="255">
        <v>1110.5999999999999</v>
      </c>
      <c r="H596" s="134">
        <f t="shared" si="46"/>
        <v>-1.9251148004238994E-2</v>
      </c>
      <c r="I596" s="163"/>
      <c r="J596" s="256">
        <v>759.95</v>
      </c>
      <c r="K596" s="134">
        <f t="shared" si="47"/>
        <v>1.2389262639046272E-2</v>
      </c>
      <c r="L596" s="163"/>
      <c r="M596" s="255">
        <v>2666.9</v>
      </c>
      <c r="N596" s="134">
        <f t="shared" si="48"/>
        <v>-1.2387283129964621E-2</v>
      </c>
      <c r="O596" s="163"/>
      <c r="P596" s="255">
        <v>17558.900000000001</v>
      </c>
      <c r="Q596" s="134">
        <f t="shared" si="49"/>
        <v>1.4209057985663964E-2</v>
      </c>
      <c r="R596" s="19"/>
      <c r="S596" s="19"/>
      <c r="T596" s="19"/>
      <c r="X596" s="35"/>
    </row>
    <row r="597" spans="3:24" x14ac:dyDescent="0.3">
      <c r="C597" s="25" t="s">
        <v>542</v>
      </c>
      <c r="D597" s="255">
        <v>2371.5</v>
      </c>
      <c r="E597" s="134">
        <f t="shared" si="45"/>
        <v>-1.2512752180883213E-2</v>
      </c>
      <c r="G597" s="255">
        <v>1099.8</v>
      </c>
      <c r="H597" s="134">
        <f t="shared" si="46"/>
        <v>-9.7244732576985404E-3</v>
      </c>
      <c r="I597" s="163"/>
      <c r="J597" s="256">
        <v>762.5</v>
      </c>
      <c r="K597" s="134">
        <f t="shared" si="47"/>
        <v>3.3554839134153358E-3</v>
      </c>
      <c r="L597" s="163"/>
      <c r="M597" s="255">
        <v>2663.25</v>
      </c>
      <c r="N597" s="134">
        <f t="shared" si="48"/>
        <v>-1.3686302448535637E-3</v>
      </c>
      <c r="O597" s="163"/>
      <c r="P597" s="255">
        <v>17522.45</v>
      </c>
      <c r="Q597" s="134">
        <f t="shared" si="49"/>
        <v>-2.075870356343601E-3</v>
      </c>
      <c r="R597" s="19"/>
      <c r="S597" s="19"/>
      <c r="T597" s="19"/>
      <c r="X597" s="35"/>
    </row>
    <row r="598" spans="3:24" x14ac:dyDescent="0.3">
      <c r="C598" s="25" t="s">
        <v>543</v>
      </c>
      <c r="D598" s="255">
        <v>2381.5</v>
      </c>
      <c r="E598" s="134">
        <f t="shared" si="45"/>
        <v>4.2167404596247238E-3</v>
      </c>
      <c r="G598" s="255">
        <v>1095.1500000000001</v>
      </c>
      <c r="H598" s="134">
        <f t="shared" si="46"/>
        <v>-4.2280414620838869E-3</v>
      </c>
      <c r="I598" s="163"/>
      <c r="J598" s="256">
        <v>759.95</v>
      </c>
      <c r="K598" s="134">
        <f t="shared" si="47"/>
        <v>-3.3442622950818901E-3</v>
      </c>
      <c r="L598" s="163"/>
      <c r="M598" s="255">
        <v>2670.75</v>
      </c>
      <c r="N598" s="134">
        <f t="shared" si="48"/>
        <v>2.8161081385524867E-3</v>
      </c>
      <c r="O598" s="163"/>
      <c r="P598" s="255">
        <v>17604.95</v>
      </c>
      <c r="Q598" s="134">
        <f t="shared" si="49"/>
        <v>4.7082457076492723E-3</v>
      </c>
      <c r="R598" s="19"/>
      <c r="S598" s="19"/>
      <c r="T598" s="19"/>
      <c r="X598" s="35"/>
    </row>
    <row r="599" spans="3:24" x14ac:dyDescent="0.3">
      <c r="C599" s="25" t="s">
        <v>544</v>
      </c>
      <c r="D599" s="255">
        <v>2415.65</v>
      </c>
      <c r="E599" s="134">
        <f t="shared" si="45"/>
        <v>1.4339701868570254E-2</v>
      </c>
      <c r="G599" s="255">
        <v>1101.25</v>
      </c>
      <c r="H599" s="134">
        <f t="shared" si="46"/>
        <v>5.5700132401952374E-3</v>
      </c>
      <c r="I599" s="163"/>
      <c r="J599" s="256">
        <v>759.7</v>
      </c>
      <c r="K599" s="134">
        <f t="shared" si="47"/>
        <v>-3.2896901111911792E-4</v>
      </c>
      <c r="L599" s="163"/>
      <c r="M599" s="255">
        <v>2677.85</v>
      </c>
      <c r="N599" s="134">
        <f t="shared" si="48"/>
        <v>2.658429280164798E-3</v>
      </c>
      <c r="O599" s="163"/>
      <c r="P599" s="255">
        <v>17577.5</v>
      </c>
      <c r="Q599" s="134">
        <f t="shared" si="49"/>
        <v>-1.5592205601265841E-3</v>
      </c>
      <c r="R599" s="19"/>
      <c r="S599" s="19"/>
      <c r="T599" s="19"/>
      <c r="X599" s="35"/>
    </row>
    <row r="600" spans="3:24" x14ac:dyDescent="0.3">
      <c r="C600" s="25" t="s">
        <v>545</v>
      </c>
      <c r="D600" s="255">
        <v>2393.4499999999998</v>
      </c>
      <c r="E600" s="134">
        <f t="shared" si="45"/>
        <v>-9.190073065220683E-3</v>
      </c>
      <c r="G600" s="255">
        <v>1087.5</v>
      </c>
      <c r="H600" s="134">
        <f t="shared" si="46"/>
        <v>-1.2485811577752526E-2</v>
      </c>
      <c r="I600" s="163"/>
      <c r="J600" s="256">
        <v>744.85</v>
      </c>
      <c r="K600" s="134">
        <f t="shared" si="47"/>
        <v>-1.9547189680136912E-2</v>
      </c>
      <c r="L600" s="163"/>
      <c r="M600" s="255">
        <v>2680.15</v>
      </c>
      <c r="N600" s="134">
        <f t="shared" si="48"/>
        <v>8.588979965271637E-4</v>
      </c>
      <c r="O600" s="163"/>
      <c r="P600" s="255">
        <v>17490.7</v>
      </c>
      <c r="Q600" s="134">
        <f t="shared" si="49"/>
        <v>-4.9381311335513489E-3</v>
      </c>
      <c r="R600" s="19"/>
      <c r="S600" s="19"/>
      <c r="T600" s="19"/>
      <c r="X600" s="35"/>
    </row>
    <row r="601" spans="3:24" x14ac:dyDescent="0.3">
      <c r="C601" s="25" t="s">
        <v>546</v>
      </c>
      <c r="D601" s="255">
        <v>2455.1</v>
      </c>
      <c r="E601" s="134">
        <f t="shared" si="45"/>
        <v>2.5757797321857678E-2</v>
      </c>
      <c r="G601" s="255">
        <v>1124.1500000000001</v>
      </c>
      <c r="H601" s="134">
        <f t="shared" si="46"/>
        <v>3.3701149425287458E-2</v>
      </c>
      <c r="I601" s="163"/>
      <c r="J601" s="256">
        <v>767.9</v>
      </c>
      <c r="K601" s="134">
        <f t="shared" si="47"/>
        <v>3.0945828019064203E-2</v>
      </c>
      <c r="L601" s="163"/>
      <c r="M601" s="255">
        <v>2720.8</v>
      </c>
      <c r="N601" s="134">
        <f t="shared" si="48"/>
        <v>1.5167061545062754E-2</v>
      </c>
      <c r="O601" s="163"/>
      <c r="P601" s="255">
        <v>17758.45</v>
      </c>
      <c r="Q601" s="134">
        <f t="shared" si="49"/>
        <v>1.5308135180410076E-2</v>
      </c>
      <c r="R601" s="19"/>
      <c r="S601" s="19"/>
      <c r="T601" s="19"/>
      <c r="X601" s="35"/>
    </row>
    <row r="602" spans="3:24" x14ac:dyDescent="0.3">
      <c r="C602" s="25" t="s">
        <v>547</v>
      </c>
      <c r="D602" s="255">
        <v>2519.3000000000002</v>
      </c>
      <c r="E602" s="134">
        <f t="shared" si="45"/>
        <v>2.6149647672192744E-2</v>
      </c>
      <c r="G602" s="255">
        <v>1118.25</v>
      </c>
      <c r="H602" s="134">
        <f t="shared" si="46"/>
        <v>-5.2484099097096504E-3</v>
      </c>
      <c r="I602" s="163"/>
      <c r="J602" s="256">
        <v>773.9</v>
      </c>
      <c r="K602" s="134">
        <f t="shared" si="47"/>
        <v>7.8135173850761852E-3</v>
      </c>
      <c r="L602" s="163"/>
      <c r="M602" s="255">
        <v>2723.25</v>
      </c>
      <c r="N602" s="134">
        <f t="shared" si="48"/>
        <v>9.004704498676297E-4</v>
      </c>
      <c r="O602" s="163"/>
      <c r="P602" s="255">
        <v>17956.5</v>
      </c>
      <c r="Q602" s="134">
        <f t="shared" si="49"/>
        <v>1.1152437290416595E-2</v>
      </c>
      <c r="R602" s="19"/>
      <c r="S602" s="19"/>
      <c r="T602" s="19"/>
      <c r="X602" s="35"/>
    </row>
    <row r="603" spans="3:24" x14ac:dyDescent="0.3">
      <c r="C603" s="25" t="s">
        <v>548</v>
      </c>
      <c r="D603" s="255">
        <v>2486.65</v>
      </c>
      <c r="E603" s="134">
        <f t="shared" si="45"/>
        <v>-1.2959949192235976E-2</v>
      </c>
      <c r="G603" s="255">
        <v>1107.0999999999999</v>
      </c>
      <c r="H603" s="134">
        <f t="shared" si="46"/>
        <v>-9.9709367315001796E-3</v>
      </c>
      <c r="I603" s="163"/>
      <c r="J603" s="256">
        <v>790.2</v>
      </c>
      <c r="K603" s="134">
        <f t="shared" si="47"/>
        <v>2.1062152732911343E-2</v>
      </c>
      <c r="L603" s="163"/>
      <c r="M603" s="255">
        <v>2716.3</v>
      </c>
      <c r="N603" s="134">
        <f t="shared" si="48"/>
        <v>-2.5520976774074944E-3</v>
      </c>
      <c r="O603" s="163"/>
      <c r="P603" s="255">
        <v>17944.25</v>
      </c>
      <c r="Q603" s="134">
        <f t="shared" si="49"/>
        <v>-6.8220421574360923E-4</v>
      </c>
      <c r="R603" s="19"/>
      <c r="S603" s="19"/>
      <c r="T603" s="19"/>
      <c r="X603" s="35"/>
    </row>
    <row r="604" spans="3:24" x14ac:dyDescent="0.3">
      <c r="C604" s="25" t="s">
        <v>549</v>
      </c>
      <c r="D604" s="255">
        <v>2493.85</v>
      </c>
      <c r="E604" s="134">
        <f t="shared" si="45"/>
        <v>2.8954617658294435E-3</v>
      </c>
      <c r="G604" s="255">
        <v>1122.5</v>
      </c>
      <c r="H604" s="134">
        <f t="shared" si="46"/>
        <v>1.3910215879324506E-2</v>
      </c>
      <c r="I604" s="163"/>
      <c r="J604" s="256">
        <v>788.45</v>
      </c>
      <c r="K604" s="134">
        <f t="shared" si="47"/>
        <v>-2.214629207795471E-3</v>
      </c>
      <c r="L604" s="163"/>
      <c r="M604" s="255">
        <v>2665.75</v>
      </c>
      <c r="N604" s="134">
        <f t="shared" si="48"/>
        <v>-1.8609873725288106E-2</v>
      </c>
      <c r="O604" s="163"/>
      <c r="P604" s="255">
        <v>17825.25</v>
      </c>
      <c r="Q604" s="134">
        <f t="shared" si="49"/>
        <v>-6.631650807361722E-3</v>
      </c>
      <c r="R604" s="19"/>
      <c r="S604" s="19"/>
      <c r="T604" s="19"/>
      <c r="W604" s="38"/>
      <c r="X604" s="35"/>
    </row>
    <row r="605" spans="3:24" x14ac:dyDescent="0.3">
      <c r="C605" s="160">
        <v>44903</v>
      </c>
      <c r="D605" s="255">
        <v>2438.4499999999998</v>
      </c>
      <c r="E605" s="134">
        <f t="shared" si="45"/>
        <v>-2.2214648034164064E-2</v>
      </c>
      <c r="F605" s="34"/>
      <c r="G605" s="255">
        <v>1118.9000000000001</v>
      </c>
      <c r="H605" s="134">
        <f t="shared" si="46"/>
        <v>-3.2071269487750076E-3</v>
      </c>
      <c r="I605" s="163"/>
      <c r="J605" s="256">
        <v>788.45</v>
      </c>
      <c r="K605" s="134">
        <f t="shared" si="47"/>
        <v>0</v>
      </c>
      <c r="L605" s="163"/>
      <c r="M605" s="255">
        <v>2622.5</v>
      </c>
      <c r="N605" s="134">
        <f t="shared" si="48"/>
        <v>-1.6224327112444925E-2</v>
      </c>
      <c r="O605" s="163"/>
      <c r="P605" s="255">
        <v>17698.150000000001</v>
      </c>
      <c r="Q605" s="134">
        <f t="shared" si="49"/>
        <v>-7.1303347779132498E-3</v>
      </c>
      <c r="R605" s="19"/>
      <c r="S605" s="19"/>
      <c r="T605" s="19"/>
      <c r="W605" s="38"/>
      <c r="X605" s="35"/>
    </row>
    <row r="606" spans="3:24" x14ac:dyDescent="0.3">
      <c r="C606" s="160">
        <v>44873</v>
      </c>
      <c r="D606" s="255">
        <v>2429.6</v>
      </c>
      <c r="E606" s="134">
        <f t="shared" si="45"/>
        <v>-3.629354713034938E-3</v>
      </c>
      <c r="F606" s="34"/>
      <c r="G606" s="255">
        <v>1075.5999999999999</v>
      </c>
      <c r="H606" s="134">
        <f t="shared" si="46"/>
        <v>-3.8698721959067095E-2</v>
      </c>
      <c r="I606" s="163"/>
      <c r="J606" s="256">
        <v>767.25</v>
      </c>
      <c r="K606" s="134">
        <f t="shared" si="47"/>
        <v>-2.6888198363878568E-2</v>
      </c>
      <c r="L606" s="163"/>
      <c r="M606" s="255">
        <v>2640.65</v>
      </c>
      <c r="N606" s="134">
        <f t="shared" si="48"/>
        <v>6.9208770257387364E-3</v>
      </c>
      <c r="O606" s="163"/>
      <c r="P606" s="255">
        <v>17659</v>
      </c>
      <c r="Q606" s="134">
        <f t="shared" si="49"/>
        <v>-2.2120956145134096E-3</v>
      </c>
      <c r="R606" s="19"/>
      <c r="S606" s="19"/>
      <c r="T606" s="19"/>
      <c r="W606" s="38"/>
      <c r="X606" s="35"/>
    </row>
    <row r="607" spans="3:24" x14ac:dyDescent="0.3">
      <c r="C607" s="160">
        <v>44842</v>
      </c>
      <c r="D607" s="255">
        <v>2436.8000000000002</v>
      </c>
      <c r="E607" s="134">
        <f t="shared" si="45"/>
        <v>2.9634507737901217E-3</v>
      </c>
      <c r="F607" s="34"/>
      <c r="G607" s="255">
        <v>1074.1500000000001</v>
      </c>
      <c r="H607" s="134">
        <f t="shared" si="46"/>
        <v>-1.3480847898845738E-3</v>
      </c>
      <c r="I607" s="163"/>
      <c r="J607" s="256">
        <v>765.55</v>
      </c>
      <c r="K607" s="134">
        <f t="shared" si="47"/>
        <v>-2.2157054415119504E-3</v>
      </c>
      <c r="L607" s="163"/>
      <c r="M607" s="255">
        <v>2636.8</v>
      </c>
      <c r="N607" s="134">
        <f t="shared" si="48"/>
        <v>-1.457974362372827E-3</v>
      </c>
      <c r="O607" s="163"/>
      <c r="P607" s="255">
        <v>17534.75</v>
      </c>
      <c r="Q607" s="134">
        <f t="shared" si="49"/>
        <v>-7.0360722577722523E-3</v>
      </c>
      <c r="R607" s="19"/>
      <c r="S607" s="19"/>
      <c r="T607" s="19"/>
      <c r="W607" s="38"/>
      <c r="X607" s="35"/>
    </row>
    <row r="608" spans="3:24" x14ac:dyDescent="0.3">
      <c r="C608" s="160">
        <v>44781</v>
      </c>
      <c r="D608" s="255">
        <v>2480.9</v>
      </c>
      <c r="E608" s="134">
        <f t="shared" si="45"/>
        <v>1.8097504924491137E-2</v>
      </c>
      <c r="F608" s="34"/>
      <c r="G608" s="256">
        <v>957</v>
      </c>
      <c r="H608" s="134">
        <f t="shared" si="46"/>
        <v>-0.10906298003072201</v>
      </c>
      <c r="I608" s="163"/>
      <c r="J608" s="256">
        <v>748.7</v>
      </c>
      <c r="K608" s="134">
        <f t="shared" si="47"/>
        <v>-2.201031937822473E-2</v>
      </c>
      <c r="L608" s="163"/>
      <c r="M608" s="255">
        <v>2649.35</v>
      </c>
      <c r="N608" s="134">
        <f t="shared" si="48"/>
        <v>4.7595570388347941E-3</v>
      </c>
      <c r="O608" s="163"/>
      <c r="P608" s="255">
        <v>17525.099999999999</v>
      </c>
      <c r="Q608" s="134">
        <f t="shared" si="49"/>
        <v>-5.5033576184437827E-4</v>
      </c>
      <c r="R608" s="19"/>
      <c r="S608" s="19"/>
      <c r="T608" s="19"/>
      <c r="W608" s="38"/>
      <c r="X608" s="35"/>
    </row>
    <row r="609" spans="3:24" x14ac:dyDescent="0.3">
      <c r="C609" s="160">
        <v>44689</v>
      </c>
      <c r="D609" s="255">
        <v>2498.5500000000002</v>
      </c>
      <c r="E609" s="134">
        <f t="shared" si="45"/>
        <v>7.114353661977546E-3</v>
      </c>
      <c r="F609" s="34"/>
      <c r="G609" s="256">
        <v>948.5</v>
      </c>
      <c r="H609" s="134">
        <f t="shared" si="46"/>
        <v>-8.8819226750260771E-3</v>
      </c>
      <c r="I609" s="163"/>
      <c r="J609" s="256">
        <v>743.45</v>
      </c>
      <c r="K609" s="134">
        <f t="shared" si="47"/>
        <v>-7.012154400961701E-3</v>
      </c>
      <c r="L609" s="163"/>
      <c r="M609" s="255">
        <v>2640.85</v>
      </c>
      <c r="N609" s="134">
        <f t="shared" si="48"/>
        <v>-3.208334119689682E-3</v>
      </c>
      <c r="O609" s="163"/>
      <c r="P609" s="255">
        <v>17397.5</v>
      </c>
      <c r="Q609" s="134">
        <f t="shared" si="49"/>
        <v>-7.2809855578569449E-3</v>
      </c>
      <c r="R609" s="19"/>
      <c r="S609" s="19"/>
      <c r="T609" s="19"/>
      <c r="W609" s="38"/>
      <c r="X609" s="35"/>
    </row>
    <row r="610" spans="3:24" x14ac:dyDescent="0.3">
      <c r="C610" s="160">
        <v>44659</v>
      </c>
      <c r="D610" s="255">
        <v>2453.9</v>
      </c>
      <c r="E610" s="134">
        <f t="shared" si="45"/>
        <v>-1.7870364811590767E-2</v>
      </c>
      <c r="F610" s="34"/>
      <c r="G610" s="256">
        <v>950.8</v>
      </c>
      <c r="H610" s="134">
        <f t="shared" si="46"/>
        <v>2.4248813916709633E-3</v>
      </c>
      <c r="I610" s="163"/>
      <c r="J610" s="256">
        <v>732.05</v>
      </c>
      <c r="K610" s="134">
        <f t="shared" si="47"/>
        <v>-1.5333916201493158E-2</v>
      </c>
      <c r="L610" s="163"/>
      <c r="M610" s="255">
        <v>2554.1</v>
      </c>
      <c r="N610" s="134">
        <f t="shared" si="48"/>
        <v>-3.2849272014692232E-2</v>
      </c>
      <c r="O610" s="163"/>
      <c r="P610" s="255">
        <v>17382</v>
      </c>
      <c r="Q610" s="134">
        <f t="shared" si="49"/>
        <v>-8.9093260525940909E-4</v>
      </c>
      <c r="R610" s="19"/>
      <c r="S610" s="19"/>
      <c r="T610" s="19"/>
      <c r="W610" s="38"/>
      <c r="X610" s="35"/>
    </row>
    <row r="611" spans="3:24" x14ac:dyDescent="0.3">
      <c r="C611" s="160">
        <v>44628</v>
      </c>
      <c r="D611" s="255">
        <v>2450.4</v>
      </c>
      <c r="E611" s="134">
        <f t="shared" si="45"/>
        <v>-1.4263009902604207E-3</v>
      </c>
      <c r="F611" s="34"/>
      <c r="G611" s="256">
        <v>937.95</v>
      </c>
      <c r="H611" s="134">
        <f t="shared" si="46"/>
        <v>-1.3514934791754252E-2</v>
      </c>
      <c r="I611" s="163"/>
      <c r="J611" s="256">
        <v>731.1</v>
      </c>
      <c r="K611" s="134">
        <f t="shared" si="47"/>
        <v>-1.297725565193586E-3</v>
      </c>
      <c r="L611" s="163"/>
      <c r="M611" s="255">
        <v>2523.25</v>
      </c>
      <c r="N611" s="134">
        <f t="shared" si="48"/>
        <v>-1.2078618691515608E-2</v>
      </c>
      <c r="O611" s="163"/>
      <c r="P611" s="255">
        <v>17388.150000000001</v>
      </c>
      <c r="Q611" s="134">
        <f t="shared" si="49"/>
        <v>3.5381429064562653E-4</v>
      </c>
      <c r="R611" s="19"/>
      <c r="S611" s="19"/>
      <c r="T611" s="19"/>
      <c r="W611" s="38"/>
      <c r="X611" s="35"/>
    </row>
    <row r="612" spans="3:24" x14ac:dyDescent="0.3">
      <c r="C612" s="160">
        <v>44600</v>
      </c>
      <c r="D612" s="255">
        <v>2453.9499999999998</v>
      </c>
      <c r="E612" s="134">
        <f t="shared" si="45"/>
        <v>1.448743062357094E-3</v>
      </c>
      <c r="F612" s="34"/>
      <c r="G612" s="256">
        <v>942.95</v>
      </c>
      <c r="H612" s="134">
        <f t="shared" si="46"/>
        <v>5.3307745615438495E-3</v>
      </c>
      <c r="I612" s="163"/>
      <c r="J612" s="256">
        <v>739</v>
      </c>
      <c r="K612" s="134">
        <f t="shared" si="47"/>
        <v>1.0805635344002251E-2</v>
      </c>
      <c r="L612" s="163"/>
      <c r="M612" s="255">
        <v>2520.4499999999998</v>
      </c>
      <c r="N612" s="134">
        <f t="shared" si="48"/>
        <v>-1.109679976221245E-3</v>
      </c>
      <c r="O612" s="163"/>
      <c r="P612" s="255">
        <v>17345.45</v>
      </c>
      <c r="Q612" s="134">
        <f t="shared" si="49"/>
        <v>-2.4556954017534993E-3</v>
      </c>
      <c r="R612" s="19"/>
      <c r="S612" s="19"/>
      <c r="T612" s="19"/>
      <c r="X612" s="35"/>
    </row>
    <row r="613" spans="3:24" x14ac:dyDescent="0.3">
      <c r="C613" s="160">
        <v>44569</v>
      </c>
      <c r="D613" s="255">
        <v>2453.5</v>
      </c>
      <c r="E613" s="134">
        <f t="shared" si="45"/>
        <v>-1.833778194338942E-4</v>
      </c>
      <c r="F613" s="34"/>
      <c r="G613" s="256">
        <v>944.05</v>
      </c>
      <c r="H613" s="134">
        <f t="shared" si="46"/>
        <v>1.1665517789913871E-3</v>
      </c>
      <c r="I613" s="163"/>
      <c r="J613" s="256">
        <v>769.5</v>
      </c>
      <c r="K613" s="134">
        <f t="shared" si="47"/>
        <v>4.127198917456032E-2</v>
      </c>
      <c r="L613" s="163"/>
      <c r="M613" s="255">
        <v>2496.15</v>
      </c>
      <c r="N613" s="134">
        <f t="shared" si="48"/>
        <v>-9.641135511515686E-3</v>
      </c>
      <c r="O613" s="163"/>
      <c r="P613" s="255">
        <v>17340.05</v>
      </c>
      <c r="Q613" s="134">
        <f t="shared" si="49"/>
        <v>-3.1132083630014407E-4</v>
      </c>
      <c r="R613" s="19"/>
      <c r="S613" s="19"/>
      <c r="T613" s="19"/>
      <c r="X613" s="35"/>
    </row>
    <row r="614" spans="3:24" x14ac:dyDescent="0.3">
      <c r="C614" s="25" t="s">
        <v>550</v>
      </c>
      <c r="D614" s="255">
        <v>2428.3000000000002</v>
      </c>
      <c r="E614" s="134">
        <f t="shared" si="45"/>
        <v>-1.02710413694721E-2</v>
      </c>
      <c r="G614" s="256">
        <v>909.9</v>
      </c>
      <c r="H614" s="134">
        <f t="shared" si="46"/>
        <v>-3.6173931465494413E-2</v>
      </c>
      <c r="I614" s="163"/>
      <c r="J614" s="256">
        <v>740.25</v>
      </c>
      <c r="K614" s="134">
        <f t="shared" si="47"/>
        <v>-3.8011695906432719E-2</v>
      </c>
      <c r="L614" s="163"/>
      <c r="M614" s="255">
        <v>2451.25</v>
      </c>
      <c r="N614" s="134">
        <f t="shared" si="48"/>
        <v>-1.7987701059631878E-2</v>
      </c>
      <c r="O614" s="163"/>
      <c r="P614" s="255">
        <v>17158.25</v>
      </c>
      <c r="Q614" s="134">
        <f t="shared" si="49"/>
        <v>-1.0484398833913389E-2</v>
      </c>
      <c r="R614" s="19"/>
      <c r="S614" s="19"/>
      <c r="T614" s="19"/>
      <c r="X614" s="35"/>
    </row>
    <row r="615" spans="3:24" x14ac:dyDescent="0.3">
      <c r="C615" s="25" t="s">
        <v>551</v>
      </c>
      <c r="D615" s="255">
        <v>2420.8000000000002</v>
      </c>
      <c r="E615" s="134">
        <f t="shared" si="45"/>
        <v>-3.0885804884075441E-3</v>
      </c>
      <c r="G615" s="256">
        <v>890</v>
      </c>
      <c r="H615" s="134">
        <f t="shared" si="46"/>
        <v>-2.18705352236509E-2</v>
      </c>
      <c r="I615" s="163"/>
      <c r="J615" s="256">
        <v>727.7</v>
      </c>
      <c r="K615" s="134">
        <f t="shared" si="47"/>
        <v>-1.695373184734883E-2</v>
      </c>
      <c r="L615" s="163"/>
      <c r="M615" s="255">
        <v>2399.8000000000002</v>
      </c>
      <c r="N615" s="134">
        <f t="shared" si="48"/>
        <v>-2.0989291177970326E-2</v>
      </c>
      <c r="O615" s="163"/>
      <c r="P615" s="255">
        <v>16929.599999999999</v>
      </c>
      <c r="Q615" s="134">
        <f t="shared" si="49"/>
        <v>-1.3325951073099085E-2</v>
      </c>
      <c r="R615" s="19"/>
      <c r="S615" s="19"/>
      <c r="T615" s="19"/>
      <c r="X615" s="35"/>
    </row>
    <row r="616" spans="3:24" x14ac:dyDescent="0.3">
      <c r="C616" s="25" t="s">
        <v>552</v>
      </c>
      <c r="D616" s="255">
        <v>2405.25</v>
      </c>
      <c r="E616" s="134">
        <f t="shared" si="45"/>
        <v>-6.4234963648381882E-3</v>
      </c>
      <c r="G616" s="256">
        <v>878.6</v>
      </c>
      <c r="H616" s="134">
        <f t="shared" si="46"/>
        <v>-1.2808988764044904E-2</v>
      </c>
      <c r="I616" s="163"/>
      <c r="J616" s="256">
        <v>721.45</v>
      </c>
      <c r="K616" s="134">
        <f t="shared" si="47"/>
        <v>-8.5887041363199579E-3</v>
      </c>
      <c r="L616" s="163"/>
      <c r="M616" s="255">
        <v>2354.4</v>
      </c>
      <c r="N616" s="134">
        <f t="shared" si="48"/>
        <v>-1.8918243186932249E-2</v>
      </c>
      <c r="O616" s="163"/>
      <c r="P616" s="255">
        <v>16641.8</v>
      </c>
      <c r="Q616" s="134">
        <f t="shared" si="49"/>
        <v>-1.6999810981948693E-2</v>
      </c>
      <c r="R616" s="19"/>
      <c r="S616" s="19"/>
      <c r="T616" s="19"/>
      <c r="X616" s="35"/>
    </row>
    <row r="617" spans="3:24" x14ac:dyDescent="0.3">
      <c r="C617" s="25" t="s">
        <v>553</v>
      </c>
      <c r="D617" s="255">
        <v>2366.35</v>
      </c>
      <c r="E617" s="134">
        <f t="shared" si="45"/>
        <v>-1.6172954994283395E-2</v>
      </c>
      <c r="G617" s="256">
        <v>871.65</v>
      </c>
      <c r="H617" s="134">
        <f t="shared" si="46"/>
        <v>-7.910311859776975E-3</v>
      </c>
      <c r="I617" s="163"/>
      <c r="J617" s="256">
        <v>725.95</v>
      </c>
      <c r="K617" s="134">
        <f t="shared" si="47"/>
        <v>6.2374384919259285E-3</v>
      </c>
      <c r="L617" s="163"/>
      <c r="M617" s="255">
        <v>2320.5</v>
      </c>
      <c r="N617" s="134">
        <f t="shared" si="48"/>
        <v>-1.43985728848115E-2</v>
      </c>
      <c r="O617" s="163"/>
      <c r="P617" s="255">
        <v>16483.849999999999</v>
      </c>
      <c r="Q617" s="134">
        <f t="shared" si="49"/>
        <v>-9.491160811931465E-3</v>
      </c>
      <c r="R617" s="19"/>
      <c r="S617" s="19"/>
      <c r="T617" s="19"/>
      <c r="X617" s="35"/>
    </row>
    <row r="618" spans="3:24" x14ac:dyDescent="0.3">
      <c r="C618" s="25" t="s">
        <v>554</v>
      </c>
      <c r="D618" s="255">
        <v>2383.4499999999998</v>
      </c>
      <c r="E618" s="134">
        <f t="shared" si="45"/>
        <v>7.2263190145160916E-3</v>
      </c>
      <c r="G618" s="256">
        <v>892.7</v>
      </c>
      <c r="H618" s="134">
        <f t="shared" si="46"/>
        <v>2.4149601330809567E-2</v>
      </c>
      <c r="I618" s="163"/>
      <c r="J618" s="256">
        <v>733.9</v>
      </c>
      <c r="K618" s="134">
        <f t="shared" si="47"/>
        <v>1.0951167435773623E-2</v>
      </c>
      <c r="L618" s="163"/>
      <c r="M618" s="255">
        <v>2333.3000000000002</v>
      </c>
      <c r="N618" s="134">
        <f t="shared" si="48"/>
        <v>5.5160525748760847E-3</v>
      </c>
      <c r="O618" s="163"/>
      <c r="P618" s="255">
        <v>16631</v>
      </c>
      <c r="Q618" s="134">
        <f t="shared" si="49"/>
        <v>8.9269193786647438E-3</v>
      </c>
      <c r="R618" s="19"/>
      <c r="S618" s="19"/>
      <c r="T618" s="19"/>
      <c r="X618" s="35"/>
    </row>
    <row r="619" spans="3:24" x14ac:dyDescent="0.3">
      <c r="C619" s="25" t="s">
        <v>555</v>
      </c>
      <c r="D619" s="255">
        <v>2290.5500000000002</v>
      </c>
      <c r="E619" s="134">
        <f t="shared" si="45"/>
        <v>-3.8977113008453967E-2</v>
      </c>
      <c r="G619" s="256">
        <v>870.75</v>
      </c>
      <c r="H619" s="134">
        <f t="shared" si="46"/>
        <v>-2.4588327545648103E-2</v>
      </c>
      <c r="I619" s="163"/>
      <c r="J619" s="256">
        <v>724.9</v>
      </c>
      <c r="K619" s="134">
        <f t="shared" si="47"/>
        <v>-1.2263251124131402E-2</v>
      </c>
      <c r="L619" s="163"/>
      <c r="M619" s="255">
        <v>2357.75</v>
      </c>
      <c r="N619" s="134">
        <f t="shared" si="48"/>
        <v>1.0478721124587365E-2</v>
      </c>
      <c r="O619" s="163"/>
      <c r="P619" s="255">
        <v>16719.45</v>
      </c>
      <c r="Q619" s="134">
        <f t="shared" si="49"/>
        <v>5.3183813360591081E-3</v>
      </c>
      <c r="R619" s="19"/>
      <c r="S619" s="19"/>
      <c r="T619" s="19"/>
      <c r="X619" s="35"/>
    </row>
    <row r="620" spans="3:24" x14ac:dyDescent="0.3">
      <c r="C620" s="25" t="s">
        <v>556</v>
      </c>
      <c r="D620" s="255">
        <v>2343.5</v>
      </c>
      <c r="E620" s="134">
        <f t="shared" si="45"/>
        <v>2.3116718692017146E-2</v>
      </c>
      <c r="G620" s="256">
        <v>876.7</v>
      </c>
      <c r="H620" s="134">
        <f t="shared" si="46"/>
        <v>6.8331897789262186E-3</v>
      </c>
      <c r="I620" s="163"/>
      <c r="J620" s="256">
        <v>704.8</v>
      </c>
      <c r="K620" s="134">
        <f t="shared" si="47"/>
        <v>-2.7727962477583135E-2</v>
      </c>
      <c r="L620" s="163"/>
      <c r="M620" s="255">
        <v>2362.15</v>
      </c>
      <c r="N620" s="134">
        <f t="shared" si="48"/>
        <v>1.8661859823985161E-3</v>
      </c>
      <c r="O620" s="163"/>
      <c r="P620" s="255">
        <v>16605.25</v>
      </c>
      <c r="Q620" s="134">
        <f t="shared" si="49"/>
        <v>-6.8303682238352037E-3</v>
      </c>
      <c r="R620" s="19"/>
      <c r="S620" s="19"/>
      <c r="T620" s="19"/>
      <c r="X620" s="35"/>
    </row>
    <row r="621" spans="3:24" x14ac:dyDescent="0.3">
      <c r="C621" s="25" t="s">
        <v>557</v>
      </c>
      <c r="D621" s="255">
        <v>2286.5</v>
      </c>
      <c r="E621" s="134">
        <f t="shared" si="45"/>
        <v>-2.4322594410070453E-2</v>
      </c>
      <c r="G621" s="256">
        <v>862.6</v>
      </c>
      <c r="H621" s="134">
        <f t="shared" si="46"/>
        <v>-1.6083038667731309E-2</v>
      </c>
      <c r="I621" s="163"/>
      <c r="J621" s="256">
        <v>686.1</v>
      </c>
      <c r="K621" s="134">
        <f t="shared" si="47"/>
        <v>-2.6532349602724103E-2</v>
      </c>
      <c r="L621" s="163"/>
      <c r="M621" s="255">
        <v>2320.85</v>
      </c>
      <c r="N621" s="134">
        <f t="shared" si="48"/>
        <v>-1.7484071714328087E-2</v>
      </c>
      <c r="O621" s="163"/>
      <c r="P621" s="255">
        <v>16520.849999999999</v>
      </c>
      <c r="Q621" s="134">
        <f t="shared" si="49"/>
        <v>-5.0827298595325088E-3</v>
      </c>
      <c r="R621" s="19"/>
      <c r="S621" s="19"/>
      <c r="T621" s="19"/>
      <c r="X621" s="35"/>
    </row>
    <row r="622" spans="3:24" x14ac:dyDescent="0.3">
      <c r="C622" s="25" t="s">
        <v>558</v>
      </c>
      <c r="D622" s="255">
        <v>2331.9499999999998</v>
      </c>
      <c r="E622" s="134">
        <f t="shared" si="45"/>
        <v>1.9877542094904888E-2</v>
      </c>
      <c r="G622" s="256">
        <v>857.7</v>
      </c>
      <c r="H622" s="134">
        <f t="shared" si="46"/>
        <v>-5.6805008115000666E-3</v>
      </c>
      <c r="I622" s="163"/>
      <c r="J622" s="256">
        <v>683.25</v>
      </c>
      <c r="K622" s="134">
        <f t="shared" si="47"/>
        <v>-4.1539134236991959E-3</v>
      </c>
      <c r="L622" s="163"/>
      <c r="M622" s="255">
        <v>2291.4499999999998</v>
      </c>
      <c r="N622" s="134">
        <f t="shared" si="48"/>
        <v>-1.2667772583320858E-2</v>
      </c>
      <c r="O622" s="163"/>
      <c r="P622" s="255">
        <v>16340.55</v>
      </c>
      <c r="Q622" s="134">
        <f t="shared" si="49"/>
        <v>-1.0913482054494716E-2</v>
      </c>
      <c r="R622" s="19"/>
      <c r="S622" s="19"/>
      <c r="T622" s="19"/>
      <c r="X622" s="35"/>
    </row>
    <row r="623" spans="3:24" x14ac:dyDescent="0.3">
      <c r="C623" s="25" t="s">
        <v>559</v>
      </c>
      <c r="D623" s="255">
        <v>2308.5</v>
      </c>
      <c r="E623" s="134">
        <f t="shared" si="45"/>
        <v>-1.0055961748751008E-2</v>
      </c>
      <c r="G623" s="256">
        <v>858.8</v>
      </c>
      <c r="H623" s="134">
        <f t="shared" si="46"/>
        <v>1.2824997085227885E-3</v>
      </c>
      <c r="I623" s="163"/>
      <c r="J623" s="256">
        <v>685.25</v>
      </c>
      <c r="K623" s="134">
        <f t="shared" si="47"/>
        <v>2.9271862422246553E-3</v>
      </c>
      <c r="L623" s="163"/>
      <c r="M623" s="255">
        <v>2302.1</v>
      </c>
      <c r="N623" s="134">
        <f t="shared" si="48"/>
        <v>4.6477121473302851E-3</v>
      </c>
      <c r="O623" s="163"/>
      <c r="P623" s="255">
        <v>16278.5</v>
      </c>
      <c r="Q623" s="134">
        <f t="shared" si="49"/>
        <v>-3.7973018044067386E-3</v>
      </c>
      <c r="R623" s="19"/>
      <c r="S623" s="19"/>
      <c r="T623" s="19"/>
      <c r="W623" s="38"/>
      <c r="X623" s="35"/>
    </row>
    <row r="624" spans="3:24" x14ac:dyDescent="0.3">
      <c r="C624" s="25" t="s">
        <v>560</v>
      </c>
      <c r="D624" s="255">
        <v>2261.4499999999998</v>
      </c>
      <c r="E624" s="134">
        <f t="shared" si="45"/>
        <v>-2.0381199913363734E-2</v>
      </c>
      <c r="G624" s="256">
        <v>854.5</v>
      </c>
      <c r="H624" s="134">
        <f t="shared" si="46"/>
        <v>-5.0069864927805297E-3</v>
      </c>
      <c r="I624" s="163"/>
      <c r="J624" s="256">
        <v>669.45</v>
      </c>
      <c r="K624" s="134">
        <f t="shared" si="47"/>
        <v>-2.305727836555993E-2</v>
      </c>
      <c r="L624" s="163"/>
      <c r="M624" s="255">
        <v>2307.65</v>
      </c>
      <c r="N624" s="134">
        <f t="shared" si="48"/>
        <v>2.4108422744451019E-3</v>
      </c>
      <c r="O624" s="163"/>
      <c r="P624" s="255">
        <v>16049.2</v>
      </c>
      <c r="Q624" s="134">
        <f t="shared" si="49"/>
        <v>-1.4086064440826829E-2</v>
      </c>
      <c r="R624" s="19"/>
      <c r="S624" s="19"/>
      <c r="T624" s="19"/>
      <c r="W624" s="38"/>
      <c r="X624" s="35"/>
    </row>
    <row r="625" spans="3:24" x14ac:dyDescent="0.3">
      <c r="C625" s="25" t="s">
        <v>561</v>
      </c>
      <c r="D625" s="255">
        <v>2209.15</v>
      </c>
      <c r="E625" s="134">
        <f t="shared" si="45"/>
        <v>-2.3126754958102014E-2</v>
      </c>
      <c r="G625" s="256">
        <v>841.15</v>
      </c>
      <c r="H625" s="134">
        <f t="shared" si="46"/>
        <v>-1.5623171445289685E-2</v>
      </c>
      <c r="I625" s="163"/>
      <c r="J625" s="256">
        <v>669.95</v>
      </c>
      <c r="K625" s="134">
        <f t="shared" si="47"/>
        <v>7.4688176861603672E-4</v>
      </c>
      <c r="L625" s="163"/>
      <c r="M625" s="255">
        <v>2289.8000000000002</v>
      </c>
      <c r="N625" s="134">
        <f t="shared" si="48"/>
        <v>-7.7351418109331549E-3</v>
      </c>
      <c r="O625" s="163"/>
      <c r="P625" s="255">
        <v>15938.65</v>
      </c>
      <c r="Q625" s="134">
        <f t="shared" si="49"/>
        <v>-6.8881938040525892E-3</v>
      </c>
      <c r="R625" s="19"/>
      <c r="S625" s="19"/>
      <c r="T625" s="19"/>
      <c r="W625" s="38"/>
      <c r="X625" s="35"/>
    </row>
    <row r="626" spans="3:24" x14ac:dyDescent="0.3">
      <c r="C626" s="25" t="s">
        <v>562</v>
      </c>
      <c r="D626" s="255">
        <v>2224.3000000000002</v>
      </c>
      <c r="E626" s="134">
        <f t="shared" si="45"/>
        <v>6.8578412511599574E-3</v>
      </c>
      <c r="G626" s="256">
        <v>837.85</v>
      </c>
      <c r="H626" s="134">
        <f t="shared" si="46"/>
        <v>-3.9232003804314797E-3</v>
      </c>
      <c r="I626" s="163"/>
      <c r="J626" s="256">
        <v>679.25</v>
      </c>
      <c r="K626" s="134">
        <f t="shared" si="47"/>
        <v>1.388163295768341E-2</v>
      </c>
      <c r="L626" s="163"/>
      <c r="M626" s="255">
        <v>2285.4499999999998</v>
      </c>
      <c r="N626" s="134">
        <f t="shared" si="48"/>
        <v>-1.8997292339943961E-3</v>
      </c>
      <c r="O626" s="163"/>
      <c r="P626" s="255">
        <v>15966.65</v>
      </c>
      <c r="Q626" s="134">
        <f t="shared" si="49"/>
        <v>1.756735984540736E-3</v>
      </c>
      <c r="R626" s="19"/>
      <c r="S626" s="19"/>
      <c r="T626" s="19"/>
      <c r="W626" s="38"/>
      <c r="X626" s="35"/>
    </row>
    <row r="627" spans="3:24" x14ac:dyDescent="0.3">
      <c r="C627" s="160">
        <v>44902</v>
      </c>
      <c r="D627" s="255">
        <v>2199.75</v>
      </c>
      <c r="E627" s="134">
        <f t="shared" si="45"/>
        <v>-1.1037180236478927E-2</v>
      </c>
      <c r="F627" s="34"/>
      <c r="G627" s="256">
        <v>835.05</v>
      </c>
      <c r="H627" s="134">
        <f t="shared" si="46"/>
        <v>-3.3418869726085099E-3</v>
      </c>
      <c r="I627" s="163"/>
      <c r="J627" s="256">
        <v>680.6</v>
      </c>
      <c r="K627" s="134">
        <f t="shared" si="47"/>
        <v>1.9874861980124781E-3</v>
      </c>
      <c r="L627" s="163"/>
      <c r="M627" s="255">
        <v>2250.75</v>
      </c>
      <c r="N627" s="134">
        <f t="shared" si="48"/>
        <v>-1.5183005535014948E-2</v>
      </c>
      <c r="O627" s="163"/>
      <c r="P627" s="255">
        <v>16058.3</v>
      </c>
      <c r="Q627" s="134">
        <f t="shared" si="49"/>
        <v>5.7400894990495832E-3</v>
      </c>
      <c r="R627" s="19"/>
      <c r="S627" s="19"/>
      <c r="T627" s="19"/>
      <c r="W627" s="38"/>
      <c r="X627" s="35"/>
    </row>
    <row r="628" spans="3:24" x14ac:dyDescent="0.3">
      <c r="C628" s="160">
        <v>44872</v>
      </c>
      <c r="D628" s="255">
        <v>2186.1999999999998</v>
      </c>
      <c r="E628" s="134">
        <f t="shared" si="45"/>
        <v>-6.1597908853279204E-3</v>
      </c>
      <c r="F628" s="34"/>
      <c r="G628" s="256">
        <v>843.1</v>
      </c>
      <c r="H628" s="134">
        <f t="shared" si="46"/>
        <v>9.6401413089037824E-3</v>
      </c>
      <c r="I628" s="163"/>
      <c r="J628" s="256">
        <v>690.65</v>
      </c>
      <c r="K628" s="134">
        <f t="shared" si="47"/>
        <v>1.4766382603585093E-2</v>
      </c>
      <c r="L628" s="163"/>
      <c r="M628" s="255">
        <v>2268.5500000000002</v>
      </c>
      <c r="N628" s="134">
        <f t="shared" si="48"/>
        <v>7.9084749527935649E-3</v>
      </c>
      <c r="O628" s="163"/>
      <c r="P628" s="255">
        <v>16216</v>
      </c>
      <c r="Q628" s="134">
        <f t="shared" si="49"/>
        <v>9.8204666745547176E-3</v>
      </c>
      <c r="R628" s="19"/>
      <c r="S628" s="19"/>
      <c r="T628" s="19"/>
      <c r="W628" s="38"/>
      <c r="X628" s="35"/>
    </row>
    <row r="629" spans="3:24" x14ac:dyDescent="0.3">
      <c r="C629" s="160">
        <v>44780</v>
      </c>
      <c r="D629" s="255">
        <v>2175.5</v>
      </c>
      <c r="E629" s="134">
        <f t="shared" si="45"/>
        <v>-4.894337206110988E-3</v>
      </c>
      <c r="F629" s="34"/>
      <c r="G629" s="256">
        <v>836.45</v>
      </c>
      <c r="H629" s="134">
        <f t="shared" si="46"/>
        <v>-7.8875578223223108E-3</v>
      </c>
      <c r="I629" s="163"/>
      <c r="J629" s="256">
        <v>689.35</v>
      </c>
      <c r="K629" s="134">
        <f t="shared" si="47"/>
        <v>-1.8822848041699647E-3</v>
      </c>
      <c r="L629" s="163"/>
      <c r="M629" s="255">
        <v>2250.85</v>
      </c>
      <c r="N629" s="134">
        <f t="shared" si="48"/>
        <v>-7.8023407022107527E-3</v>
      </c>
      <c r="O629" s="163"/>
      <c r="P629" s="255">
        <v>16220.6</v>
      </c>
      <c r="Q629" s="134">
        <f t="shared" si="49"/>
        <v>2.8367044893928828E-4</v>
      </c>
      <c r="R629" s="19"/>
      <c r="S629" s="19"/>
      <c r="T629" s="19"/>
      <c r="W629" s="38"/>
      <c r="X629" s="35"/>
    </row>
    <row r="630" spans="3:24" x14ac:dyDescent="0.3">
      <c r="C630" s="160">
        <v>44749</v>
      </c>
      <c r="D630" s="255">
        <v>2072.85</v>
      </c>
      <c r="E630" s="134">
        <f t="shared" si="45"/>
        <v>-4.7184555274649598E-2</v>
      </c>
      <c r="F630" s="34"/>
      <c r="G630" s="256">
        <v>819.65</v>
      </c>
      <c r="H630" s="134">
        <f t="shared" si="46"/>
        <v>-2.0084882539303073E-2</v>
      </c>
      <c r="I630" s="163"/>
      <c r="J630" s="256">
        <v>682.15</v>
      </c>
      <c r="K630" s="134">
        <f t="shared" si="47"/>
        <v>-1.0444621745122284E-2</v>
      </c>
      <c r="L630" s="163"/>
      <c r="M630" s="255">
        <v>2237.0500000000002</v>
      </c>
      <c r="N630" s="134">
        <f t="shared" si="48"/>
        <v>-6.1310171712907202E-3</v>
      </c>
      <c r="O630" s="163"/>
      <c r="P630" s="255">
        <v>16132.9</v>
      </c>
      <c r="Q630" s="134">
        <f t="shared" si="49"/>
        <v>-5.4067050540670403E-3</v>
      </c>
      <c r="R630" s="19"/>
      <c r="S630" s="19"/>
      <c r="T630" s="19"/>
      <c r="W630" s="38"/>
      <c r="X630" s="35"/>
    </row>
    <row r="631" spans="3:24" x14ac:dyDescent="0.3">
      <c r="C631" s="160">
        <v>44719</v>
      </c>
      <c r="D631" s="255">
        <v>2059.1999999999998</v>
      </c>
      <c r="E631" s="134">
        <f t="shared" si="45"/>
        <v>-6.5851364063970186E-3</v>
      </c>
      <c r="F631" s="34"/>
      <c r="G631" s="256">
        <v>813.15</v>
      </c>
      <c r="H631" s="134">
        <f t="shared" si="46"/>
        <v>-7.9302141157810979E-3</v>
      </c>
      <c r="I631" s="163"/>
      <c r="J631" s="256">
        <v>662.25</v>
      </c>
      <c r="K631" s="134">
        <f t="shared" si="47"/>
        <v>-2.9172469398226153E-2</v>
      </c>
      <c r="L631" s="163"/>
      <c r="M631" s="255">
        <v>2219.5500000000002</v>
      </c>
      <c r="N631" s="134">
        <f t="shared" si="48"/>
        <v>-7.8228023513108313E-3</v>
      </c>
      <c r="O631" s="163"/>
      <c r="P631" s="255">
        <v>15989.8</v>
      </c>
      <c r="Q631" s="134">
        <f t="shared" si="49"/>
        <v>-8.870072956505104E-3</v>
      </c>
      <c r="R631" s="19"/>
      <c r="S631" s="19"/>
      <c r="T631" s="19"/>
      <c r="W631" s="38"/>
      <c r="X631" s="35"/>
    </row>
    <row r="632" spans="3:24" x14ac:dyDescent="0.3">
      <c r="C632" s="160">
        <v>44688</v>
      </c>
      <c r="D632" s="255">
        <v>2052.6999999999998</v>
      </c>
      <c r="E632" s="134">
        <f t="shared" si="45"/>
        <v>-3.1565656565656353E-3</v>
      </c>
      <c r="F632" s="34"/>
      <c r="G632" s="256">
        <v>803.4</v>
      </c>
      <c r="H632" s="134">
        <f t="shared" si="46"/>
        <v>-1.1990407673860948E-2</v>
      </c>
      <c r="I632" s="163"/>
      <c r="J632" s="256">
        <v>656.05</v>
      </c>
      <c r="K632" s="134">
        <f t="shared" si="47"/>
        <v>-9.3620234050585394E-3</v>
      </c>
      <c r="L632" s="163"/>
      <c r="M632" s="255">
        <v>2177.0500000000002</v>
      </c>
      <c r="N632" s="134">
        <f t="shared" si="48"/>
        <v>-1.9148025500664523E-2</v>
      </c>
      <c r="O632" s="163"/>
      <c r="P632" s="255">
        <v>15810.85</v>
      </c>
      <c r="Q632" s="134">
        <f t="shared" si="49"/>
        <v>-1.1191509587361925E-2</v>
      </c>
      <c r="R632" s="19"/>
      <c r="S632" s="19"/>
      <c r="T632" s="19"/>
      <c r="X632" s="35"/>
    </row>
    <row r="633" spans="3:24" x14ac:dyDescent="0.3">
      <c r="C633" s="160">
        <v>44658</v>
      </c>
      <c r="D633" s="255">
        <v>2180.25</v>
      </c>
      <c r="E633" s="134">
        <f t="shared" si="45"/>
        <v>6.213767233399925E-2</v>
      </c>
      <c r="F633" s="34"/>
      <c r="G633" s="256">
        <v>803.35</v>
      </c>
      <c r="H633" s="134">
        <f t="shared" si="46"/>
        <v>-6.2235499128648897E-5</v>
      </c>
      <c r="I633" s="163"/>
      <c r="J633" s="256">
        <v>654.9</v>
      </c>
      <c r="K633" s="134">
        <f t="shared" si="47"/>
        <v>-1.7529151741483284E-3</v>
      </c>
      <c r="L633" s="163"/>
      <c r="M633" s="255">
        <v>2192.4499999999998</v>
      </c>
      <c r="N633" s="134">
        <f t="shared" si="48"/>
        <v>7.0737925173971483E-3</v>
      </c>
      <c r="O633" s="163"/>
      <c r="P633" s="255">
        <v>15835.35</v>
      </c>
      <c r="Q633" s="134">
        <f t="shared" si="49"/>
        <v>1.5495688087610038E-3</v>
      </c>
      <c r="R633" s="19"/>
      <c r="S633" s="19"/>
      <c r="T633" s="19"/>
      <c r="X633" s="35"/>
    </row>
    <row r="634" spans="3:24" x14ac:dyDescent="0.3">
      <c r="C634" s="160">
        <v>44568</v>
      </c>
      <c r="D634" s="255">
        <v>2161.65</v>
      </c>
      <c r="E634" s="134">
        <f t="shared" si="45"/>
        <v>-8.5311317509459972E-3</v>
      </c>
      <c r="F634" s="34"/>
      <c r="G634" s="256">
        <v>795.35</v>
      </c>
      <c r="H634" s="134">
        <f t="shared" si="46"/>
        <v>-9.9582996203397833E-3</v>
      </c>
      <c r="I634" s="163"/>
      <c r="J634" s="256">
        <v>642.85</v>
      </c>
      <c r="K634" s="134">
        <f t="shared" si="47"/>
        <v>-1.8399755687891206E-2</v>
      </c>
      <c r="L634" s="163"/>
      <c r="M634" s="255">
        <v>2158.35</v>
      </c>
      <c r="N634" s="134">
        <f t="shared" si="48"/>
        <v>-1.5553376359780158E-2</v>
      </c>
      <c r="O634" s="163"/>
      <c r="P634" s="255">
        <v>15752.05</v>
      </c>
      <c r="Q634" s="134">
        <f t="shared" si="49"/>
        <v>-5.2603826249499885E-3</v>
      </c>
      <c r="R634" s="19"/>
      <c r="S634" s="19"/>
      <c r="T634" s="19"/>
      <c r="X634" s="35"/>
    </row>
    <row r="635" spans="3:24" x14ac:dyDescent="0.3">
      <c r="C635" s="25" t="s">
        <v>563</v>
      </c>
      <c r="D635" s="255">
        <v>2252.1999999999998</v>
      </c>
      <c r="E635" s="134">
        <f t="shared" si="45"/>
        <v>4.188929752735171E-2</v>
      </c>
      <c r="G635" s="256">
        <v>793.35</v>
      </c>
      <c r="H635" s="134">
        <f t="shared" si="46"/>
        <v>-2.5146162067014588E-3</v>
      </c>
      <c r="I635" s="163"/>
      <c r="J635" s="256">
        <v>631.95000000000005</v>
      </c>
      <c r="K635" s="134">
        <f t="shared" si="47"/>
        <v>-1.69557439527106E-2</v>
      </c>
      <c r="L635" s="163"/>
      <c r="M635" s="255">
        <v>2089.9</v>
      </c>
      <c r="N635" s="134">
        <f t="shared" si="48"/>
        <v>-3.1714040818217493E-2</v>
      </c>
      <c r="O635" s="163"/>
      <c r="P635" s="255">
        <v>15780.25</v>
      </c>
      <c r="Q635" s="134">
        <f t="shared" si="49"/>
        <v>1.790243174697892E-3</v>
      </c>
      <c r="R635" s="19"/>
      <c r="S635" s="19"/>
      <c r="T635" s="19"/>
      <c r="X635" s="35"/>
    </row>
    <row r="636" spans="3:24" x14ac:dyDescent="0.3">
      <c r="C636" s="25" t="s">
        <v>564</v>
      </c>
      <c r="D636" s="255">
        <v>2286.65</v>
      </c>
      <c r="E636" s="134">
        <f t="shared" si="45"/>
        <v>1.5296154870793055E-2</v>
      </c>
      <c r="G636" s="256">
        <v>806.75</v>
      </c>
      <c r="H636" s="134">
        <f t="shared" si="46"/>
        <v>1.6890401462154037E-2</v>
      </c>
      <c r="I636" s="163"/>
      <c r="J636" s="256">
        <v>644.5</v>
      </c>
      <c r="K636" s="134">
        <f t="shared" si="47"/>
        <v>1.9859166073265211E-2</v>
      </c>
      <c r="L636" s="163"/>
      <c r="M636" s="255">
        <v>2098.15</v>
      </c>
      <c r="N636" s="134">
        <f t="shared" si="48"/>
        <v>3.9475572993923347E-3</v>
      </c>
      <c r="O636" s="163"/>
      <c r="P636" s="255">
        <v>15799.1</v>
      </c>
      <c r="Q636" s="134">
        <f t="shared" si="49"/>
        <v>1.1945311386067914E-3</v>
      </c>
      <c r="R636" s="19"/>
      <c r="S636" s="19"/>
      <c r="T636" s="19"/>
      <c r="X636" s="35"/>
    </row>
    <row r="637" spans="3:24" x14ac:dyDescent="0.3">
      <c r="C637" s="25" t="s">
        <v>565</v>
      </c>
      <c r="D637" s="255">
        <v>2298.5</v>
      </c>
      <c r="E637" s="134">
        <f t="shared" si="45"/>
        <v>5.1822535149672611E-3</v>
      </c>
      <c r="G637" s="256">
        <v>814.95</v>
      </c>
      <c r="H637" s="134">
        <f t="shared" si="46"/>
        <v>1.0164239231484462E-2</v>
      </c>
      <c r="I637" s="163"/>
      <c r="J637" s="256">
        <v>655.4</v>
      </c>
      <c r="K637" s="134">
        <f t="shared" si="47"/>
        <v>1.6912335143522084E-2</v>
      </c>
      <c r="L637" s="163"/>
      <c r="M637" s="255">
        <v>2116.1999999999998</v>
      </c>
      <c r="N637" s="134">
        <f t="shared" si="48"/>
        <v>8.6028167671519107E-3</v>
      </c>
      <c r="O637" s="163"/>
      <c r="P637" s="255">
        <v>15850.2</v>
      </c>
      <c r="Q637" s="134">
        <f t="shared" si="49"/>
        <v>3.2343614509686702E-3</v>
      </c>
      <c r="R637" s="19"/>
      <c r="S637" s="19"/>
      <c r="T637" s="19"/>
      <c r="X637" s="35"/>
    </row>
    <row r="638" spans="3:24" x14ac:dyDescent="0.3">
      <c r="C638" s="25" t="s">
        <v>566</v>
      </c>
      <c r="D638" s="255">
        <v>2302.25</v>
      </c>
      <c r="E638" s="134">
        <f t="shared" si="45"/>
        <v>1.6314988035674993E-3</v>
      </c>
      <c r="G638" s="256">
        <v>813.65</v>
      </c>
      <c r="H638" s="134">
        <f t="shared" si="46"/>
        <v>-1.5951898889503546E-3</v>
      </c>
      <c r="I638" s="163"/>
      <c r="J638" s="256">
        <v>656.7</v>
      </c>
      <c r="K638" s="134">
        <f t="shared" si="47"/>
        <v>1.9835215135795004E-3</v>
      </c>
      <c r="L638" s="163"/>
      <c r="M638" s="255">
        <v>2143.15</v>
      </c>
      <c r="N638" s="134">
        <f t="shared" si="48"/>
        <v>1.2735091201209858E-2</v>
      </c>
      <c r="O638" s="163"/>
      <c r="P638" s="255">
        <v>15832.05</v>
      </c>
      <c r="Q638" s="134">
        <f t="shared" si="49"/>
        <v>-1.1450959609343725E-3</v>
      </c>
      <c r="R638" s="19"/>
      <c r="S638" s="19"/>
      <c r="T638" s="19"/>
      <c r="X638" s="35"/>
    </row>
    <row r="639" spans="3:24" x14ac:dyDescent="0.3">
      <c r="C639" s="25" t="s">
        <v>567</v>
      </c>
      <c r="D639" s="255">
        <v>2277.9499999999998</v>
      </c>
      <c r="E639" s="134">
        <f t="shared" si="45"/>
        <v>-1.0554891953523771E-2</v>
      </c>
      <c r="G639" s="256">
        <v>808</v>
      </c>
      <c r="H639" s="134">
        <f t="shared" si="46"/>
        <v>-6.9440176980273272E-3</v>
      </c>
      <c r="I639" s="163"/>
      <c r="J639" s="256">
        <v>640.65</v>
      </c>
      <c r="K639" s="134">
        <f t="shared" si="47"/>
        <v>-2.44403837368663E-2</v>
      </c>
      <c r="L639" s="163"/>
      <c r="M639" s="255">
        <v>2169.25</v>
      </c>
      <c r="N639" s="134">
        <f t="shared" si="48"/>
        <v>1.2178335627464287E-2</v>
      </c>
      <c r="O639" s="163"/>
      <c r="P639" s="255">
        <v>15699.25</v>
      </c>
      <c r="Q639" s="134">
        <f t="shared" si="49"/>
        <v>-8.3880482944406198E-3</v>
      </c>
      <c r="R639" s="19"/>
      <c r="S639" s="19"/>
      <c r="T639" s="19"/>
      <c r="X639" s="35"/>
    </row>
    <row r="640" spans="3:24" x14ac:dyDescent="0.3">
      <c r="C640" s="25" t="s">
        <v>568</v>
      </c>
      <c r="D640" s="255">
        <v>2207</v>
      </c>
      <c r="E640" s="134">
        <f t="shared" si="45"/>
        <v>-3.1146425514168352E-2</v>
      </c>
      <c r="G640" s="256">
        <v>792.65</v>
      </c>
      <c r="H640" s="134">
        <f t="shared" si="46"/>
        <v>-1.8997524752475292E-2</v>
      </c>
      <c r="I640" s="163"/>
      <c r="J640" s="256">
        <v>633.5</v>
      </c>
      <c r="K640" s="134">
        <f t="shared" si="47"/>
        <v>-1.1160540076484815E-2</v>
      </c>
      <c r="L640" s="163"/>
      <c r="M640" s="255">
        <v>2145.5500000000002</v>
      </c>
      <c r="N640" s="134">
        <f t="shared" si="48"/>
        <v>-1.0925435058199762E-2</v>
      </c>
      <c r="O640" s="163"/>
      <c r="P640" s="255">
        <v>15556.65</v>
      </c>
      <c r="Q640" s="134">
        <f t="shared" si="49"/>
        <v>-9.0832364603404825E-3</v>
      </c>
      <c r="R640" s="19"/>
      <c r="S640" s="19"/>
      <c r="T640" s="19"/>
      <c r="X640" s="35"/>
    </row>
    <row r="641" spans="3:24" x14ac:dyDescent="0.3">
      <c r="C641" s="25" t="s">
        <v>569</v>
      </c>
      <c r="D641" s="255">
        <v>2168.3000000000002</v>
      </c>
      <c r="E641" s="134">
        <f t="shared" si="45"/>
        <v>-1.7535115541458923E-2</v>
      </c>
      <c r="G641" s="256">
        <v>794.3</v>
      </c>
      <c r="H641" s="134">
        <f t="shared" si="46"/>
        <v>2.0816249290354083E-3</v>
      </c>
      <c r="I641" s="163"/>
      <c r="J641" s="256">
        <v>613.5</v>
      </c>
      <c r="K641" s="134">
        <f t="shared" si="47"/>
        <v>-3.1570639305445902E-2</v>
      </c>
      <c r="L641" s="163"/>
      <c r="M641" s="255">
        <v>2082.1</v>
      </c>
      <c r="N641" s="134">
        <f t="shared" si="48"/>
        <v>-2.95728368017526E-2</v>
      </c>
      <c r="O641" s="163"/>
      <c r="P641" s="255">
        <v>15413.3</v>
      </c>
      <c r="Q641" s="134">
        <f t="shared" si="49"/>
        <v>-9.2147088222721552E-3</v>
      </c>
      <c r="R641" s="19"/>
      <c r="S641" s="19"/>
      <c r="T641" s="19"/>
      <c r="X641" s="35"/>
    </row>
    <row r="642" spans="3:24" x14ac:dyDescent="0.3">
      <c r="C642" s="25" t="s">
        <v>570</v>
      </c>
      <c r="D642" s="255">
        <v>2226.25</v>
      </c>
      <c r="E642" s="134">
        <f t="shared" si="45"/>
        <v>2.672600654890922E-2</v>
      </c>
      <c r="G642" s="256">
        <v>821.4</v>
      </c>
      <c r="H642" s="134">
        <f t="shared" si="46"/>
        <v>3.4118091401233785E-2</v>
      </c>
      <c r="I642" s="163"/>
      <c r="J642" s="256">
        <v>654.1</v>
      </c>
      <c r="K642" s="134">
        <f t="shared" si="47"/>
        <v>6.6177669111654458E-2</v>
      </c>
      <c r="L642" s="163"/>
      <c r="M642" s="255">
        <v>2100.6</v>
      </c>
      <c r="N642" s="134">
        <f t="shared" si="48"/>
        <v>8.88526007396373E-3</v>
      </c>
      <c r="O642" s="163"/>
      <c r="P642" s="255">
        <v>15638.8</v>
      </c>
      <c r="Q642" s="134">
        <f t="shared" si="49"/>
        <v>1.4630221951172029E-2</v>
      </c>
      <c r="R642" s="19"/>
      <c r="S642" s="19"/>
      <c r="T642" s="19"/>
      <c r="X642" s="35"/>
    </row>
    <row r="643" spans="3:24" x14ac:dyDescent="0.3">
      <c r="C643" s="25" t="s">
        <v>571</v>
      </c>
      <c r="D643" s="255">
        <v>2135.6</v>
      </c>
      <c r="E643" s="134">
        <f t="shared" si="45"/>
        <v>-4.0718697361033174E-2</v>
      </c>
      <c r="G643" s="256">
        <v>793.2</v>
      </c>
      <c r="H643" s="134">
        <f t="shared" si="46"/>
        <v>-3.4331628926223434E-2</v>
      </c>
      <c r="I643" s="163"/>
      <c r="J643" s="256">
        <v>639.79999999999995</v>
      </c>
      <c r="K643" s="134">
        <f t="shared" si="47"/>
        <v>-2.1862100596239165E-2</v>
      </c>
      <c r="L643" s="163"/>
      <c r="M643" s="255">
        <v>2106.65</v>
      </c>
      <c r="N643" s="134">
        <f t="shared" si="48"/>
        <v>2.8801294868134875E-3</v>
      </c>
      <c r="O643" s="163"/>
      <c r="P643" s="255">
        <v>15350.15</v>
      </c>
      <c r="Q643" s="134">
        <f t="shared" si="49"/>
        <v>-1.8457298513952503E-2</v>
      </c>
      <c r="R643" s="19"/>
      <c r="S643" s="19"/>
      <c r="T643" s="19"/>
      <c r="X643" s="35"/>
    </row>
    <row r="644" spans="3:24" x14ac:dyDescent="0.3">
      <c r="C644" s="25" t="s">
        <v>572</v>
      </c>
      <c r="D644" s="255">
        <v>2181.85</v>
      </c>
      <c r="E644" s="134">
        <f t="shared" si="45"/>
        <v>2.1656677280389669E-2</v>
      </c>
      <c r="G644" s="256">
        <v>838.05</v>
      </c>
      <c r="H644" s="134">
        <f t="shared" si="46"/>
        <v>5.654311649016619E-2</v>
      </c>
      <c r="I644" s="163"/>
      <c r="J644" s="256">
        <v>665.25</v>
      </c>
      <c r="K644" s="134">
        <f t="shared" si="47"/>
        <v>3.9778055642388344E-2</v>
      </c>
      <c r="L644" s="163"/>
      <c r="M644" s="255">
        <v>1999.45</v>
      </c>
      <c r="N644" s="134">
        <f t="shared" si="48"/>
        <v>-5.088647853226691E-2</v>
      </c>
      <c r="O644" s="163"/>
      <c r="P644" s="255">
        <v>15293.5</v>
      </c>
      <c r="Q644" s="134">
        <f t="shared" si="49"/>
        <v>-3.690517682237604E-3</v>
      </c>
      <c r="R644" s="19"/>
      <c r="S644" s="19"/>
      <c r="T644" s="19"/>
      <c r="X644" s="35"/>
    </row>
    <row r="645" spans="3:24" x14ac:dyDescent="0.3">
      <c r="C645" s="25" t="s">
        <v>573</v>
      </c>
      <c r="D645" s="255">
        <v>2188.15</v>
      </c>
      <c r="E645" s="134">
        <f t="shared" si="45"/>
        <v>2.8874578912392312E-3</v>
      </c>
      <c r="G645" s="256">
        <v>853.75</v>
      </c>
      <c r="H645" s="134">
        <f t="shared" si="46"/>
        <v>1.8733965753833459E-2</v>
      </c>
      <c r="I645" s="163"/>
      <c r="J645" s="256">
        <v>682.35</v>
      </c>
      <c r="K645" s="134">
        <f t="shared" si="47"/>
        <v>2.5704622322435311E-2</v>
      </c>
      <c r="L645" s="163"/>
      <c r="M645" s="255">
        <v>2097.0500000000002</v>
      </c>
      <c r="N645" s="134">
        <f t="shared" si="48"/>
        <v>4.8813423691515201E-2</v>
      </c>
      <c r="O645" s="163"/>
      <c r="P645" s="255">
        <v>15360.6</v>
      </c>
      <c r="Q645" s="134">
        <f t="shared" si="49"/>
        <v>4.3874848791971566E-3</v>
      </c>
      <c r="R645" s="19"/>
      <c r="S645" s="19"/>
      <c r="T645" s="19"/>
      <c r="W645" s="38"/>
      <c r="X645" s="35"/>
    </row>
    <row r="646" spans="3:24" x14ac:dyDescent="0.3">
      <c r="C646" s="25" t="s">
        <v>574</v>
      </c>
      <c r="D646" s="255">
        <v>2292.15</v>
      </c>
      <c r="E646" s="134">
        <f t="shared" si="45"/>
        <v>4.752873431894522E-2</v>
      </c>
      <c r="G646" s="256">
        <v>872.75</v>
      </c>
      <c r="H646" s="134">
        <f t="shared" si="46"/>
        <v>2.2254758418740916E-2</v>
      </c>
      <c r="I646" s="163"/>
      <c r="J646" s="256">
        <v>711.65</v>
      </c>
      <c r="K646" s="134">
        <f t="shared" si="47"/>
        <v>4.2939840257932183E-2</v>
      </c>
      <c r="L646" s="163"/>
      <c r="M646" s="255">
        <v>2112.65</v>
      </c>
      <c r="N646" s="134">
        <f t="shared" si="48"/>
        <v>7.4390214825588163E-3</v>
      </c>
      <c r="O646" s="163"/>
      <c r="P646" s="255">
        <v>15692.15</v>
      </c>
      <c r="Q646" s="134">
        <f t="shared" si="49"/>
        <v>2.1584443316016166E-2</v>
      </c>
      <c r="R646" s="19"/>
      <c r="S646" s="19"/>
      <c r="T646" s="19"/>
      <c r="W646" s="38"/>
      <c r="X646" s="35"/>
    </row>
    <row r="647" spans="3:24" x14ac:dyDescent="0.3">
      <c r="C647" s="25" t="s">
        <v>575</v>
      </c>
      <c r="D647" s="255">
        <v>2267.9499999999998</v>
      </c>
      <c r="E647" s="134">
        <f t="shared" si="45"/>
        <v>-1.0557773269637805E-2</v>
      </c>
      <c r="G647" s="256">
        <v>908.45</v>
      </c>
      <c r="H647" s="134">
        <f t="shared" si="46"/>
        <v>4.0905184760813507E-2</v>
      </c>
      <c r="I647" s="163"/>
      <c r="J647" s="256">
        <v>715.7</v>
      </c>
      <c r="K647" s="134">
        <f t="shared" si="47"/>
        <v>5.690999789222273E-3</v>
      </c>
      <c r="L647" s="163"/>
      <c r="M647" s="255">
        <v>2120.1</v>
      </c>
      <c r="N647" s="134">
        <f t="shared" si="48"/>
        <v>3.5263768253139816E-3</v>
      </c>
      <c r="O647" s="163"/>
      <c r="P647" s="255">
        <v>15732.1</v>
      </c>
      <c r="Q647" s="134">
        <f t="shared" si="49"/>
        <v>2.5458589167195456E-3</v>
      </c>
      <c r="R647" s="19"/>
      <c r="S647" s="19"/>
      <c r="T647" s="19"/>
      <c r="W647" s="38"/>
      <c r="X647" s="35"/>
    </row>
    <row r="648" spans="3:24" x14ac:dyDescent="0.3">
      <c r="C648" s="25" t="s">
        <v>576</v>
      </c>
      <c r="D648" s="255">
        <v>2263.25</v>
      </c>
      <c r="E648" s="134">
        <f t="shared" si="45"/>
        <v>-2.0723560925063333E-3</v>
      </c>
      <c r="G648" s="256">
        <v>906.4</v>
      </c>
      <c r="H648" s="134">
        <f t="shared" si="46"/>
        <v>-2.2565908965821446E-3</v>
      </c>
      <c r="I648" s="163"/>
      <c r="J648" s="256">
        <v>726.4</v>
      </c>
      <c r="K648" s="134">
        <f t="shared" si="47"/>
        <v>1.4950398211541094E-2</v>
      </c>
      <c r="L648" s="163"/>
      <c r="M648" s="255">
        <v>2132.4499999999998</v>
      </c>
      <c r="N648" s="134">
        <f t="shared" si="48"/>
        <v>5.8251969246734259E-3</v>
      </c>
      <c r="O648" s="163"/>
      <c r="P648" s="255">
        <v>15774.4</v>
      </c>
      <c r="Q648" s="134">
        <f t="shared" si="49"/>
        <v>2.6887700942657133E-3</v>
      </c>
      <c r="R648" s="19"/>
      <c r="S648" s="19"/>
      <c r="T648" s="19"/>
      <c r="W648" s="38"/>
      <c r="X648" s="35"/>
    </row>
    <row r="649" spans="3:24" x14ac:dyDescent="0.3">
      <c r="C649" s="160">
        <v>44840</v>
      </c>
      <c r="D649" s="255">
        <v>2304.5500000000002</v>
      </c>
      <c r="E649" s="134">
        <f t="shared" si="45"/>
        <v>1.824809455429155E-2</v>
      </c>
      <c r="F649" s="34"/>
      <c r="G649" s="256">
        <v>944.35</v>
      </c>
      <c r="H649" s="134">
        <f t="shared" si="46"/>
        <v>4.1868932038835016E-2</v>
      </c>
      <c r="I649" s="163"/>
      <c r="J649" s="256">
        <v>734.05</v>
      </c>
      <c r="K649" s="134">
        <f t="shared" si="47"/>
        <v>1.0531387665198233E-2</v>
      </c>
      <c r="L649" s="163"/>
      <c r="M649" s="255">
        <v>2108.8000000000002</v>
      </c>
      <c r="N649" s="134">
        <f t="shared" si="48"/>
        <v>-1.1090529672442284E-2</v>
      </c>
      <c r="O649" s="163"/>
      <c r="P649" s="255">
        <v>16201.8</v>
      </c>
      <c r="Q649" s="134">
        <f t="shared" si="49"/>
        <v>2.7094532914088587E-2</v>
      </c>
      <c r="R649" s="19"/>
      <c r="S649" s="19"/>
      <c r="T649" s="19"/>
      <c r="W649" s="38"/>
      <c r="X649" s="35"/>
    </row>
    <row r="650" spans="3:24" x14ac:dyDescent="0.3">
      <c r="C650" s="160">
        <v>44810</v>
      </c>
      <c r="D650" s="255">
        <v>2298.5</v>
      </c>
      <c r="E650" s="134">
        <f t="shared" si="45"/>
        <v>-2.6252413703327093E-3</v>
      </c>
      <c r="F650" s="34"/>
      <c r="G650" s="256">
        <v>941.65</v>
      </c>
      <c r="H650" s="134">
        <f t="shared" si="46"/>
        <v>-2.8591094403558337E-3</v>
      </c>
      <c r="I650" s="163"/>
      <c r="J650" s="256">
        <v>748.2</v>
      </c>
      <c r="K650" s="134">
        <f t="shared" si="47"/>
        <v>1.9276616034330285E-2</v>
      </c>
      <c r="L650" s="163"/>
      <c r="M650" s="255">
        <v>2096.5500000000002</v>
      </c>
      <c r="N650" s="134">
        <f t="shared" si="48"/>
        <v>-5.8089908952958513E-3</v>
      </c>
      <c r="O650" s="163"/>
      <c r="P650" s="255">
        <v>16478.099999999999</v>
      </c>
      <c r="Q650" s="134">
        <f t="shared" si="49"/>
        <v>1.7053660704366091E-2</v>
      </c>
      <c r="R650" s="19"/>
      <c r="S650" s="19"/>
      <c r="T650" s="19"/>
      <c r="W650" s="38"/>
      <c r="X650" s="35"/>
    </row>
    <row r="651" spans="3:24" x14ac:dyDescent="0.3">
      <c r="C651" s="160">
        <v>44779</v>
      </c>
      <c r="D651" s="255">
        <v>2260.6999999999998</v>
      </c>
      <c r="E651" s="134">
        <f t="shared" si="45"/>
        <v>-1.6445507939960913E-2</v>
      </c>
      <c r="F651" s="34"/>
      <c r="G651" s="256">
        <v>936.6</v>
      </c>
      <c r="H651" s="134">
        <f t="shared" si="46"/>
        <v>-5.3629267774650824E-3</v>
      </c>
      <c r="I651" s="163"/>
      <c r="J651" s="256">
        <v>734.85</v>
      </c>
      <c r="K651" s="134">
        <f t="shared" si="47"/>
        <v>-1.7842822774659206E-2</v>
      </c>
      <c r="L651" s="163"/>
      <c r="M651" s="255">
        <v>2100.85</v>
      </c>
      <c r="N651" s="134">
        <f t="shared" si="48"/>
        <v>2.0509885287733898E-3</v>
      </c>
      <c r="O651" s="163"/>
      <c r="P651" s="255">
        <v>16356.25</v>
      </c>
      <c r="Q651" s="134">
        <f t="shared" si="49"/>
        <v>-7.3946632196671969E-3</v>
      </c>
      <c r="R651" s="19"/>
      <c r="S651" s="19"/>
      <c r="T651" s="19"/>
      <c r="W651" s="38"/>
      <c r="X651" s="35"/>
    </row>
    <row r="652" spans="3:24" x14ac:dyDescent="0.3">
      <c r="C652" s="160">
        <v>44748</v>
      </c>
      <c r="D652" s="255">
        <v>2332.1</v>
      </c>
      <c r="E652" s="134">
        <f t="shared" ref="E652:E715" si="50">D652/D651-1</f>
        <v>3.158313796611667E-2</v>
      </c>
      <c r="F652" s="34"/>
      <c r="G652" s="256">
        <v>941.2</v>
      </c>
      <c r="H652" s="134">
        <f t="shared" ref="H652:H715" si="51">G652/G651-1</f>
        <v>4.9113815929959781E-3</v>
      </c>
      <c r="I652" s="163"/>
      <c r="J652" s="256">
        <v>745.9</v>
      </c>
      <c r="K652" s="134">
        <f t="shared" ref="K652:K715" si="52">J652/J651-1</f>
        <v>1.5037082397768131E-2</v>
      </c>
      <c r="L652" s="163"/>
      <c r="M652" s="255">
        <v>2133.3000000000002</v>
      </c>
      <c r="N652" s="134">
        <f t="shared" ref="N652:N715" si="53">M652/M651-1</f>
        <v>1.5446128947806947E-2</v>
      </c>
      <c r="O652" s="163"/>
      <c r="P652" s="255">
        <v>16416.349999999999</v>
      </c>
      <c r="Q652" s="134">
        <f t="shared" ref="Q652:Q715" si="54">P652/P651-1</f>
        <v>3.6744363775313982E-3</v>
      </c>
      <c r="R652" s="19"/>
      <c r="S652" s="19"/>
      <c r="T652" s="19"/>
      <c r="W652" s="38"/>
      <c r="X652" s="35"/>
    </row>
    <row r="653" spans="3:24" x14ac:dyDescent="0.3">
      <c r="C653" s="160">
        <v>44718</v>
      </c>
      <c r="D653" s="255">
        <v>2381.65</v>
      </c>
      <c r="E653" s="134">
        <f t="shared" si="50"/>
        <v>2.1246944813687385E-2</v>
      </c>
      <c r="F653" s="34"/>
      <c r="G653" s="256">
        <v>946.6</v>
      </c>
      <c r="H653" s="134">
        <f t="shared" si="51"/>
        <v>5.7373565660858716E-3</v>
      </c>
      <c r="I653" s="163"/>
      <c r="J653" s="256">
        <v>779</v>
      </c>
      <c r="K653" s="134">
        <f t="shared" si="52"/>
        <v>4.4375921705322563E-2</v>
      </c>
      <c r="L653" s="163"/>
      <c r="M653" s="255">
        <v>2172</v>
      </c>
      <c r="N653" s="134">
        <f t="shared" si="53"/>
        <v>1.8140908451694582E-2</v>
      </c>
      <c r="O653" s="163"/>
      <c r="P653" s="255">
        <v>16569.55</v>
      </c>
      <c r="Q653" s="134">
        <f t="shared" si="54"/>
        <v>9.3321597066340356E-3</v>
      </c>
      <c r="R653" s="19"/>
      <c r="S653" s="19"/>
      <c r="T653" s="19"/>
      <c r="X653" s="35"/>
    </row>
    <row r="654" spans="3:24" x14ac:dyDescent="0.3">
      <c r="C654" s="160">
        <v>44626</v>
      </c>
      <c r="D654" s="255">
        <v>2373.9499999999998</v>
      </c>
      <c r="E654" s="134">
        <f t="shared" si="50"/>
        <v>-3.2330527155544075E-3</v>
      </c>
      <c r="F654" s="34"/>
      <c r="G654" s="256">
        <v>935.7</v>
      </c>
      <c r="H654" s="134">
        <f t="shared" si="51"/>
        <v>-1.1514895415170034E-2</v>
      </c>
      <c r="I654" s="163"/>
      <c r="J654" s="256">
        <v>770.2</v>
      </c>
      <c r="K654" s="134">
        <f t="shared" si="52"/>
        <v>-1.1296534017971704E-2</v>
      </c>
      <c r="L654" s="163"/>
      <c r="M654" s="255">
        <v>2195.6</v>
      </c>
      <c r="N654" s="134">
        <f t="shared" si="53"/>
        <v>1.0865561694290982E-2</v>
      </c>
      <c r="O654" s="163"/>
      <c r="P654" s="255">
        <v>16584.3</v>
      </c>
      <c r="Q654" s="134">
        <f t="shared" si="54"/>
        <v>8.9018712035038305E-4</v>
      </c>
      <c r="R654" s="19"/>
      <c r="S654" s="19"/>
      <c r="T654" s="19"/>
      <c r="X654" s="35"/>
    </row>
    <row r="655" spans="3:24" x14ac:dyDescent="0.3">
      <c r="C655" s="160">
        <v>44598</v>
      </c>
      <c r="D655" s="255">
        <v>2387.1999999999998</v>
      </c>
      <c r="E655" s="134">
        <f t="shared" si="50"/>
        <v>5.5814149413424552E-3</v>
      </c>
      <c r="F655" s="34"/>
      <c r="G655" s="256">
        <v>950.15</v>
      </c>
      <c r="H655" s="134">
        <f t="shared" si="51"/>
        <v>1.544298386234888E-2</v>
      </c>
      <c r="I655" s="163"/>
      <c r="J655" s="256">
        <v>775.3</v>
      </c>
      <c r="K655" s="134">
        <f t="shared" si="52"/>
        <v>6.6216567125421122E-3</v>
      </c>
      <c r="L655" s="163"/>
      <c r="M655" s="255">
        <v>2245.75</v>
      </c>
      <c r="N655" s="134">
        <f t="shared" si="53"/>
        <v>2.2841136819092833E-2</v>
      </c>
      <c r="O655" s="163"/>
      <c r="P655" s="255">
        <v>16628</v>
      </c>
      <c r="Q655" s="134">
        <f t="shared" si="54"/>
        <v>2.6350222801083678E-3</v>
      </c>
      <c r="R655" s="19"/>
      <c r="S655" s="19"/>
      <c r="T655" s="19"/>
      <c r="X655" s="35"/>
    </row>
    <row r="656" spans="3:24" x14ac:dyDescent="0.3">
      <c r="C656" s="160">
        <v>44567</v>
      </c>
      <c r="D656" s="255">
        <v>2397.4499999999998</v>
      </c>
      <c r="E656" s="134">
        <f t="shared" si="50"/>
        <v>4.2937332439678677E-3</v>
      </c>
      <c r="F656" s="34"/>
      <c r="G656" s="256">
        <v>945.3</v>
      </c>
      <c r="H656" s="134">
        <f t="shared" si="51"/>
        <v>-5.1044571909698577E-3</v>
      </c>
      <c r="I656" s="163"/>
      <c r="J656" s="256">
        <v>780.15</v>
      </c>
      <c r="K656" s="134">
        <f t="shared" si="52"/>
        <v>6.255642976912279E-3</v>
      </c>
      <c r="L656" s="163"/>
      <c r="M656" s="255">
        <v>2205.1999999999998</v>
      </c>
      <c r="N656" s="134">
        <f t="shared" si="53"/>
        <v>-1.8056328620728146E-2</v>
      </c>
      <c r="O656" s="163"/>
      <c r="P656" s="255">
        <v>16522.75</v>
      </c>
      <c r="Q656" s="134">
        <f t="shared" si="54"/>
        <v>-6.3296848688958463E-3</v>
      </c>
      <c r="R656" s="19"/>
      <c r="S656" s="19"/>
      <c r="T656" s="19"/>
      <c r="X656" s="35"/>
    </row>
    <row r="657" spans="3:24" x14ac:dyDescent="0.3">
      <c r="C657" s="25" t="s">
        <v>577</v>
      </c>
      <c r="D657" s="255">
        <v>2464.0500000000002</v>
      </c>
      <c r="E657" s="134">
        <f t="shared" si="50"/>
        <v>2.7779515735468996E-2</v>
      </c>
      <c r="G657" s="256">
        <v>948.5</v>
      </c>
      <c r="H657" s="134">
        <f t="shared" si="51"/>
        <v>3.3851687295038957E-3</v>
      </c>
      <c r="I657" s="163"/>
      <c r="J657" s="256">
        <v>779.7</v>
      </c>
      <c r="K657" s="134">
        <f t="shared" si="52"/>
        <v>-5.7681215150928722E-4</v>
      </c>
      <c r="L657" s="163"/>
      <c r="M657" s="255">
        <v>2245.4</v>
      </c>
      <c r="N657" s="134">
        <f t="shared" si="53"/>
        <v>1.8229639035008294E-2</v>
      </c>
      <c r="O657" s="163"/>
      <c r="P657" s="255">
        <v>16584.55</v>
      </c>
      <c r="Q657" s="134">
        <f t="shared" si="54"/>
        <v>3.7402974686415735E-3</v>
      </c>
      <c r="R657" s="19"/>
      <c r="S657" s="19"/>
      <c r="T657" s="19"/>
      <c r="X657" s="35"/>
    </row>
    <row r="658" spans="3:24" x14ac:dyDescent="0.3">
      <c r="C658" s="25" t="s">
        <v>578</v>
      </c>
      <c r="D658" s="255">
        <v>2450.0500000000002</v>
      </c>
      <c r="E658" s="134">
        <f t="shared" si="50"/>
        <v>-5.6817028875225661E-3</v>
      </c>
      <c r="G658" s="256">
        <v>949.95</v>
      </c>
      <c r="H658" s="134">
        <f t="shared" si="51"/>
        <v>1.5287295730099792E-3</v>
      </c>
      <c r="I658" s="163"/>
      <c r="J658" s="256">
        <v>782.6</v>
      </c>
      <c r="K658" s="134">
        <f t="shared" si="52"/>
        <v>3.7193792484289112E-3</v>
      </c>
      <c r="L658" s="163"/>
      <c r="M658" s="255">
        <v>2224.6</v>
      </c>
      <c r="N658" s="134">
        <f t="shared" si="53"/>
        <v>-9.2633829161842263E-3</v>
      </c>
      <c r="O658" s="163"/>
      <c r="P658" s="255">
        <v>16661.400000000001</v>
      </c>
      <c r="Q658" s="134">
        <f t="shared" si="54"/>
        <v>4.6338308847693188E-3</v>
      </c>
      <c r="R658" s="19"/>
      <c r="S658" s="19"/>
      <c r="T658" s="19"/>
      <c r="X658" s="35"/>
    </row>
    <row r="659" spans="3:24" x14ac:dyDescent="0.3">
      <c r="C659" s="25" t="s">
        <v>579</v>
      </c>
      <c r="D659" s="255">
        <v>2362</v>
      </c>
      <c r="E659" s="134">
        <f t="shared" si="50"/>
        <v>-3.5938042080773891E-2</v>
      </c>
      <c r="G659" s="256">
        <v>934.25</v>
      </c>
      <c r="H659" s="134">
        <f t="shared" si="51"/>
        <v>-1.6527185641349584E-2</v>
      </c>
      <c r="I659" s="163"/>
      <c r="J659" s="256">
        <v>757.2</v>
      </c>
      <c r="K659" s="134">
        <f t="shared" si="52"/>
        <v>-3.24559161768464E-2</v>
      </c>
      <c r="L659" s="163"/>
      <c r="M659" s="255">
        <v>2163.5</v>
      </c>
      <c r="N659" s="134">
        <f t="shared" si="53"/>
        <v>-2.7465611795378875E-2</v>
      </c>
      <c r="O659" s="163"/>
      <c r="P659" s="255">
        <v>16352.45</v>
      </c>
      <c r="Q659" s="134">
        <f t="shared" si="54"/>
        <v>-1.8542859543615786E-2</v>
      </c>
      <c r="R659" s="19"/>
      <c r="S659" s="19"/>
      <c r="T659" s="19"/>
      <c r="X659" s="35"/>
    </row>
    <row r="660" spans="3:24" x14ac:dyDescent="0.3">
      <c r="C660" s="25" t="s">
        <v>580</v>
      </c>
      <c r="D660" s="255">
        <v>2270.6999999999998</v>
      </c>
      <c r="E660" s="134">
        <f t="shared" si="50"/>
        <v>-3.8653683319221033E-2</v>
      </c>
      <c r="G660" s="256">
        <v>932.25</v>
      </c>
      <c r="H660" s="134">
        <f t="shared" si="51"/>
        <v>-2.1407546160021607E-3</v>
      </c>
      <c r="I660" s="163"/>
      <c r="J660" s="256">
        <v>747.3</v>
      </c>
      <c r="K660" s="134">
        <f t="shared" si="52"/>
        <v>-1.3074484944532561E-2</v>
      </c>
      <c r="L660" s="163"/>
      <c r="M660" s="255">
        <v>2133.1</v>
      </c>
      <c r="N660" s="134">
        <f t="shared" si="53"/>
        <v>-1.4051305754564369E-2</v>
      </c>
      <c r="O660" s="163"/>
      <c r="P660" s="255">
        <v>16170.15</v>
      </c>
      <c r="Q660" s="134">
        <f t="shared" si="54"/>
        <v>-1.1148176572929547E-2</v>
      </c>
      <c r="R660" s="19"/>
      <c r="S660" s="19"/>
      <c r="T660" s="19"/>
      <c r="X660" s="35"/>
    </row>
    <row r="661" spans="3:24" x14ac:dyDescent="0.3">
      <c r="C661" s="25" t="s">
        <v>581</v>
      </c>
      <c r="D661" s="255">
        <v>2235.9499999999998</v>
      </c>
      <c r="E661" s="134">
        <f t="shared" si="50"/>
        <v>-1.5303650856564044E-2</v>
      </c>
      <c r="G661" s="256">
        <v>920.6</v>
      </c>
      <c r="H661" s="134">
        <f t="shared" si="51"/>
        <v>-1.2496647894877921E-2</v>
      </c>
      <c r="I661" s="163"/>
      <c r="J661" s="256">
        <v>763.6</v>
      </c>
      <c r="K661" s="134">
        <f t="shared" si="52"/>
        <v>2.1811856014987363E-2</v>
      </c>
      <c r="L661" s="163"/>
      <c r="M661" s="255">
        <v>2139.4</v>
      </c>
      <c r="N661" s="134">
        <f t="shared" si="53"/>
        <v>2.9534480333788249E-3</v>
      </c>
      <c r="O661" s="163"/>
      <c r="P661" s="255">
        <v>16025.8</v>
      </c>
      <c r="Q661" s="134">
        <f t="shared" si="54"/>
        <v>-8.9269425453690765E-3</v>
      </c>
      <c r="R661" s="19"/>
      <c r="S661" s="19"/>
      <c r="T661" s="19"/>
      <c r="X661" s="35"/>
    </row>
    <row r="662" spans="3:24" x14ac:dyDescent="0.3">
      <c r="C662" s="25" t="s">
        <v>582</v>
      </c>
      <c r="D662" s="255">
        <v>2339.9</v>
      </c>
      <c r="E662" s="134">
        <f t="shared" si="50"/>
        <v>4.6490306133858184E-2</v>
      </c>
      <c r="G662" s="256">
        <v>964.35</v>
      </c>
      <c r="H662" s="134">
        <f t="shared" si="51"/>
        <v>4.7523354334130019E-2</v>
      </c>
      <c r="I662" s="163"/>
      <c r="J662" s="256">
        <v>793</v>
      </c>
      <c r="K662" s="134">
        <f t="shared" si="52"/>
        <v>3.8501833420639064E-2</v>
      </c>
      <c r="L662" s="163"/>
      <c r="M662" s="255">
        <v>2172.5500000000002</v>
      </c>
      <c r="N662" s="134">
        <f t="shared" si="53"/>
        <v>1.549499859773773E-2</v>
      </c>
      <c r="O662" s="163"/>
      <c r="P662" s="255">
        <v>16125.15</v>
      </c>
      <c r="Q662" s="134">
        <f t="shared" si="54"/>
        <v>6.1993785021652315E-3</v>
      </c>
      <c r="R662" s="19"/>
      <c r="S662" s="19"/>
      <c r="T662" s="19"/>
      <c r="X662" s="35"/>
    </row>
    <row r="663" spans="3:24" x14ac:dyDescent="0.3">
      <c r="C663" s="25" t="s">
        <v>583</v>
      </c>
      <c r="D663" s="255">
        <v>2306.0500000000002</v>
      </c>
      <c r="E663" s="134">
        <f t="shared" si="50"/>
        <v>-1.4466430189324253E-2</v>
      </c>
      <c r="G663" s="256">
        <v>970.2</v>
      </c>
      <c r="H663" s="134">
        <f t="shared" si="51"/>
        <v>6.0662622491833851E-3</v>
      </c>
      <c r="I663" s="163"/>
      <c r="J663" s="256">
        <v>790.95</v>
      </c>
      <c r="K663" s="134">
        <f t="shared" si="52"/>
        <v>-2.5851197982345031E-3</v>
      </c>
      <c r="L663" s="163"/>
      <c r="M663" s="255">
        <v>2188.75</v>
      </c>
      <c r="N663" s="134">
        <f t="shared" si="53"/>
        <v>7.4566753354352588E-3</v>
      </c>
      <c r="O663" s="163"/>
      <c r="P663" s="255">
        <v>16214.7</v>
      </c>
      <c r="Q663" s="134">
        <f t="shared" si="54"/>
        <v>5.5534367122167527E-3</v>
      </c>
      <c r="R663" s="19"/>
      <c r="S663" s="19"/>
      <c r="T663" s="19"/>
      <c r="X663" s="35"/>
    </row>
    <row r="664" spans="3:24" x14ac:dyDescent="0.3">
      <c r="C664" s="25" t="s">
        <v>584</v>
      </c>
      <c r="D664" s="255">
        <v>2337.6999999999998</v>
      </c>
      <c r="E664" s="134">
        <f t="shared" si="50"/>
        <v>1.3724767459508458E-2</v>
      </c>
      <c r="G664" s="256">
        <v>989.15</v>
      </c>
      <c r="H664" s="134">
        <f t="shared" si="51"/>
        <v>1.953205524634094E-2</v>
      </c>
      <c r="I664" s="163"/>
      <c r="J664" s="256">
        <v>808.05</v>
      </c>
      <c r="K664" s="134">
        <f t="shared" si="52"/>
        <v>2.1619571401479076E-2</v>
      </c>
      <c r="L664" s="163"/>
      <c r="M664" s="255">
        <v>2139.4499999999998</v>
      </c>
      <c r="N664" s="134">
        <f t="shared" si="53"/>
        <v>-2.2524271844660326E-2</v>
      </c>
      <c r="O664" s="163"/>
      <c r="P664" s="255">
        <v>16266.15</v>
      </c>
      <c r="Q664" s="134">
        <f t="shared" si="54"/>
        <v>3.1730466798645107E-3</v>
      </c>
      <c r="R664" s="19"/>
      <c r="S664" s="19"/>
      <c r="T664" s="19"/>
      <c r="X664" s="35"/>
    </row>
    <row r="665" spans="3:24" x14ac:dyDescent="0.3">
      <c r="C665" s="25" t="s">
        <v>585</v>
      </c>
      <c r="D665" s="255">
        <v>2331.8000000000002</v>
      </c>
      <c r="E665" s="134">
        <f t="shared" si="50"/>
        <v>-2.5238482268895579E-3</v>
      </c>
      <c r="G665" s="256">
        <v>952.1</v>
      </c>
      <c r="H665" s="134">
        <f t="shared" si="51"/>
        <v>-3.7456401961279862E-2</v>
      </c>
      <c r="I665" s="163"/>
      <c r="J665" s="256">
        <v>814.1</v>
      </c>
      <c r="K665" s="134">
        <f t="shared" si="52"/>
        <v>7.4871604479922471E-3</v>
      </c>
      <c r="L665" s="163"/>
      <c r="M665" s="255">
        <v>2117.85</v>
      </c>
      <c r="N665" s="134">
        <f t="shared" si="53"/>
        <v>-1.0096052723830851E-2</v>
      </c>
      <c r="O665" s="163"/>
      <c r="P665" s="255">
        <v>15809.4</v>
      </c>
      <c r="Q665" s="134">
        <f t="shared" si="54"/>
        <v>-2.8079785321050155E-2</v>
      </c>
      <c r="R665" s="19"/>
      <c r="S665" s="19"/>
      <c r="T665" s="19"/>
      <c r="X665" s="35"/>
    </row>
    <row r="666" spans="3:24" x14ac:dyDescent="0.3">
      <c r="C666" s="25" t="s">
        <v>586</v>
      </c>
      <c r="D666" s="255">
        <v>2348.15</v>
      </c>
      <c r="E666" s="134">
        <f t="shared" si="50"/>
        <v>7.0117505789517587E-3</v>
      </c>
      <c r="G666" s="256">
        <v>980.35</v>
      </c>
      <c r="H666" s="134">
        <f t="shared" si="51"/>
        <v>2.9671253019640798E-2</v>
      </c>
      <c r="I666" s="163"/>
      <c r="J666" s="256">
        <v>821.65</v>
      </c>
      <c r="K666" s="134">
        <f t="shared" si="52"/>
        <v>9.274044957621852E-3</v>
      </c>
      <c r="L666" s="163"/>
      <c r="M666" s="255">
        <v>2162.9499999999998</v>
      </c>
      <c r="N666" s="134">
        <f t="shared" si="53"/>
        <v>2.1295181434001442E-2</v>
      </c>
      <c r="O666" s="163"/>
      <c r="P666" s="255">
        <v>16240.3</v>
      </c>
      <c r="Q666" s="134">
        <f t="shared" si="54"/>
        <v>2.7255936341670228E-2</v>
      </c>
      <c r="R666" s="19"/>
      <c r="S666" s="19"/>
      <c r="T666" s="19"/>
      <c r="X666" s="35"/>
    </row>
    <row r="667" spans="3:24" x14ac:dyDescent="0.3">
      <c r="C667" s="25" t="s">
        <v>587</v>
      </c>
      <c r="D667" s="255">
        <v>2334.3000000000002</v>
      </c>
      <c r="E667" s="134">
        <f t="shared" si="50"/>
        <v>-5.8982603326022121E-3</v>
      </c>
      <c r="G667" s="256">
        <v>971.8</v>
      </c>
      <c r="H667" s="134">
        <f t="shared" si="51"/>
        <v>-8.7213750191258432E-3</v>
      </c>
      <c r="I667" s="163"/>
      <c r="J667" s="256">
        <v>817.45</v>
      </c>
      <c r="K667" s="134">
        <f t="shared" si="52"/>
        <v>-5.1116655510252684E-3</v>
      </c>
      <c r="L667" s="163"/>
      <c r="M667" s="255">
        <v>2169.5500000000002</v>
      </c>
      <c r="N667" s="134">
        <f t="shared" si="53"/>
        <v>3.0513881504428131E-3</v>
      </c>
      <c r="O667" s="163"/>
      <c r="P667" s="255">
        <v>16259.3</v>
      </c>
      <c r="Q667" s="134">
        <f t="shared" si="54"/>
        <v>1.169929126924929E-3</v>
      </c>
      <c r="R667" s="19"/>
      <c r="S667" s="19"/>
      <c r="T667" s="19"/>
      <c r="W667" s="38"/>
      <c r="X667" s="35"/>
    </row>
    <row r="668" spans="3:24" x14ac:dyDescent="0.3">
      <c r="C668" s="25" t="s">
        <v>588</v>
      </c>
      <c r="D668" s="255">
        <v>2243.4</v>
      </c>
      <c r="E668" s="134">
        <f t="shared" si="50"/>
        <v>-3.8941010152936717E-2</v>
      </c>
      <c r="G668" s="256">
        <v>921.6</v>
      </c>
      <c r="H668" s="134">
        <f t="shared" si="51"/>
        <v>-5.1656719489606817E-2</v>
      </c>
      <c r="I668" s="163"/>
      <c r="J668" s="256">
        <v>802.05</v>
      </c>
      <c r="K668" s="134">
        <f t="shared" si="52"/>
        <v>-1.8839072726160699E-2</v>
      </c>
      <c r="L668" s="163"/>
      <c r="M668" s="255">
        <v>2114.65</v>
      </c>
      <c r="N668" s="134">
        <f t="shared" si="53"/>
        <v>-2.5304786706920823E-2</v>
      </c>
      <c r="O668" s="163"/>
      <c r="P668" s="255">
        <v>15842.3</v>
      </c>
      <c r="Q668" s="134">
        <f t="shared" si="54"/>
        <v>-2.5646860565953E-2</v>
      </c>
      <c r="R668" s="19"/>
      <c r="S668" s="19"/>
      <c r="T668" s="19"/>
      <c r="W668" s="38"/>
      <c r="X668" s="35"/>
    </row>
    <row r="669" spans="3:24" x14ac:dyDescent="0.3">
      <c r="C669" s="25" t="s">
        <v>589</v>
      </c>
      <c r="D669" s="255">
        <v>2231.6</v>
      </c>
      <c r="E669" s="134">
        <f t="shared" si="50"/>
        <v>-5.2598734064367436E-3</v>
      </c>
      <c r="G669" s="256">
        <v>919.25</v>
      </c>
      <c r="H669" s="134">
        <f t="shared" si="51"/>
        <v>-2.5499131944444198E-3</v>
      </c>
      <c r="I669" s="163"/>
      <c r="J669" s="256">
        <v>782.4</v>
      </c>
      <c r="K669" s="134">
        <f t="shared" si="52"/>
        <v>-2.4499719468860981E-2</v>
      </c>
      <c r="L669" s="163"/>
      <c r="M669" s="255">
        <v>2121.75</v>
      </c>
      <c r="N669" s="134">
        <f t="shared" si="53"/>
        <v>3.3575296148298239E-3</v>
      </c>
      <c r="O669" s="163"/>
      <c r="P669" s="255">
        <v>15782.15</v>
      </c>
      <c r="Q669" s="134">
        <f t="shared" si="54"/>
        <v>-3.7967971822272517E-3</v>
      </c>
      <c r="R669" s="19"/>
      <c r="S669" s="19"/>
      <c r="T669" s="19"/>
      <c r="W669" s="38"/>
      <c r="X669" s="35"/>
    </row>
    <row r="670" spans="3:24" x14ac:dyDescent="0.3">
      <c r="C670" s="160">
        <v>44900</v>
      </c>
      <c r="D670" s="255">
        <v>2194.35</v>
      </c>
      <c r="E670" s="134">
        <f t="shared" si="50"/>
        <v>-1.6692059508872537E-2</v>
      </c>
      <c r="F670" s="34"/>
      <c r="G670" s="256">
        <v>935.4</v>
      </c>
      <c r="H670" s="134">
        <f t="shared" si="51"/>
        <v>1.756867011150387E-2</v>
      </c>
      <c r="I670" s="163"/>
      <c r="J670" s="256">
        <v>766.35</v>
      </c>
      <c r="K670" s="134">
        <f t="shared" si="52"/>
        <v>-2.0513803680981546E-2</v>
      </c>
      <c r="L670" s="163"/>
      <c r="M670" s="255">
        <v>2115</v>
      </c>
      <c r="N670" s="134">
        <f t="shared" si="53"/>
        <v>-3.1813361611876534E-3</v>
      </c>
      <c r="O670" s="163"/>
      <c r="P670" s="255">
        <v>15808</v>
      </c>
      <c r="Q670" s="134">
        <f t="shared" si="54"/>
        <v>1.6379263915247133E-3</v>
      </c>
      <c r="R670" s="19"/>
      <c r="S670" s="19"/>
      <c r="T670" s="19"/>
      <c r="W670" s="38"/>
      <c r="X670" s="35"/>
    </row>
    <row r="671" spans="3:24" x14ac:dyDescent="0.3">
      <c r="C671" s="160">
        <v>44870</v>
      </c>
      <c r="D671" s="255">
        <v>2234.25</v>
      </c>
      <c r="E671" s="134">
        <f t="shared" si="50"/>
        <v>1.8183061043133497E-2</v>
      </c>
      <c r="F671" s="34"/>
      <c r="G671" s="256">
        <v>988.35</v>
      </c>
      <c r="H671" s="134">
        <f t="shared" si="51"/>
        <v>5.6606799230275895E-2</v>
      </c>
      <c r="I671" s="163"/>
      <c r="J671" s="256">
        <v>792.05</v>
      </c>
      <c r="K671" s="134">
        <f t="shared" si="52"/>
        <v>3.3535590787499014E-2</v>
      </c>
      <c r="L671" s="163"/>
      <c r="M671" s="255">
        <v>2164.15</v>
      </c>
      <c r="N671" s="134">
        <f t="shared" si="53"/>
        <v>2.3238770685579224E-2</v>
      </c>
      <c r="O671" s="163"/>
      <c r="P671" s="255">
        <v>16167.1</v>
      </c>
      <c r="Q671" s="134">
        <f t="shared" si="54"/>
        <v>2.2716346153846212E-2</v>
      </c>
      <c r="R671" s="19"/>
      <c r="S671" s="19"/>
      <c r="T671" s="19"/>
      <c r="W671" s="38"/>
      <c r="X671" s="35"/>
    </row>
    <row r="672" spans="3:24" x14ac:dyDescent="0.3">
      <c r="C672" s="160">
        <v>44839</v>
      </c>
      <c r="D672" s="255">
        <v>2113.15</v>
      </c>
      <c r="E672" s="134">
        <f t="shared" si="50"/>
        <v>-5.4201633657826931E-2</v>
      </c>
      <c r="F672" s="34"/>
      <c r="G672" s="256">
        <v>967.35</v>
      </c>
      <c r="H672" s="134">
        <f t="shared" si="51"/>
        <v>-2.1247533768401827E-2</v>
      </c>
      <c r="I672" s="163"/>
      <c r="J672" s="256">
        <v>789.9</v>
      </c>
      <c r="K672" s="134">
        <f t="shared" si="52"/>
        <v>-2.7144750962690978E-3</v>
      </c>
      <c r="L672" s="163"/>
      <c r="M672" s="255">
        <v>2203.25</v>
      </c>
      <c r="N672" s="134">
        <f t="shared" si="53"/>
        <v>1.8067139523600506E-2</v>
      </c>
      <c r="O672" s="163"/>
      <c r="P672" s="255">
        <v>16240.05</v>
      </c>
      <c r="Q672" s="134">
        <f t="shared" si="54"/>
        <v>4.5122501871082132E-3</v>
      </c>
      <c r="R672" s="19"/>
      <c r="S672" s="19"/>
      <c r="T672" s="19"/>
      <c r="W672" s="38"/>
      <c r="X672" s="35"/>
    </row>
    <row r="673" spans="3:24" x14ac:dyDescent="0.3">
      <c r="C673" s="160">
        <v>44809</v>
      </c>
      <c r="D673" s="255">
        <v>2224.3000000000002</v>
      </c>
      <c r="E673" s="134">
        <f t="shared" si="50"/>
        <v>5.2599200246078226E-2</v>
      </c>
      <c r="F673" s="34"/>
      <c r="G673" s="255">
        <v>1007.1</v>
      </c>
      <c r="H673" s="134">
        <f t="shared" si="51"/>
        <v>4.109164211505667E-2</v>
      </c>
      <c r="I673" s="163"/>
      <c r="J673" s="256">
        <v>777.55</v>
      </c>
      <c r="K673" s="134">
        <f t="shared" si="52"/>
        <v>-1.5634890492467468E-2</v>
      </c>
      <c r="L673" s="163"/>
      <c r="M673" s="255">
        <v>2199.4499999999998</v>
      </c>
      <c r="N673" s="134">
        <f t="shared" si="53"/>
        <v>-1.7247248383071012E-3</v>
      </c>
      <c r="O673" s="163"/>
      <c r="P673" s="255">
        <v>16301.85</v>
      </c>
      <c r="Q673" s="134">
        <f t="shared" si="54"/>
        <v>3.8054070030573151E-3</v>
      </c>
      <c r="R673" s="19"/>
      <c r="S673" s="19"/>
      <c r="T673" s="19"/>
      <c r="W673" s="38"/>
      <c r="X673" s="35"/>
    </row>
    <row r="674" spans="3:24" x14ac:dyDescent="0.3">
      <c r="C674" s="160">
        <v>44717</v>
      </c>
      <c r="D674" s="255">
        <v>2301.0500000000002</v>
      </c>
      <c r="E674" s="134">
        <f t="shared" si="50"/>
        <v>3.450523760284141E-2</v>
      </c>
      <c r="F674" s="34"/>
      <c r="G674" s="255">
        <v>1032.5</v>
      </c>
      <c r="H674" s="134">
        <f t="shared" si="51"/>
        <v>2.5220931387151202E-2</v>
      </c>
      <c r="I674" s="163"/>
      <c r="J674" s="256">
        <v>786.8</v>
      </c>
      <c r="K674" s="134">
        <f t="shared" si="52"/>
        <v>1.1896341071313765E-2</v>
      </c>
      <c r="L674" s="163"/>
      <c r="M674" s="255">
        <v>2236.5</v>
      </c>
      <c r="N674" s="134">
        <f t="shared" si="53"/>
        <v>1.6845120371001832E-2</v>
      </c>
      <c r="O674" s="163"/>
      <c r="P674" s="255">
        <v>16411.25</v>
      </c>
      <c r="Q674" s="134">
        <f t="shared" si="54"/>
        <v>6.7108947757463788E-3</v>
      </c>
      <c r="R674" s="19"/>
      <c r="S674" s="19"/>
      <c r="T674" s="19"/>
      <c r="W674" s="38"/>
      <c r="X674" s="35"/>
    </row>
    <row r="675" spans="3:24" x14ac:dyDescent="0.3">
      <c r="C675" s="160">
        <v>44686</v>
      </c>
      <c r="D675" s="255">
        <v>2394.3000000000002</v>
      </c>
      <c r="E675" s="134">
        <f t="shared" si="50"/>
        <v>4.0524977727559142E-2</v>
      </c>
      <c r="F675" s="34"/>
      <c r="G675" s="255">
        <v>1046.3</v>
      </c>
      <c r="H675" s="134">
        <f t="shared" si="51"/>
        <v>1.3365617433414023E-2</v>
      </c>
      <c r="I675" s="163"/>
      <c r="J675" s="256">
        <v>823.95</v>
      </c>
      <c r="K675" s="134">
        <f t="shared" si="52"/>
        <v>4.7216573462125266E-2</v>
      </c>
      <c r="L675" s="163"/>
      <c r="M675" s="255">
        <v>2301.75</v>
      </c>
      <c r="N675" s="134">
        <f t="shared" si="53"/>
        <v>2.917505030181089E-2</v>
      </c>
      <c r="O675" s="163"/>
      <c r="P675" s="255">
        <v>16682.650000000001</v>
      </c>
      <c r="Q675" s="134">
        <f t="shared" si="54"/>
        <v>1.65374362099171E-2</v>
      </c>
      <c r="R675" s="19"/>
      <c r="S675" s="19"/>
      <c r="T675" s="19"/>
      <c r="X675" s="35"/>
    </row>
    <row r="676" spans="3:24" x14ac:dyDescent="0.3">
      <c r="C676" s="160">
        <v>44656</v>
      </c>
      <c r="D676" s="255">
        <v>2403</v>
      </c>
      <c r="E676" s="134">
        <f t="shared" si="50"/>
        <v>3.6336298709434001E-3</v>
      </c>
      <c r="F676" s="34"/>
      <c r="G676" s="255">
        <v>1034.55</v>
      </c>
      <c r="H676" s="134">
        <f t="shared" si="51"/>
        <v>-1.1230048743190335E-2</v>
      </c>
      <c r="I676" s="163"/>
      <c r="J676" s="256">
        <v>824.2</v>
      </c>
      <c r="K676" s="134">
        <f t="shared" si="52"/>
        <v>3.0341646944598288E-4</v>
      </c>
      <c r="L676" s="163"/>
      <c r="M676" s="255">
        <v>2324.0500000000002</v>
      </c>
      <c r="N676" s="134">
        <f t="shared" si="53"/>
        <v>9.6882806560225632E-3</v>
      </c>
      <c r="O676" s="163"/>
      <c r="P676" s="255">
        <v>16677.599999999999</v>
      </c>
      <c r="Q676" s="134">
        <f t="shared" si="54"/>
        <v>-3.0270970139656406E-4</v>
      </c>
      <c r="R676" s="19"/>
      <c r="S676" s="19"/>
      <c r="T676" s="19"/>
      <c r="X676" s="35"/>
    </row>
    <row r="677" spans="3:24" x14ac:dyDescent="0.3">
      <c r="C677" s="160">
        <v>44597</v>
      </c>
      <c r="D677" s="255">
        <v>2504.8000000000002</v>
      </c>
      <c r="E677" s="134">
        <f t="shared" si="50"/>
        <v>4.236371202663336E-2</v>
      </c>
      <c r="F677" s="34"/>
      <c r="G677" s="255">
        <v>1033</v>
      </c>
      <c r="H677" s="134">
        <f t="shared" si="51"/>
        <v>-1.4982359479966956E-3</v>
      </c>
      <c r="I677" s="163"/>
      <c r="J677" s="256">
        <v>829.65</v>
      </c>
      <c r="K677" s="134">
        <f t="shared" si="52"/>
        <v>6.6124727008007866E-3</v>
      </c>
      <c r="L677" s="163"/>
      <c r="M677" s="255">
        <v>2424.1</v>
      </c>
      <c r="N677" s="134">
        <f t="shared" si="53"/>
        <v>4.3049848325122042E-2</v>
      </c>
      <c r="O677" s="163"/>
      <c r="P677" s="255">
        <v>17069.099999999999</v>
      </c>
      <c r="Q677" s="134">
        <f t="shared" si="54"/>
        <v>2.3474600661965717E-2</v>
      </c>
      <c r="R677" s="19"/>
      <c r="S677" s="19"/>
      <c r="T677" s="19"/>
      <c r="X677" s="35"/>
    </row>
    <row r="678" spans="3:24" x14ac:dyDescent="0.3">
      <c r="C678" s="25" t="s">
        <v>590</v>
      </c>
      <c r="D678" s="255">
        <v>2512.6999999999998</v>
      </c>
      <c r="E678" s="134">
        <f t="shared" si="50"/>
        <v>3.1539444267005834E-3</v>
      </c>
      <c r="G678" s="256">
        <v>940.15</v>
      </c>
      <c r="H678" s="134">
        <f t="shared" si="51"/>
        <v>-8.9883833494675769E-2</v>
      </c>
      <c r="I678" s="163"/>
      <c r="J678" s="256">
        <v>821.9</v>
      </c>
      <c r="K678" s="134">
        <f t="shared" si="52"/>
        <v>-9.3412884951485919E-3</v>
      </c>
      <c r="L678" s="163"/>
      <c r="M678" s="255">
        <v>2423.6999999999998</v>
      </c>
      <c r="N678" s="134">
        <f t="shared" si="53"/>
        <v>-1.6500969431954005E-4</v>
      </c>
      <c r="O678" s="163"/>
      <c r="P678" s="255">
        <v>17102.55</v>
      </c>
      <c r="Q678" s="134">
        <f t="shared" si="54"/>
        <v>1.959681529781987E-3</v>
      </c>
      <c r="R678" s="19"/>
      <c r="S678" s="19"/>
      <c r="T678" s="19"/>
      <c r="X678" s="35"/>
    </row>
    <row r="679" spans="3:24" x14ac:dyDescent="0.3">
      <c r="C679" s="25" t="s">
        <v>591</v>
      </c>
      <c r="D679" s="255">
        <v>2511.9499999999998</v>
      </c>
      <c r="E679" s="134">
        <f t="shared" si="50"/>
        <v>-2.9848370278984238E-4</v>
      </c>
      <c r="G679" s="256">
        <v>959.35</v>
      </c>
      <c r="H679" s="134">
        <f t="shared" si="51"/>
        <v>2.0422273041535988E-2</v>
      </c>
      <c r="I679" s="163"/>
      <c r="J679" s="256">
        <v>825.3</v>
      </c>
      <c r="K679" s="134">
        <f t="shared" si="52"/>
        <v>4.1367562963863236E-3</v>
      </c>
      <c r="L679" s="163"/>
      <c r="M679" s="255">
        <v>2457.9499999999998</v>
      </c>
      <c r="N679" s="134">
        <f t="shared" si="53"/>
        <v>1.4131286875438409E-2</v>
      </c>
      <c r="O679" s="163"/>
      <c r="P679" s="255">
        <v>17245.05</v>
      </c>
      <c r="Q679" s="134">
        <f t="shared" si="54"/>
        <v>8.3320908285606787E-3</v>
      </c>
      <c r="R679" s="19"/>
      <c r="S679" s="19"/>
      <c r="T679" s="19"/>
      <c r="X679" s="35"/>
    </row>
    <row r="680" spans="3:24" x14ac:dyDescent="0.3">
      <c r="C680" s="25" t="s">
        <v>592</v>
      </c>
      <c r="D680" s="255">
        <v>2483.6</v>
      </c>
      <c r="E680" s="134">
        <f t="shared" si="50"/>
        <v>-1.1286052668245783E-2</v>
      </c>
      <c r="G680" s="256">
        <v>961.85</v>
      </c>
      <c r="H680" s="134">
        <f t="shared" si="51"/>
        <v>2.6059310991817242E-3</v>
      </c>
      <c r="I680" s="163"/>
      <c r="J680" s="256">
        <v>797.4</v>
      </c>
      <c r="K680" s="134">
        <f t="shared" si="52"/>
        <v>-3.3805888767720838E-2</v>
      </c>
      <c r="L680" s="163"/>
      <c r="M680" s="255">
        <v>2411.3000000000002</v>
      </c>
      <c r="N680" s="134">
        <f t="shared" si="53"/>
        <v>-1.8979230659695978E-2</v>
      </c>
      <c r="O680" s="163"/>
      <c r="P680" s="255">
        <v>17038.400000000001</v>
      </c>
      <c r="Q680" s="134">
        <f t="shared" si="54"/>
        <v>-1.1983148787622966E-2</v>
      </c>
      <c r="R680" s="19"/>
      <c r="S680" s="19"/>
      <c r="T680" s="19"/>
      <c r="X680" s="35"/>
    </row>
    <row r="681" spans="3:24" x14ac:dyDescent="0.3">
      <c r="C681" s="25" t="s">
        <v>593</v>
      </c>
      <c r="D681" s="255">
        <v>2514.5500000000002</v>
      </c>
      <c r="E681" s="134">
        <f t="shared" si="50"/>
        <v>1.2461749073925166E-2</v>
      </c>
      <c r="G681" s="256">
        <v>962.25</v>
      </c>
      <c r="H681" s="134">
        <f t="shared" si="51"/>
        <v>4.158652596557566E-4</v>
      </c>
      <c r="I681" s="163"/>
      <c r="J681" s="256">
        <v>812.75</v>
      </c>
      <c r="K681" s="134">
        <f t="shared" si="52"/>
        <v>1.9250062703787263E-2</v>
      </c>
      <c r="L681" s="163"/>
      <c r="M681" s="255">
        <v>2436.8000000000002</v>
      </c>
      <c r="N681" s="134">
        <f t="shared" si="53"/>
        <v>1.057520839381243E-2</v>
      </c>
      <c r="O681" s="163"/>
      <c r="P681" s="255">
        <v>17200.8</v>
      </c>
      <c r="Q681" s="134">
        <f t="shared" si="54"/>
        <v>9.5314114001312511E-3</v>
      </c>
      <c r="R681" s="19"/>
      <c r="S681" s="19"/>
      <c r="T681" s="19"/>
      <c r="X681" s="35"/>
    </row>
    <row r="682" spans="3:24" x14ac:dyDescent="0.3">
      <c r="C682" s="25" t="s">
        <v>594</v>
      </c>
      <c r="D682" s="255">
        <v>2434.75</v>
      </c>
      <c r="E682" s="134">
        <f t="shared" si="50"/>
        <v>-3.1735300550794432E-2</v>
      </c>
      <c r="G682" s="256">
        <v>936.45</v>
      </c>
      <c r="H682" s="134">
        <f t="shared" si="51"/>
        <v>-2.6812159002338243E-2</v>
      </c>
      <c r="I682" s="163"/>
      <c r="J682" s="256">
        <v>802.95</v>
      </c>
      <c r="K682" s="134">
        <f t="shared" si="52"/>
        <v>-1.2057828360504397E-2</v>
      </c>
      <c r="L682" s="163"/>
      <c r="M682" s="255">
        <v>2408.35</v>
      </c>
      <c r="N682" s="134">
        <f t="shared" si="53"/>
        <v>-1.1675147734734215E-2</v>
      </c>
      <c r="O682" s="163"/>
      <c r="P682" s="255">
        <v>16953.95</v>
      </c>
      <c r="Q682" s="134">
        <f t="shared" si="54"/>
        <v>-1.4351076694107179E-2</v>
      </c>
      <c r="R682" s="19"/>
      <c r="S682" s="19"/>
      <c r="T682" s="19"/>
      <c r="X682" s="35"/>
    </row>
    <row r="683" spans="3:24" x14ac:dyDescent="0.3">
      <c r="C683" s="25" t="s">
        <v>595</v>
      </c>
      <c r="D683" s="255">
        <v>2489.35</v>
      </c>
      <c r="E683" s="134">
        <f t="shared" si="50"/>
        <v>2.2425300338843712E-2</v>
      </c>
      <c r="G683" s="256">
        <v>973.2</v>
      </c>
      <c r="H683" s="134">
        <f t="shared" si="51"/>
        <v>3.9243953227614981E-2</v>
      </c>
      <c r="I683" s="163"/>
      <c r="J683" s="256">
        <v>817</v>
      </c>
      <c r="K683" s="134">
        <f t="shared" si="52"/>
        <v>1.7497976212715649E-2</v>
      </c>
      <c r="L683" s="163"/>
      <c r="M683" s="255">
        <v>2426.4</v>
      </c>
      <c r="N683" s="134">
        <f t="shared" si="53"/>
        <v>7.494757821745246E-3</v>
      </c>
      <c r="O683" s="163"/>
      <c r="P683" s="255">
        <v>17171.95</v>
      </c>
      <c r="Q683" s="134">
        <f t="shared" si="54"/>
        <v>1.2858360441077243E-2</v>
      </c>
      <c r="R683" s="19"/>
      <c r="S683" s="19"/>
      <c r="T683" s="19"/>
      <c r="X683" s="35"/>
    </row>
    <row r="684" spans="3:24" x14ac:dyDescent="0.3">
      <c r="C684" s="25" t="s">
        <v>596</v>
      </c>
      <c r="D684" s="255">
        <v>2547.4</v>
      </c>
      <c r="E684" s="134">
        <f t="shared" si="50"/>
        <v>2.3319340390061782E-2</v>
      </c>
      <c r="G684" s="256">
        <v>983.05</v>
      </c>
      <c r="H684" s="134">
        <f t="shared" si="51"/>
        <v>1.0121249486230832E-2</v>
      </c>
      <c r="I684" s="163"/>
      <c r="J684" s="256">
        <v>828.4</v>
      </c>
      <c r="K684" s="134">
        <f t="shared" si="52"/>
        <v>1.3953488372093092E-2</v>
      </c>
      <c r="L684" s="163"/>
      <c r="M684" s="255">
        <v>2406.35</v>
      </c>
      <c r="N684" s="134">
        <f t="shared" si="53"/>
        <v>-8.2632706890868324E-3</v>
      </c>
      <c r="O684" s="163"/>
      <c r="P684" s="255">
        <v>17392.599999999999</v>
      </c>
      <c r="Q684" s="134">
        <f t="shared" si="54"/>
        <v>1.2849443423722962E-2</v>
      </c>
      <c r="R684" s="19"/>
      <c r="S684" s="19"/>
      <c r="T684" s="19"/>
      <c r="X684" s="35"/>
    </row>
    <row r="685" spans="3:24" x14ac:dyDescent="0.3">
      <c r="C685" s="25" t="s">
        <v>597</v>
      </c>
      <c r="D685" s="255">
        <v>2542.65</v>
      </c>
      <c r="E685" s="134">
        <f t="shared" si="50"/>
        <v>-1.864646306037554E-3</v>
      </c>
      <c r="G685" s="256">
        <v>970.35</v>
      </c>
      <c r="H685" s="134">
        <f t="shared" si="51"/>
        <v>-1.2918976654290204E-2</v>
      </c>
      <c r="I685" s="163"/>
      <c r="J685" s="256">
        <v>825.45</v>
      </c>
      <c r="K685" s="134">
        <f t="shared" si="52"/>
        <v>-3.5610816030902104E-3</v>
      </c>
      <c r="L685" s="163"/>
      <c r="M685" s="255">
        <v>2368.9</v>
      </c>
      <c r="N685" s="134">
        <f t="shared" si="53"/>
        <v>-1.5562989590042986E-2</v>
      </c>
      <c r="O685" s="163"/>
      <c r="P685" s="255">
        <v>17136.55</v>
      </c>
      <c r="Q685" s="134">
        <f t="shared" si="54"/>
        <v>-1.4721778227521964E-2</v>
      </c>
      <c r="R685" s="19"/>
      <c r="S685" s="19"/>
      <c r="T685" s="19"/>
      <c r="X685" s="35"/>
    </row>
    <row r="686" spans="3:24" x14ac:dyDescent="0.3">
      <c r="C686" s="25" t="s">
        <v>598</v>
      </c>
      <c r="D686" s="255">
        <v>2528.9499999999998</v>
      </c>
      <c r="E686" s="134">
        <f t="shared" si="50"/>
        <v>-5.3880793660159298E-3</v>
      </c>
      <c r="G686" s="256">
        <v>968.55</v>
      </c>
      <c r="H686" s="134">
        <f t="shared" si="51"/>
        <v>-1.8550007729170037E-3</v>
      </c>
      <c r="I686" s="163"/>
      <c r="J686" s="256">
        <v>805.1</v>
      </c>
      <c r="K686" s="134">
        <f t="shared" si="52"/>
        <v>-2.4653219456054254E-2</v>
      </c>
      <c r="L686" s="163"/>
      <c r="M686" s="255">
        <v>2328.5500000000002</v>
      </c>
      <c r="N686" s="134">
        <f t="shared" si="53"/>
        <v>-1.7033222170627638E-2</v>
      </c>
      <c r="O686" s="163"/>
      <c r="P686" s="255">
        <v>16958.650000000001</v>
      </c>
      <c r="Q686" s="134">
        <f t="shared" si="54"/>
        <v>-1.0381319460451399E-2</v>
      </c>
      <c r="R686" s="19"/>
      <c r="S686" s="19"/>
      <c r="T686" s="19"/>
      <c r="X686" s="35"/>
    </row>
    <row r="687" spans="3:24" x14ac:dyDescent="0.3">
      <c r="C687" s="25" t="s">
        <v>599</v>
      </c>
      <c r="D687" s="255">
        <v>2615.75</v>
      </c>
      <c r="E687" s="134">
        <f t="shared" si="50"/>
        <v>3.4322544929713983E-2</v>
      </c>
      <c r="G687" s="256">
        <v>988.05</v>
      </c>
      <c r="H687" s="134">
        <f t="shared" si="51"/>
        <v>2.0133188787362588E-2</v>
      </c>
      <c r="I687" s="163"/>
      <c r="J687" s="256">
        <v>804.95</v>
      </c>
      <c r="K687" s="134">
        <f t="shared" si="52"/>
        <v>-1.8631225934662154E-4</v>
      </c>
      <c r="L687" s="163"/>
      <c r="M687" s="255">
        <v>2364.35</v>
      </c>
      <c r="N687" s="134">
        <f t="shared" si="53"/>
        <v>1.537437461080926E-2</v>
      </c>
      <c r="O687" s="163"/>
      <c r="P687" s="255">
        <v>17173.650000000001</v>
      </c>
      <c r="Q687" s="134">
        <f t="shared" si="54"/>
        <v>1.2677895941009432E-2</v>
      </c>
      <c r="R687" s="19"/>
      <c r="S687" s="19"/>
      <c r="T687" s="19"/>
      <c r="X687" s="35"/>
    </row>
    <row r="688" spans="3:24" x14ac:dyDescent="0.3">
      <c r="C688" s="25" t="s">
        <v>600</v>
      </c>
      <c r="D688" s="255">
        <v>2611.0500000000002</v>
      </c>
      <c r="E688" s="134">
        <f t="shared" si="50"/>
        <v>-1.7968077989103381E-3</v>
      </c>
      <c r="G688" s="256">
        <v>976.95</v>
      </c>
      <c r="H688" s="134">
        <f t="shared" si="51"/>
        <v>-1.1234249278882502E-2</v>
      </c>
      <c r="I688" s="163"/>
      <c r="J688" s="256">
        <v>818.8</v>
      </c>
      <c r="K688" s="134">
        <f t="shared" si="52"/>
        <v>1.72060376420895E-2</v>
      </c>
      <c r="L688" s="163"/>
      <c r="M688" s="255">
        <v>2366.0500000000002</v>
      </c>
      <c r="N688" s="134">
        <f t="shared" si="53"/>
        <v>7.1901368240756547E-4</v>
      </c>
      <c r="O688" s="163"/>
      <c r="P688" s="255">
        <v>17475.650000000001</v>
      </c>
      <c r="Q688" s="134">
        <f t="shared" si="54"/>
        <v>1.7585079467672848E-2</v>
      </c>
      <c r="R688" s="19"/>
      <c r="S688" s="19"/>
      <c r="T688" s="19"/>
      <c r="W688" s="38"/>
      <c r="X688" s="35"/>
    </row>
    <row r="689" spans="3:24" x14ac:dyDescent="0.3">
      <c r="C689" s="160">
        <v>44899</v>
      </c>
      <c r="D689" s="255">
        <v>2635.75</v>
      </c>
      <c r="E689" s="134">
        <f t="shared" si="50"/>
        <v>9.459795867562848E-3</v>
      </c>
      <c r="F689" s="34"/>
      <c r="G689" s="256">
        <v>974.65</v>
      </c>
      <c r="H689" s="134">
        <f t="shared" si="51"/>
        <v>-2.3542658273197903E-3</v>
      </c>
      <c r="I689" s="163"/>
      <c r="J689" s="256">
        <v>806.2</v>
      </c>
      <c r="K689" s="134">
        <f t="shared" si="52"/>
        <v>-1.5388373229115682E-2</v>
      </c>
      <c r="L689" s="163"/>
      <c r="M689" s="255">
        <v>2375.6999999999998</v>
      </c>
      <c r="N689" s="134">
        <f t="shared" si="53"/>
        <v>4.0785275036452351E-3</v>
      </c>
      <c r="O689" s="163"/>
      <c r="P689" s="255">
        <v>17530.3</v>
      </c>
      <c r="Q689" s="134">
        <f t="shared" si="54"/>
        <v>3.1272084300153491E-3</v>
      </c>
      <c r="R689" s="19"/>
      <c r="S689" s="19"/>
      <c r="T689" s="19"/>
      <c r="W689" s="38"/>
      <c r="X689" s="35"/>
    </row>
    <row r="690" spans="3:24" x14ac:dyDescent="0.3">
      <c r="C690" s="160">
        <v>44869</v>
      </c>
      <c r="D690" s="255">
        <v>2698.9</v>
      </c>
      <c r="E690" s="134">
        <f t="shared" si="50"/>
        <v>2.3959024945461538E-2</v>
      </c>
      <c r="F690" s="34"/>
      <c r="G690" s="255">
        <v>1006.65</v>
      </c>
      <c r="H690" s="134">
        <f t="shared" si="51"/>
        <v>3.2832298773918911E-2</v>
      </c>
      <c r="I690" s="163"/>
      <c r="J690" s="256">
        <v>820.1</v>
      </c>
      <c r="K690" s="134">
        <f t="shared" si="52"/>
        <v>1.7241379310344751E-2</v>
      </c>
      <c r="L690" s="163"/>
      <c r="M690" s="255">
        <v>2449.15</v>
      </c>
      <c r="N690" s="134">
        <f t="shared" si="53"/>
        <v>3.091720335059156E-2</v>
      </c>
      <c r="O690" s="163"/>
      <c r="P690" s="255">
        <v>17674.95</v>
      </c>
      <c r="Q690" s="134">
        <f t="shared" si="54"/>
        <v>8.2514275283367411E-3</v>
      </c>
      <c r="R690" s="19"/>
      <c r="S690" s="19"/>
      <c r="T690" s="19"/>
      <c r="W690" s="38"/>
      <c r="X690" s="35"/>
    </row>
    <row r="691" spans="3:24" x14ac:dyDescent="0.3">
      <c r="C691" s="160">
        <v>44777</v>
      </c>
      <c r="D691" s="255">
        <v>2747.6</v>
      </c>
      <c r="E691" s="134">
        <f t="shared" si="50"/>
        <v>1.8044388454555582E-2</v>
      </c>
      <c r="F691" s="34"/>
      <c r="G691" s="256">
        <v>999.6</v>
      </c>
      <c r="H691" s="134">
        <f t="shared" si="51"/>
        <v>-7.003427209059665E-3</v>
      </c>
      <c r="I691" s="163"/>
      <c r="J691" s="256">
        <v>810</v>
      </c>
      <c r="K691" s="134">
        <f t="shared" si="52"/>
        <v>-1.2315571271796166E-2</v>
      </c>
      <c r="L691" s="163"/>
      <c r="M691" s="255">
        <v>2525.15</v>
      </c>
      <c r="N691" s="134">
        <f t="shared" si="53"/>
        <v>3.1031174080803581E-2</v>
      </c>
      <c r="O691" s="163"/>
      <c r="P691" s="255">
        <v>17784.349999999999</v>
      </c>
      <c r="Q691" s="134">
        <f t="shared" si="54"/>
        <v>6.1895507483753498E-3</v>
      </c>
      <c r="R691" s="19"/>
      <c r="S691" s="19"/>
      <c r="T691" s="19"/>
      <c r="W691" s="38"/>
      <c r="X691" s="35"/>
    </row>
    <row r="692" spans="3:24" x14ac:dyDescent="0.3">
      <c r="C692" s="160">
        <v>44746</v>
      </c>
      <c r="D692" s="255">
        <v>2688.6</v>
      </c>
      <c r="E692" s="134">
        <f t="shared" si="50"/>
        <v>-2.1473285776677842E-2</v>
      </c>
      <c r="F692" s="34"/>
      <c r="G692" s="256">
        <v>981</v>
      </c>
      <c r="H692" s="134">
        <f t="shared" si="51"/>
        <v>-1.8607442977190858E-2</v>
      </c>
      <c r="I692" s="163"/>
      <c r="J692" s="256">
        <v>801.9</v>
      </c>
      <c r="K692" s="134">
        <f t="shared" si="52"/>
        <v>-1.0000000000000009E-2</v>
      </c>
      <c r="L692" s="163"/>
      <c r="M692" s="255">
        <v>2493.1</v>
      </c>
      <c r="N692" s="134">
        <f t="shared" si="53"/>
        <v>-1.2692315308001523E-2</v>
      </c>
      <c r="O692" s="163"/>
      <c r="P692" s="255">
        <v>17639.55</v>
      </c>
      <c r="Q692" s="134">
        <f t="shared" si="54"/>
        <v>-8.1419900080688112E-3</v>
      </c>
      <c r="R692" s="19"/>
      <c r="S692" s="19"/>
      <c r="T692" s="19"/>
      <c r="W692" s="38"/>
      <c r="X692" s="35"/>
    </row>
    <row r="693" spans="3:24" x14ac:dyDescent="0.3">
      <c r="C693" s="160">
        <v>44716</v>
      </c>
      <c r="D693" s="255">
        <v>2684.7</v>
      </c>
      <c r="E693" s="134">
        <f t="shared" si="50"/>
        <v>-1.4505690694042173E-3</v>
      </c>
      <c r="F693" s="34"/>
      <c r="G693" s="255">
        <v>1000.55</v>
      </c>
      <c r="H693" s="134">
        <f t="shared" si="51"/>
        <v>1.9928644240570836E-2</v>
      </c>
      <c r="I693" s="163"/>
      <c r="J693" s="256">
        <v>804.3</v>
      </c>
      <c r="K693" s="134">
        <f t="shared" si="52"/>
        <v>2.992891881780757E-3</v>
      </c>
      <c r="L693" s="163"/>
      <c r="M693" s="255">
        <v>2529.5500000000002</v>
      </c>
      <c r="N693" s="134">
        <f t="shared" si="53"/>
        <v>1.4620352171994755E-2</v>
      </c>
      <c r="O693" s="163"/>
      <c r="P693" s="255">
        <v>17807.650000000001</v>
      </c>
      <c r="Q693" s="134">
        <f t="shared" si="54"/>
        <v>9.529721563191984E-3</v>
      </c>
      <c r="R693" s="19"/>
      <c r="S693" s="19"/>
      <c r="T693" s="19"/>
      <c r="W693" s="38"/>
      <c r="X693" s="35"/>
    </row>
    <row r="694" spans="3:24" x14ac:dyDescent="0.3">
      <c r="C694" s="160">
        <v>44685</v>
      </c>
      <c r="D694" s="255">
        <v>2709.5</v>
      </c>
      <c r="E694" s="134">
        <f t="shared" si="50"/>
        <v>9.2375311952919148E-3</v>
      </c>
      <c r="F694" s="34"/>
      <c r="G694" s="255">
        <v>1003.75</v>
      </c>
      <c r="H694" s="134">
        <f t="shared" si="51"/>
        <v>3.1982409674680135E-3</v>
      </c>
      <c r="I694" s="163"/>
      <c r="J694" s="256">
        <v>793.4</v>
      </c>
      <c r="K694" s="134">
        <f t="shared" si="52"/>
        <v>-1.3552157155290234E-2</v>
      </c>
      <c r="L694" s="163"/>
      <c r="M694" s="255">
        <v>2507.65</v>
      </c>
      <c r="N694" s="134">
        <f t="shared" si="53"/>
        <v>-8.657666383348861E-3</v>
      </c>
      <c r="O694" s="163"/>
      <c r="P694" s="255">
        <v>17957.400000000001</v>
      </c>
      <c r="Q694" s="134">
        <f t="shared" si="54"/>
        <v>8.4093072359350263E-3</v>
      </c>
      <c r="R694" s="19"/>
      <c r="S694" s="19"/>
      <c r="T694" s="19"/>
      <c r="W694" s="38"/>
      <c r="X694" s="35"/>
    </row>
    <row r="695" spans="3:24" x14ac:dyDescent="0.3">
      <c r="C695" s="160">
        <v>44655</v>
      </c>
      <c r="D695" s="255">
        <v>2636.3</v>
      </c>
      <c r="E695" s="134">
        <f t="shared" si="50"/>
        <v>-2.7016054622624019E-2</v>
      </c>
      <c r="F695" s="34"/>
      <c r="G695" s="255">
        <v>1001.95</v>
      </c>
      <c r="H695" s="134">
        <f t="shared" si="51"/>
        <v>-1.7932752179327105E-3</v>
      </c>
      <c r="I695" s="163"/>
      <c r="J695" s="256">
        <v>784.75</v>
      </c>
      <c r="K695" s="134">
        <f t="shared" si="52"/>
        <v>-1.090244517267458E-2</v>
      </c>
      <c r="L695" s="163"/>
      <c r="M695" s="255">
        <v>2495.0500000000002</v>
      </c>
      <c r="N695" s="134">
        <f t="shared" si="53"/>
        <v>-5.0246246485753376E-3</v>
      </c>
      <c r="O695" s="163"/>
      <c r="P695" s="255">
        <v>18053.400000000001</v>
      </c>
      <c r="Q695" s="134">
        <f t="shared" si="54"/>
        <v>5.3459854990143274E-3</v>
      </c>
      <c r="R695" s="19"/>
      <c r="S695" s="19"/>
      <c r="T695" s="19"/>
      <c r="W695" s="38"/>
      <c r="X695" s="35"/>
    </row>
    <row r="696" spans="3:24" x14ac:dyDescent="0.3">
      <c r="C696" s="160">
        <v>44565</v>
      </c>
      <c r="D696" s="255">
        <v>2621.85</v>
      </c>
      <c r="E696" s="134">
        <f t="shared" si="50"/>
        <v>-5.4811667867845637E-3</v>
      </c>
      <c r="F696" s="34"/>
      <c r="G696" s="256">
        <v>987.2</v>
      </c>
      <c r="H696" s="134">
        <f t="shared" si="51"/>
        <v>-1.4721293477718445E-2</v>
      </c>
      <c r="I696" s="163"/>
      <c r="J696" s="256">
        <v>781.35</v>
      </c>
      <c r="K696" s="134">
        <f t="shared" si="52"/>
        <v>-4.3325899968142956E-3</v>
      </c>
      <c r="L696" s="163"/>
      <c r="M696" s="255">
        <v>2485.9</v>
      </c>
      <c r="N696" s="134">
        <f t="shared" si="53"/>
        <v>-3.6672611771307873E-3</v>
      </c>
      <c r="O696" s="163"/>
      <c r="P696" s="255">
        <v>17670.45</v>
      </c>
      <c r="Q696" s="134">
        <f t="shared" si="54"/>
        <v>-2.1212070856459264E-2</v>
      </c>
      <c r="R696" s="19"/>
      <c r="S696" s="19"/>
      <c r="T696" s="19"/>
      <c r="X696" s="35"/>
    </row>
    <row r="697" spans="3:24" x14ac:dyDescent="0.3">
      <c r="C697" s="25" t="s">
        <v>601</v>
      </c>
      <c r="D697" s="255">
        <v>2679.35</v>
      </c>
      <c r="E697" s="134">
        <f t="shared" si="50"/>
        <v>2.1931079199801751E-2</v>
      </c>
      <c r="G697" s="256">
        <v>974.35</v>
      </c>
      <c r="H697" s="134">
        <f t="shared" si="51"/>
        <v>-1.3016612641815306E-2</v>
      </c>
      <c r="I697" s="163"/>
      <c r="J697" s="256">
        <v>769.7</v>
      </c>
      <c r="K697" s="134">
        <f t="shared" si="52"/>
        <v>-1.4910091508286927E-2</v>
      </c>
      <c r="L697" s="163"/>
      <c r="M697" s="255">
        <v>2454.3000000000002</v>
      </c>
      <c r="N697" s="134">
        <f t="shared" si="53"/>
        <v>-1.2711693953899927E-2</v>
      </c>
      <c r="O697" s="163"/>
      <c r="P697" s="255">
        <v>17464.75</v>
      </c>
      <c r="Q697" s="134">
        <f t="shared" si="54"/>
        <v>-1.1640903315987994E-2</v>
      </c>
      <c r="R697" s="19"/>
      <c r="S697" s="19"/>
      <c r="T697" s="19"/>
      <c r="X697" s="35"/>
    </row>
    <row r="698" spans="3:24" x14ac:dyDescent="0.3">
      <c r="C698" s="25" t="s">
        <v>602</v>
      </c>
      <c r="D698" s="255">
        <v>2705.85</v>
      </c>
      <c r="E698" s="134">
        <f t="shared" si="50"/>
        <v>9.8904585067274287E-3</v>
      </c>
      <c r="G698" s="256">
        <v>983.9</v>
      </c>
      <c r="H698" s="134">
        <f t="shared" si="51"/>
        <v>9.8014060655822188E-3</v>
      </c>
      <c r="I698" s="163"/>
      <c r="J698" s="256">
        <v>775.6</v>
      </c>
      <c r="K698" s="134">
        <f t="shared" si="52"/>
        <v>7.6653241522670612E-3</v>
      </c>
      <c r="L698" s="163"/>
      <c r="M698" s="255">
        <v>2440.3000000000002</v>
      </c>
      <c r="N698" s="134">
        <f t="shared" si="53"/>
        <v>-5.7042741311168488E-3</v>
      </c>
      <c r="O698" s="163"/>
      <c r="P698" s="255">
        <v>17498.25</v>
      </c>
      <c r="Q698" s="134">
        <f t="shared" si="54"/>
        <v>1.9181494152507028E-3</v>
      </c>
      <c r="R698" s="19"/>
      <c r="S698" s="19"/>
      <c r="T698" s="19"/>
      <c r="X698" s="35"/>
    </row>
    <row r="699" spans="3:24" x14ac:dyDescent="0.3">
      <c r="C699" s="25" t="s">
        <v>603</v>
      </c>
      <c r="D699" s="255">
        <v>2621.25</v>
      </c>
      <c r="E699" s="134">
        <f t="shared" si="50"/>
        <v>-3.126559121902539E-2</v>
      </c>
      <c r="G699" s="256">
        <v>987.5</v>
      </c>
      <c r="H699" s="134">
        <f t="shared" si="51"/>
        <v>3.6589084256530846E-3</v>
      </c>
      <c r="I699" s="163"/>
      <c r="J699" s="256">
        <v>782.2</v>
      </c>
      <c r="K699" s="134">
        <f t="shared" si="52"/>
        <v>8.509541000515819E-3</v>
      </c>
      <c r="L699" s="163"/>
      <c r="M699" s="255">
        <v>2397.9499999999998</v>
      </c>
      <c r="N699" s="134">
        <f t="shared" si="53"/>
        <v>-1.7354423636438243E-2</v>
      </c>
      <c r="O699" s="163"/>
      <c r="P699" s="255">
        <v>17325.3</v>
      </c>
      <c r="Q699" s="134">
        <f t="shared" si="54"/>
        <v>-9.8838455274099513E-3</v>
      </c>
      <c r="R699" s="19"/>
      <c r="S699" s="19"/>
      <c r="T699" s="19"/>
      <c r="X699" s="35"/>
    </row>
    <row r="700" spans="3:24" x14ac:dyDescent="0.3">
      <c r="C700" s="25" t="s">
        <v>604</v>
      </c>
      <c r="D700" s="255">
        <v>2605.75</v>
      </c>
      <c r="E700" s="134">
        <f t="shared" si="50"/>
        <v>-5.9132093466857105E-3</v>
      </c>
      <c r="G700" s="256">
        <v>956.65</v>
      </c>
      <c r="H700" s="134">
        <f t="shared" si="51"/>
        <v>-3.1240506329113904E-2</v>
      </c>
      <c r="I700" s="163"/>
      <c r="J700" s="256">
        <v>780.7</v>
      </c>
      <c r="K700" s="134">
        <f t="shared" si="52"/>
        <v>-1.9176681155714803E-3</v>
      </c>
      <c r="L700" s="163"/>
      <c r="M700" s="255">
        <v>2399.75</v>
      </c>
      <c r="N700" s="134">
        <f t="shared" si="53"/>
        <v>7.5064117266832042E-4</v>
      </c>
      <c r="O700" s="163"/>
      <c r="P700" s="255">
        <v>17222</v>
      </c>
      <c r="Q700" s="134">
        <f t="shared" si="54"/>
        <v>-5.9623787178287868E-3</v>
      </c>
      <c r="R700" s="19"/>
      <c r="S700" s="19"/>
      <c r="T700" s="19"/>
      <c r="X700" s="35"/>
    </row>
    <row r="701" spans="3:24" x14ac:dyDescent="0.3">
      <c r="C701" s="25" t="s">
        <v>605</v>
      </c>
      <c r="D701" s="255">
        <v>2614.5500000000002</v>
      </c>
      <c r="E701" s="134">
        <f t="shared" si="50"/>
        <v>3.3771466948095963E-3</v>
      </c>
      <c r="G701" s="256">
        <v>975.1</v>
      </c>
      <c r="H701" s="134">
        <f t="shared" si="51"/>
        <v>1.9286050279621714E-2</v>
      </c>
      <c r="I701" s="163"/>
      <c r="J701" s="256">
        <v>798.15</v>
      </c>
      <c r="K701" s="134">
        <f t="shared" si="52"/>
        <v>2.2351735621877644E-2</v>
      </c>
      <c r="L701" s="163"/>
      <c r="M701" s="255">
        <v>2456.4499999999998</v>
      </c>
      <c r="N701" s="134">
        <f t="shared" si="53"/>
        <v>2.3627461193874266E-2</v>
      </c>
      <c r="O701" s="163"/>
      <c r="P701" s="255">
        <v>17153</v>
      </c>
      <c r="Q701" s="134">
        <f t="shared" si="54"/>
        <v>-4.0065033097200775E-3</v>
      </c>
      <c r="R701" s="19"/>
      <c r="S701" s="19"/>
      <c r="T701" s="19"/>
      <c r="X701" s="35"/>
    </row>
    <row r="702" spans="3:24" x14ac:dyDescent="0.3">
      <c r="C702" s="25" t="s">
        <v>606</v>
      </c>
      <c r="D702" s="255">
        <v>2608.1</v>
      </c>
      <c r="E702" s="134">
        <f t="shared" si="50"/>
        <v>-2.4669637222467511E-3</v>
      </c>
      <c r="G702" s="256">
        <v>972.7</v>
      </c>
      <c r="H702" s="134">
        <f t="shared" si="51"/>
        <v>-2.4612860219463961E-3</v>
      </c>
      <c r="I702" s="163"/>
      <c r="J702" s="256">
        <v>798.65</v>
      </c>
      <c r="K702" s="134">
        <f t="shared" si="52"/>
        <v>6.2644866253203091E-4</v>
      </c>
      <c r="L702" s="163"/>
      <c r="M702" s="255">
        <v>2423.65</v>
      </c>
      <c r="N702" s="134">
        <f t="shared" si="53"/>
        <v>-1.3352602332634356E-2</v>
      </c>
      <c r="O702" s="163"/>
      <c r="P702" s="255">
        <v>17222.75</v>
      </c>
      <c r="Q702" s="134">
        <f t="shared" si="54"/>
        <v>4.066344079752815E-3</v>
      </c>
      <c r="R702" s="19"/>
      <c r="S702" s="19"/>
      <c r="T702" s="19"/>
      <c r="X702" s="35"/>
    </row>
    <row r="703" spans="3:24" x14ac:dyDescent="0.3">
      <c r="C703" s="25" t="s">
        <v>607</v>
      </c>
      <c r="D703" s="255">
        <v>2595.1999999999998</v>
      </c>
      <c r="E703" s="134">
        <f t="shared" si="50"/>
        <v>-4.9461293662053096E-3</v>
      </c>
      <c r="G703" s="256">
        <v>962</v>
      </c>
      <c r="H703" s="134">
        <f t="shared" si="51"/>
        <v>-1.1000308419862326E-2</v>
      </c>
      <c r="I703" s="163"/>
      <c r="J703" s="256">
        <v>793.5</v>
      </c>
      <c r="K703" s="134">
        <f t="shared" si="52"/>
        <v>-6.4483816440242814E-3</v>
      </c>
      <c r="L703" s="163"/>
      <c r="M703" s="255">
        <v>2433.9</v>
      </c>
      <c r="N703" s="134">
        <f t="shared" si="53"/>
        <v>4.2291585006086763E-3</v>
      </c>
      <c r="O703" s="163"/>
      <c r="P703" s="255">
        <v>17245.650000000001</v>
      </c>
      <c r="Q703" s="134">
        <f t="shared" si="54"/>
        <v>1.3296366724246944E-3</v>
      </c>
      <c r="R703" s="19"/>
      <c r="S703" s="19"/>
      <c r="T703" s="19"/>
      <c r="X703" s="35"/>
    </row>
    <row r="704" spans="3:24" x14ac:dyDescent="0.3">
      <c r="C704" s="25" t="s">
        <v>608</v>
      </c>
      <c r="D704" s="255">
        <v>2630.45</v>
      </c>
      <c r="E704" s="134">
        <f t="shared" si="50"/>
        <v>1.3582768187422989E-2</v>
      </c>
      <c r="G704" s="256">
        <v>954.7</v>
      </c>
      <c r="H704" s="134">
        <f t="shared" si="51"/>
        <v>-7.5883575883575194E-3</v>
      </c>
      <c r="I704" s="163"/>
      <c r="J704" s="256">
        <v>780.4</v>
      </c>
      <c r="K704" s="134">
        <f t="shared" si="52"/>
        <v>-1.6509136735979868E-2</v>
      </c>
      <c r="L704" s="163"/>
      <c r="M704" s="255">
        <v>2450.35</v>
      </c>
      <c r="N704" s="134">
        <f t="shared" si="53"/>
        <v>6.7587000287603338E-3</v>
      </c>
      <c r="O704" s="163"/>
      <c r="P704" s="255">
        <v>17315.5</v>
      </c>
      <c r="Q704" s="134">
        <f t="shared" si="54"/>
        <v>4.0502967414970392E-3</v>
      </c>
      <c r="R704" s="19"/>
      <c r="S704" s="19"/>
      <c r="T704" s="19"/>
      <c r="X704" s="35"/>
    </row>
    <row r="705" spans="3:24" x14ac:dyDescent="0.3">
      <c r="C705" s="25" t="s">
        <v>609</v>
      </c>
      <c r="D705" s="255">
        <v>2605.4499999999998</v>
      </c>
      <c r="E705" s="134">
        <f t="shared" si="50"/>
        <v>-9.5040772491399306E-3</v>
      </c>
      <c r="G705" s="256">
        <v>939.25</v>
      </c>
      <c r="H705" s="134">
        <f t="shared" si="51"/>
        <v>-1.6183094165706513E-2</v>
      </c>
      <c r="I705" s="163"/>
      <c r="J705" s="256">
        <v>775.8</v>
      </c>
      <c r="K705" s="134">
        <f t="shared" si="52"/>
        <v>-5.8944131214762052E-3</v>
      </c>
      <c r="L705" s="163"/>
      <c r="M705" s="255">
        <v>2485.25</v>
      </c>
      <c r="N705" s="134">
        <f t="shared" si="53"/>
        <v>1.4242863264431582E-2</v>
      </c>
      <c r="O705" s="163"/>
      <c r="P705" s="255">
        <v>17117.599999999999</v>
      </c>
      <c r="Q705" s="134">
        <f t="shared" si="54"/>
        <v>-1.1429066443360059E-2</v>
      </c>
      <c r="R705" s="19"/>
      <c r="S705" s="19"/>
      <c r="T705" s="19"/>
      <c r="X705" s="35"/>
    </row>
    <row r="706" spans="3:24" x14ac:dyDescent="0.3">
      <c r="C706" s="25" t="s">
        <v>610</v>
      </c>
      <c r="D706" s="255">
        <v>2588.1999999999998</v>
      </c>
      <c r="E706" s="134">
        <f t="shared" si="50"/>
        <v>-6.6207373006582637E-3</v>
      </c>
      <c r="G706" s="256">
        <v>939.5</v>
      </c>
      <c r="H706" s="134">
        <f t="shared" si="51"/>
        <v>2.6616981634286496E-4</v>
      </c>
      <c r="I706" s="163"/>
      <c r="J706" s="256">
        <v>761.4</v>
      </c>
      <c r="K706" s="134">
        <f t="shared" si="52"/>
        <v>-1.8561484918793503E-2</v>
      </c>
      <c r="L706" s="163"/>
      <c r="M706" s="255">
        <v>2510.4</v>
      </c>
      <c r="N706" s="134">
        <f t="shared" si="53"/>
        <v>1.0119706266975115E-2</v>
      </c>
      <c r="O706" s="163"/>
      <c r="P706" s="255">
        <v>17287.05</v>
      </c>
      <c r="Q706" s="134">
        <f t="shared" si="54"/>
        <v>9.8991681076787685E-3</v>
      </c>
      <c r="R706" s="19"/>
      <c r="S706" s="19"/>
      <c r="T706" s="19"/>
      <c r="X706" s="35"/>
    </row>
    <row r="707" spans="3:24" x14ac:dyDescent="0.3">
      <c r="C707" s="25" t="s">
        <v>611</v>
      </c>
      <c r="D707" s="255">
        <v>2469.1999999999998</v>
      </c>
      <c r="E707" s="134">
        <f t="shared" si="50"/>
        <v>-4.5977899698632307E-2</v>
      </c>
      <c r="G707" s="256">
        <v>938.05</v>
      </c>
      <c r="H707" s="134">
        <f t="shared" si="51"/>
        <v>-1.5433741351783548E-3</v>
      </c>
      <c r="I707" s="163"/>
      <c r="J707" s="256">
        <v>751.7</v>
      </c>
      <c r="K707" s="134">
        <f t="shared" si="52"/>
        <v>-1.2739690044654473E-2</v>
      </c>
      <c r="L707" s="163"/>
      <c r="M707" s="255">
        <v>2462.9</v>
      </c>
      <c r="N707" s="134">
        <f t="shared" si="53"/>
        <v>-1.8921287444232049E-2</v>
      </c>
      <c r="O707" s="163"/>
      <c r="P707" s="255">
        <v>16975.349999999999</v>
      </c>
      <c r="Q707" s="134">
        <f t="shared" si="54"/>
        <v>-1.803083811292272E-2</v>
      </c>
      <c r="R707" s="19"/>
      <c r="S707" s="19"/>
      <c r="T707" s="19"/>
      <c r="W707" s="38"/>
      <c r="X707" s="35"/>
    </row>
    <row r="708" spans="3:24" x14ac:dyDescent="0.3">
      <c r="C708" s="25" t="s">
        <v>612</v>
      </c>
      <c r="D708" s="255">
        <v>2420</v>
      </c>
      <c r="E708" s="134">
        <f t="shared" si="50"/>
        <v>-1.9925481937469569E-2</v>
      </c>
      <c r="G708" s="256">
        <v>920.65</v>
      </c>
      <c r="H708" s="134">
        <f t="shared" si="51"/>
        <v>-1.8549117850860775E-2</v>
      </c>
      <c r="I708" s="163"/>
      <c r="J708" s="256">
        <v>740.65</v>
      </c>
      <c r="K708" s="134">
        <f t="shared" si="52"/>
        <v>-1.4700013303179604E-2</v>
      </c>
      <c r="L708" s="163"/>
      <c r="M708" s="255">
        <v>2370.5500000000002</v>
      </c>
      <c r="N708" s="134">
        <f t="shared" si="53"/>
        <v>-3.7496447277599487E-2</v>
      </c>
      <c r="O708" s="163"/>
      <c r="P708" s="255">
        <v>16663</v>
      </c>
      <c r="Q708" s="134">
        <f t="shared" si="54"/>
        <v>-1.8400209715852656E-2</v>
      </c>
      <c r="R708" s="19"/>
      <c r="S708" s="19"/>
      <c r="T708" s="19"/>
      <c r="W708" s="38"/>
      <c r="X708" s="35"/>
    </row>
    <row r="709" spans="3:24" x14ac:dyDescent="0.3">
      <c r="C709" s="25" t="s">
        <v>613</v>
      </c>
      <c r="D709" s="255">
        <v>2355.4</v>
      </c>
      <c r="E709" s="134">
        <f t="shared" si="50"/>
        <v>-2.6694214876033073E-2</v>
      </c>
      <c r="G709" s="256">
        <v>931.85</v>
      </c>
      <c r="H709" s="134">
        <f t="shared" si="51"/>
        <v>1.2165317981860602E-2</v>
      </c>
      <c r="I709" s="163"/>
      <c r="J709" s="256">
        <v>730.45</v>
      </c>
      <c r="K709" s="134">
        <f t="shared" si="52"/>
        <v>-1.3771687031661317E-2</v>
      </c>
      <c r="L709" s="163"/>
      <c r="M709" s="255">
        <v>2344.6999999999998</v>
      </c>
      <c r="N709" s="134">
        <f t="shared" si="53"/>
        <v>-1.0904642382569607E-2</v>
      </c>
      <c r="O709" s="163"/>
      <c r="P709" s="255">
        <v>16871.3</v>
      </c>
      <c r="Q709" s="134">
        <f t="shared" si="54"/>
        <v>1.2500750165036267E-2</v>
      </c>
      <c r="R709" s="19"/>
      <c r="S709" s="19"/>
      <c r="T709" s="19"/>
      <c r="W709" s="38"/>
      <c r="X709" s="35"/>
    </row>
    <row r="710" spans="3:24" x14ac:dyDescent="0.3">
      <c r="C710" s="160">
        <v>44868</v>
      </c>
      <c r="D710" s="255">
        <v>2250.75</v>
      </c>
      <c r="E710" s="134">
        <f t="shared" si="50"/>
        <v>-4.4429820837225131E-2</v>
      </c>
      <c r="F710" s="34"/>
      <c r="G710" s="256">
        <v>927.25</v>
      </c>
      <c r="H710" s="134">
        <f t="shared" si="51"/>
        <v>-4.9364168052798973E-3</v>
      </c>
      <c r="I710" s="163"/>
      <c r="J710" s="256">
        <v>725.25</v>
      </c>
      <c r="K710" s="134">
        <f t="shared" si="52"/>
        <v>-7.1188993086453989E-3</v>
      </c>
      <c r="L710" s="163"/>
      <c r="M710" s="255">
        <v>2338.15</v>
      </c>
      <c r="N710" s="134">
        <f t="shared" si="53"/>
        <v>-2.7935343540750335E-3</v>
      </c>
      <c r="O710" s="163"/>
      <c r="P710" s="255">
        <v>16630.45</v>
      </c>
      <c r="Q710" s="134">
        <f t="shared" si="54"/>
        <v>-1.427572267697208E-2</v>
      </c>
      <c r="R710" s="19"/>
      <c r="S710" s="19"/>
      <c r="T710" s="19"/>
      <c r="W710" s="38"/>
      <c r="X710" s="35"/>
    </row>
    <row r="711" spans="3:24" x14ac:dyDescent="0.3">
      <c r="C711" s="160">
        <v>44837</v>
      </c>
      <c r="D711" s="255">
        <v>2284.6999999999998</v>
      </c>
      <c r="E711" s="134">
        <f t="shared" si="50"/>
        <v>1.508386093524372E-2</v>
      </c>
      <c r="F711" s="34"/>
      <c r="G711" s="256">
        <v>909.6</v>
      </c>
      <c r="H711" s="134">
        <f t="shared" si="51"/>
        <v>-1.9034780264222118E-2</v>
      </c>
      <c r="I711" s="163"/>
      <c r="J711" s="256">
        <v>724.15</v>
      </c>
      <c r="K711" s="134">
        <f t="shared" si="52"/>
        <v>-1.5167183729748457E-3</v>
      </c>
      <c r="L711" s="163"/>
      <c r="M711" s="255">
        <v>2349.9</v>
      </c>
      <c r="N711" s="134">
        <f t="shared" si="53"/>
        <v>5.0253405470137569E-3</v>
      </c>
      <c r="O711" s="163"/>
      <c r="P711" s="255">
        <v>16594.900000000001</v>
      </c>
      <c r="Q711" s="134">
        <f t="shared" si="54"/>
        <v>-2.1376451028083387E-3</v>
      </c>
      <c r="R711" s="19"/>
      <c r="S711" s="19"/>
      <c r="T711" s="19"/>
      <c r="W711" s="38"/>
      <c r="X711" s="35"/>
    </row>
    <row r="712" spans="3:24" x14ac:dyDescent="0.3">
      <c r="C712" s="160">
        <v>44807</v>
      </c>
      <c r="D712" s="255">
        <v>2223.8000000000002</v>
      </c>
      <c r="E712" s="134">
        <f t="shared" si="50"/>
        <v>-2.6655578412920544E-2</v>
      </c>
      <c r="F712" s="34"/>
      <c r="G712" s="256">
        <v>890.9</v>
      </c>
      <c r="H712" s="134">
        <f t="shared" si="51"/>
        <v>-2.0558487247141599E-2</v>
      </c>
      <c r="I712" s="163"/>
      <c r="J712" s="256">
        <v>725.15</v>
      </c>
      <c r="K712" s="134">
        <f t="shared" si="52"/>
        <v>1.3809293654629684E-3</v>
      </c>
      <c r="L712" s="163"/>
      <c r="M712" s="255">
        <v>2237.6</v>
      </c>
      <c r="N712" s="134">
        <f t="shared" si="53"/>
        <v>-4.7789267628409848E-2</v>
      </c>
      <c r="O712" s="163"/>
      <c r="P712" s="255">
        <v>16345.35</v>
      </c>
      <c r="Q712" s="134">
        <f t="shared" si="54"/>
        <v>-1.5037752562534368E-2</v>
      </c>
      <c r="R712" s="19"/>
      <c r="S712" s="19"/>
      <c r="T712" s="19"/>
      <c r="W712" s="38"/>
      <c r="X712" s="35"/>
    </row>
    <row r="713" spans="3:24" x14ac:dyDescent="0.3">
      <c r="C713" s="160">
        <v>44776</v>
      </c>
      <c r="D713" s="255">
        <v>2189.75</v>
      </c>
      <c r="E713" s="134">
        <f t="shared" si="50"/>
        <v>-1.5311628743592154E-2</v>
      </c>
      <c r="F713" s="34"/>
      <c r="G713" s="256">
        <v>869.9</v>
      </c>
      <c r="H713" s="134">
        <f t="shared" si="51"/>
        <v>-2.3571669098664261E-2</v>
      </c>
      <c r="I713" s="163"/>
      <c r="J713" s="256">
        <v>724.05</v>
      </c>
      <c r="K713" s="134">
        <f t="shared" si="52"/>
        <v>-1.5169275322347575E-3</v>
      </c>
      <c r="L713" s="163"/>
      <c r="M713" s="255">
        <v>2180.85</v>
      </c>
      <c r="N713" s="134">
        <f t="shared" si="53"/>
        <v>-2.5361994994637094E-2</v>
      </c>
      <c r="O713" s="163"/>
      <c r="P713" s="255">
        <v>16013.45</v>
      </c>
      <c r="Q713" s="134">
        <f t="shared" si="54"/>
        <v>-2.0305469139541232E-2</v>
      </c>
      <c r="R713" s="19"/>
      <c r="S713" s="19"/>
      <c r="T713" s="19"/>
      <c r="W713" s="38"/>
      <c r="X713" s="35"/>
    </row>
    <row r="714" spans="3:24" x14ac:dyDescent="0.3">
      <c r="C714" s="160">
        <v>44745</v>
      </c>
      <c r="D714" s="255">
        <v>2153.3000000000002</v>
      </c>
      <c r="E714" s="134">
        <f t="shared" si="50"/>
        <v>-1.6645735814590612E-2</v>
      </c>
      <c r="F714" s="34"/>
      <c r="G714" s="256">
        <v>848.75</v>
      </c>
      <c r="H714" s="134">
        <f t="shared" si="51"/>
        <v>-2.4313139441315079E-2</v>
      </c>
      <c r="I714" s="163"/>
      <c r="J714" s="256">
        <v>732</v>
      </c>
      <c r="K714" s="134">
        <f t="shared" si="52"/>
        <v>1.0979904702713927E-2</v>
      </c>
      <c r="L714" s="163"/>
      <c r="M714" s="255">
        <v>2164.65</v>
      </c>
      <c r="N714" s="134">
        <f t="shared" si="53"/>
        <v>-7.4282963064858931E-3</v>
      </c>
      <c r="O714" s="163"/>
      <c r="P714" s="255">
        <v>15863.15</v>
      </c>
      <c r="Q714" s="134">
        <f t="shared" si="54"/>
        <v>-9.3858600114279378E-3</v>
      </c>
      <c r="R714" s="19"/>
      <c r="S714" s="19"/>
      <c r="T714" s="19"/>
      <c r="W714" s="38"/>
      <c r="X714" s="35"/>
    </row>
    <row r="715" spans="3:24" x14ac:dyDescent="0.3">
      <c r="C715" s="160">
        <v>44654</v>
      </c>
      <c r="D715" s="255">
        <v>2234.35</v>
      </c>
      <c r="E715" s="134">
        <f t="shared" si="50"/>
        <v>3.7639901546463461E-2</v>
      </c>
      <c r="F715" s="34"/>
      <c r="G715" s="256">
        <v>861.55</v>
      </c>
      <c r="H715" s="134">
        <f t="shared" si="51"/>
        <v>1.5081001472754041E-2</v>
      </c>
      <c r="I715" s="163"/>
      <c r="J715" s="256">
        <v>713.5</v>
      </c>
      <c r="K715" s="134">
        <f t="shared" si="52"/>
        <v>-2.5273224043715792E-2</v>
      </c>
      <c r="L715" s="163"/>
      <c r="M715" s="255">
        <v>2260.9499999999998</v>
      </c>
      <c r="N715" s="134">
        <f t="shared" si="53"/>
        <v>4.4487561499549466E-2</v>
      </c>
      <c r="O715" s="163"/>
      <c r="P715" s="255">
        <v>16245.35</v>
      </c>
      <c r="Q715" s="134">
        <f t="shared" si="54"/>
        <v>2.4093575361766151E-2</v>
      </c>
      <c r="R715" s="19"/>
      <c r="S715" s="19"/>
      <c r="T715" s="19"/>
      <c r="X715" s="35"/>
    </row>
    <row r="716" spans="3:24" x14ac:dyDescent="0.3">
      <c r="C716" s="160">
        <v>44623</v>
      </c>
      <c r="D716" s="255">
        <v>2343.75</v>
      </c>
      <c r="E716" s="134">
        <f t="shared" ref="E716:E757" si="55">D716/D715-1</f>
        <v>4.8962785597601144E-2</v>
      </c>
      <c r="F716" s="34"/>
      <c r="G716" s="256">
        <v>889.55</v>
      </c>
      <c r="H716" s="134">
        <f t="shared" ref="H716:H757" si="56">G716/G715-1</f>
        <v>3.249956473797222E-2</v>
      </c>
      <c r="I716" s="163"/>
      <c r="J716" s="256">
        <v>714.75</v>
      </c>
      <c r="K716" s="134">
        <f t="shared" ref="K716:K757" si="57">J716/J715-1</f>
        <v>1.7519271198318531E-3</v>
      </c>
      <c r="L716" s="163"/>
      <c r="M716" s="255">
        <v>2338.65</v>
      </c>
      <c r="N716" s="134">
        <f t="shared" ref="N716:N757" si="58">M716/M715-1</f>
        <v>3.4366085052743411E-2</v>
      </c>
      <c r="O716" s="163"/>
      <c r="P716" s="255">
        <v>16498.05</v>
      </c>
      <c r="Q716" s="134">
        <f t="shared" ref="Q716:Q757" si="59">P716/P715-1</f>
        <v>1.5555220416919147E-2</v>
      </c>
      <c r="R716" s="19"/>
      <c r="S716" s="19"/>
      <c r="T716" s="19"/>
      <c r="X716" s="35"/>
    </row>
    <row r="717" spans="3:24" x14ac:dyDescent="0.3">
      <c r="C717" s="160">
        <v>44595</v>
      </c>
      <c r="D717" s="255">
        <v>2349.5500000000002</v>
      </c>
      <c r="E717" s="134">
        <f t="shared" si="55"/>
        <v>2.4746666666668471E-3</v>
      </c>
      <c r="F717" s="34"/>
      <c r="G717" s="256">
        <v>855.85</v>
      </c>
      <c r="H717" s="134">
        <f t="shared" si="56"/>
        <v>-3.7884323534371211E-2</v>
      </c>
      <c r="I717" s="163"/>
      <c r="J717" s="256">
        <v>689.1</v>
      </c>
      <c r="K717" s="134">
        <f t="shared" si="57"/>
        <v>-3.5886673662119617E-2</v>
      </c>
      <c r="L717" s="163"/>
      <c r="M717" s="255">
        <v>2397.8000000000002</v>
      </c>
      <c r="N717" s="134">
        <f t="shared" si="58"/>
        <v>2.529236952942937E-2</v>
      </c>
      <c r="O717" s="163"/>
      <c r="P717" s="255">
        <v>16605.95</v>
      </c>
      <c r="Q717" s="134">
        <f t="shared" si="59"/>
        <v>6.5401668682056879E-3</v>
      </c>
      <c r="R717" s="19"/>
      <c r="S717" s="19"/>
      <c r="T717" s="19"/>
      <c r="X717" s="35"/>
    </row>
    <row r="718" spans="3:24" x14ac:dyDescent="0.3">
      <c r="C718" s="25" t="s">
        <v>614</v>
      </c>
      <c r="D718" s="255">
        <v>2383.65</v>
      </c>
      <c r="E718" s="134">
        <f t="shared" si="55"/>
        <v>1.4513417462918454E-2</v>
      </c>
      <c r="G718" s="256">
        <v>841.25</v>
      </c>
      <c r="H718" s="134">
        <f t="shared" si="56"/>
        <v>-1.7059064088333242E-2</v>
      </c>
      <c r="I718" s="163"/>
      <c r="J718" s="256">
        <v>665.7</v>
      </c>
      <c r="K718" s="134">
        <f t="shared" si="57"/>
        <v>-3.3957335655202425E-2</v>
      </c>
      <c r="L718" s="163"/>
      <c r="M718" s="255">
        <v>2402.9499999999998</v>
      </c>
      <c r="N718" s="134">
        <f t="shared" si="58"/>
        <v>2.1478021519725221E-3</v>
      </c>
      <c r="O718" s="163"/>
      <c r="P718" s="255">
        <v>16793.900000000001</v>
      </c>
      <c r="Q718" s="134">
        <f t="shared" si="59"/>
        <v>1.1318232320343125E-2</v>
      </c>
      <c r="R718" s="19"/>
      <c r="S718" s="19"/>
      <c r="T718" s="19"/>
      <c r="X718" s="35"/>
    </row>
    <row r="719" spans="3:24" x14ac:dyDescent="0.3">
      <c r="C719" s="25" t="s">
        <v>615</v>
      </c>
      <c r="D719" s="255">
        <v>2424.9</v>
      </c>
      <c r="E719" s="134">
        <f t="shared" si="55"/>
        <v>1.7305392989742652E-2</v>
      </c>
      <c r="G719" s="256">
        <v>826.4</v>
      </c>
      <c r="H719" s="134">
        <f t="shared" si="56"/>
        <v>-1.7652303120356594E-2</v>
      </c>
      <c r="I719" s="163"/>
      <c r="J719" s="256">
        <v>654.9</v>
      </c>
      <c r="K719" s="134">
        <f t="shared" si="57"/>
        <v>-1.6223524109959531E-2</v>
      </c>
      <c r="L719" s="163"/>
      <c r="M719" s="255">
        <v>2369.0500000000002</v>
      </c>
      <c r="N719" s="134">
        <f t="shared" si="58"/>
        <v>-1.4107659335400036E-2</v>
      </c>
      <c r="O719" s="163"/>
      <c r="P719" s="255">
        <v>16658.400000000001</v>
      </c>
      <c r="Q719" s="134">
        <f t="shared" si="59"/>
        <v>-8.0684057901976303E-3</v>
      </c>
      <c r="R719" s="19"/>
      <c r="S719" s="19"/>
      <c r="T719" s="19"/>
      <c r="X719" s="35"/>
    </row>
    <row r="720" spans="3:24" x14ac:dyDescent="0.3">
      <c r="C720" s="25" t="s">
        <v>616</v>
      </c>
      <c r="D720" s="255">
        <v>2271.4</v>
      </c>
      <c r="E720" s="134">
        <f t="shared" si="55"/>
        <v>-6.3301579446575107E-2</v>
      </c>
      <c r="G720" s="256">
        <v>785.6</v>
      </c>
      <c r="H720" s="134">
        <f t="shared" si="56"/>
        <v>-4.9370764762826647E-2</v>
      </c>
      <c r="I720" s="163"/>
      <c r="J720" s="256">
        <v>632.35</v>
      </c>
      <c r="K720" s="134">
        <f t="shared" si="57"/>
        <v>-3.4432737822568282E-2</v>
      </c>
      <c r="L720" s="163"/>
      <c r="M720" s="255">
        <v>2310.75</v>
      </c>
      <c r="N720" s="134">
        <f t="shared" si="58"/>
        <v>-2.460902049344682E-2</v>
      </c>
      <c r="O720" s="163"/>
      <c r="P720" s="255">
        <v>16247.95</v>
      </c>
      <c r="Q720" s="134">
        <f t="shared" si="59"/>
        <v>-2.463922105364269E-2</v>
      </c>
      <c r="R720" s="19"/>
      <c r="S720" s="19"/>
      <c r="T720" s="19"/>
      <c r="X720" s="35"/>
    </row>
    <row r="721" spans="3:24" x14ac:dyDescent="0.3">
      <c r="C721" s="25" t="s">
        <v>617</v>
      </c>
      <c r="D721" s="255">
        <v>2396.4</v>
      </c>
      <c r="E721" s="134">
        <f t="shared" si="55"/>
        <v>5.5032138769041117E-2</v>
      </c>
      <c r="G721" s="256">
        <v>864.1</v>
      </c>
      <c r="H721" s="134">
        <f t="shared" si="56"/>
        <v>9.9923625254582538E-2</v>
      </c>
      <c r="I721" s="163"/>
      <c r="J721" s="256">
        <v>686.95</v>
      </c>
      <c r="K721" s="134">
        <f t="shared" si="57"/>
        <v>8.6344587649245019E-2</v>
      </c>
      <c r="L721" s="163"/>
      <c r="M721" s="255">
        <v>2415.6</v>
      </c>
      <c r="N721" s="134">
        <f t="shared" si="58"/>
        <v>4.5374878286270626E-2</v>
      </c>
      <c r="O721" s="163"/>
      <c r="P721" s="255">
        <v>17063.25</v>
      </c>
      <c r="Q721" s="134">
        <f t="shared" si="59"/>
        <v>5.0178637920476055E-2</v>
      </c>
      <c r="R721" s="19"/>
      <c r="S721" s="19"/>
      <c r="T721" s="19"/>
      <c r="X721" s="35"/>
    </row>
    <row r="722" spans="3:24" x14ac:dyDescent="0.3">
      <c r="C722" s="25" t="s">
        <v>618</v>
      </c>
      <c r="D722" s="255">
        <v>2375.5500000000002</v>
      </c>
      <c r="E722" s="134">
        <f t="shared" si="55"/>
        <v>-8.7005508262393283E-3</v>
      </c>
      <c r="G722" s="256">
        <v>868.5</v>
      </c>
      <c r="H722" s="134">
        <f t="shared" si="56"/>
        <v>5.0920032403656279E-3</v>
      </c>
      <c r="I722" s="163"/>
      <c r="J722" s="256">
        <v>693.15</v>
      </c>
      <c r="K722" s="134">
        <f t="shared" si="57"/>
        <v>9.0254021398936679E-3</v>
      </c>
      <c r="L722" s="163"/>
      <c r="M722" s="255">
        <v>2382.6999999999998</v>
      </c>
      <c r="N722" s="134">
        <f t="shared" si="58"/>
        <v>-1.3619804603411167E-2</v>
      </c>
      <c r="O722" s="163"/>
      <c r="P722" s="255">
        <v>17092.2</v>
      </c>
      <c r="Q722" s="134">
        <f t="shared" si="59"/>
        <v>1.6966287196167329E-3</v>
      </c>
      <c r="R722" s="19"/>
      <c r="S722" s="19"/>
      <c r="T722" s="19"/>
      <c r="X722" s="35"/>
    </row>
    <row r="723" spans="3:24" x14ac:dyDescent="0.3">
      <c r="C723" s="25" t="s">
        <v>619</v>
      </c>
      <c r="D723" s="255">
        <v>2375.4</v>
      </c>
      <c r="E723" s="134">
        <f t="shared" si="55"/>
        <v>-6.3143272084342783E-5</v>
      </c>
      <c r="G723" s="256">
        <v>876.9</v>
      </c>
      <c r="H723" s="134">
        <f t="shared" si="56"/>
        <v>9.6718480138169305E-3</v>
      </c>
      <c r="I723" s="163"/>
      <c r="J723" s="256">
        <v>703.8</v>
      </c>
      <c r="K723" s="134">
        <f t="shared" si="57"/>
        <v>1.5364639688379089E-2</v>
      </c>
      <c r="L723" s="163"/>
      <c r="M723" s="255">
        <v>2426.3000000000002</v>
      </c>
      <c r="N723" s="134">
        <f t="shared" si="58"/>
        <v>1.8298568850463992E-2</v>
      </c>
      <c r="O723" s="163"/>
      <c r="P723" s="255">
        <v>17206.650000000001</v>
      </c>
      <c r="Q723" s="134">
        <f t="shared" si="59"/>
        <v>6.6960367887107797E-3</v>
      </c>
      <c r="R723" s="19"/>
      <c r="S723" s="19"/>
      <c r="T723" s="19"/>
      <c r="X723" s="35"/>
    </row>
    <row r="724" spans="3:24" x14ac:dyDescent="0.3">
      <c r="C724" s="25" t="s">
        <v>620</v>
      </c>
      <c r="D724" s="255">
        <v>2382.9499999999998</v>
      </c>
      <c r="E724" s="134">
        <f t="shared" si="55"/>
        <v>3.1784120569167129E-3</v>
      </c>
      <c r="G724" s="256">
        <v>886.9</v>
      </c>
      <c r="H724" s="134">
        <f t="shared" si="56"/>
        <v>1.1403808872163301E-2</v>
      </c>
      <c r="I724" s="163"/>
      <c r="J724" s="256">
        <v>725.1</v>
      </c>
      <c r="K724" s="134">
        <f t="shared" si="57"/>
        <v>3.0264279624893531E-2</v>
      </c>
      <c r="L724" s="163"/>
      <c r="M724" s="255">
        <v>2430.6999999999998</v>
      </c>
      <c r="N724" s="134">
        <f t="shared" si="58"/>
        <v>1.8134608251245687E-3</v>
      </c>
      <c r="O724" s="163"/>
      <c r="P724" s="255">
        <v>17276.3</v>
      </c>
      <c r="Q724" s="134">
        <f t="shared" si="59"/>
        <v>4.0478535914891811E-3</v>
      </c>
      <c r="R724" s="19"/>
      <c r="S724" s="19"/>
      <c r="T724" s="19"/>
      <c r="X724" s="35"/>
    </row>
    <row r="725" spans="3:24" x14ac:dyDescent="0.3">
      <c r="C725" s="25" t="s">
        <v>621</v>
      </c>
      <c r="D725" s="255">
        <v>2432.8000000000002</v>
      </c>
      <c r="E725" s="134">
        <f t="shared" si="55"/>
        <v>2.0919448582639388E-2</v>
      </c>
      <c r="G725" s="256">
        <v>896.85</v>
      </c>
      <c r="H725" s="134">
        <f t="shared" si="56"/>
        <v>1.1218852181756667E-2</v>
      </c>
      <c r="I725" s="163"/>
      <c r="J725" s="256">
        <v>726.65</v>
      </c>
      <c r="K725" s="134">
        <f t="shared" si="57"/>
        <v>2.1376361881120243E-3</v>
      </c>
      <c r="L725" s="163"/>
      <c r="M725" s="255">
        <v>2446.8000000000002</v>
      </c>
      <c r="N725" s="134">
        <f t="shared" si="58"/>
        <v>6.6236063685358726E-3</v>
      </c>
      <c r="O725" s="163"/>
      <c r="P725" s="255">
        <v>17304.599999999999</v>
      </c>
      <c r="Q725" s="134">
        <f t="shared" si="59"/>
        <v>1.6380822282549001E-3</v>
      </c>
      <c r="R725" s="19"/>
      <c r="S725" s="19"/>
      <c r="T725" s="19"/>
      <c r="X725" s="35"/>
    </row>
    <row r="726" spans="3:24" x14ac:dyDescent="0.3">
      <c r="C726" s="25" t="s">
        <v>622</v>
      </c>
      <c r="D726" s="255">
        <v>2462.65</v>
      </c>
      <c r="E726" s="134">
        <f t="shared" si="55"/>
        <v>1.2269812561657378E-2</v>
      </c>
      <c r="G726" s="256">
        <v>904.95</v>
      </c>
      <c r="H726" s="134">
        <f t="shared" si="56"/>
        <v>9.0316106372303473E-3</v>
      </c>
      <c r="I726" s="163"/>
      <c r="J726" s="256">
        <v>735.75</v>
      </c>
      <c r="K726" s="134">
        <f t="shared" si="57"/>
        <v>1.25232230097021E-2</v>
      </c>
      <c r="L726" s="163"/>
      <c r="M726" s="255">
        <v>2422.6999999999998</v>
      </c>
      <c r="N726" s="134">
        <f t="shared" si="58"/>
        <v>-9.8495994768679207E-3</v>
      </c>
      <c r="O726" s="163"/>
      <c r="P726" s="255">
        <v>17322.2</v>
      </c>
      <c r="Q726" s="134">
        <f t="shared" si="59"/>
        <v>1.0170706055039336E-3</v>
      </c>
      <c r="R726" s="19"/>
      <c r="S726" s="19"/>
      <c r="T726" s="19"/>
      <c r="X726" s="35"/>
    </row>
    <row r="727" spans="3:24" x14ac:dyDescent="0.3">
      <c r="C727" s="25" t="s">
        <v>623</v>
      </c>
      <c r="D727" s="255">
        <v>2493.75</v>
      </c>
      <c r="E727" s="134">
        <f t="shared" si="55"/>
        <v>1.2628672365134985E-2</v>
      </c>
      <c r="G727" s="256">
        <v>912.7</v>
      </c>
      <c r="H727" s="134">
        <f t="shared" si="56"/>
        <v>8.5640090612741915E-3</v>
      </c>
      <c r="I727" s="163"/>
      <c r="J727" s="256">
        <v>744.45</v>
      </c>
      <c r="K727" s="134">
        <f t="shared" si="57"/>
        <v>1.1824668705402663E-2</v>
      </c>
      <c r="L727" s="163"/>
      <c r="M727" s="255">
        <v>2448.1</v>
      </c>
      <c r="N727" s="134">
        <f t="shared" si="58"/>
        <v>1.0484170553514804E-2</v>
      </c>
      <c r="O727" s="163"/>
      <c r="P727" s="255">
        <v>17352.45</v>
      </c>
      <c r="Q727" s="134">
        <f t="shared" si="59"/>
        <v>1.7463139785940385E-3</v>
      </c>
      <c r="R727" s="19"/>
      <c r="S727" s="19"/>
      <c r="T727" s="19"/>
      <c r="X727" s="35"/>
    </row>
    <row r="728" spans="3:24" x14ac:dyDescent="0.3">
      <c r="C728" s="25" t="s">
        <v>624</v>
      </c>
      <c r="D728" s="255">
        <v>2345.65</v>
      </c>
      <c r="E728" s="134">
        <f t="shared" si="55"/>
        <v>-5.9388471177944879E-2</v>
      </c>
      <c r="G728" s="256">
        <v>885.8</v>
      </c>
      <c r="H728" s="134">
        <f t="shared" si="56"/>
        <v>-2.9472992220883176E-2</v>
      </c>
      <c r="I728" s="163"/>
      <c r="J728" s="256">
        <v>723.2</v>
      </c>
      <c r="K728" s="134">
        <f t="shared" si="57"/>
        <v>-2.8544563100275422E-2</v>
      </c>
      <c r="L728" s="163"/>
      <c r="M728" s="255">
        <v>2388.5500000000002</v>
      </c>
      <c r="N728" s="134">
        <f t="shared" si="58"/>
        <v>-2.4324986724398423E-2</v>
      </c>
      <c r="O728" s="163"/>
      <c r="P728" s="255">
        <v>16842.8</v>
      </c>
      <c r="Q728" s="134">
        <f t="shared" si="59"/>
        <v>-2.9370492351224242E-2</v>
      </c>
      <c r="R728" s="19"/>
      <c r="S728" s="19"/>
      <c r="T728" s="19"/>
      <c r="W728" s="38"/>
      <c r="X728" s="35"/>
    </row>
    <row r="729" spans="3:24" x14ac:dyDescent="0.3">
      <c r="C729" s="160">
        <v>44867</v>
      </c>
      <c r="D729" s="255">
        <v>2476.5500000000002</v>
      </c>
      <c r="E729" s="134">
        <f t="shared" si="55"/>
        <v>5.5805427067124214E-2</v>
      </c>
      <c r="F729" s="34"/>
      <c r="G729" s="256">
        <v>914.7</v>
      </c>
      <c r="H729" s="134">
        <f t="shared" si="56"/>
        <v>3.2625874915330977E-2</v>
      </c>
      <c r="I729" s="163"/>
      <c r="J729" s="256">
        <v>752.8</v>
      </c>
      <c r="K729" s="134">
        <f t="shared" si="57"/>
        <v>4.0929203539822989E-2</v>
      </c>
      <c r="L729" s="163"/>
      <c r="M729" s="255">
        <v>2432.25</v>
      </c>
      <c r="N729" s="134">
        <f t="shared" si="58"/>
        <v>1.8295618680789438E-2</v>
      </c>
      <c r="O729" s="163"/>
      <c r="P729" s="255">
        <v>17374.75</v>
      </c>
      <c r="Q729" s="134">
        <f t="shared" si="59"/>
        <v>3.1583228441826927E-2</v>
      </c>
      <c r="R729" s="19"/>
      <c r="S729" s="19"/>
      <c r="T729" s="19"/>
      <c r="W729" s="38"/>
      <c r="X729" s="35"/>
    </row>
    <row r="730" spans="3:24" x14ac:dyDescent="0.3">
      <c r="C730" s="160">
        <v>44836</v>
      </c>
      <c r="D730" s="255">
        <v>2584.5500000000002</v>
      </c>
      <c r="E730" s="134">
        <f t="shared" si="55"/>
        <v>4.3609052916355306E-2</v>
      </c>
      <c r="F730" s="34"/>
      <c r="G730" s="256">
        <v>959.8</v>
      </c>
      <c r="H730" s="134">
        <f t="shared" si="56"/>
        <v>4.930578331693436E-2</v>
      </c>
      <c r="I730" s="163"/>
      <c r="J730" s="256">
        <v>770.35</v>
      </c>
      <c r="K730" s="134">
        <f t="shared" si="57"/>
        <v>2.3312964930924718E-2</v>
      </c>
      <c r="L730" s="163"/>
      <c r="M730" s="255">
        <v>2489.0500000000002</v>
      </c>
      <c r="N730" s="134">
        <f t="shared" si="58"/>
        <v>2.3352862575804378E-2</v>
      </c>
      <c r="O730" s="163"/>
      <c r="P730" s="255">
        <v>17605.849999999999</v>
      </c>
      <c r="Q730" s="134">
        <f t="shared" si="59"/>
        <v>1.3300910804471933E-2</v>
      </c>
      <c r="R730" s="19"/>
      <c r="S730" s="19"/>
      <c r="T730" s="19"/>
      <c r="W730" s="38"/>
      <c r="X730" s="35"/>
    </row>
    <row r="731" spans="3:24" x14ac:dyDescent="0.3">
      <c r="C731" s="160">
        <v>44806</v>
      </c>
      <c r="D731" s="255">
        <v>2583.8000000000002</v>
      </c>
      <c r="E731" s="134">
        <f t="shared" si="55"/>
        <v>-2.9018591244123204E-4</v>
      </c>
      <c r="F731" s="34"/>
      <c r="G731" s="256">
        <v>967.55</v>
      </c>
      <c r="H731" s="134">
        <f t="shared" si="56"/>
        <v>8.0745988747654707E-3</v>
      </c>
      <c r="I731" s="163"/>
      <c r="J731" s="256">
        <v>770.4</v>
      </c>
      <c r="K731" s="134">
        <f t="shared" si="57"/>
        <v>6.4905562406680772E-5</v>
      </c>
      <c r="L731" s="163"/>
      <c r="M731" s="255">
        <v>2480.6</v>
      </c>
      <c r="N731" s="134">
        <f t="shared" si="58"/>
        <v>-3.3948695285350716E-3</v>
      </c>
      <c r="O731" s="163"/>
      <c r="P731" s="255">
        <v>17463.8</v>
      </c>
      <c r="Q731" s="134">
        <f t="shared" si="59"/>
        <v>-8.0683409207734647E-3</v>
      </c>
      <c r="R731" s="19"/>
      <c r="S731" s="19"/>
      <c r="T731" s="19"/>
      <c r="W731" s="38"/>
      <c r="X731" s="35"/>
    </row>
    <row r="732" spans="3:24" x14ac:dyDescent="0.3">
      <c r="C732" s="160">
        <v>44775</v>
      </c>
      <c r="D732" s="255">
        <v>2531.3000000000002</v>
      </c>
      <c r="E732" s="134">
        <f t="shared" si="55"/>
        <v>-2.0318910132363199E-2</v>
      </c>
      <c r="F732" s="34"/>
      <c r="G732" s="256">
        <v>927.9</v>
      </c>
      <c r="H732" s="134">
        <f t="shared" si="56"/>
        <v>-4.0979794325874619E-2</v>
      </c>
      <c r="I732" s="163"/>
      <c r="J732" s="256">
        <v>758.15</v>
      </c>
      <c r="K732" s="134">
        <f t="shared" si="57"/>
        <v>-1.5900830737279326E-2</v>
      </c>
      <c r="L732" s="163"/>
      <c r="M732" s="255">
        <v>2415.35</v>
      </c>
      <c r="N732" s="134">
        <f t="shared" si="58"/>
        <v>-2.6304119970974815E-2</v>
      </c>
      <c r="O732" s="163"/>
      <c r="P732" s="255">
        <v>17266.75</v>
      </c>
      <c r="Q732" s="134">
        <f t="shared" si="59"/>
        <v>-1.1283340395561114E-2</v>
      </c>
      <c r="R732" s="19"/>
      <c r="S732" s="19"/>
      <c r="T732" s="19"/>
      <c r="W732" s="38"/>
      <c r="X732" s="35"/>
    </row>
    <row r="733" spans="3:24" x14ac:dyDescent="0.3">
      <c r="C733" s="160">
        <v>44744</v>
      </c>
      <c r="D733" s="255">
        <v>2450.8000000000002</v>
      </c>
      <c r="E733" s="134">
        <f t="shared" si="55"/>
        <v>-3.1801840951289795E-2</v>
      </c>
      <c r="F733" s="34"/>
      <c r="G733" s="256">
        <v>953.2</v>
      </c>
      <c r="H733" s="134">
        <f t="shared" si="56"/>
        <v>2.7265869166936074E-2</v>
      </c>
      <c r="I733" s="163"/>
      <c r="J733" s="256">
        <v>756</v>
      </c>
      <c r="K733" s="134">
        <f t="shared" si="57"/>
        <v>-2.8358504253774841E-3</v>
      </c>
      <c r="L733" s="163"/>
      <c r="M733" s="255">
        <v>2435.5</v>
      </c>
      <c r="N733" s="134">
        <f t="shared" si="58"/>
        <v>8.3424762456787427E-3</v>
      </c>
      <c r="O733" s="163"/>
      <c r="P733" s="255">
        <v>17213.599999999999</v>
      </c>
      <c r="Q733" s="134">
        <f t="shared" si="59"/>
        <v>-3.07817047215031E-3</v>
      </c>
      <c r="R733" s="19"/>
      <c r="S733" s="19"/>
      <c r="T733" s="19"/>
      <c r="W733" s="38"/>
      <c r="X733" s="35"/>
    </row>
    <row r="734" spans="3:24" x14ac:dyDescent="0.3">
      <c r="C734" s="160">
        <v>44653</v>
      </c>
      <c r="D734" s="255">
        <v>2435.9</v>
      </c>
      <c r="E734" s="134">
        <f t="shared" si="55"/>
        <v>-6.0796474620532504E-3</v>
      </c>
      <c r="F734" s="34"/>
      <c r="G734" s="256">
        <v>957.7</v>
      </c>
      <c r="H734" s="134">
        <f t="shared" si="56"/>
        <v>4.7209399916072758E-3</v>
      </c>
      <c r="I734" s="163"/>
      <c r="J734" s="256">
        <v>767</v>
      </c>
      <c r="K734" s="134">
        <f t="shared" si="57"/>
        <v>1.4550264550264647E-2</v>
      </c>
      <c r="L734" s="163"/>
      <c r="M734" s="255">
        <v>2481.8000000000002</v>
      </c>
      <c r="N734" s="134">
        <f t="shared" si="58"/>
        <v>1.9010470129336987E-2</v>
      </c>
      <c r="O734" s="163"/>
      <c r="P734" s="255">
        <v>17516.3</v>
      </c>
      <c r="Q734" s="134">
        <f t="shared" si="59"/>
        <v>1.7584932843798029E-2</v>
      </c>
      <c r="R734" s="19"/>
      <c r="S734" s="19"/>
      <c r="T734" s="19"/>
      <c r="W734" s="38"/>
      <c r="X734" s="35"/>
    </row>
    <row r="735" spans="3:24" x14ac:dyDescent="0.3">
      <c r="C735" s="160">
        <v>44622</v>
      </c>
      <c r="D735" s="255">
        <v>2439.8000000000002</v>
      </c>
      <c r="E735" s="134">
        <f t="shared" si="55"/>
        <v>1.6010509462622835E-3</v>
      </c>
      <c r="F735" s="34"/>
      <c r="G735" s="256">
        <v>965.35</v>
      </c>
      <c r="H735" s="134">
        <f t="shared" si="56"/>
        <v>7.9878876474888116E-3</v>
      </c>
      <c r="I735" s="163"/>
      <c r="J735" s="256">
        <v>773.95</v>
      </c>
      <c r="K735" s="134">
        <f t="shared" si="57"/>
        <v>9.061277705345594E-3</v>
      </c>
      <c r="L735" s="163"/>
      <c r="M735" s="255">
        <v>2503.1999999999998</v>
      </c>
      <c r="N735" s="134">
        <f t="shared" si="58"/>
        <v>8.6227737932145221E-3</v>
      </c>
      <c r="O735" s="163"/>
      <c r="P735" s="255">
        <v>17560.2</v>
      </c>
      <c r="Q735" s="134">
        <f t="shared" si="59"/>
        <v>2.5062370477784146E-3</v>
      </c>
      <c r="R735" s="19"/>
      <c r="S735" s="19"/>
      <c r="T735" s="19"/>
      <c r="W735" s="38"/>
      <c r="X735" s="35"/>
    </row>
    <row r="736" spans="3:24" x14ac:dyDescent="0.3">
      <c r="C736" s="160">
        <v>44594</v>
      </c>
      <c r="D736" s="255">
        <v>2453.5</v>
      </c>
      <c r="E736" s="134">
        <f t="shared" si="55"/>
        <v>5.6152143618328765E-3</v>
      </c>
      <c r="F736" s="34"/>
      <c r="G736" s="256">
        <v>966.75</v>
      </c>
      <c r="H736" s="134">
        <f t="shared" si="56"/>
        <v>1.4502512042264826E-3</v>
      </c>
      <c r="I736" s="163"/>
      <c r="J736" s="256">
        <v>785.6</v>
      </c>
      <c r="K736" s="134">
        <f t="shared" si="57"/>
        <v>1.5052651980101972E-2</v>
      </c>
      <c r="L736" s="163"/>
      <c r="M736" s="255">
        <v>2522.9</v>
      </c>
      <c r="N736" s="134">
        <f t="shared" si="58"/>
        <v>7.8699264940875757E-3</v>
      </c>
      <c r="O736" s="163"/>
      <c r="P736" s="255">
        <v>17780</v>
      </c>
      <c r="Q736" s="134">
        <f t="shared" si="59"/>
        <v>1.2516941720481567E-2</v>
      </c>
      <c r="R736" s="19"/>
      <c r="S736" s="19"/>
      <c r="T736" s="19"/>
      <c r="X736" s="35"/>
    </row>
    <row r="737" spans="3:24" x14ac:dyDescent="0.3">
      <c r="C737" s="160">
        <v>44563</v>
      </c>
      <c r="D737" s="255">
        <v>2447.1999999999998</v>
      </c>
      <c r="E737" s="134">
        <f t="shared" si="55"/>
        <v>-2.5677603423681639E-3</v>
      </c>
      <c r="F737" s="34"/>
      <c r="G737" s="256">
        <v>953.25</v>
      </c>
      <c r="H737" s="134">
        <f t="shared" si="56"/>
        <v>-1.3964313421256813E-2</v>
      </c>
      <c r="I737" s="163"/>
      <c r="J737" s="256">
        <v>784.95</v>
      </c>
      <c r="K737" s="134">
        <f t="shared" si="57"/>
        <v>-8.2739307535639739E-4</v>
      </c>
      <c r="L737" s="163"/>
      <c r="M737" s="255">
        <v>2472.85</v>
      </c>
      <c r="N737" s="134">
        <f t="shared" si="58"/>
        <v>-1.9838281342899111E-2</v>
      </c>
      <c r="O737" s="163"/>
      <c r="P737" s="255">
        <v>17576.849999999999</v>
      </c>
      <c r="Q737" s="134">
        <f t="shared" si="59"/>
        <v>-1.1425759280090042E-2</v>
      </c>
      <c r="R737" s="19"/>
      <c r="S737" s="19"/>
      <c r="T737" s="19"/>
      <c r="X737" s="35"/>
    </row>
    <row r="738" spans="3:24" x14ac:dyDescent="0.3">
      <c r="C738" s="25" t="s">
        <v>625</v>
      </c>
      <c r="D738" s="255">
        <v>2406.8000000000002</v>
      </c>
      <c r="E738" s="134">
        <f t="shared" si="55"/>
        <v>-1.6508662961752019E-2</v>
      </c>
      <c r="G738" s="256">
        <v>933.75</v>
      </c>
      <c r="H738" s="134">
        <f t="shared" si="56"/>
        <v>-2.0456333595594067E-2</v>
      </c>
      <c r="I738" s="163"/>
      <c r="J738" s="256">
        <v>776.35</v>
      </c>
      <c r="K738" s="134">
        <f t="shared" si="57"/>
        <v>-1.0956111854258266E-2</v>
      </c>
      <c r="L738" s="163"/>
      <c r="M738" s="255">
        <v>2456.5</v>
      </c>
      <c r="N738" s="134">
        <f t="shared" si="58"/>
        <v>-6.6118041935417926E-3</v>
      </c>
      <c r="O738" s="163"/>
      <c r="P738" s="255">
        <v>17339.849999999999</v>
      </c>
      <c r="Q738" s="134">
        <f t="shared" si="59"/>
        <v>-1.3483644680360785E-2</v>
      </c>
      <c r="R738" s="19"/>
      <c r="S738" s="19"/>
      <c r="T738" s="19"/>
      <c r="X738" s="35"/>
    </row>
    <row r="739" spans="3:24" x14ac:dyDescent="0.3">
      <c r="C739" s="25" t="s">
        <v>626</v>
      </c>
      <c r="D739" s="255">
        <v>2401.35</v>
      </c>
      <c r="E739" s="134">
        <f t="shared" si="55"/>
        <v>-2.2644174837960218E-3</v>
      </c>
      <c r="G739" s="256">
        <v>944.05</v>
      </c>
      <c r="H739" s="134">
        <f t="shared" si="56"/>
        <v>1.10307898259705E-2</v>
      </c>
      <c r="I739" s="163"/>
      <c r="J739" s="256">
        <v>790.55</v>
      </c>
      <c r="K739" s="134">
        <f t="shared" si="57"/>
        <v>1.8290719392026755E-2</v>
      </c>
      <c r="L739" s="163"/>
      <c r="M739" s="255">
        <v>2475.8000000000002</v>
      </c>
      <c r="N739" s="134">
        <f t="shared" si="58"/>
        <v>7.8567066965196108E-3</v>
      </c>
      <c r="O739" s="163"/>
      <c r="P739" s="255">
        <v>17101.95</v>
      </c>
      <c r="Q739" s="134">
        <f t="shared" si="59"/>
        <v>-1.3719841867144034E-2</v>
      </c>
      <c r="R739" s="19"/>
      <c r="S739" s="19"/>
      <c r="T739" s="19"/>
      <c r="X739" s="35"/>
    </row>
    <row r="740" spans="3:24" x14ac:dyDescent="0.3">
      <c r="C740" s="25" t="s">
        <v>627</v>
      </c>
      <c r="D740" s="255">
        <v>2349.0500000000002</v>
      </c>
      <c r="E740" s="134">
        <f t="shared" si="55"/>
        <v>-2.1779415745309838E-2</v>
      </c>
      <c r="G740" s="256">
        <v>910.9</v>
      </c>
      <c r="H740" s="134">
        <f t="shared" si="56"/>
        <v>-3.5114665536782996E-2</v>
      </c>
      <c r="I740" s="163"/>
      <c r="J740" s="256">
        <v>771.6</v>
      </c>
      <c r="K740" s="134">
        <f t="shared" si="57"/>
        <v>-2.3970653342609505E-2</v>
      </c>
      <c r="L740" s="163"/>
      <c r="M740" s="255">
        <v>2460.9</v>
      </c>
      <c r="N740" s="134">
        <f t="shared" si="58"/>
        <v>-6.018256725099036E-3</v>
      </c>
      <c r="O740" s="163"/>
      <c r="P740" s="255">
        <v>17110.150000000001</v>
      </c>
      <c r="Q740" s="134">
        <f t="shared" si="59"/>
        <v>4.7947748648557997E-4</v>
      </c>
      <c r="R740" s="19"/>
      <c r="S740" s="19"/>
      <c r="T740" s="19"/>
      <c r="X740" s="35"/>
    </row>
    <row r="741" spans="3:24" x14ac:dyDescent="0.3">
      <c r="C741" s="25" t="s">
        <v>628</v>
      </c>
      <c r="D741" s="255">
        <v>2470.5</v>
      </c>
      <c r="E741" s="134">
        <f t="shared" si="55"/>
        <v>5.1701751771992877E-2</v>
      </c>
      <c r="G741" s="256">
        <v>919.25</v>
      </c>
      <c r="H741" s="134">
        <f t="shared" si="56"/>
        <v>9.1667581512788754E-3</v>
      </c>
      <c r="I741" s="163"/>
      <c r="J741" s="256">
        <v>790.1</v>
      </c>
      <c r="K741" s="134">
        <f t="shared" si="57"/>
        <v>2.3976153447382131E-2</v>
      </c>
      <c r="L741" s="163"/>
      <c r="M741" s="255">
        <v>2589.85</v>
      </c>
      <c r="N741" s="134">
        <f t="shared" si="58"/>
        <v>5.2399528627737668E-2</v>
      </c>
      <c r="O741" s="163"/>
      <c r="P741" s="255">
        <v>17277.95</v>
      </c>
      <c r="Q741" s="134">
        <f t="shared" si="59"/>
        <v>9.8070443567122023E-3</v>
      </c>
      <c r="R741" s="19"/>
      <c r="S741" s="19"/>
      <c r="T741" s="19"/>
      <c r="X741" s="35"/>
    </row>
    <row r="742" spans="3:24" x14ac:dyDescent="0.3">
      <c r="C742" s="25" t="s">
        <v>629</v>
      </c>
      <c r="D742" s="255">
        <v>2369.6999999999998</v>
      </c>
      <c r="E742" s="134">
        <f t="shared" si="55"/>
        <v>-4.0801457194899915E-2</v>
      </c>
      <c r="G742" s="256">
        <v>912.15</v>
      </c>
      <c r="H742" s="134">
        <f t="shared" si="56"/>
        <v>-7.7236877889583777E-3</v>
      </c>
      <c r="I742" s="163"/>
      <c r="J742" s="256">
        <v>763.45</v>
      </c>
      <c r="K742" s="134">
        <f t="shared" si="57"/>
        <v>-3.3729907606632081E-2</v>
      </c>
      <c r="L742" s="163"/>
      <c r="M742" s="255">
        <v>2640.35</v>
      </c>
      <c r="N742" s="134">
        <f t="shared" si="58"/>
        <v>1.9499198795297046E-2</v>
      </c>
      <c r="O742" s="163"/>
      <c r="P742" s="255">
        <v>17149.099999999999</v>
      </c>
      <c r="Q742" s="134">
        <f t="shared" si="59"/>
        <v>-7.457481935067678E-3</v>
      </c>
      <c r="R742" s="19"/>
      <c r="S742" s="19"/>
      <c r="T742" s="19"/>
      <c r="X742" s="35"/>
    </row>
    <row r="743" spans="3:24" x14ac:dyDescent="0.3">
      <c r="C743" s="25" t="s">
        <v>630</v>
      </c>
      <c r="D743" s="255">
        <v>2476.8000000000002</v>
      </c>
      <c r="E743" s="134">
        <f t="shared" si="55"/>
        <v>4.519559437903542E-2</v>
      </c>
      <c r="G743" s="256">
        <v>965</v>
      </c>
      <c r="H743" s="134">
        <f t="shared" si="56"/>
        <v>5.7940031793016544E-2</v>
      </c>
      <c r="I743" s="163"/>
      <c r="J743" s="256">
        <v>786.7</v>
      </c>
      <c r="K743" s="134">
        <f t="shared" si="57"/>
        <v>3.0453860763638652E-2</v>
      </c>
      <c r="L743" s="163"/>
      <c r="M743" s="255">
        <v>2700.6</v>
      </c>
      <c r="N743" s="134">
        <f t="shared" si="58"/>
        <v>2.2818944458121049E-2</v>
      </c>
      <c r="O743" s="163"/>
      <c r="P743" s="255">
        <v>17617.150000000001</v>
      </c>
      <c r="Q743" s="134">
        <f t="shared" si="59"/>
        <v>2.7292977474036695E-2</v>
      </c>
      <c r="R743" s="19"/>
      <c r="S743" s="19"/>
      <c r="T743" s="19"/>
      <c r="X743" s="35"/>
    </row>
    <row r="744" spans="3:24" x14ac:dyDescent="0.3">
      <c r="C744" s="25" t="s">
        <v>631</v>
      </c>
      <c r="D744" s="255">
        <v>2567.75</v>
      </c>
      <c r="E744" s="134">
        <f t="shared" si="55"/>
        <v>3.6720768733849996E-2</v>
      </c>
      <c r="G744" s="256">
        <v>998.05</v>
      </c>
      <c r="H744" s="134">
        <f t="shared" si="56"/>
        <v>3.4248704663212282E-2</v>
      </c>
      <c r="I744" s="163"/>
      <c r="J744" s="256">
        <v>808.45</v>
      </c>
      <c r="K744" s="134">
        <f t="shared" si="57"/>
        <v>2.764713359603399E-2</v>
      </c>
      <c r="L744" s="163"/>
      <c r="M744" s="255">
        <v>2675.95</v>
      </c>
      <c r="N744" s="134">
        <f t="shared" si="58"/>
        <v>-9.1276012737910861E-3</v>
      </c>
      <c r="O744" s="163"/>
      <c r="P744" s="255">
        <v>17757</v>
      </c>
      <c r="Q744" s="134">
        <f t="shared" si="59"/>
        <v>7.9382874074409582E-3</v>
      </c>
      <c r="R744" s="19"/>
      <c r="S744" s="19"/>
      <c r="T744" s="19"/>
      <c r="X744" s="35"/>
    </row>
    <row r="745" spans="3:24" x14ac:dyDescent="0.3">
      <c r="C745" s="25" t="s">
        <v>632</v>
      </c>
      <c r="D745" s="255">
        <v>2556.9</v>
      </c>
      <c r="E745" s="134">
        <f t="shared" si="55"/>
        <v>-4.2254892415538592E-3</v>
      </c>
      <c r="G745" s="255">
        <v>1011.65</v>
      </c>
      <c r="H745" s="134">
        <f t="shared" si="56"/>
        <v>1.3626571815039457E-2</v>
      </c>
      <c r="I745" s="163"/>
      <c r="J745" s="256">
        <v>812.85</v>
      </c>
      <c r="K745" s="134">
        <f t="shared" si="57"/>
        <v>5.4425134516666862E-3</v>
      </c>
      <c r="L745" s="163"/>
      <c r="M745" s="255">
        <v>2673.4</v>
      </c>
      <c r="N745" s="134">
        <f t="shared" si="58"/>
        <v>-9.5293260337436791E-4</v>
      </c>
      <c r="O745" s="163"/>
      <c r="P745" s="255">
        <v>17938.400000000001</v>
      </c>
      <c r="Q745" s="134">
        <f t="shared" si="59"/>
        <v>1.0215689587205201E-2</v>
      </c>
      <c r="R745" s="19"/>
      <c r="S745" s="19"/>
      <c r="T745" s="19"/>
      <c r="X745" s="35"/>
    </row>
    <row r="746" spans="3:24" x14ac:dyDescent="0.3">
      <c r="C746" s="25" t="s">
        <v>633</v>
      </c>
      <c r="D746" s="255">
        <v>2615.15</v>
      </c>
      <c r="E746" s="134">
        <f t="shared" si="55"/>
        <v>2.2781493214439452E-2</v>
      </c>
      <c r="G746" s="255">
        <v>1005.95</v>
      </c>
      <c r="H746" s="134">
        <f t="shared" si="56"/>
        <v>-5.634359709385639E-3</v>
      </c>
      <c r="I746" s="163"/>
      <c r="J746" s="256">
        <v>799.05</v>
      </c>
      <c r="K746" s="134">
        <f t="shared" si="57"/>
        <v>-1.6977302085255719E-2</v>
      </c>
      <c r="L746" s="163"/>
      <c r="M746" s="255">
        <v>2685.1</v>
      </c>
      <c r="N746" s="134">
        <f t="shared" si="58"/>
        <v>4.3764494651006292E-3</v>
      </c>
      <c r="O746" s="163"/>
      <c r="P746" s="255">
        <v>18113.05</v>
      </c>
      <c r="Q746" s="134">
        <f t="shared" si="59"/>
        <v>9.736096864826127E-3</v>
      </c>
      <c r="R746" s="19"/>
      <c r="S746" s="19"/>
      <c r="T746" s="19"/>
      <c r="X746" s="35"/>
    </row>
    <row r="747" spans="3:24" x14ac:dyDescent="0.3">
      <c r="C747" s="25" t="s">
        <v>634</v>
      </c>
      <c r="D747" s="255">
        <v>2640.45</v>
      </c>
      <c r="E747" s="134">
        <f t="shared" si="55"/>
        <v>9.6743972621071705E-3</v>
      </c>
      <c r="G747" s="255">
        <v>1029.25</v>
      </c>
      <c r="H747" s="134">
        <f t="shared" si="56"/>
        <v>2.3162184999254487E-2</v>
      </c>
      <c r="I747" s="163"/>
      <c r="J747" s="256">
        <v>825.45</v>
      </c>
      <c r="K747" s="134">
        <f t="shared" si="57"/>
        <v>3.3039234090482594E-2</v>
      </c>
      <c r="L747" s="163"/>
      <c r="M747" s="255">
        <v>2714.55</v>
      </c>
      <c r="N747" s="134">
        <f t="shared" si="58"/>
        <v>1.0967934155152514E-2</v>
      </c>
      <c r="O747" s="163"/>
      <c r="P747" s="255">
        <v>18308.099999999999</v>
      </c>
      <c r="Q747" s="134">
        <f t="shared" si="59"/>
        <v>1.0768479080000226E-2</v>
      </c>
      <c r="R747" s="19"/>
      <c r="S747" s="19"/>
      <c r="T747" s="19"/>
      <c r="W747" s="38"/>
      <c r="X747" s="35"/>
    </row>
    <row r="748" spans="3:24" x14ac:dyDescent="0.3">
      <c r="C748" s="25" t="s">
        <v>635</v>
      </c>
      <c r="D748" s="255">
        <v>2652.7</v>
      </c>
      <c r="E748" s="134">
        <f t="shared" si="55"/>
        <v>4.6393607150296834E-3</v>
      </c>
      <c r="G748" s="255">
        <v>1028.75</v>
      </c>
      <c r="H748" s="134">
        <f t="shared" si="56"/>
        <v>-4.8579062424092267E-4</v>
      </c>
      <c r="I748" s="163"/>
      <c r="J748" s="256">
        <v>823.95</v>
      </c>
      <c r="K748" s="134">
        <f t="shared" si="57"/>
        <v>-1.8171906232964385E-3</v>
      </c>
      <c r="L748" s="163"/>
      <c r="M748" s="255">
        <v>2700.55</v>
      </c>
      <c r="N748" s="134">
        <f t="shared" si="58"/>
        <v>-5.1573925696708489E-3</v>
      </c>
      <c r="O748" s="163"/>
      <c r="P748" s="255">
        <v>18255.75</v>
      </c>
      <c r="Q748" s="134">
        <f t="shared" si="59"/>
        <v>-2.8593901060185445E-3</v>
      </c>
      <c r="R748" s="19"/>
      <c r="S748" s="19"/>
      <c r="T748" s="19"/>
      <c r="W748" s="38"/>
      <c r="X748" s="35"/>
    </row>
    <row r="749" spans="3:24" x14ac:dyDescent="0.3">
      <c r="C749" s="25" t="s">
        <v>636</v>
      </c>
      <c r="D749" s="255">
        <v>2656.8</v>
      </c>
      <c r="E749" s="134">
        <f t="shared" si="55"/>
        <v>1.5455950540959051E-3</v>
      </c>
      <c r="G749" s="255">
        <v>1014.05</v>
      </c>
      <c r="H749" s="134">
        <f t="shared" si="56"/>
        <v>-1.4289185905224877E-2</v>
      </c>
      <c r="I749" s="163"/>
      <c r="J749" s="256">
        <v>841.15</v>
      </c>
      <c r="K749" s="134">
        <f t="shared" si="57"/>
        <v>2.0875053097882068E-2</v>
      </c>
      <c r="L749" s="163"/>
      <c r="M749" s="255">
        <v>2724.35</v>
      </c>
      <c r="N749" s="134">
        <f t="shared" si="58"/>
        <v>8.8130195700875102E-3</v>
      </c>
      <c r="O749" s="163"/>
      <c r="P749" s="255">
        <v>18257.8</v>
      </c>
      <c r="Q749" s="134">
        <f t="shared" si="59"/>
        <v>1.1229338701501668E-4</v>
      </c>
      <c r="R749" s="19"/>
      <c r="S749" s="19"/>
      <c r="T749" s="19"/>
      <c r="W749" s="38"/>
      <c r="X749" s="35"/>
    </row>
    <row r="750" spans="3:24" x14ac:dyDescent="0.3">
      <c r="C750" s="160">
        <v>44896</v>
      </c>
      <c r="D750" s="255">
        <v>2626.1</v>
      </c>
      <c r="E750" s="134">
        <f t="shared" si="55"/>
        <v>-1.155525444143346E-2</v>
      </c>
      <c r="F750" s="34"/>
      <c r="G750" s="256">
        <v>993</v>
      </c>
      <c r="H750" s="134">
        <f t="shared" si="56"/>
        <v>-2.0758345249248022E-2</v>
      </c>
      <c r="I750" s="163"/>
      <c r="J750" s="256">
        <v>821.9</v>
      </c>
      <c r="K750" s="134">
        <f t="shared" si="57"/>
        <v>-2.2885335552517372E-2</v>
      </c>
      <c r="L750" s="163"/>
      <c r="M750" s="255">
        <v>2748.85</v>
      </c>
      <c r="N750" s="134">
        <f t="shared" si="58"/>
        <v>8.9929708003744224E-3</v>
      </c>
      <c r="O750" s="163"/>
      <c r="P750" s="255">
        <v>18212.349999999999</v>
      </c>
      <c r="Q750" s="134">
        <f t="shared" si="59"/>
        <v>-2.4893470188084299E-3</v>
      </c>
      <c r="R750" s="19"/>
      <c r="S750" s="19"/>
      <c r="T750" s="19"/>
      <c r="W750" s="38"/>
      <c r="X750" s="35"/>
    </row>
    <row r="751" spans="3:24" x14ac:dyDescent="0.3">
      <c r="C751" s="160">
        <v>44866</v>
      </c>
      <c r="D751" s="255">
        <v>2532.85</v>
      </c>
      <c r="E751" s="134">
        <f t="shared" si="55"/>
        <v>-3.5508929591409277E-2</v>
      </c>
      <c r="F751" s="34"/>
      <c r="G751" s="256">
        <v>972.2</v>
      </c>
      <c r="H751" s="134">
        <f t="shared" si="56"/>
        <v>-2.0946626384692801E-2</v>
      </c>
      <c r="I751" s="163"/>
      <c r="J751" s="256">
        <v>819.15</v>
      </c>
      <c r="K751" s="134">
        <f t="shared" si="57"/>
        <v>-3.3459058279595721E-3</v>
      </c>
      <c r="L751" s="163"/>
      <c r="M751" s="255">
        <v>2709.75</v>
      </c>
      <c r="N751" s="134">
        <f t="shared" si="58"/>
        <v>-1.4224130090765175E-2</v>
      </c>
      <c r="O751" s="163"/>
      <c r="P751" s="255">
        <v>18055.75</v>
      </c>
      <c r="Q751" s="134">
        <f t="shared" si="59"/>
        <v>-8.5985608666645508E-3</v>
      </c>
      <c r="R751" s="19"/>
      <c r="S751" s="19"/>
      <c r="T751" s="19"/>
      <c r="W751" s="38"/>
      <c r="X751" s="35"/>
    </row>
    <row r="752" spans="3:24" x14ac:dyDescent="0.3">
      <c r="C752" s="160">
        <v>44835</v>
      </c>
      <c r="D752" s="255">
        <v>2530.25</v>
      </c>
      <c r="E752" s="134">
        <f t="shared" si="55"/>
        <v>-1.0265116370886673E-3</v>
      </c>
      <c r="F752" s="34"/>
      <c r="G752" s="256">
        <v>939.25</v>
      </c>
      <c r="H752" s="134">
        <f t="shared" si="56"/>
        <v>-3.389220325036002E-2</v>
      </c>
      <c r="I752" s="163"/>
      <c r="J752" s="256">
        <v>821.8</v>
      </c>
      <c r="K752" s="134">
        <f t="shared" si="57"/>
        <v>3.2350607336872894E-3</v>
      </c>
      <c r="L752" s="163"/>
      <c r="M752" s="255">
        <v>2709.15</v>
      </c>
      <c r="N752" s="134">
        <f t="shared" si="58"/>
        <v>-2.214226404649855E-4</v>
      </c>
      <c r="O752" s="163"/>
      <c r="P752" s="255">
        <v>18003.3</v>
      </c>
      <c r="Q752" s="134">
        <f t="shared" si="59"/>
        <v>-2.9048917934730856E-3</v>
      </c>
      <c r="R752" s="19"/>
      <c r="S752" s="19"/>
      <c r="T752" s="19"/>
      <c r="W752" s="38"/>
      <c r="X752" s="35"/>
    </row>
    <row r="753" spans="3:24" x14ac:dyDescent="0.3">
      <c r="C753" s="160">
        <v>44743</v>
      </c>
      <c r="D753" s="255">
        <v>2504.9499999999998</v>
      </c>
      <c r="E753" s="134">
        <f t="shared" si="55"/>
        <v>-9.9990119553404755E-3</v>
      </c>
      <c r="F753" s="34"/>
      <c r="G753" s="256">
        <v>927.2</v>
      </c>
      <c r="H753" s="134">
        <f t="shared" si="56"/>
        <v>-1.2829385147724248E-2</v>
      </c>
      <c r="I753" s="163"/>
      <c r="J753" s="256">
        <v>789.25</v>
      </c>
      <c r="K753" s="134">
        <f t="shared" si="57"/>
        <v>-3.9608177172061221E-2</v>
      </c>
      <c r="L753" s="163"/>
      <c r="M753" s="255">
        <v>2723.45</v>
      </c>
      <c r="N753" s="134">
        <f t="shared" si="58"/>
        <v>5.2784083568646611E-3</v>
      </c>
      <c r="O753" s="163"/>
      <c r="P753" s="255">
        <v>17812.7</v>
      </c>
      <c r="Q753" s="134">
        <f t="shared" si="59"/>
        <v>-1.0586947948431624E-2</v>
      </c>
      <c r="R753" s="19"/>
      <c r="S753" s="19"/>
      <c r="T753" s="19"/>
      <c r="W753" s="38"/>
      <c r="X753" s="35"/>
    </row>
    <row r="754" spans="3:24" x14ac:dyDescent="0.3">
      <c r="C754" s="160">
        <v>44713</v>
      </c>
      <c r="D754" s="255">
        <v>2410.5</v>
      </c>
      <c r="E754" s="134">
        <f t="shared" si="55"/>
        <v>-3.7705343420028292E-2</v>
      </c>
      <c r="F754" s="34"/>
      <c r="G754" s="256">
        <v>904.15</v>
      </c>
      <c r="H754" s="134">
        <f>G754/G753-1</f>
        <v>-2.4859792924935342E-2</v>
      </c>
      <c r="I754" s="163"/>
      <c r="J754" s="256">
        <v>782.7</v>
      </c>
      <c r="K754" s="134">
        <f>J754/J753-1</f>
        <v>-8.2990180551155701E-3</v>
      </c>
      <c r="L754" s="163"/>
      <c r="M754" s="255">
        <v>2646</v>
      </c>
      <c r="N754" s="134">
        <f>M754/M753-1</f>
        <v>-2.8438194202206724E-2</v>
      </c>
      <c r="O754" s="163"/>
      <c r="P754" s="255">
        <v>17745.900000000001</v>
      </c>
      <c r="Q754" s="134">
        <f>P754/P753-1</f>
        <v>-3.7501333318362695E-3</v>
      </c>
      <c r="R754" s="19"/>
      <c r="S754" s="19"/>
      <c r="T754" s="19"/>
      <c r="W754" s="38"/>
      <c r="X754" s="35"/>
    </row>
    <row r="755" spans="3:24" x14ac:dyDescent="0.3">
      <c r="C755" s="160">
        <v>44682</v>
      </c>
      <c r="D755" s="255">
        <v>2416.6</v>
      </c>
      <c r="E755" s="134">
        <f t="shared" si="55"/>
        <v>2.5305953121759206E-3</v>
      </c>
      <c r="F755" s="34"/>
      <c r="G755" s="256">
        <v>915.2</v>
      </c>
      <c r="H755" s="134">
        <f t="shared" si="56"/>
        <v>1.2221423436376888E-2</v>
      </c>
      <c r="I755" s="163"/>
      <c r="J755" s="256">
        <v>764.65</v>
      </c>
      <c r="K755" s="134">
        <f t="shared" si="57"/>
        <v>-2.3061198415740503E-2</v>
      </c>
      <c r="L755" s="163"/>
      <c r="M755" s="255">
        <v>2637.95</v>
      </c>
      <c r="N755" s="134">
        <f t="shared" si="58"/>
        <v>-3.0423280423280685E-3</v>
      </c>
      <c r="O755" s="163"/>
      <c r="P755" s="255">
        <v>17925.25</v>
      </c>
      <c r="Q755" s="134">
        <f t="shared" si="59"/>
        <v>1.0106559825086237E-2</v>
      </c>
      <c r="R755" s="19"/>
      <c r="S755" s="19"/>
      <c r="T755" s="19"/>
      <c r="W755" s="38"/>
      <c r="X755" s="35"/>
    </row>
    <row r="756" spans="3:24" x14ac:dyDescent="0.3">
      <c r="C756" s="160">
        <v>44652</v>
      </c>
      <c r="D756" s="255">
        <v>2429.25</v>
      </c>
      <c r="E756" s="134">
        <f t="shared" si="55"/>
        <v>5.2346271621286355E-3</v>
      </c>
      <c r="F756" s="34"/>
      <c r="G756" s="256">
        <v>909.1</v>
      </c>
      <c r="H756" s="134">
        <f t="shared" si="56"/>
        <v>-6.6652097902097918E-3</v>
      </c>
      <c r="I756" s="163"/>
      <c r="J756" s="256">
        <v>761.8</v>
      </c>
      <c r="K756" s="134">
        <f t="shared" si="57"/>
        <v>-3.7271954488982129E-3</v>
      </c>
      <c r="L756" s="163"/>
      <c r="M756" s="255">
        <v>2599.1999999999998</v>
      </c>
      <c r="N756" s="134">
        <f t="shared" si="58"/>
        <v>-1.4689436873329687E-2</v>
      </c>
      <c r="O756" s="163"/>
      <c r="P756" s="255">
        <v>17805.25</v>
      </c>
      <c r="Q756" s="134">
        <f t="shared" si="59"/>
        <v>-6.6944673017113043E-3</v>
      </c>
      <c r="R756" s="19"/>
      <c r="S756" s="19"/>
      <c r="T756" s="19"/>
      <c r="X756" s="35"/>
    </row>
    <row r="757" spans="3:24" x14ac:dyDescent="0.3">
      <c r="C757" s="160">
        <v>44621</v>
      </c>
      <c r="D757" s="255">
        <v>2412.5</v>
      </c>
      <c r="E757" s="134">
        <f t="shared" si="55"/>
        <v>-6.8951322424616324E-3</v>
      </c>
      <c r="F757" s="34"/>
      <c r="G757" s="256">
        <v>914.15</v>
      </c>
      <c r="H757" s="134">
        <f t="shared" si="56"/>
        <v>5.5549444505553769E-3</v>
      </c>
      <c r="I757" s="163"/>
      <c r="J757" s="256">
        <v>764.5</v>
      </c>
      <c r="K757" s="134">
        <f t="shared" si="57"/>
        <v>3.5442373326333154E-3</v>
      </c>
      <c r="L757" s="163"/>
      <c r="M757" s="255">
        <v>2473.9499999999998</v>
      </c>
      <c r="N757" s="134">
        <f t="shared" si="58"/>
        <v>-4.8187903970452473E-2</v>
      </c>
      <c r="O757" s="163"/>
      <c r="P757" s="255">
        <v>17625.7</v>
      </c>
      <c r="Q757" s="134">
        <f t="shared" si="59"/>
        <v>-1.0084104407407923E-2</v>
      </c>
      <c r="R757" s="19"/>
      <c r="S757" s="19"/>
      <c r="T757" s="19"/>
      <c r="X757" s="35"/>
    </row>
    <row r="758" spans="3:24" x14ac:dyDescent="0.3">
      <c r="X758" s="35"/>
    </row>
    <row r="759" spans="3:24" x14ac:dyDescent="0.3">
      <c r="X759" s="35"/>
    </row>
    <row r="760" spans="3:24" x14ac:dyDescent="0.3">
      <c r="X760" s="35"/>
    </row>
    <row r="761" spans="3:24" x14ac:dyDescent="0.3">
      <c r="X761" s="35"/>
    </row>
    <row r="762" spans="3:24" x14ac:dyDescent="0.3">
      <c r="X762" s="35"/>
    </row>
    <row r="763" spans="3:24" x14ac:dyDescent="0.3">
      <c r="X763" s="35"/>
    </row>
    <row r="764" spans="3:24" x14ac:dyDescent="0.3">
      <c r="X764" s="35"/>
    </row>
    <row r="765" spans="3:24" x14ac:dyDescent="0.3">
      <c r="X765" s="35"/>
    </row>
    <row r="766" spans="3:24" x14ac:dyDescent="0.3">
      <c r="X766" s="35"/>
    </row>
    <row r="767" spans="3:24" x14ac:dyDescent="0.3">
      <c r="X767" s="35"/>
    </row>
    <row r="768" spans="3:24" x14ac:dyDescent="0.3">
      <c r="W768" s="38"/>
      <c r="X768" s="35"/>
    </row>
    <row r="769" spans="23:24" x14ac:dyDescent="0.3">
      <c r="W769" s="38"/>
      <c r="X769" s="35"/>
    </row>
    <row r="770" spans="23:24" x14ac:dyDescent="0.3">
      <c r="W770" s="38"/>
      <c r="X770" s="35"/>
    </row>
    <row r="771" spans="23:24" x14ac:dyDescent="0.3">
      <c r="W771" s="38"/>
      <c r="X771" s="35"/>
    </row>
    <row r="772" spans="23:24" x14ac:dyDescent="0.3">
      <c r="W772" s="38"/>
      <c r="X772" s="35"/>
    </row>
    <row r="773" spans="23:24" x14ac:dyDescent="0.3">
      <c r="W773" s="38"/>
      <c r="X773" s="35"/>
    </row>
    <row r="774" spans="23:24" x14ac:dyDescent="0.3">
      <c r="W774" s="38"/>
      <c r="X774" s="35"/>
    </row>
    <row r="775" spans="23:24" x14ac:dyDescent="0.3">
      <c r="W775" s="38"/>
      <c r="X775" s="35"/>
    </row>
  </sheetData>
  <mergeCells count="10">
    <mergeCell ref="AB8:AC8"/>
    <mergeCell ref="V8:W8"/>
    <mergeCell ref="Y8:Z8"/>
    <mergeCell ref="S19:T19"/>
    <mergeCell ref="D8:E8"/>
    <mergeCell ref="S8:T8"/>
    <mergeCell ref="G8:H8"/>
    <mergeCell ref="M8:N8"/>
    <mergeCell ref="P8:Q8"/>
    <mergeCell ref="J8:K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tabColor rgb="FF9EE0F4"/>
  </sheetPr>
  <dimension ref="B2:P44"/>
  <sheetViews>
    <sheetView showGridLines="0" topLeftCell="A24" zoomScale="95" workbookViewId="0">
      <selection activeCell="B1" sqref="B1"/>
    </sheetView>
  </sheetViews>
  <sheetFormatPr defaultColWidth="10" defaultRowHeight="14.4" x14ac:dyDescent="0.3"/>
  <cols>
    <col min="1" max="2" width="2.6640625" customWidth="1"/>
    <col min="3" max="3" width="39.77734375" customWidth="1"/>
    <col min="4" max="4" width="22" customWidth="1"/>
    <col min="5" max="5" width="12" bestFit="1" customWidth="1"/>
    <col min="15" max="15" width="18.77734375" customWidth="1"/>
  </cols>
  <sheetData>
    <row r="2" spans="2:16" ht="18" x14ac:dyDescent="0.35">
      <c r="B2" s="155" t="str">
        <f>Company_Name&amp;" - Common Size Statement"</f>
        <v>SRF LTD - Common Size Statement</v>
      </c>
    </row>
    <row r="3" spans="2:16" ht="15.6" x14ac:dyDescent="0.3">
      <c r="B3" s="48" t="s">
        <v>778</v>
      </c>
    </row>
    <row r="4" spans="2:16" x14ac:dyDescent="0.3">
      <c r="B4" s="66"/>
    </row>
    <row r="5" spans="2:16" ht="15.6" x14ac:dyDescent="0.3">
      <c r="B5" s="56"/>
      <c r="C5" s="56"/>
      <c r="D5" s="56"/>
      <c r="E5" s="261" t="s">
        <v>731</v>
      </c>
      <c r="F5" s="261"/>
      <c r="G5" s="261"/>
      <c r="H5" s="261"/>
      <c r="I5" s="261"/>
      <c r="J5" s="261"/>
      <c r="K5" s="261"/>
      <c r="L5" s="261"/>
      <c r="M5" s="261"/>
      <c r="N5" s="261"/>
      <c r="O5" s="267" t="s">
        <v>716</v>
      </c>
      <c r="P5" s="181"/>
    </row>
    <row r="6" spans="2:16" ht="15.6" x14ac:dyDescent="0.3">
      <c r="B6" s="46" t="s">
        <v>781</v>
      </c>
      <c r="C6" s="46"/>
      <c r="D6" s="58" t="s">
        <v>732</v>
      </c>
      <c r="E6" s="61">
        <f>+'3-FInancial Statements'!E$20</f>
        <v>42094</v>
      </c>
      <c r="F6" s="61">
        <f>+'3-FInancial Statements'!F$20</f>
        <v>42460</v>
      </c>
      <c r="G6" s="61">
        <f>+'3-FInancial Statements'!G$20</f>
        <v>42825</v>
      </c>
      <c r="H6" s="61">
        <f>+'3-FInancial Statements'!H$20</f>
        <v>43190</v>
      </c>
      <c r="I6" s="61">
        <f>+'3-FInancial Statements'!I$20</f>
        <v>43555</v>
      </c>
      <c r="J6" s="61">
        <f>+'3-FInancial Statements'!J$20</f>
        <v>43921</v>
      </c>
      <c r="K6" s="61">
        <f>+'3-FInancial Statements'!K$20</f>
        <v>44286</v>
      </c>
      <c r="L6" s="61">
        <f>+'3-FInancial Statements'!L$20</f>
        <v>44651</v>
      </c>
      <c r="M6" s="61">
        <f>+'3-FInancial Statements'!M$20</f>
        <v>45016</v>
      </c>
      <c r="N6" s="61">
        <f>+'3-FInancial Statements'!N$20</f>
        <v>45382</v>
      </c>
      <c r="O6" s="273"/>
      <c r="P6" s="181"/>
    </row>
    <row r="7" spans="2:16" x14ac:dyDescent="0.3">
      <c r="B7" s="152" t="s">
        <v>782</v>
      </c>
      <c r="C7" s="152"/>
      <c r="D7" s="152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</row>
    <row r="8" spans="2:16" x14ac:dyDescent="0.3">
      <c r="B8" s="182"/>
      <c r="C8" s="182"/>
      <c r="D8" s="182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</row>
    <row r="9" spans="2:16" x14ac:dyDescent="0.3">
      <c r="C9" s="9" t="s">
        <v>0</v>
      </c>
      <c r="D9" s="73" t="s">
        <v>736</v>
      </c>
      <c r="E9" s="138">
        <f>'Data Sheet'!B17/'Data Sheet'!B17</f>
        <v>1</v>
      </c>
      <c r="F9" s="138">
        <f>'Data Sheet'!C17/'Data Sheet'!C17</f>
        <v>1</v>
      </c>
      <c r="G9" s="138">
        <f>'Data Sheet'!D17/'Data Sheet'!D17</f>
        <v>1</v>
      </c>
      <c r="H9" s="138">
        <f>'Data Sheet'!E17/'Data Sheet'!E17</f>
        <v>1</v>
      </c>
      <c r="I9" s="138">
        <f>'Data Sheet'!F17/'Data Sheet'!F17</f>
        <v>1</v>
      </c>
      <c r="J9" s="138">
        <f>'Data Sheet'!G17/'Data Sheet'!G17</f>
        <v>1</v>
      </c>
      <c r="K9" s="138">
        <f>'Data Sheet'!H17/'Data Sheet'!H17</f>
        <v>1</v>
      </c>
      <c r="L9" s="138">
        <f>'Data Sheet'!I17/'Data Sheet'!I17</f>
        <v>1</v>
      </c>
      <c r="M9" s="138">
        <f>'Data Sheet'!J17/'Data Sheet'!J17</f>
        <v>1</v>
      </c>
      <c r="N9" s="138">
        <f>'Data Sheet'!K17/'Data Sheet'!K17</f>
        <v>1</v>
      </c>
    </row>
    <row r="10" spans="2:16" x14ac:dyDescent="0.3">
      <c r="C10" s="97" t="s">
        <v>112</v>
      </c>
      <c r="D10" s="73" t="s">
        <v>736</v>
      </c>
      <c r="E10" s="135">
        <f>'Data Sheet'!B18/'Data Sheet'!B17</f>
        <v>0.56713547804442876</v>
      </c>
      <c r="F10" s="135">
        <f>'Data Sheet'!C18/'Data Sheet'!C17</f>
        <v>0.50288500060966046</v>
      </c>
      <c r="G10" s="135">
        <f>'Data Sheet'!D18/'Data Sheet'!D17</f>
        <v>0.50608486457339574</v>
      </c>
      <c r="H10" s="135">
        <f>'Data Sheet'!E18/'Data Sheet'!E17</f>
        <v>0.54805476432446354</v>
      </c>
      <c r="I10" s="135">
        <f>'Data Sheet'!F18/'Data Sheet'!F17</f>
        <v>0.56921033468129845</v>
      </c>
      <c r="J10" s="135">
        <f>'Data Sheet'!G18/'Data Sheet'!G17</f>
        <v>0.52414691354771059</v>
      </c>
      <c r="K10" s="135">
        <f>'Data Sheet'!H18/'Data Sheet'!H17</f>
        <v>0.48697387155299254</v>
      </c>
      <c r="L10" s="135">
        <f>'Data Sheet'!I18/'Data Sheet'!I17</f>
        <v>0.51044422961541491</v>
      </c>
      <c r="M10" s="135">
        <f>'Data Sheet'!J18/'Data Sheet'!J17</f>
        <v>0.49780131470553624</v>
      </c>
      <c r="N10" s="135">
        <f>'Data Sheet'!K18/'Data Sheet'!K17</f>
        <v>0.51863984680161845</v>
      </c>
    </row>
    <row r="11" spans="2:16" x14ac:dyDescent="0.3">
      <c r="C11" s="97" t="s">
        <v>113</v>
      </c>
      <c r="D11" s="73" t="s">
        <v>736</v>
      </c>
      <c r="E11" s="135">
        <f>'Data Sheet'!B19/'Data Sheet'!B17</f>
        <v>7.2138947322048083E-3</v>
      </c>
      <c r="F11" s="135">
        <f>'Data Sheet'!C19/'Data Sheet'!C17</f>
        <v>-4.5637443606403177E-3</v>
      </c>
      <c r="G11" s="135">
        <f>'Data Sheet'!D19/'Data Sheet'!D17</f>
        <v>4.4443983574598694E-3</v>
      </c>
      <c r="H11" s="135">
        <f>'Data Sheet'!E19/'Data Sheet'!E17</f>
        <v>5.564461875384682E-3</v>
      </c>
      <c r="I11" s="135">
        <f>'Data Sheet'!F19/'Data Sheet'!F17</f>
        <v>1.0427362706860536E-2</v>
      </c>
      <c r="J11" s="135">
        <f>'Data Sheet'!G19/'Data Sheet'!G17</f>
        <v>1.2736132360345714E-2</v>
      </c>
      <c r="K11" s="135">
        <f>'Data Sheet'!H19/'Data Sheet'!H17</f>
        <v>8.5309117575630578E-3</v>
      </c>
      <c r="L11" s="135">
        <f>'Data Sheet'!I19/'Data Sheet'!I17</f>
        <v>2.2499408862716206E-2</v>
      </c>
      <c r="M11" s="135">
        <f>'Data Sheet'!J19/'Data Sheet'!J17</f>
        <v>5.9985541601519814E-4</v>
      </c>
      <c r="N11" s="135">
        <f>'Data Sheet'!K19/'Data Sheet'!K17</f>
        <v>8.020690306061869E-3</v>
      </c>
    </row>
    <row r="12" spans="2:16" x14ac:dyDescent="0.3">
      <c r="C12" s="97" t="s">
        <v>114</v>
      </c>
      <c r="D12" s="73" t="s">
        <v>736</v>
      </c>
      <c r="E12" s="135">
        <f>'Data Sheet'!B20/'Data Sheet'!B17</f>
        <v>9.5630912915624949E-2</v>
      </c>
      <c r="F12" s="135">
        <f>'Data Sheet'!C20/'Data Sheet'!C17</f>
        <v>8.6674127750004354E-2</v>
      </c>
      <c r="G12" s="135">
        <f>'Data Sheet'!D20/'Data Sheet'!D17</f>
        <v>8.6648139698867643E-2</v>
      </c>
      <c r="H12" s="135">
        <f>'Data Sheet'!E20/'Data Sheet'!E17</f>
        <v>8.9602149921990185E-2</v>
      </c>
      <c r="I12" s="135">
        <f>'Data Sheet'!F20/'Data Sheet'!F17</f>
        <v>8.2411801244860625E-2</v>
      </c>
      <c r="J12" s="135">
        <f>'Data Sheet'!G20/'Data Sheet'!G17</f>
        <v>9.3287800249951106E-2</v>
      </c>
      <c r="K12" s="135">
        <f>'Data Sheet'!H20/'Data Sheet'!H17</f>
        <v>8.5397212394226693E-2</v>
      </c>
      <c r="L12" s="135">
        <f>'Data Sheet'!I20/'Data Sheet'!I17</f>
        <v>9.1329503943328033E-2</v>
      </c>
      <c r="M12" s="135">
        <f>'Data Sheet'!J20/'Data Sheet'!J17</f>
        <v>9.9006405406768541E-2</v>
      </c>
      <c r="N12" s="135">
        <f>'Data Sheet'!K20/'Data Sheet'!K17</f>
        <v>0.10235627757159863</v>
      </c>
    </row>
    <row r="13" spans="2:16" x14ac:dyDescent="0.3">
      <c r="C13" s="97" t="s">
        <v>115</v>
      </c>
      <c r="D13" s="73" t="s">
        <v>736</v>
      </c>
      <c r="E13" s="135">
        <f>'Data Sheet'!B21/'Data Sheet'!B17</f>
        <v>4.244633633269821E-2</v>
      </c>
      <c r="F13" s="135">
        <f>'Data Sheet'!C21/'Data Sheet'!C17</f>
        <v>4.300719399397307E-2</v>
      </c>
      <c r="G13" s="135">
        <f>'Data Sheet'!D21/'Data Sheet'!D17</f>
        <v>4.3564643908913681E-2</v>
      </c>
      <c r="H13" s="135">
        <f>'Data Sheet'!E21/'Data Sheet'!E17</f>
        <v>4.7743440734007984E-2</v>
      </c>
      <c r="I13" s="135">
        <f>'Data Sheet'!F21/'Data Sheet'!F17</f>
        <v>3.8792380968478465E-2</v>
      </c>
      <c r="J13" s="135">
        <f>'Data Sheet'!G21/'Data Sheet'!G17</f>
        <v>4.3710927801304131E-2</v>
      </c>
      <c r="K13" s="135">
        <f>'Data Sheet'!H21/'Data Sheet'!H17</f>
        <v>3.8585530545092638E-2</v>
      </c>
      <c r="L13" s="135">
        <f>'Data Sheet'!I21/'Data Sheet'!I17</f>
        <v>3.2677425633321162E-2</v>
      </c>
      <c r="M13" s="135">
        <f>'Data Sheet'!J21/'Data Sheet'!J17</f>
        <v>2.961752492392529E-2</v>
      </c>
      <c r="N13" s="135">
        <f>'Data Sheet'!K21/'Data Sheet'!K17</f>
        <v>3.8523364884324868E-2</v>
      </c>
    </row>
    <row r="14" spans="2:16" x14ac:dyDescent="0.3">
      <c r="C14" s="97" t="s">
        <v>116</v>
      </c>
      <c r="D14" s="73" t="s">
        <v>736</v>
      </c>
      <c r="E14" s="135">
        <f>'Data Sheet'!B22/'Data Sheet'!B17</f>
        <v>7.8487174686388314E-2</v>
      </c>
      <c r="F14" s="135">
        <f>'Data Sheet'!C22/'Data Sheet'!C17</f>
        <v>8.4181051751467534E-2</v>
      </c>
      <c r="G14" s="135">
        <f>'Data Sheet'!D22/'Data Sheet'!D17</f>
        <v>9.0005806960056403E-2</v>
      </c>
      <c r="H14" s="135">
        <f>'Data Sheet'!E22/'Data Sheet'!E17</f>
        <v>8.4849992127449439E-2</v>
      </c>
      <c r="I14" s="135">
        <f>'Data Sheet'!F22/'Data Sheet'!F17</f>
        <v>6.4933327135792349E-2</v>
      </c>
      <c r="J14" s="135">
        <f>'Data Sheet'!G22/'Data Sheet'!G17</f>
        <v>7.5204489687783038E-2</v>
      </c>
      <c r="K14" s="135">
        <f>'Data Sheet'!H22/'Data Sheet'!H17</f>
        <v>7.4010361855419732E-2</v>
      </c>
      <c r="L14" s="135">
        <f>'Data Sheet'!I22/'Data Sheet'!I17</f>
        <v>6.2786017954488058E-2</v>
      </c>
      <c r="M14" s="135">
        <f>'Data Sheet'!J22/'Data Sheet'!J17</f>
        <v>5.4754291286293104E-2</v>
      </c>
      <c r="N14" s="135">
        <f>'Data Sheet'!K22/'Data Sheet'!K17</f>
        <v>7.1185338987952984E-2</v>
      </c>
    </row>
    <row r="15" spans="2:16" x14ac:dyDescent="0.3">
      <c r="C15" s="97" t="s">
        <v>117</v>
      </c>
      <c r="D15" s="73" t="s">
        <v>736</v>
      </c>
      <c r="E15" s="135">
        <f>'Data Sheet'!B23/'Data Sheet'!B17</f>
        <v>4.6223994184829892E-2</v>
      </c>
      <c r="F15" s="135">
        <f>'Data Sheet'!C23/'Data Sheet'!C17</f>
        <v>4.7945444094131574E-2</v>
      </c>
      <c r="G15" s="135">
        <f>'Data Sheet'!D23/'Data Sheet'!D17</f>
        <v>5.6566012692355547E-2</v>
      </c>
      <c r="H15" s="135">
        <f>'Data Sheet'!E23/'Data Sheet'!E17</f>
        <v>5.9992413724002693E-2</v>
      </c>
      <c r="I15" s="135">
        <f>'Data Sheet'!F23/'Data Sheet'!F17</f>
        <v>5.2691775158847196E-2</v>
      </c>
      <c r="J15" s="135">
        <f>'Data Sheet'!G23/'Data Sheet'!G17</f>
        <v>5.4093192092001988E-2</v>
      </c>
      <c r="K15" s="135">
        <f>'Data Sheet'!H23/'Data Sheet'!H17</f>
        <v>5.2150942138370765E-2</v>
      </c>
      <c r="L15" s="135">
        <f>'Data Sheet'!I23/'Data Sheet'!I17</f>
        <v>5.932042536147844E-2</v>
      </c>
      <c r="M15" s="135">
        <f>'Data Sheet'!J23/'Data Sheet'!J17</f>
        <v>5.6198786167011315E-2</v>
      </c>
      <c r="N15" s="135">
        <f>'Data Sheet'!K23/'Data Sheet'!K17</f>
        <v>5.2666510383209068E-2</v>
      </c>
    </row>
    <row r="16" spans="2:16" x14ac:dyDescent="0.3">
      <c r="C16" s="97" t="s">
        <v>118</v>
      </c>
      <c r="D16" s="73" t="s">
        <v>736</v>
      </c>
      <c r="E16" s="135">
        <f>'Data Sheet'!B24/'Data Sheet'!B17</f>
        <v>1.9253940108153351E-2</v>
      </c>
      <c r="F16" s="135">
        <f>'Data Sheet'!C24/'Data Sheet'!C17</f>
        <v>2.1116027103764218E-2</v>
      </c>
      <c r="G16" s="135">
        <f>'Data Sheet'!D24/'Data Sheet'!D17</f>
        <v>2.0531751628022728E-2</v>
      </c>
      <c r="H16" s="135">
        <f>'Data Sheet'!E24/'Data Sheet'!E17</f>
        <v>1.3175786897213118E-2</v>
      </c>
      <c r="I16" s="135">
        <f>'Data Sheet'!F24/'Data Sheet'!F17</f>
        <v>1.9701137671330315E-2</v>
      </c>
      <c r="J16" s="135">
        <f>'Data Sheet'!G24/'Data Sheet'!G17</f>
        <v>2.0481565065657244E-2</v>
      </c>
      <c r="K16" s="135">
        <f>'Data Sheet'!H24/'Data Sheet'!H17</f>
        <v>1.7446345493592887E-2</v>
      </c>
      <c r="L16" s="135">
        <f>'Data Sheet'!I24/'Data Sheet'!I17</f>
        <v>1.6361232332233629E-2</v>
      </c>
      <c r="M16" s="135">
        <f>'Data Sheet'!J24/'Data Sheet'!J17</f>
        <v>2.5888603083337538E-2</v>
      </c>
      <c r="N16" s="135">
        <f>'Data Sheet'!K24/'Data Sheet'!K17</f>
        <v>2.796738140977827E-2</v>
      </c>
    </row>
    <row r="17" spans="2:15" x14ac:dyDescent="0.3">
      <c r="C17" s="95" t="s">
        <v>119</v>
      </c>
      <c r="D17" s="73" t="s">
        <v>736</v>
      </c>
      <c r="E17" s="135">
        <f>'Data Sheet'!B25/'Data Sheet'!B17</f>
        <v>1.4225139597123251E-2</v>
      </c>
      <c r="F17" s="135">
        <f>'Data Sheet'!C25/'Data Sheet'!C17</f>
        <v>6.0095107038966016E-3</v>
      </c>
      <c r="G17" s="135">
        <f>'Data Sheet'!D25/'Data Sheet'!D17</f>
        <v>1.5141648347090298E-2</v>
      </c>
      <c r="H17" s="135">
        <f>'Data Sheet'!E25/'Data Sheet'!E17</f>
        <v>2.059745501910883E-2</v>
      </c>
      <c r="I17" s="135">
        <f>'Data Sheet'!F25/'Data Sheet'!F17</f>
        <v>1.0989366991615008E-2</v>
      </c>
      <c r="J17" s="135">
        <f>'Data Sheet'!G25/'Data Sheet'!G17</f>
        <v>2.1116845900011238E-2</v>
      </c>
      <c r="K17" s="135">
        <f>'Data Sheet'!H25/'Data Sheet'!H17</f>
        <v>7.8618673244413122E-3</v>
      </c>
      <c r="L17" s="135">
        <f>'Data Sheet'!I25/'Data Sheet'!I17</f>
        <v>9.290104442296155E-3</v>
      </c>
      <c r="M17" s="135">
        <f>'Data Sheet'!J25/'Data Sheet'!J17</f>
        <v>5.0389199912577133E-3</v>
      </c>
      <c r="N17" s="135">
        <f>'Data Sheet'!K25/'Data Sheet'!K17</f>
        <v>6.3188243424677961E-3</v>
      </c>
    </row>
    <row r="18" spans="2:15" x14ac:dyDescent="0.3">
      <c r="C18" s="95" t="s">
        <v>12</v>
      </c>
      <c r="D18" s="73" t="s">
        <v>736</v>
      </c>
      <c r="E18" s="135">
        <f>'Data Sheet'!B26/'Data Sheet'!B17</f>
        <v>5.3973148892584553E-2</v>
      </c>
      <c r="F18" s="135">
        <f>'Data Sheet'!C26/'Data Sheet'!C17</f>
        <v>5.9868661708094545E-2</v>
      </c>
      <c r="G18" s="135">
        <f>'Data Sheet'!D26/'Data Sheet'!D17</f>
        <v>5.8783027085320835E-2</v>
      </c>
      <c r="H18" s="135">
        <f>'Data Sheet'!E26/'Data Sheet'!E17</f>
        <v>5.6503442451655388E-2</v>
      </c>
      <c r="I18" s="135">
        <f>'Data Sheet'!F26/'Data Sheet'!F17</f>
        <v>5.0449392147997277E-2</v>
      </c>
      <c r="J18" s="135">
        <f>'Data Sheet'!G26/'Data Sheet'!G17</f>
        <v>5.3903162672118803E-2</v>
      </c>
      <c r="K18" s="135">
        <f>'Data Sheet'!H26/'Data Sheet'!H17</f>
        <v>5.3937838391245746E-2</v>
      </c>
      <c r="L18" s="135">
        <f>'Data Sheet'!I26/'Data Sheet'!I17</f>
        <v>4.1599175142315301E-2</v>
      </c>
      <c r="M18" s="135">
        <f>'Data Sheet'!J26/'Data Sheet'!J17</f>
        <v>3.86893293656798E-2</v>
      </c>
      <c r="N18" s="135">
        <f>'Data Sheet'!K26/'Data Sheet'!K17</f>
        <v>5.1194502881603099E-2</v>
      </c>
    </row>
    <row r="19" spans="2:15" x14ac:dyDescent="0.3">
      <c r="C19" s="95" t="s">
        <v>10</v>
      </c>
      <c r="D19" s="73" t="s">
        <v>736</v>
      </c>
      <c r="E19" s="135">
        <f>'Data Sheet'!B27/'Data Sheet'!B17</f>
        <v>3.0304966023106492E-2</v>
      </c>
      <c r="F19" s="135">
        <f>'Data Sheet'!C27/'Data Sheet'!C17</f>
        <v>2.840582487066488E-2</v>
      </c>
      <c r="G19" s="135">
        <f>'Data Sheet'!D27/'Data Sheet'!D17</f>
        <v>2.1106225890746191E-2</v>
      </c>
      <c r="H19" s="135">
        <f>'Data Sheet'!E27/'Data Sheet'!E17</f>
        <v>2.2166597483646567E-2</v>
      </c>
      <c r="I19" s="135">
        <f>'Data Sheet'!F27/'Data Sheet'!F17</f>
        <v>2.7941050116978585E-2</v>
      </c>
      <c r="J19" s="135">
        <f>'Data Sheet'!G27/'Data Sheet'!G17</f>
        <v>2.7835842322742086E-2</v>
      </c>
      <c r="K19" s="135">
        <f>'Data Sheet'!H27/'Data Sheet'!H17</f>
        <v>1.5946352636416014E-2</v>
      </c>
      <c r="L19" s="135">
        <f>'Data Sheet'!I27/'Data Sheet'!I17</f>
        <v>9.3238837156557289E-3</v>
      </c>
      <c r="M19" s="135">
        <f>'Data Sheet'!J27/'Data Sheet'!J17</f>
        <v>1.3773810124241354E-2</v>
      </c>
      <c r="N19" s="135">
        <f>'Data Sheet'!K27/'Data Sheet'!K17</f>
        <v>2.3007918700127566E-2</v>
      </c>
    </row>
    <row r="20" spans="2:15" x14ac:dyDescent="0.3">
      <c r="C20" s="95" t="s">
        <v>120</v>
      </c>
      <c r="D20" s="73" t="s">
        <v>736</v>
      </c>
      <c r="E20" s="135">
        <f>'Data Sheet'!B28/'Data Sheet'!B17</f>
        <v>8.7983083141513485E-2</v>
      </c>
      <c r="F20" s="135">
        <f>'Data Sheet'!C28/'Data Sheet'!C17</f>
        <v>0.12736243446149559</v>
      </c>
      <c r="G20" s="135">
        <f>'Data Sheet'!D28/'Data Sheet'!D17</f>
        <v>0.13629557426687131</v>
      </c>
      <c r="H20" s="135">
        <f>'Data Sheet'!E28/'Data Sheet'!E17</f>
        <v>0.10407332923006454</v>
      </c>
      <c r="I20" s="135">
        <f>'Data Sheet'!F28/'Data Sheet'!F17</f>
        <v>0.11528553057289223</v>
      </c>
      <c r="J20" s="135">
        <f>'Data Sheet'!G28/'Data Sheet'!G17</f>
        <v>0.141189084821088</v>
      </c>
      <c r="K20" s="135">
        <f>'Data Sheet'!H28/'Data Sheet'!H17</f>
        <v>0.19194432407464723</v>
      </c>
      <c r="L20" s="135">
        <f>'Data Sheet'!I28/'Data Sheet'!I17</f>
        <v>0.2079476196067771</v>
      </c>
      <c r="M20" s="135">
        <f>'Data Sheet'!J28/'Data Sheet'!J17</f>
        <v>0.18990871034447973</v>
      </c>
      <c r="N20" s="135">
        <f>'Data Sheet'!K28/'Data Sheet'!K17</f>
        <v>0.12879837302831673</v>
      </c>
    </row>
    <row r="21" spans="2:15" x14ac:dyDescent="0.3">
      <c r="C21" s="95" t="s">
        <v>16</v>
      </c>
      <c r="D21" s="73" t="s">
        <v>736</v>
      </c>
      <c r="E21" s="135">
        <f>'Data Sheet'!B29/'Data Sheet'!B17</f>
        <v>2.1282641496965758E-2</v>
      </c>
      <c r="F21" s="135">
        <f>'Data Sheet'!C29/'Data Sheet'!C17</f>
        <v>3.3759950530404641E-2</v>
      </c>
      <c r="G21" s="135">
        <f>'Data Sheet'!D29/'Data Sheet'!D17</f>
        <v>2.9491061429341735E-2</v>
      </c>
      <c r="H21" s="135">
        <f>'Data Sheet'!E29/'Data Sheet'!E17</f>
        <v>2.1463435581065799E-2</v>
      </c>
      <c r="I21" s="135">
        <f>'Data Sheet'!F29/'Data Sheet'!F17</f>
        <v>2.4909889162613615E-2</v>
      </c>
      <c r="J21" s="135">
        <f>'Data Sheet'!G29/'Data Sheet'!G17</f>
        <v>-1.6644912690497559E-4</v>
      </c>
      <c r="K21" s="135">
        <f>'Data Sheet'!H29/'Data Sheet'!H17</f>
        <v>4.933309841381707E-2</v>
      </c>
      <c r="L21" s="135">
        <f>'Data Sheet'!I29/'Data Sheet'!I17</f>
        <v>5.6027750477333306E-2</v>
      </c>
      <c r="M21" s="135">
        <f>'Data Sheet'!J29/'Data Sheet'!J17</f>
        <v>4.4494880718212539E-2</v>
      </c>
      <c r="N21" s="135">
        <f>'Data Sheet'!K29/'Data Sheet'!K17</f>
        <v>2.7134715325622671E-2</v>
      </c>
    </row>
    <row r="22" spans="2:15" x14ac:dyDescent="0.3">
      <c r="C22" s="95" t="s">
        <v>121</v>
      </c>
      <c r="D22" s="73" t="s">
        <v>736</v>
      </c>
      <c r="E22" s="135">
        <f>'Data Sheet'!B30/'Data Sheet'!B17</f>
        <v>6.670044164454772E-2</v>
      </c>
      <c r="F22" s="135">
        <f>'Data Sheet'!C30/'Data Sheet'!C17</f>
        <v>9.3602483931090941E-2</v>
      </c>
      <c r="G22" s="135">
        <f>'Data Sheet'!D30/'Data Sheet'!D17</f>
        <v>0.10680451283752955</v>
      </c>
      <c r="H22" s="135">
        <f>'Data Sheet'!E30/'Data Sheet'!E17</f>
        <v>8.2609893648998747E-2</v>
      </c>
      <c r="I22" s="135">
        <f>'Data Sheet'!F30/'Data Sheet'!F17</f>
        <v>9.0375641410278623E-2</v>
      </c>
      <c r="J22" s="135">
        <f>'Data Sheet'!G30/'Data Sheet'!G17</f>
        <v>0.14135553394799297</v>
      </c>
      <c r="K22" s="135">
        <f>'Data Sheet'!H30/'Data Sheet'!H17</f>
        <v>0.14261122566083018</v>
      </c>
      <c r="L22" s="135">
        <f>'Data Sheet'!I30/'Data Sheet'!I17</f>
        <v>0.1519198691294438</v>
      </c>
      <c r="M22" s="135">
        <f>'Data Sheet'!J30/'Data Sheet'!J17</f>
        <v>0.14541382962626723</v>
      </c>
      <c r="N22" s="135">
        <f>'Data Sheet'!K30/'Data Sheet'!K17</f>
        <v>0.10166365770269406</v>
      </c>
    </row>
    <row r="23" spans="2:15" x14ac:dyDescent="0.3">
      <c r="C23" s="95" t="s">
        <v>8</v>
      </c>
      <c r="D23" s="73" t="s">
        <v>736</v>
      </c>
      <c r="E23" s="135">
        <f>'3-FInancial Statements'!E34/'3-FInancial Statements'!E22</f>
        <v>0.15783340859279496</v>
      </c>
      <c r="F23" s="135">
        <f>'3-FInancial Statements'!F34/'3-FInancial Statements'!F22</f>
        <v>0.22476440976153564</v>
      </c>
      <c r="G23" s="135">
        <f>'3-FInancial Statements'!G34/'3-FInancial Statements'!G22</f>
        <v>0.2072960305280187</v>
      </c>
      <c r="H23" s="135">
        <f>'3-FInancial Statements'!H34/'3-FInancial Statements'!H22</f>
        <v>0.17161444541459722</v>
      </c>
      <c r="I23" s="135">
        <f>'3-FInancial Statements'!I34/'3-FInancial Statements'!I22</f>
        <v>0.17282124742414709</v>
      </c>
      <c r="J23" s="135">
        <f>'3-FInancial Statements'!J34/'3-FInancial Statements'!J22</f>
        <v>0.19745582509525741</v>
      </c>
      <c r="K23" s="135">
        <f>'3-FInancial Statements'!K34/'3-FInancial Statements'!K22</f>
        <v>0.24476669158718303</v>
      </c>
      <c r="L23" s="135">
        <f>'3-FInancial Statements'!L34/'3-FInancial Statements'!L22</f>
        <v>0.21387186073931563</v>
      </c>
      <c r="M23" s="135">
        <f>'3-FInancial Statements'!M34/'3-FInancial Statements'!M22</f>
        <v>0.24117213900237053</v>
      </c>
      <c r="N23" s="135">
        <f>'3-FInancial Statements'!N34/'3-FInancial Statements'!N22</f>
        <v>0.18695941399792368</v>
      </c>
    </row>
    <row r="24" spans="2:15" x14ac:dyDescent="0.3">
      <c r="E24" s="32"/>
    </row>
    <row r="25" spans="2:15" ht="15.6" x14ac:dyDescent="0.3">
      <c r="B25" s="56"/>
      <c r="C25" s="56"/>
      <c r="D25" s="56"/>
      <c r="E25" s="261" t="s">
        <v>731</v>
      </c>
      <c r="F25" s="261"/>
      <c r="G25" s="261"/>
      <c r="H25" s="261"/>
      <c r="I25" s="261"/>
      <c r="J25" s="261"/>
      <c r="K25" s="261"/>
      <c r="L25" s="261"/>
      <c r="M25" s="261"/>
      <c r="N25" s="261"/>
      <c r="O25" s="267" t="s">
        <v>716</v>
      </c>
    </row>
    <row r="26" spans="2:15" ht="15.6" x14ac:dyDescent="0.3">
      <c r="B26" s="46" t="s">
        <v>783</v>
      </c>
      <c r="C26" s="46"/>
      <c r="D26" s="58" t="s">
        <v>732</v>
      </c>
      <c r="E26" s="61">
        <f>+'3-FInancial Statements'!E$20</f>
        <v>42094</v>
      </c>
      <c r="F26" s="61">
        <f>+'3-FInancial Statements'!F$20</f>
        <v>42460</v>
      </c>
      <c r="G26" s="61">
        <f>+'3-FInancial Statements'!G$20</f>
        <v>42825</v>
      </c>
      <c r="H26" s="61">
        <f>+'3-FInancial Statements'!H$20</f>
        <v>43190</v>
      </c>
      <c r="I26" s="61">
        <f>+'3-FInancial Statements'!I$20</f>
        <v>43555</v>
      </c>
      <c r="J26" s="61">
        <f>+'3-FInancial Statements'!J$20</f>
        <v>43921</v>
      </c>
      <c r="K26" s="61">
        <f>+'3-FInancial Statements'!K$20</f>
        <v>44286</v>
      </c>
      <c r="L26" s="61">
        <f>+'3-FInancial Statements'!L$20</f>
        <v>44651</v>
      </c>
      <c r="M26" s="61">
        <f>+'3-FInancial Statements'!M$20</f>
        <v>45016</v>
      </c>
      <c r="N26" s="61">
        <f>+'3-FInancial Statements'!N$20</f>
        <v>45382</v>
      </c>
      <c r="O26" s="273"/>
    </row>
    <row r="27" spans="2:15" x14ac:dyDescent="0.3">
      <c r="B27" s="152" t="s">
        <v>782</v>
      </c>
      <c r="C27" s="152"/>
      <c r="D27" s="152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</row>
    <row r="28" spans="2:15" x14ac:dyDescent="0.3"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2:15" x14ac:dyDescent="0.3">
      <c r="C29" s="23" t="s">
        <v>30</v>
      </c>
      <c r="D29" s="73" t="s">
        <v>736</v>
      </c>
      <c r="E29" s="139">
        <f>'3-FInancial Statements'!E75/'3-FInancial Statements'!E75</f>
        <v>1</v>
      </c>
      <c r="F29" s="139">
        <f>'3-FInancial Statements'!F75/'3-FInancial Statements'!F75</f>
        <v>1</v>
      </c>
      <c r="G29" s="139">
        <f>'3-FInancial Statements'!G75/'3-FInancial Statements'!G75</f>
        <v>1</v>
      </c>
      <c r="H29" s="139">
        <f>'3-FInancial Statements'!H75/'3-FInancial Statements'!H75</f>
        <v>1</v>
      </c>
      <c r="I29" s="139">
        <f>'3-FInancial Statements'!I75/'3-FInancial Statements'!I75</f>
        <v>1</v>
      </c>
      <c r="J29" s="139">
        <f>'3-FInancial Statements'!J75/'3-FInancial Statements'!J75</f>
        <v>1</v>
      </c>
      <c r="K29" s="139">
        <f>'3-FInancial Statements'!K75/'3-FInancial Statements'!K75</f>
        <v>1</v>
      </c>
      <c r="L29" s="139">
        <f>'3-FInancial Statements'!L75/'3-FInancial Statements'!L75</f>
        <v>1</v>
      </c>
      <c r="M29" s="139">
        <f>'3-FInancial Statements'!M75/'3-FInancial Statements'!M75</f>
        <v>1</v>
      </c>
      <c r="N29" s="139">
        <f>'3-FInancial Statements'!N75/'3-FInancial Statements'!N75</f>
        <v>1</v>
      </c>
    </row>
    <row r="30" spans="2:15" x14ac:dyDescent="0.3">
      <c r="C30" s="95" t="s">
        <v>26</v>
      </c>
      <c r="D30" s="73" t="s">
        <v>736</v>
      </c>
      <c r="E30" s="135">
        <f>'3-FInancial Statements'!E66/'3-FInancial Statements'!E75</f>
        <v>9.9334877862634341E-3</v>
      </c>
      <c r="F30" s="135">
        <f>'3-FInancial Statements'!F66/'3-FInancial Statements'!F75</f>
        <v>9.097220708786196E-3</v>
      </c>
      <c r="G30" s="135">
        <f>'3-FInancial Statements'!G66/'3-FInancial Statements'!G75</f>
        <v>8.3865144159360992E-3</v>
      </c>
      <c r="H30" s="135">
        <f>'3-FInancial Statements'!H66/'3-FInancial Statements'!H75</f>
        <v>6.987914638389766E-3</v>
      </c>
      <c r="I30" s="135">
        <f>'3-FInancial Statements'!I66/'3-FInancial Statements'!I75</f>
        <v>5.9163219692755795E-3</v>
      </c>
      <c r="J30" s="135">
        <f>'3-FInancial Statements'!J66/'3-FInancial Statements'!J75</f>
        <v>5.3855005753739929E-3</v>
      </c>
      <c r="K30" s="135">
        <f>'3-FInancial Statements'!K66/'3-FInancial Statements'!K75</f>
        <v>4.6672403256999501E-3</v>
      </c>
      <c r="L30" s="135">
        <f>'3-FInancial Statements'!L66/'3-FInancial Statements'!L75</f>
        <v>1.8867098720520951E-2</v>
      </c>
      <c r="M30" s="135">
        <f>'3-FInancial Statements'!M66/'3-FInancial Statements'!M75</f>
        <v>1.5875430391009332E-2</v>
      </c>
      <c r="N30" s="135">
        <f>'3-FInancial Statements'!N66/'3-FInancial Statements'!N75</f>
        <v>1.4541628736730228E-2</v>
      </c>
    </row>
    <row r="31" spans="2:15" x14ac:dyDescent="0.3">
      <c r="C31" s="95" t="s">
        <v>27</v>
      </c>
      <c r="D31" s="73" t="s">
        <v>736</v>
      </c>
      <c r="E31" s="135">
        <f>'3-FInancial Statements'!E70/'3-FInancial Statements'!E75</f>
        <v>0.38039275011770946</v>
      </c>
      <c r="F31" s="135">
        <f>'3-FInancial Statements'!F70/'3-FInancial Statements'!F75</f>
        <v>0.42100953620363829</v>
      </c>
      <c r="G31" s="135">
        <f>'3-FInancial Statements'!G70/'3-FInancial Statements'!G75</f>
        <v>0.44834558638870431</v>
      </c>
      <c r="H31" s="135">
        <f>'3-FInancial Statements'!H70/'3-FInancial Statements'!H75</f>
        <v>0.4192378103099243</v>
      </c>
      <c r="I31" s="135">
        <f>'3-FInancial Statements'!I70/'3-FInancial Statements'!I75</f>
        <v>0.41169206808321285</v>
      </c>
      <c r="J31" s="135">
        <f>'3-FInancial Statements'!J70/'3-FInancial Statements'!J75</f>
        <v>0.44877514384349826</v>
      </c>
      <c r="K31" s="135">
        <f>'3-FInancial Statements'!K70/'3-FInancial Statements'!K75</f>
        <v>0.52637424513622588</v>
      </c>
      <c r="L31" s="135">
        <f>'3-FInancial Statements'!L70/'3-FInancial Statements'!L75</f>
        <v>0.52444749480019359</v>
      </c>
      <c r="M31" s="135">
        <f>'3-FInancial Statements'!M70/'3-FInancial Statements'!M75</f>
        <v>0.53531594743131761</v>
      </c>
      <c r="N31" s="135">
        <f>'3-FInancial Statements'!N70/'3-FInancial Statements'!N75</f>
        <v>0.54665944408972555</v>
      </c>
    </row>
    <row r="32" spans="2:15" x14ac:dyDescent="0.3">
      <c r="C32" s="95" t="s">
        <v>28</v>
      </c>
      <c r="D32" s="73" t="s">
        <v>736</v>
      </c>
      <c r="E32" s="135">
        <f>'3-FInancial Statements'!E71/'3-FInancial Statements'!E75</f>
        <v>0.41387662689758681</v>
      </c>
      <c r="F32" s="135">
        <f>'3-FInancial Statements'!F71/'3-FInancial Statements'!F75</f>
        <v>0.39154319623159622</v>
      </c>
      <c r="G32" s="135">
        <f>'3-FInancial Statements'!G71/'3-FInancial Statements'!G75</f>
        <v>0.34387148714254351</v>
      </c>
      <c r="H32" s="135">
        <f>'3-FInancial Statements'!H71/'3-FInancial Statements'!H75</f>
        <v>0.3756829179924453</v>
      </c>
      <c r="I32" s="135">
        <f>'3-FInancial Statements'!I71/'3-FInancial Statements'!I75</f>
        <v>0.37724794951405255</v>
      </c>
      <c r="J32" s="135">
        <f>'3-FInancial Statements'!J71/'3-FInancial Statements'!J75</f>
        <v>0.38062232451093214</v>
      </c>
      <c r="K32" s="135">
        <f>'3-FInancial Statements'!K71/'3-FInancial Statements'!K75</f>
        <v>0.26864824296912698</v>
      </c>
      <c r="L32" s="135">
        <f>'3-FInancial Statements'!L71/'3-FInancial Statements'!L75</f>
        <v>0.23185459444681608</v>
      </c>
      <c r="M32" s="135">
        <f>'3-FInancial Statements'!M71/'3-FInancial Statements'!M75</f>
        <v>0.23898169660656271</v>
      </c>
      <c r="N32" s="135">
        <f>'3-FInancial Statements'!N71/'3-FInancial Statements'!N75</f>
        <v>0.24593950048840399</v>
      </c>
    </row>
    <row r="33" spans="3:14" x14ac:dyDescent="0.3">
      <c r="C33" s="95" t="s">
        <v>29</v>
      </c>
      <c r="D33" s="73" t="s">
        <v>736</v>
      </c>
      <c r="E33" s="135">
        <f>'3-FInancial Statements'!E72/'3-FInancial Statements'!E75</f>
        <v>0.1957971351984403</v>
      </c>
      <c r="F33" s="135">
        <f>'3-FInancial Statements'!F72/'3-FInancial Statements'!F75</f>
        <v>0.17835004685597938</v>
      </c>
      <c r="G33" s="135">
        <f>'3-FInancial Statements'!G72/'3-FInancial Statements'!G75</f>
        <v>0.19939641205281611</v>
      </c>
      <c r="H33" s="135">
        <f>'3-FInancial Statements'!H72/'3-FInancial Statements'!H75</f>
        <v>0.19809135705924064</v>
      </c>
      <c r="I33" s="135">
        <f>'3-FInancial Statements'!I72/'3-FInancial Statements'!I75</f>
        <v>0.20514366043345908</v>
      </c>
      <c r="J33" s="135">
        <f>'3-FInancial Statements'!J72/'3-FInancial Statements'!J75</f>
        <v>0.16521703107019564</v>
      </c>
      <c r="K33" s="135">
        <f>'3-FInancial Statements'!K72/'3-FInancial Statements'!K75</f>
        <v>0.20031027156894715</v>
      </c>
      <c r="L33" s="135">
        <f>'3-FInancial Statements'!L72/'3-FInancial Statements'!L75</f>
        <v>0.22483081203246938</v>
      </c>
      <c r="M33" s="135">
        <f>'3-FInancial Statements'!M72/'3-FInancial Statements'!M75</f>
        <v>0.20982692557111041</v>
      </c>
      <c r="N33" s="135">
        <f>'3-FInancial Statements'!N72/'3-FInancial Statements'!N75</f>
        <v>0.19285942668514033</v>
      </c>
    </row>
    <row r="34" spans="3:14" x14ac:dyDescent="0.3">
      <c r="C34" s="13"/>
      <c r="D34" s="73"/>
    </row>
    <row r="35" spans="3:14" x14ac:dyDescent="0.3">
      <c r="C35" s="9" t="s">
        <v>39</v>
      </c>
      <c r="D35" s="73" t="s">
        <v>736</v>
      </c>
      <c r="E35" s="139">
        <f>'3-FInancial Statements'!E92/'3-FInancial Statements'!E92</f>
        <v>1</v>
      </c>
      <c r="F35" s="139">
        <f>'3-FInancial Statements'!F92/'3-FInancial Statements'!F92</f>
        <v>1</v>
      </c>
      <c r="G35" s="139">
        <f>'3-FInancial Statements'!G92/'3-FInancial Statements'!G92</f>
        <v>1</v>
      </c>
      <c r="H35" s="139">
        <f>'3-FInancial Statements'!H92/'3-FInancial Statements'!H92</f>
        <v>1</v>
      </c>
      <c r="I35" s="139">
        <f>'3-FInancial Statements'!I92/'3-FInancial Statements'!I92</f>
        <v>1</v>
      </c>
      <c r="J35" s="139">
        <f>'3-FInancial Statements'!J92/'3-FInancial Statements'!J92</f>
        <v>1</v>
      </c>
      <c r="K35" s="139">
        <f>'3-FInancial Statements'!K92/'3-FInancial Statements'!K92</f>
        <v>1</v>
      </c>
      <c r="L35" s="139">
        <f>'3-FInancial Statements'!L92/'3-FInancial Statements'!L92</f>
        <v>1</v>
      </c>
      <c r="M35" s="139">
        <f>'3-FInancial Statements'!M92/'3-FInancial Statements'!M92</f>
        <v>1</v>
      </c>
      <c r="N35" s="139">
        <f>'3-FInancial Statements'!N92/'3-FInancial Statements'!N92</f>
        <v>1</v>
      </c>
    </row>
    <row r="36" spans="3:14" x14ac:dyDescent="0.3">
      <c r="C36" s="95" t="s">
        <v>122</v>
      </c>
      <c r="D36" s="73" t="s">
        <v>736</v>
      </c>
      <c r="E36" s="135">
        <f>'3-FInancial Statements'!E80/'3-FInancial Statements'!E92</f>
        <v>0.66670802786951844</v>
      </c>
      <c r="F36" s="135">
        <f>'3-FInancial Statements'!F80/'3-FInancial Statements'!F92</f>
        <v>0.64018655217825826</v>
      </c>
      <c r="G36" s="135">
        <f>'3-FInancial Statements'!G80/'3-FInancial Statements'!G92</f>
        <v>0.63213280656914927</v>
      </c>
      <c r="H36" s="135">
        <f>'3-FInancial Statements'!H80/'3-FInancial Statements'!H92</f>
        <v>0.61240988591428203</v>
      </c>
      <c r="I36" s="135">
        <f>'3-FInancial Statements'!I80/'3-FInancial Statements'!I92</f>
        <v>0.56729841523478186</v>
      </c>
      <c r="J36" s="135">
        <f>'3-FInancial Statements'!J80/'3-FInancial Statements'!J92</f>
        <v>0.58619930955120825</v>
      </c>
      <c r="K36" s="135">
        <f>'3-FInancial Statements'!K80/'3-FInancial Statements'!K92</f>
        <v>0.60621147261268638</v>
      </c>
      <c r="L36" s="135">
        <f>'3-FInancial Statements'!L80/'3-FInancial Statements'!L92</f>
        <v>0.5344297276056279</v>
      </c>
      <c r="M36" s="135">
        <f>'3-FInancial Statements'!M80/'3-FInancial Statements'!M92</f>
        <v>0.5363935595197874</v>
      </c>
      <c r="N36" s="135">
        <f>'3-FInancial Statements'!N80/'3-FInancial Statements'!N92</f>
        <v>0.64737332541978787</v>
      </c>
    </row>
    <row r="37" spans="3:14" x14ac:dyDescent="0.3">
      <c r="C37" s="95" t="s">
        <v>32</v>
      </c>
      <c r="D37" s="73" t="s">
        <v>736</v>
      </c>
      <c r="E37" s="135">
        <f>'3-FInancial Statements'!E81/'3-FInancial Statements'!E92</f>
        <v>1.7698062085998442E-2</v>
      </c>
      <c r="F37" s="135">
        <f>'3-FInancial Statements'!F81/'3-FInancial Statements'!F92</f>
        <v>1.8281615332646318E-2</v>
      </c>
      <c r="G37" s="135">
        <f>'3-FInancial Statements'!G81/'3-FInancial Statements'!G92</f>
        <v>3.71078866816009E-2</v>
      </c>
      <c r="H37" s="135">
        <f>'3-FInancial Statements'!H81/'3-FInancial Statements'!H92</f>
        <v>6.6819243310721851E-2</v>
      </c>
      <c r="I37" s="135">
        <f>'3-FInancial Statements'!I81/'3-FInancial Statements'!I92</f>
        <v>7.6215374346423392E-2</v>
      </c>
      <c r="J37" s="135">
        <f>'3-FInancial Statements'!J81/'3-FInancial Statements'!J92</f>
        <v>0.12826605293440735</v>
      </c>
      <c r="K37" s="135">
        <f>'3-FInancial Statements'!K81/'3-FInancial Statements'!K92</f>
        <v>5.9812861167026943E-2</v>
      </c>
      <c r="L37" s="135">
        <f>'3-FInancial Statements'!L81/'3-FInancial Statements'!L92</f>
        <v>0.10603418583305688</v>
      </c>
      <c r="M37" s="135">
        <f>'3-FInancial Statements'!M81/'3-FInancial Statements'!M92</f>
        <v>0.1283922230459541</v>
      </c>
      <c r="N37" s="135">
        <f>'3-FInancial Statements'!N81/'3-FInancial Statements'!N92</f>
        <v>3.9372007364681792E-2</v>
      </c>
    </row>
    <row r="38" spans="3:14" x14ac:dyDescent="0.3">
      <c r="C38" s="95" t="s">
        <v>33</v>
      </c>
      <c r="D38" s="73" t="s">
        <v>736</v>
      </c>
      <c r="E38" s="135">
        <f>'3-FInancial Statements'!E82/'3-FInancial Statements'!E92</f>
        <v>1.6023783258231585E-2</v>
      </c>
      <c r="F38" s="135">
        <f>'3-FInancial Statements'!F82/'3-FInancial Statements'!F92</f>
        <v>2.5674274666326272E-2</v>
      </c>
      <c r="G38" s="135">
        <f>'3-FInancial Statements'!G82/'3-FInancial Statements'!G92</f>
        <v>2.8110034972511348E-2</v>
      </c>
      <c r="H38" s="135">
        <f>'3-FInancial Statements'!H82/'3-FInancial Statements'!H92</f>
        <v>1.4566525688717339E-2</v>
      </c>
      <c r="I38" s="135">
        <f>'3-FInancial Statements'!I82/'3-FInancial Statements'!I92</f>
        <v>1.0174051112976465E-2</v>
      </c>
      <c r="J38" s="135">
        <f>'3-FInancial Statements'!J82/'3-FInancial Statements'!J92</f>
        <v>1.8656846950517836E-2</v>
      </c>
      <c r="K38" s="135">
        <f>'3-FInancial Statements'!K82/'3-FInancial Statements'!K92</f>
        <v>3.2272580466522656E-2</v>
      </c>
      <c r="L38" s="135">
        <f>'3-FInancial Statements'!L82/'3-FInancial Statements'!L92</f>
        <v>2.0355204341766985E-2</v>
      </c>
      <c r="M38" s="135">
        <f>'3-FInancial Statements'!M82/'3-FInancial Statements'!M92</f>
        <v>2.6377744935249872E-2</v>
      </c>
      <c r="N38" s="135">
        <f>'3-FInancial Statements'!N82/'3-FInancial Statements'!N92</f>
        <v>2.5749986066553963E-2</v>
      </c>
    </row>
    <row r="39" spans="3:14" x14ac:dyDescent="0.3">
      <c r="C39" s="95" t="s">
        <v>34</v>
      </c>
      <c r="D39" s="73" t="s">
        <v>736</v>
      </c>
      <c r="E39" s="135">
        <f>'3-FInancial Statements'!E83/'3-FInancial Statements'!E92</f>
        <v>4.7755191539197717E-2</v>
      </c>
      <c r="F39" s="135">
        <f>'3-FInancial Statements'!F83/'3-FInancial Statements'!F92</f>
        <v>7.0718281926668042E-2</v>
      </c>
      <c r="G39" s="135">
        <f>'3-FInancial Statements'!G83/'3-FInancial Statements'!G92</f>
        <v>7.4309052527650091E-2</v>
      </c>
      <c r="H39" s="135">
        <f>'3-FInancial Statements'!H83/'3-FInancial Statements'!H92</f>
        <v>9.8674998595003477E-2</v>
      </c>
      <c r="I39" s="135">
        <f>'3-FInancial Statements'!I83/'3-FInancial Statements'!I92</f>
        <v>9.829488566834213E-2</v>
      </c>
      <c r="J39" s="135">
        <f>'3-FInancial Statements'!J83/'3-FInancial Statements'!J92</f>
        <v>6.2710241657077101E-2</v>
      </c>
      <c r="K39" s="135">
        <f>'3-FInancial Statements'!K83/'3-FInancial Statements'!K92</f>
        <v>6.7614572385210736E-2</v>
      </c>
      <c r="L39" s="135">
        <f>'3-FInancial Statements'!L83/'3-FInancial Statements'!L92</f>
        <v>6.0698978307022894E-2</v>
      </c>
      <c r="M39" s="135">
        <f>'3-FInancial Statements'!M83/'3-FInancial Statements'!M92</f>
        <v>5.924197808802046E-2</v>
      </c>
      <c r="N39" s="135">
        <f>'3-FInancial Statements'!N83/'3-FInancial Statements'!N92</f>
        <v>5.8857809427614018E-2</v>
      </c>
    </row>
    <row r="40" spans="3:14" x14ac:dyDescent="0.3">
      <c r="C40" s="95" t="s">
        <v>35</v>
      </c>
      <c r="D40" s="73" t="s">
        <v>736</v>
      </c>
      <c r="E40" s="135">
        <f>'3-FInancial Statements'!E87/'3-FInancial Statements'!E92</f>
        <v>0.10379848821970616</v>
      </c>
      <c r="F40" s="135">
        <f>'3-FInancial Statements'!F87/'3-FInancial Statements'!F92</f>
        <v>8.0087921120060274E-2</v>
      </c>
      <c r="G40" s="135">
        <f>'3-FInancial Statements'!G87/'3-FInancial Statements'!G92</f>
        <v>9.4267923591448741E-2</v>
      </c>
      <c r="H40" s="135">
        <f>'3-FInancial Statements'!H87/'3-FInancial Statements'!H92</f>
        <v>8.1388160482888328E-2</v>
      </c>
      <c r="I40" s="135">
        <f>'3-FInancial Statements'!I87/'3-FInancial Statements'!I92</f>
        <v>0.10404130300670515</v>
      </c>
      <c r="J40" s="135">
        <f>'3-FInancial Statements'!J87/'3-FInancial Statements'!J92</f>
        <v>8.2031760644418875E-2</v>
      </c>
      <c r="K40" s="135">
        <f>'3-FInancial Statements'!K87/'3-FInancial Statements'!K92</f>
        <v>9.8716857443148495E-2</v>
      </c>
      <c r="L40" s="135">
        <f>'3-FInancial Statements'!L87/'3-FInancial Statements'!L92</f>
        <v>0.11369799321408612</v>
      </c>
      <c r="M40" s="135">
        <f>'3-FInancial Statements'!M87/'3-FInancial Statements'!M92</f>
        <v>9.5304888430587958E-2</v>
      </c>
      <c r="N40" s="135">
        <f>'3-FInancial Statements'!N87/'3-FInancial Statements'!N92</f>
        <v>9.4983079418686847E-2</v>
      </c>
    </row>
    <row r="41" spans="3:14" x14ac:dyDescent="0.3">
      <c r="C41" s="95" t="s">
        <v>36</v>
      </c>
      <c r="D41" s="73" t="s">
        <v>736</v>
      </c>
      <c r="E41" s="135">
        <f>'3-FInancial Statements'!E88/'3-FInancial Statements'!E92</f>
        <v>0.1297778563451768</v>
      </c>
      <c r="F41" s="135">
        <f>'3-FInancial Statements'!F88/'3-FInancial Statements'!F92</f>
        <v>0.1044608137684972</v>
      </c>
      <c r="G41" s="135">
        <f>'3-FInancial Statements'!G88/'3-FInancial Statements'!G92</f>
        <v>0.12027845983183919</v>
      </c>
      <c r="H41" s="135">
        <f>'3-FInancial Statements'!H88/'3-FInancial Statements'!H92</f>
        <v>0.11457358056489229</v>
      </c>
      <c r="I41" s="135">
        <f>'3-FInancial Statements'!I88/'3-FInancial Statements'!I92</f>
        <v>0.12386249860941148</v>
      </c>
      <c r="J41" s="135">
        <f>'3-FInancial Statements'!J88/'3-FInancial Statements'!J92</f>
        <v>0.11058504027617952</v>
      </c>
      <c r="K41" s="135">
        <f>'3-FInancial Statements'!K88/'3-FInancial Statements'!K92</f>
        <v>0.11353027238993529</v>
      </c>
      <c r="L41" s="135">
        <f>'3-FInancial Statements'!L88/'3-FInancial Statements'!L92</f>
        <v>0.13564659965328277</v>
      </c>
      <c r="M41" s="135">
        <f>'3-FInancial Statements'!M88/'3-FInancial Statements'!M92</f>
        <v>0.12138694386756527</v>
      </c>
      <c r="N41" s="135">
        <f>'3-FInancial Statements'!N88/'3-FInancial Statements'!N92</f>
        <v>0.11373945335913382</v>
      </c>
    </row>
    <row r="42" spans="3:14" x14ac:dyDescent="0.3">
      <c r="C42" s="97" t="s">
        <v>37</v>
      </c>
      <c r="D42" s="73" t="s">
        <v>736</v>
      </c>
      <c r="E42" s="135">
        <f>'3-FInancial Statements'!E89/'3-FInancial Statements'!E92</f>
        <v>1.8238590682170885E-2</v>
      </c>
      <c r="F42" s="135">
        <f>'3-FInancial Statements'!F89/'3-FInancial Statements'!F92</f>
        <v>6.0590541007543658E-2</v>
      </c>
      <c r="G42" s="135">
        <f>'3-FInancial Statements'!G89/'3-FInancial Statements'!G92</f>
        <v>1.3793835825800444E-2</v>
      </c>
      <c r="H42" s="135">
        <f>'3-FInancial Statements'!H89/'3-FInancial Statements'!H92</f>
        <v>1.1567605443494626E-2</v>
      </c>
      <c r="I42" s="135">
        <f>'3-FInancial Statements'!I89/'3-FInancial Statements'!I92</f>
        <v>2.0113472021359435E-2</v>
      </c>
      <c r="J42" s="135">
        <f>'3-FInancial Statements'!J89/'3-FInancial Statements'!J92</f>
        <v>1.1550747986191025E-2</v>
      </c>
      <c r="K42" s="135">
        <f>'3-FInancial Statements'!K89/'3-FInancial Statements'!K92</f>
        <v>2.18413835354694E-2</v>
      </c>
      <c r="L42" s="135">
        <f>'3-FInancial Statements'!L89/'3-FInancial Statements'!L92</f>
        <v>2.9137311045156329E-2</v>
      </c>
      <c r="M42" s="135">
        <f>'3-FInancial Statements'!M89/'3-FInancial Statements'!M92</f>
        <v>3.29026621128349E-2</v>
      </c>
      <c r="N42" s="135">
        <f>'3-FInancial Statements'!N89/'3-FInancial Statements'!N92</f>
        <v>1.9924338943541675E-2</v>
      </c>
    </row>
    <row r="43" spans="3:14" x14ac:dyDescent="0.3">
      <c r="C43" s="8"/>
      <c r="D43" s="8"/>
      <c r="E43" s="32"/>
    </row>
    <row r="44" spans="3:14" x14ac:dyDescent="0.3">
      <c r="E44" s="32"/>
      <c r="F44" s="32"/>
      <c r="G44" s="32"/>
      <c r="H44" s="32"/>
      <c r="I44" s="32"/>
      <c r="J44" s="32"/>
      <c r="K44" s="32"/>
      <c r="L44" s="32"/>
      <c r="M44" s="32"/>
      <c r="N44" s="32"/>
    </row>
  </sheetData>
  <mergeCells count="4">
    <mergeCell ref="E25:N25"/>
    <mergeCell ref="O25:O26"/>
    <mergeCell ref="E5:N5"/>
    <mergeCell ref="O5:O6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last="1" negative="1" xr2:uid="{00000000-0003-0000-0800-000002000000}">
          <x14:colorSeries theme="8" tint="-0.499984740745262"/>
          <x14:colorNegative rgb="FFC00000"/>
          <x14:colorAxis rgb="FF000000"/>
          <x14:colorMarkers rgb="FFC00000"/>
          <x14:colorFirst rgb="FF000000"/>
          <x14:colorLast rgb="FFC00000"/>
          <x14:colorHigh rgb="FFC00000"/>
          <x14:colorLow rgb="FFC00000"/>
          <x14:sparklines>
            <x14:sparkline>
              <xm:f>'Common Size Statements'!E10:N10</xm:f>
              <xm:sqref>O10</xm:sqref>
            </x14:sparkline>
            <x14:sparkline>
              <xm:f>'Common Size Statements'!E11:N11</xm:f>
              <xm:sqref>O11</xm:sqref>
            </x14:sparkline>
            <x14:sparkline>
              <xm:f>'Common Size Statements'!E12:N12</xm:f>
              <xm:sqref>O12</xm:sqref>
            </x14:sparkline>
            <x14:sparkline>
              <xm:f>'Common Size Statements'!E13:N13</xm:f>
              <xm:sqref>O13</xm:sqref>
            </x14:sparkline>
            <x14:sparkline>
              <xm:f>'Common Size Statements'!E14:N14</xm:f>
              <xm:sqref>O14</xm:sqref>
            </x14:sparkline>
            <x14:sparkline>
              <xm:f>'Common Size Statements'!E15:N15</xm:f>
              <xm:sqref>O15</xm:sqref>
            </x14:sparkline>
            <x14:sparkline>
              <xm:f>'Common Size Statements'!E16:N16</xm:f>
              <xm:sqref>O16</xm:sqref>
            </x14:sparkline>
            <x14:sparkline>
              <xm:f>'Common Size Statements'!E17:N17</xm:f>
              <xm:sqref>O17</xm:sqref>
            </x14:sparkline>
            <x14:sparkline>
              <xm:f>'Common Size Statements'!E18:N18</xm:f>
              <xm:sqref>O18</xm:sqref>
            </x14:sparkline>
            <x14:sparkline>
              <xm:f>'Common Size Statements'!E19:N19</xm:f>
              <xm:sqref>O19</xm:sqref>
            </x14:sparkline>
            <x14:sparkline>
              <xm:f>'Common Size Statements'!E20:N20</xm:f>
              <xm:sqref>O20</xm:sqref>
            </x14:sparkline>
            <x14:sparkline>
              <xm:f>'Common Size Statements'!E21:N21</xm:f>
              <xm:sqref>O21</xm:sqref>
            </x14:sparkline>
            <x14:sparkline>
              <xm:f>'Common Size Statements'!E22:N22</xm:f>
              <xm:sqref>O22</xm:sqref>
            </x14:sparkline>
            <x14:sparkline>
              <xm:f>'Common Size Statements'!E23:N23</xm:f>
              <xm:sqref>O23</xm:sqref>
            </x14:sparkline>
            <x14:sparkline>
              <xm:f>'Common Size Statements'!E24:N24</xm:f>
              <xm:sqref>O24</xm:sqref>
            </x14:sparkline>
            <x14:sparkline>
              <xm:f>'Common Size Statements'!E28:N28</xm:f>
              <xm:sqref>O28</xm:sqref>
            </x14:sparkline>
            <x14:sparkline>
              <xm:f>'Common Size Statements'!E30:N30</xm:f>
              <xm:sqref>O30</xm:sqref>
            </x14:sparkline>
            <x14:sparkline>
              <xm:f>'Common Size Statements'!E31:N31</xm:f>
              <xm:sqref>O31</xm:sqref>
            </x14:sparkline>
            <x14:sparkline>
              <xm:f>'Common Size Statements'!E32:N32</xm:f>
              <xm:sqref>O32</xm:sqref>
            </x14:sparkline>
            <x14:sparkline>
              <xm:f>'Common Size Statements'!E33:N33</xm:f>
              <xm:sqref>O33</xm:sqref>
            </x14:sparkline>
            <x14:sparkline>
              <xm:f>'Common Size Statements'!E34:N34</xm:f>
              <xm:sqref>O34</xm:sqref>
            </x14:sparkline>
            <x14:sparkline>
              <xm:f>'Common Size Statements'!E36:N36</xm:f>
              <xm:sqref>O36</xm:sqref>
            </x14:sparkline>
            <x14:sparkline>
              <xm:f>'Common Size Statements'!E37:N37</xm:f>
              <xm:sqref>O37</xm:sqref>
            </x14:sparkline>
            <x14:sparkline>
              <xm:f>'Common Size Statements'!E38:N38</xm:f>
              <xm:sqref>O38</xm:sqref>
            </x14:sparkline>
            <x14:sparkline>
              <xm:f>'Common Size Statements'!E39:N39</xm:f>
              <xm:sqref>O39</xm:sqref>
            </x14:sparkline>
            <x14:sparkline>
              <xm:f>'Common Size Statements'!E40:N40</xm:f>
              <xm:sqref>O40</xm:sqref>
            </x14:sparkline>
            <x14:sparkline>
              <xm:f>'Common Size Statements'!E41:N41</xm:f>
              <xm:sqref>O41</xm:sqref>
            </x14:sparkline>
            <x14:sparkline>
              <xm:f>'Common Size Statements'!E42:N42</xm:f>
              <xm:sqref>O42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rgb="FFFFFF66"/>
  </sheetPr>
  <dimension ref="B2:N68"/>
  <sheetViews>
    <sheetView showGridLines="0" topLeftCell="A41" zoomScale="85" workbookViewId="0">
      <selection activeCell="D57" sqref="D57"/>
    </sheetView>
  </sheetViews>
  <sheetFormatPr defaultColWidth="10" defaultRowHeight="14.4" x14ac:dyDescent="0.3"/>
  <cols>
    <col min="1" max="2" width="2.6640625" customWidth="1"/>
    <col min="3" max="3" width="39.77734375" customWidth="1"/>
    <col min="5" max="9" width="13.77734375" customWidth="1"/>
  </cols>
  <sheetData>
    <row r="2" spans="2:9" ht="18" x14ac:dyDescent="0.35">
      <c r="B2" s="155" t="str">
        <f>Company_Name&amp;" - Calculation of ROIC"</f>
        <v>SRF LTD - Calculation of ROIC</v>
      </c>
    </row>
    <row r="3" spans="2:9" ht="15.6" x14ac:dyDescent="0.3">
      <c r="B3" s="48" t="s">
        <v>778</v>
      </c>
    </row>
    <row r="5" spans="2:9" ht="15.6" x14ac:dyDescent="0.3">
      <c r="B5" s="56"/>
      <c r="C5" s="56"/>
      <c r="D5" s="56"/>
      <c r="E5" s="261" t="s">
        <v>731</v>
      </c>
      <c r="F5" s="261"/>
      <c r="G5" s="261"/>
      <c r="H5" s="261"/>
      <c r="I5" s="261"/>
    </row>
    <row r="6" spans="2:9" ht="15.6" x14ac:dyDescent="0.3">
      <c r="B6" s="46" t="s">
        <v>784</v>
      </c>
      <c r="C6" s="46"/>
      <c r="D6" s="58" t="s">
        <v>732</v>
      </c>
      <c r="E6" s="61">
        <f>+'3-FInancial Statements'!J$20</f>
        <v>43921</v>
      </c>
      <c r="F6" s="61">
        <f>+'3-FInancial Statements'!K$20</f>
        <v>44286</v>
      </c>
      <c r="G6" s="61">
        <f>+'3-FInancial Statements'!L$20</f>
        <v>44651</v>
      </c>
      <c r="H6" s="61">
        <f>+'3-FInancial Statements'!M$20</f>
        <v>45016</v>
      </c>
      <c r="I6" s="61">
        <f>+'3-FInancial Statements'!N$20</f>
        <v>45382</v>
      </c>
    </row>
    <row r="8" spans="2:9" x14ac:dyDescent="0.3">
      <c r="B8" s="192"/>
      <c r="C8" s="192" t="s">
        <v>123</v>
      </c>
      <c r="D8" s="167"/>
      <c r="E8" s="167"/>
      <c r="F8" s="167"/>
      <c r="G8" s="167"/>
      <c r="H8" s="167"/>
      <c r="I8" s="167"/>
    </row>
    <row r="9" spans="2:9" x14ac:dyDescent="0.3">
      <c r="C9" s="173" t="s">
        <v>124</v>
      </c>
      <c r="D9" s="74" t="s">
        <v>735</v>
      </c>
      <c r="E9" s="65">
        <f>'RAW FS'!B28</f>
        <v>1201</v>
      </c>
      <c r="F9" s="65">
        <f>'RAW FS'!C28</f>
        <v>1466</v>
      </c>
      <c r="G9" s="65">
        <f>'RAW FS'!D28</f>
        <v>2138</v>
      </c>
      <c r="H9" s="65">
        <f>'RAW FS'!E28</f>
        <v>2274</v>
      </c>
      <c r="I9" s="65">
        <f>'RAW FS'!F28</f>
        <v>2326</v>
      </c>
    </row>
    <row r="10" spans="2:9" x14ac:dyDescent="0.3">
      <c r="C10" s="173" t="s">
        <v>125</v>
      </c>
      <c r="D10" s="74" t="s">
        <v>735</v>
      </c>
      <c r="E10" s="184">
        <f>'RAW FS'!B29</f>
        <v>891</v>
      </c>
      <c r="F10" s="184">
        <f>'RAW FS'!C29</f>
        <v>1275</v>
      </c>
      <c r="G10" s="184">
        <f>'RAW FS'!D29</f>
        <v>1792</v>
      </c>
      <c r="H10" s="184">
        <f>'RAW FS'!E29</f>
        <v>1786</v>
      </c>
      <c r="I10" s="184">
        <f>'RAW FS'!F29</f>
        <v>1943</v>
      </c>
    </row>
    <row r="11" spans="2:9" x14ac:dyDescent="0.3">
      <c r="C11" s="173" t="str">
        <f>'RAW FS'!A30</f>
        <v>Cash Equivalents</v>
      </c>
      <c r="D11" s="74" t="s">
        <v>735</v>
      </c>
      <c r="E11" s="184">
        <f>'RAW FS'!B30</f>
        <v>125</v>
      </c>
      <c r="F11" s="184">
        <f>'RAW FS'!C30</f>
        <v>282</v>
      </c>
      <c r="G11" s="184">
        <f>'RAW FS'!D30</f>
        <v>459</v>
      </c>
      <c r="H11" s="184">
        <f>'RAW FS'!E30</f>
        <v>616</v>
      </c>
      <c r="I11" s="184">
        <f>'RAW FS'!F30</f>
        <v>408</v>
      </c>
    </row>
    <row r="12" spans="2:9" x14ac:dyDescent="0.3">
      <c r="C12" s="68" t="str">
        <f>'RAW FS'!A31</f>
        <v>Loans n Advances</v>
      </c>
      <c r="D12" s="70" t="s">
        <v>735</v>
      </c>
      <c r="E12" s="184">
        <f>'RAW FS'!B31</f>
        <v>80</v>
      </c>
      <c r="F12" s="184">
        <f>'RAW FS'!C31</f>
        <v>123</v>
      </c>
      <c r="G12" s="184">
        <f>'RAW FS'!D31</f>
        <v>150</v>
      </c>
      <c r="H12" s="184">
        <f>'RAW FS'!E31</f>
        <v>198</v>
      </c>
      <c r="I12" s="184">
        <f>'RAW FS'!F31</f>
        <v>155</v>
      </c>
    </row>
    <row r="13" spans="2:9" x14ac:dyDescent="0.3">
      <c r="C13" s="68" t="str">
        <f>'RAW FS'!A32</f>
        <v>Other asset items</v>
      </c>
      <c r="D13" s="70" t="s">
        <v>735</v>
      </c>
      <c r="E13" s="184">
        <f>'RAW FS'!B32</f>
        <v>601</v>
      </c>
      <c r="F13" s="184">
        <f>'RAW FS'!C32</f>
        <v>750</v>
      </c>
      <c r="G13" s="184">
        <f>'RAW FS'!D32</f>
        <v>807</v>
      </c>
      <c r="H13" s="184">
        <f>'RAW FS'!E32</f>
        <v>912</v>
      </c>
      <c r="I13" s="184">
        <f>'RAW FS'!F32</f>
        <v>1049</v>
      </c>
    </row>
    <row r="14" spans="2:9" x14ac:dyDescent="0.3">
      <c r="C14" s="41" t="s">
        <v>38</v>
      </c>
      <c r="D14" s="213" t="s">
        <v>735</v>
      </c>
      <c r="E14" s="189">
        <f>SUM(E9:E13)</f>
        <v>2898</v>
      </c>
      <c r="F14" s="189">
        <f t="shared" ref="F14:I14" si="0">SUM(F9:F13)</f>
        <v>3896</v>
      </c>
      <c r="G14" s="189">
        <f t="shared" si="0"/>
        <v>5346</v>
      </c>
      <c r="H14" s="189">
        <f t="shared" si="0"/>
        <v>5786</v>
      </c>
      <c r="I14" s="189">
        <f t="shared" si="0"/>
        <v>5881</v>
      </c>
    </row>
    <row r="15" spans="2:9" x14ac:dyDescent="0.3">
      <c r="D15" s="70"/>
      <c r="E15" s="40"/>
      <c r="F15" s="40"/>
      <c r="G15" s="40"/>
      <c r="H15" s="40"/>
      <c r="I15" s="40"/>
    </row>
    <row r="16" spans="2:9" x14ac:dyDescent="0.3">
      <c r="B16" s="167"/>
      <c r="C16" s="192" t="s">
        <v>127</v>
      </c>
      <c r="D16" s="243"/>
      <c r="E16" s="193"/>
      <c r="F16" s="193"/>
      <c r="G16" s="193"/>
      <c r="H16" s="193"/>
      <c r="I16" s="193"/>
    </row>
    <row r="17" spans="2:11" x14ac:dyDescent="0.3">
      <c r="C17" s="173" t="s">
        <v>128</v>
      </c>
      <c r="D17" s="74" t="s">
        <v>735</v>
      </c>
      <c r="E17" s="65">
        <f>'RAW FS'!B10</f>
        <v>1112</v>
      </c>
      <c r="F17" s="65">
        <f>'RAW FS'!C10</f>
        <v>1585</v>
      </c>
      <c r="G17" s="65">
        <f>'RAW FS'!D10</f>
        <v>2096</v>
      </c>
      <c r="H17" s="65">
        <f>'RAW FS'!E10</f>
        <v>2231</v>
      </c>
      <c r="I17" s="65">
        <f>'RAW FS'!F10</f>
        <v>2198</v>
      </c>
    </row>
    <row r="18" spans="2:11" x14ac:dyDescent="0.3">
      <c r="C18" s="173" t="s">
        <v>129</v>
      </c>
      <c r="D18" s="74" t="s">
        <v>735</v>
      </c>
      <c r="E18" s="184">
        <f>'RAW FS'!B11</f>
        <v>13</v>
      </c>
      <c r="F18" s="184">
        <f>'RAW FS'!C11</f>
        <v>0</v>
      </c>
      <c r="G18" s="184">
        <f>'RAW FS'!D11</f>
        <v>0</v>
      </c>
      <c r="H18" s="184">
        <f>'RAW FS'!E11</f>
        <v>0</v>
      </c>
      <c r="I18" s="184">
        <f>'RAW FS'!F11</f>
        <v>0</v>
      </c>
    </row>
    <row r="19" spans="2:11" x14ac:dyDescent="0.3">
      <c r="C19" s="173" t="s">
        <v>130</v>
      </c>
      <c r="D19" s="74" t="s">
        <v>735</v>
      </c>
      <c r="E19" s="184">
        <f>'RAW FS'!B12</f>
        <v>670</v>
      </c>
      <c r="F19" s="184">
        <f>'RAW FS'!C12</f>
        <v>1001</v>
      </c>
      <c r="G19" s="184">
        <f>'RAW FS'!D12</f>
        <v>1448</v>
      </c>
      <c r="H19" s="184">
        <f>'RAW FS'!E12</f>
        <v>1700</v>
      </c>
      <c r="I19" s="184">
        <f>'RAW FS'!F12</f>
        <v>1747</v>
      </c>
    </row>
    <row r="20" spans="2:11" x14ac:dyDescent="0.3">
      <c r="C20" s="41" t="s">
        <v>131</v>
      </c>
      <c r="D20" s="213" t="s">
        <v>735</v>
      </c>
      <c r="E20" s="189">
        <f>SUM(E17:E19)</f>
        <v>1795</v>
      </c>
      <c r="F20" s="189">
        <f t="shared" ref="F20:I20" si="1">SUM(F17:F19)</f>
        <v>2586</v>
      </c>
      <c r="G20" s="189">
        <f t="shared" si="1"/>
        <v>3544</v>
      </c>
      <c r="H20" s="189">
        <f t="shared" si="1"/>
        <v>3931</v>
      </c>
      <c r="I20" s="189">
        <f t="shared" si="1"/>
        <v>3945</v>
      </c>
    </row>
    <row r="21" spans="2:11" x14ac:dyDescent="0.3">
      <c r="D21" s="70"/>
      <c r="E21" s="40"/>
      <c r="F21" s="40"/>
      <c r="G21" s="40"/>
      <c r="H21" s="40"/>
      <c r="I21" s="40"/>
    </row>
    <row r="22" spans="2:11" x14ac:dyDescent="0.3">
      <c r="C22" s="23" t="s">
        <v>132</v>
      </c>
      <c r="D22" s="74" t="s">
        <v>735</v>
      </c>
      <c r="E22" s="185">
        <f>E14-E20</f>
        <v>1103</v>
      </c>
      <c r="F22" s="185">
        <f t="shared" ref="F22:I22" si="2">F14-F20</f>
        <v>1310</v>
      </c>
      <c r="G22" s="185">
        <f t="shared" si="2"/>
        <v>1802</v>
      </c>
      <c r="H22" s="185">
        <f t="shared" si="2"/>
        <v>1855</v>
      </c>
      <c r="I22" s="185">
        <f t="shared" si="2"/>
        <v>1936</v>
      </c>
    </row>
    <row r="23" spans="2:11" x14ac:dyDescent="0.3">
      <c r="D23" s="70"/>
      <c r="E23" s="40"/>
      <c r="F23" s="40"/>
      <c r="G23" s="40"/>
      <c r="H23" s="40"/>
      <c r="I23" s="40"/>
    </row>
    <row r="24" spans="2:11" x14ac:dyDescent="0.3">
      <c r="B24" s="167"/>
      <c r="C24" s="194" t="s">
        <v>785</v>
      </c>
      <c r="D24" s="243"/>
      <c r="E24" s="193"/>
      <c r="F24" s="193"/>
      <c r="G24" s="193"/>
      <c r="H24" s="193"/>
      <c r="I24" s="193"/>
    </row>
    <row r="25" spans="2:11" x14ac:dyDescent="0.3">
      <c r="C25" s="68" t="s">
        <v>133</v>
      </c>
      <c r="D25" s="74" t="s">
        <v>735</v>
      </c>
      <c r="E25" s="65">
        <f>+'RAW FS'!B15</f>
        <v>531</v>
      </c>
      <c r="F25" s="65">
        <f>+'RAW FS'!C15</f>
        <v>539</v>
      </c>
      <c r="G25" s="65">
        <f>+'RAW FS'!D15</f>
        <v>556</v>
      </c>
      <c r="H25" s="65">
        <f>+'RAW FS'!E15</f>
        <v>603</v>
      </c>
      <c r="I25" s="65">
        <f>+'RAW FS'!F15</f>
        <v>610</v>
      </c>
      <c r="K25" s="186"/>
    </row>
    <row r="26" spans="2:11" x14ac:dyDescent="0.3">
      <c r="C26" s="68" t="s">
        <v>134</v>
      </c>
      <c r="D26" s="74" t="s">
        <v>735</v>
      </c>
      <c r="E26" s="184">
        <f>+'RAW FS'!B16</f>
        <v>955</v>
      </c>
      <c r="F26" s="184">
        <f>+'RAW FS'!C16</f>
        <v>1358</v>
      </c>
      <c r="G26" s="184">
        <f>+'RAW FS'!D16</f>
        <v>1464</v>
      </c>
      <c r="H26" s="184">
        <f>+'RAW FS'!E16</f>
        <v>1665</v>
      </c>
      <c r="I26" s="184">
        <f>+'RAW FS'!F16</f>
        <v>1899</v>
      </c>
      <c r="K26" s="186"/>
    </row>
    <row r="27" spans="2:11" x14ac:dyDescent="0.3">
      <c r="C27" s="68" t="s">
        <v>135</v>
      </c>
      <c r="D27" s="74" t="s">
        <v>735</v>
      </c>
      <c r="E27" s="184">
        <f>+'RAW FS'!B17</f>
        <v>6133</v>
      </c>
      <c r="F27" s="184">
        <f>+'RAW FS'!C17</f>
        <v>7617</v>
      </c>
      <c r="G27" s="184">
        <f>+'RAW FS'!D17</f>
        <v>8516</v>
      </c>
      <c r="H27" s="184">
        <f>+'RAW FS'!E17</f>
        <v>10397</v>
      </c>
      <c r="I27" s="184">
        <f>+'RAW FS'!F17</f>
        <v>13886</v>
      </c>
      <c r="K27" s="186"/>
    </row>
    <row r="28" spans="2:11" x14ac:dyDescent="0.3">
      <c r="C28" s="68" t="s">
        <v>136</v>
      </c>
      <c r="D28" s="74" t="s">
        <v>735</v>
      </c>
      <c r="E28" s="184">
        <f>+'RAW FS'!B18</f>
        <v>64</v>
      </c>
      <c r="F28" s="184">
        <f>+'RAW FS'!C18</f>
        <v>73</v>
      </c>
      <c r="G28" s="184">
        <f>+'RAW FS'!D18</f>
        <v>83</v>
      </c>
      <c r="H28" s="184">
        <f>+'RAW FS'!E18</f>
        <v>94</v>
      </c>
      <c r="I28" s="184">
        <f>+'RAW FS'!F18</f>
        <v>130</v>
      </c>
      <c r="K28" s="186"/>
    </row>
    <row r="29" spans="2:11" x14ac:dyDescent="0.3">
      <c r="C29" s="68" t="s">
        <v>137</v>
      </c>
      <c r="D29" s="74" t="s">
        <v>735</v>
      </c>
      <c r="E29" s="184">
        <f>+'RAW FS'!B19</f>
        <v>29</v>
      </c>
      <c r="F29" s="184">
        <f>+'RAW FS'!C19</f>
        <v>33</v>
      </c>
      <c r="G29" s="184">
        <f>+'RAW FS'!D19</f>
        <v>36</v>
      </c>
      <c r="H29" s="184">
        <f>+'RAW FS'!E19</f>
        <v>39</v>
      </c>
      <c r="I29" s="184">
        <f>+'RAW FS'!F19</f>
        <v>48</v>
      </c>
      <c r="K29" s="186"/>
    </row>
    <row r="30" spans="2:11" x14ac:dyDescent="0.3">
      <c r="C30" s="68" t="s">
        <v>138</v>
      </c>
      <c r="D30" s="74" t="s">
        <v>735</v>
      </c>
      <c r="E30" s="184">
        <f>+'RAW FS'!B20</f>
        <v>42</v>
      </c>
      <c r="F30" s="184">
        <f>+'RAW FS'!C20</f>
        <v>44</v>
      </c>
      <c r="G30" s="184">
        <f>+'RAW FS'!D20</f>
        <v>50</v>
      </c>
      <c r="H30" s="184">
        <f>+'RAW FS'!E20</f>
        <v>69</v>
      </c>
      <c r="I30" s="184">
        <f>+'RAW FS'!F20</f>
        <v>84</v>
      </c>
      <c r="K30" s="186"/>
    </row>
    <row r="31" spans="2:11" x14ac:dyDescent="0.3">
      <c r="C31" s="68" t="s">
        <v>139</v>
      </c>
      <c r="D31" s="74" t="s">
        <v>735</v>
      </c>
      <c r="E31" s="184">
        <f>+'RAW FS'!B21</f>
        <v>133</v>
      </c>
      <c r="F31" s="184">
        <f>+'RAW FS'!C21</f>
        <v>137</v>
      </c>
      <c r="G31" s="184">
        <f>+'RAW FS'!D21</f>
        <v>133</v>
      </c>
      <c r="H31" s="184">
        <f>+'RAW FS'!E21</f>
        <v>128</v>
      </c>
      <c r="I31" s="184">
        <f>+'RAW FS'!F21</f>
        <v>134</v>
      </c>
      <c r="K31" s="186"/>
    </row>
    <row r="32" spans="2:11" x14ac:dyDescent="0.3">
      <c r="C32" s="68" t="s">
        <v>140</v>
      </c>
      <c r="D32" s="74" t="s">
        <v>735</v>
      </c>
      <c r="E32" s="184">
        <f>+'RAW FS'!B22</f>
        <v>50</v>
      </c>
      <c r="F32" s="184">
        <f>+'RAW FS'!C22</f>
        <v>54</v>
      </c>
      <c r="G32" s="184">
        <f>+'RAW FS'!D22</f>
        <v>63</v>
      </c>
      <c r="H32" s="184">
        <f>+'RAW FS'!E22</f>
        <v>67</v>
      </c>
      <c r="I32" s="184">
        <f>+'RAW FS'!F22</f>
        <v>74</v>
      </c>
    </row>
    <row r="33" spans="2:14" x14ac:dyDescent="0.3">
      <c r="C33" s="190" t="s">
        <v>141</v>
      </c>
      <c r="D33" s="213" t="s">
        <v>735</v>
      </c>
      <c r="E33" s="191">
        <f>+SUM(E25:E32)</f>
        <v>7937</v>
      </c>
      <c r="F33" s="191">
        <f t="shared" ref="F33:I33" si="3">+SUM(F25:F32)</f>
        <v>9855</v>
      </c>
      <c r="G33" s="191">
        <f t="shared" si="3"/>
        <v>10901</v>
      </c>
      <c r="H33" s="191">
        <f t="shared" si="3"/>
        <v>13062</v>
      </c>
      <c r="I33" s="191">
        <f t="shared" si="3"/>
        <v>16865</v>
      </c>
      <c r="N33" s="187"/>
    </row>
    <row r="34" spans="2:14" x14ac:dyDescent="0.3">
      <c r="C34" s="68" t="s">
        <v>142</v>
      </c>
      <c r="D34" s="70" t="s">
        <v>735</v>
      </c>
      <c r="E34" s="184">
        <f>'RAW FS'!B24</f>
        <v>1570</v>
      </c>
      <c r="F34" s="184">
        <f>'RAW FS'!C24</f>
        <v>2029</v>
      </c>
      <c r="G34" s="184">
        <f>'RAW FS'!D24</f>
        <v>2474</v>
      </c>
      <c r="H34" s="184">
        <f>'RAW FS'!E24</f>
        <v>3013</v>
      </c>
      <c r="I34" s="184">
        <f>'RAW FS'!F24</f>
        <v>3623</v>
      </c>
    </row>
    <row r="35" spans="2:14" x14ac:dyDescent="0.3">
      <c r="C35" s="68"/>
      <c r="D35" s="70"/>
      <c r="E35" s="184"/>
      <c r="F35" s="184"/>
      <c r="G35" s="184"/>
      <c r="H35" s="184"/>
      <c r="I35" s="184"/>
    </row>
    <row r="36" spans="2:14" x14ac:dyDescent="0.3">
      <c r="C36" s="41" t="s">
        <v>143</v>
      </c>
      <c r="D36" s="213" t="s">
        <v>735</v>
      </c>
      <c r="E36" s="189">
        <f>+E33-E34</f>
        <v>6367</v>
      </c>
      <c r="F36" s="189">
        <f t="shared" ref="F36:I36" si="4">+F33-F34</f>
        <v>7826</v>
      </c>
      <c r="G36" s="189">
        <f t="shared" si="4"/>
        <v>8427</v>
      </c>
      <c r="H36" s="189">
        <f t="shared" si="4"/>
        <v>10049</v>
      </c>
      <c r="I36" s="189">
        <f t="shared" si="4"/>
        <v>13242</v>
      </c>
    </row>
    <row r="37" spans="2:14" x14ac:dyDescent="0.3">
      <c r="C37" s="23"/>
      <c r="D37" s="244"/>
      <c r="E37" s="188"/>
      <c r="F37" s="188"/>
      <c r="G37" s="188"/>
      <c r="H37" s="188"/>
      <c r="I37" s="188"/>
    </row>
    <row r="38" spans="2:14" x14ac:dyDescent="0.3">
      <c r="D38" s="70"/>
      <c r="E38" s="40"/>
      <c r="F38" s="40"/>
      <c r="G38" s="40"/>
      <c r="H38" s="40"/>
      <c r="I38" s="40"/>
    </row>
    <row r="39" spans="2:14" x14ac:dyDescent="0.3">
      <c r="C39" s="122" t="s">
        <v>144</v>
      </c>
      <c r="D39" s="74" t="s">
        <v>735</v>
      </c>
      <c r="E39" s="65">
        <f>E22+E36</f>
        <v>7470</v>
      </c>
      <c r="F39" s="65">
        <f>F22+F36</f>
        <v>9136</v>
      </c>
      <c r="G39" s="65">
        <f>G22+G36</f>
        <v>10229</v>
      </c>
      <c r="H39" s="65">
        <f>H22+H36</f>
        <v>11904</v>
      </c>
      <c r="I39" s="65">
        <f>I22+I36</f>
        <v>15178</v>
      </c>
    </row>
    <row r="40" spans="2:14" x14ac:dyDescent="0.3">
      <c r="C40" s="115" t="s">
        <v>145</v>
      </c>
      <c r="D40" s="74" t="s">
        <v>735</v>
      </c>
      <c r="E40" s="65">
        <f>'3-FInancial Statements'!J43+'3-FInancial Statements'!J37</f>
        <v>1034.9299999999998</v>
      </c>
      <c r="F40" s="65">
        <f>'3-FInancial Statements'!K43+'3-FInancial Statements'!K37</f>
        <v>1602.9700000000012</v>
      </c>
      <c r="G40" s="65">
        <f>'3-FInancial Statements'!L43+'3-FInancial Statements'!L37</f>
        <v>2141.9799999999991</v>
      </c>
      <c r="H40" s="65">
        <f>'3-FInancial Statements'!M43+'3-FInancial Statements'!M37</f>
        <v>3010.9700000000007</v>
      </c>
      <c r="I40" s="65">
        <f>'3-FInancial Statements'!N43+'3-FInancial Statements'!N37</f>
        <v>1783.7500000000002</v>
      </c>
    </row>
    <row r="42" spans="2:14" ht="15.6" x14ac:dyDescent="0.3">
      <c r="C42" s="195" t="s">
        <v>146</v>
      </c>
      <c r="D42" s="196"/>
      <c r="E42" s="197">
        <f>E40/E39</f>
        <v>0.13854484605087011</v>
      </c>
      <c r="F42" s="197">
        <f t="shared" ref="F42:I42" si="5">F40/F39</f>
        <v>0.17545643607705791</v>
      </c>
      <c r="G42" s="197">
        <f t="shared" si="5"/>
        <v>0.20940267865871534</v>
      </c>
      <c r="H42" s="197">
        <f t="shared" si="5"/>
        <v>0.25293766801075274</v>
      </c>
      <c r="I42" s="197">
        <f t="shared" si="5"/>
        <v>0.11752207141915932</v>
      </c>
    </row>
    <row r="44" spans="2:14" ht="15.6" x14ac:dyDescent="0.3">
      <c r="B44" s="56"/>
      <c r="C44" s="56"/>
      <c r="D44" s="56"/>
      <c r="E44" s="261" t="s">
        <v>731</v>
      </c>
      <c r="F44" s="261"/>
      <c r="G44" s="261"/>
      <c r="H44" s="261"/>
      <c r="I44" s="261"/>
    </row>
    <row r="45" spans="2:14" ht="15.6" x14ac:dyDescent="0.3">
      <c r="B45" s="46" t="s">
        <v>786</v>
      </c>
      <c r="C45" s="46"/>
      <c r="D45" s="58" t="s">
        <v>732</v>
      </c>
      <c r="E45" s="61">
        <f>+'3-FInancial Statements'!J$20</f>
        <v>43921</v>
      </c>
      <c r="F45" s="61">
        <f>+'3-FInancial Statements'!K$20</f>
        <v>44286</v>
      </c>
      <c r="G45" s="61">
        <f>+'3-FInancial Statements'!L$20</f>
        <v>44651</v>
      </c>
      <c r="H45" s="61">
        <f>+'3-FInancial Statements'!M$20</f>
        <v>45016</v>
      </c>
      <c r="I45" s="61">
        <f>+'3-FInancial Statements'!N$20</f>
        <v>45382</v>
      </c>
    </row>
    <row r="47" spans="2:14" x14ac:dyDescent="0.3">
      <c r="C47" s="66" t="s">
        <v>147</v>
      </c>
      <c r="D47" s="70" t="s">
        <v>735</v>
      </c>
      <c r="E47" s="65">
        <f>-SUM('RAW FS'!B47:B48)</f>
        <v>1373</v>
      </c>
      <c r="F47" s="65">
        <f>-SUM('RAW FS'!C47:C48)</f>
        <v>1204</v>
      </c>
      <c r="G47" s="65">
        <f>-SUM('RAW FS'!D47:D48)</f>
        <v>1817</v>
      </c>
      <c r="H47" s="65">
        <f>-SUM('RAW FS'!E47:E48)</f>
        <v>2852</v>
      </c>
      <c r="I47" s="65">
        <f>-SUM('RAW FS'!F47:F48)</f>
        <v>2202</v>
      </c>
    </row>
    <row r="48" spans="2:14" x14ac:dyDescent="0.3">
      <c r="C48" t="s">
        <v>148</v>
      </c>
      <c r="D48" s="70" t="s">
        <v>735</v>
      </c>
      <c r="E48" s="184"/>
      <c r="F48" s="184">
        <f>F22-E22</f>
        <v>207</v>
      </c>
      <c r="G48" s="184">
        <f>G22-F22</f>
        <v>492</v>
      </c>
      <c r="H48" s="184">
        <f>H22-G22</f>
        <v>53</v>
      </c>
      <c r="I48" s="184">
        <f>I22-H22</f>
        <v>81</v>
      </c>
    </row>
    <row r="49" spans="2:9" x14ac:dyDescent="0.3">
      <c r="C49" s="150" t="s">
        <v>151</v>
      </c>
      <c r="D49" s="213" t="s">
        <v>735</v>
      </c>
      <c r="E49" s="189">
        <f>SUM(E47:E48)</f>
        <v>1373</v>
      </c>
      <c r="F49" s="189">
        <f>SUM(F47:F48)</f>
        <v>1411</v>
      </c>
      <c r="G49" s="189">
        <f>SUM(G47:G48)</f>
        <v>2309</v>
      </c>
      <c r="H49" s="189">
        <f>SUM(H47:H48)</f>
        <v>2905</v>
      </c>
      <c r="I49" s="189">
        <f>SUM(I47:I48)</f>
        <v>2283</v>
      </c>
    </row>
    <row r="50" spans="2:9" x14ac:dyDescent="0.3">
      <c r="D50" s="70"/>
      <c r="E50" s="40"/>
      <c r="F50" s="40"/>
      <c r="G50" s="40"/>
      <c r="H50" s="40"/>
      <c r="I50" s="40"/>
    </row>
    <row r="51" spans="2:9" x14ac:dyDescent="0.3">
      <c r="C51" t="s">
        <v>145</v>
      </c>
      <c r="D51" s="70" t="s">
        <v>735</v>
      </c>
      <c r="E51" s="65">
        <f>'3-FInancial Statements'!J43+'3-FInancial Statements'!J37</f>
        <v>1034.9299999999998</v>
      </c>
      <c r="F51" s="65">
        <f>'3-FInancial Statements'!K43+'3-FInancial Statements'!K37</f>
        <v>1602.9700000000012</v>
      </c>
      <c r="G51" s="65">
        <f>'3-FInancial Statements'!L43+'3-FInancial Statements'!L37</f>
        <v>2141.9799999999991</v>
      </c>
      <c r="H51" s="65">
        <f>'3-FInancial Statements'!M43+'3-FInancial Statements'!M37</f>
        <v>3010.9700000000007</v>
      </c>
      <c r="I51" s="65">
        <f>'3-FInancial Statements'!N43+'3-FInancial Statements'!N37</f>
        <v>1783.7500000000002</v>
      </c>
    </row>
    <row r="52" spans="2:9" x14ac:dyDescent="0.3">
      <c r="C52" s="68" t="s">
        <v>149</v>
      </c>
      <c r="D52" s="70" t="s">
        <v>736</v>
      </c>
      <c r="E52" s="248">
        <v>0.3</v>
      </c>
      <c r="F52" s="151">
        <f>+E52</f>
        <v>0.3</v>
      </c>
      <c r="G52" s="151">
        <f t="shared" ref="G52:I52" si="6">+F52</f>
        <v>0.3</v>
      </c>
      <c r="H52" s="151">
        <f t="shared" si="6"/>
        <v>0.3</v>
      </c>
      <c r="I52" s="151">
        <f t="shared" si="6"/>
        <v>0.3</v>
      </c>
    </row>
    <row r="53" spans="2:9" x14ac:dyDescent="0.3">
      <c r="C53" s="190" t="s">
        <v>150</v>
      </c>
      <c r="D53" s="240" t="s">
        <v>735</v>
      </c>
      <c r="E53" s="189">
        <f>E51*(1-E52)</f>
        <v>724.45099999999979</v>
      </c>
      <c r="F53" s="189">
        <f t="shared" ref="F53:I53" si="7">F51*(1-F52)</f>
        <v>1122.0790000000006</v>
      </c>
      <c r="G53" s="189">
        <f t="shared" si="7"/>
        <v>1499.3859999999993</v>
      </c>
      <c r="H53" s="189">
        <f t="shared" si="7"/>
        <v>2107.6790000000005</v>
      </c>
      <c r="I53" s="189">
        <f t="shared" si="7"/>
        <v>1248.625</v>
      </c>
    </row>
    <row r="55" spans="2:9" x14ac:dyDescent="0.3">
      <c r="C55" s="122" t="s">
        <v>152</v>
      </c>
      <c r="D55" s="241" t="s">
        <v>736</v>
      </c>
      <c r="E55" s="135">
        <f>E49/E53</f>
        <v>1.8952282487014309</v>
      </c>
      <c r="F55" s="135">
        <f>F49/F53</f>
        <v>1.257487217923158</v>
      </c>
      <c r="G55" s="135">
        <f>G49/G53</f>
        <v>1.5399636918045128</v>
      </c>
      <c r="H55" s="135">
        <f>H49/H53</f>
        <v>1.3782933738961196</v>
      </c>
      <c r="I55" s="135">
        <f>I49/I53</f>
        <v>1.8284112523776155</v>
      </c>
    </row>
    <row r="57" spans="2:9" ht="15.6" x14ac:dyDescent="0.3">
      <c r="H57" s="115" t="s">
        <v>718</v>
      </c>
      <c r="I57" s="198">
        <f>AVERAGE(E55:I55)</f>
        <v>1.5798767569405674</v>
      </c>
    </row>
    <row r="58" spans="2:9" ht="15.6" x14ac:dyDescent="0.3">
      <c r="H58" s="115" t="s">
        <v>719</v>
      </c>
      <c r="I58" s="198">
        <f>MEDIAN(E55:I55)</f>
        <v>1.5399636918045128</v>
      </c>
    </row>
    <row r="60" spans="2:9" ht="15.6" x14ac:dyDescent="0.3">
      <c r="B60" s="56"/>
      <c r="C60" s="56"/>
      <c r="D60" s="56"/>
      <c r="E60" s="261" t="s">
        <v>731</v>
      </c>
      <c r="F60" s="261"/>
      <c r="G60" s="261"/>
      <c r="H60" s="261"/>
      <c r="I60" s="261"/>
    </row>
    <row r="61" spans="2:9" ht="15.6" x14ac:dyDescent="0.3">
      <c r="B61" s="46" t="s">
        <v>787</v>
      </c>
      <c r="C61" s="46"/>
      <c r="D61" s="58" t="s">
        <v>732</v>
      </c>
      <c r="E61" s="61">
        <f>+'3-FInancial Statements'!J$20</f>
        <v>43921</v>
      </c>
      <c r="F61" s="61">
        <f>+'3-FInancial Statements'!K$20</f>
        <v>44286</v>
      </c>
      <c r="G61" s="61">
        <f>+'3-FInancial Statements'!L$20</f>
        <v>44651</v>
      </c>
      <c r="H61" s="61">
        <f>+'3-FInancial Statements'!M$20</f>
        <v>45016</v>
      </c>
      <c r="I61" s="61">
        <f>+'3-FInancial Statements'!N$20</f>
        <v>45382</v>
      </c>
    </row>
    <row r="63" spans="2:9" x14ac:dyDescent="0.3">
      <c r="C63" s="200" t="s">
        <v>152</v>
      </c>
      <c r="D63" s="39" t="s">
        <v>736</v>
      </c>
      <c r="E63" s="135">
        <f>E55</f>
        <v>1.8952282487014309</v>
      </c>
      <c r="F63" s="135">
        <f>F55</f>
        <v>1.257487217923158</v>
      </c>
      <c r="G63" s="135">
        <f>G55</f>
        <v>1.5399636918045128</v>
      </c>
      <c r="H63" s="135">
        <f>H55</f>
        <v>1.3782933738961196</v>
      </c>
      <c r="I63" s="135">
        <f>I55</f>
        <v>1.8284112523776155</v>
      </c>
    </row>
    <row r="64" spans="2:9" x14ac:dyDescent="0.3">
      <c r="C64" s="200" t="s">
        <v>146</v>
      </c>
      <c r="D64" s="39" t="s">
        <v>736</v>
      </c>
      <c r="E64" s="135">
        <f>E42</f>
        <v>0.13854484605087011</v>
      </c>
      <c r="F64" s="135">
        <f>F42</f>
        <v>0.17545643607705791</v>
      </c>
      <c r="G64" s="135">
        <f>G42</f>
        <v>0.20940267865871534</v>
      </c>
      <c r="H64" s="135">
        <f>H42</f>
        <v>0.25293766801075274</v>
      </c>
      <c r="I64" s="135">
        <f>I42</f>
        <v>0.11752207141915932</v>
      </c>
    </row>
    <row r="65" spans="3:9" x14ac:dyDescent="0.3">
      <c r="C65" s="150" t="s">
        <v>153</v>
      </c>
      <c r="D65" s="242" t="s">
        <v>736</v>
      </c>
      <c r="E65" s="199">
        <f>E63*E64</f>
        <v>0.26257410594759995</v>
      </c>
      <c r="F65" s="199">
        <f t="shared" ref="F65:I65" si="8">F63*F64</f>
        <v>0.22063422566925195</v>
      </c>
      <c r="G65" s="199">
        <f t="shared" si="8"/>
        <v>0.32247252210102934</v>
      </c>
      <c r="H65" s="199">
        <f t="shared" si="8"/>
        <v>0.348622311827957</v>
      </c>
      <c r="I65" s="199">
        <f t="shared" si="8"/>
        <v>0.21487867778551667</v>
      </c>
    </row>
    <row r="67" spans="3:9" ht="15.6" x14ac:dyDescent="0.3">
      <c r="H67" s="115" t="s">
        <v>718</v>
      </c>
      <c r="I67" s="198">
        <f>AVERAGE(E65:I65)</f>
        <v>0.27383636866627098</v>
      </c>
    </row>
    <row r="68" spans="3:9" ht="15.6" x14ac:dyDescent="0.3">
      <c r="H68" s="115" t="s">
        <v>719</v>
      </c>
      <c r="I68" s="198">
        <f>MEDIAN(E65:I65)</f>
        <v>0.26257410594759995</v>
      </c>
    </row>
  </sheetData>
  <mergeCells count="3">
    <mergeCell ref="E5:I5"/>
    <mergeCell ref="E44:I44"/>
    <mergeCell ref="E60:I60"/>
  </mergeCells>
  <pageMargins left="0.7" right="0.7" top="0.75" bottom="0.75" header="0.3" footer="0.3"/>
  <ignoredErrors>
    <ignoredError sqref="E47 F47:I4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>
    <tabColor rgb="FF9EE0F4"/>
  </sheetPr>
  <dimension ref="B2:L55"/>
  <sheetViews>
    <sheetView showGridLines="0" topLeftCell="A21" zoomScale="80" workbookViewId="0">
      <selection activeCell="F21" sqref="F21"/>
    </sheetView>
  </sheetViews>
  <sheetFormatPr defaultColWidth="10" defaultRowHeight="14.4" x14ac:dyDescent="0.3"/>
  <cols>
    <col min="1" max="2" width="2.6640625" customWidth="1"/>
    <col min="3" max="3" width="39.77734375" customWidth="1"/>
    <col min="4" max="4" width="14.5546875" customWidth="1"/>
    <col min="5" max="5" width="7" customWidth="1"/>
    <col min="6" max="11" width="15.77734375" customWidth="1"/>
  </cols>
  <sheetData>
    <row r="2" spans="2:11" ht="18" x14ac:dyDescent="0.35">
      <c r="B2" s="155" t="str">
        <f>Company_Name&amp;" - Discounted Cash Flow"</f>
        <v>SRF LTD - Discounted Cash Flow</v>
      </c>
    </row>
    <row r="3" spans="2:11" ht="15.6" x14ac:dyDescent="0.3">
      <c r="B3" s="48" t="s">
        <v>778</v>
      </c>
    </row>
    <row r="5" spans="2:11" x14ac:dyDescent="0.3">
      <c r="B5" s="158" t="s">
        <v>791</v>
      </c>
      <c r="C5" s="158"/>
      <c r="D5" s="156"/>
      <c r="E5" s="156"/>
      <c r="F5" s="156"/>
      <c r="G5" s="156"/>
      <c r="H5" s="156"/>
      <c r="I5" s="156"/>
      <c r="J5" s="156"/>
      <c r="K5" s="156"/>
    </row>
    <row r="7" spans="2:11" ht="15.6" x14ac:dyDescent="0.3">
      <c r="C7" s="48" t="s">
        <v>793</v>
      </c>
      <c r="D7" s="207">
        <v>0.25</v>
      </c>
    </row>
    <row r="8" spans="2:11" ht="15.6" x14ac:dyDescent="0.3">
      <c r="C8" s="48" t="s">
        <v>792</v>
      </c>
      <c r="D8" s="207">
        <v>0.49099999999999999</v>
      </c>
    </row>
    <row r="9" spans="2:11" ht="15.6" x14ac:dyDescent="0.3">
      <c r="C9" s="66" t="s">
        <v>794</v>
      </c>
      <c r="D9" s="208">
        <v>0.5</v>
      </c>
    </row>
    <row r="10" spans="2:11" ht="15.6" x14ac:dyDescent="0.3">
      <c r="C10" s="66" t="s">
        <v>806</v>
      </c>
      <c r="D10" s="207">
        <v>4.4999999999999998E-2</v>
      </c>
    </row>
    <row r="12" spans="2:11" ht="15.6" x14ac:dyDescent="0.3">
      <c r="B12" s="56"/>
      <c r="C12" s="56"/>
      <c r="D12" s="57"/>
      <c r="E12" s="57"/>
      <c r="F12" s="202" t="s">
        <v>731</v>
      </c>
      <c r="G12" s="276" t="s">
        <v>788</v>
      </c>
      <c r="H12" s="277"/>
      <c r="I12" s="277"/>
      <c r="J12" s="277"/>
      <c r="K12" s="277"/>
    </row>
    <row r="13" spans="2:11" ht="14.4" customHeight="1" x14ac:dyDescent="0.3">
      <c r="B13" s="46" t="s">
        <v>790</v>
      </c>
      <c r="C13" s="46"/>
      <c r="D13" s="58" t="s">
        <v>789</v>
      </c>
      <c r="E13" s="58"/>
      <c r="F13" s="203">
        <f>Hist_Year</f>
        <v>45382</v>
      </c>
      <c r="G13" s="201">
        <f>EOMONTH(F13,12)</f>
        <v>45747</v>
      </c>
      <c r="H13" s="61">
        <f>EOMONTH(G13,12)</f>
        <v>46112</v>
      </c>
      <c r="I13" s="61">
        <f>EOMONTH(H13,12)</f>
        <v>46477</v>
      </c>
      <c r="J13" s="61">
        <f>EOMONTH(I13,12)</f>
        <v>46843</v>
      </c>
      <c r="K13" s="61">
        <f>EOMONTH(J13,12)</f>
        <v>47208</v>
      </c>
    </row>
    <row r="15" spans="2:11" ht="14.4" customHeight="1" x14ac:dyDescent="0.3">
      <c r="C15" s="115" t="s">
        <v>145</v>
      </c>
      <c r="D15" s="212" t="s">
        <v>735</v>
      </c>
      <c r="E15" s="212"/>
      <c r="F15" s="210">
        <f>'3-FInancial Statements'!N43+'3-FInancial Statements'!N37</f>
        <v>1783.7500000000002</v>
      </c>
      <c r="G15" s="210">
        <f>F15*(1+$D$28)</f>
        <v>2252.1165614840315</v>
      </c>
      <c r="H15" s="210">
        <f>G15*(1+$D$28)</f>
        <v>2843.4640541054841</v>
      </c>
      <c r="I15" s="210">
        <f>H15*(1+$D$28)</f>
        <v>3590.0840859063696</v>
      </c>
      <c r="J15" s="210">
        <f>I15*(1+$D$28)</f>
        <v>4532.747205039941</v>
      </c>
      <c r="K15" s="210">
        <f>J15*(1+$D$28)</f>
        <v>5722.9292498897858</v>
      </c>
    </row>
    <row r="16" spans="2:11" x14ac:dyDescent="0.3">
      <c r="C16" s="200" t="s">
        <v>793</v>
      </c>
      <c r="D16" s="74" t="s">
        <v>736</v>
      </c>
      <c r="E16" s="74"/>
      <c r="F16" s="205">
        <f t="shared" ref="F16:K16" si="0">+Tax_Rate</f>
        <v>0.25</v>
      </c>
      <c r="G16" s="205">
        <f t="shared" si="0"/>
        <v>0.25</v>
      </c>
      <c r="H16" s="205">
        <f t="shared" si="0"/>
        <v>0.25</v>
      </c>
      <c r="I16" s="205">
        <f t="shared" si="0"/>
        <v>0.25</v>
      </c>
      <c r="J16" s="205">
        <f t="shared" si="0"/>
        <v>0.25</v>
      </c>
      <c r="K16" s="205">
        <f t="shared" si="0"/>
        <v>0.25</v>
      </c>
    </row>
    <row r="17" spans="3:12" x14ac:dyDescent="0.3">
      <c r="C17" s="200"/>
      <c r="D17" s="74"/>
      <c r="E17" s="74"/>
      <c r="F17" s="205"/>
      <c r="G17" s="205"/>
      <c r="H17" s="205"/>
      <c r="I17" s="205"/>
      <c r="J17" s="205"/>
      <c r="K17" s="205"/>
    </row>
    <row r="18" spans="3:12" x14ac:dyDescent="0.3">
      <c r="C18" s="150" t="s">
        <v>150</v>
      </c>
      <c r="D18" s="213" t="s">
        <v>735</v>
      </c>
      <c r="E18" s="213"/>
      <c r="F18" s="211">
        <f t="shared" ref="F18:K18" si="1">F15*(1-F16)</f>
        <v>1337.8125000000002</v>
      </c>
      <c r="G18" s="211">
        <f t="shared" si="1"/>
        <v>1689.0874211130235</v>
      </c>
      <c r="H18" s="211">
        <f t="shared" si="1"/>
        <v>2132.5980405791133</v>
      </c>
      <c r="I18" s="211">
        <f t="shared" si="1"/>
        <v>2692.5630644297771</v>
      </c>
      <c r="J18" s="211">
        <f t="shared" si="1"/>
        <v>3399.5604037799558</v>
      </c>
      <c r="K18" s="211">
        <f t="shared" si="1"/>
        <v>4292.1969374173395</v>
      </c>
    </row>
    <row r="19" spans="3:12" x14ac:dyDescent="0.3">
      <c r="C19" s="173" t="s">
        <v>645</v>
      </c>
      <c r="D19" s="74" t="s">
        <v>736</v>
      </c>
      <c r="E19" s="74"/>
      <c r="F19" s="176">
        <f t="shared" ref="F19:K19" si="2">+Reinvestment_Rate</f>
        <v>0.49099999999999999</v>
      </c>
      <c r="G19" s="176">
        <f t="shared" si="2"/>
        <v>0.49099999999999999</v>
      </c>
      <c r="H19" s="176">
        <f t="shared" si="2"/>
        <v>0.49099999999999999</v>
      </c>
      <c r="I19" s="176">
        <f t="shared" si="2"/>
        <v>0.49099999999999999</v>
      </c>
      <c r="J19" s="176">
        <f t="shared" si="2"/>
        <v>0.49099999999999999</v>
      </c>
      <c r="K19" s="176">
        <f t="shared" si="2"/>
        <v>0.49099999999999999</v>
      </c>
      <c r="L19" s="42"/>
    </row>
    <row r="20" spans="3:12" x14ac:dyDescent="0.3">
      <c r="C20" s="173"/>
      <c r="D20" s="74"/>
      <c r="E20" s="74"/>
      <c r="F20" s="176"/>
      <c r="G20" s="176"/>
      <c r="H20" s="176"/>
      <c r="I20" s="176"/>
      <c r="J20" s="176"/>
      <c r="K20" s="176"/>
      <c r="L20" s="42"/>
    </row>
    <row r="21" spans="3:12" x14ac:dyDescent="0.3">
      <c r="C21" s="150" t="s">
        <v>646</v>
      </c>
      <c r="D21" s="213" t="s">
        <v>735</v>
      </c>
      <c r="E21" s="213"/>
      <c r="F21" s="211">
        <f t="shared" ref="F21:K21" si="3">F18*(1-F19)</f>
        <v>680.94656250000014</v>
      </c>
      <c r="G21" s="211">
        <f t="shared" si="3"/>
        <v>859.74549734652896</v>
      </c>
      <c r="H21" s="211">
        <f t="shared" si="3"/>
        <v>1085.4924026547687</v>
      </c>
      <c r="I21" s="211">
        <f t="shared" si="3"/>
        <v>1370.5145997947566</v>
      </c>
      <c r="J21" s="211">
        <f t="shared" si="3"/>
        <v>1730.3762455239976</v>
      </c>
      <c r="K21" s="211">
        <f t="shared" si="3"/>
        <v>2184.7282411454257</v>
      </c>
    </row>
    <row r="22" spans="3:12" x14ac:dyDescent="0.3">
      <c r="C22" s="173" t="s">
        <v>647</v>
      </c>
      <c r="D22" s="74"/>
      <c r="E22" s="74"/>
      <c r="F22" s="206"/>
      <c r="G22" s="122">
        <f>+Mid_Year_Convention</f>
        <v>0.5</v>
      </c>
      <c r="H22" s="122">
        <f>G22+1</f>
        <v>1.5</v>
      </c>
      <c r="I22" s="122">
        <f t="shared" ref="I22:K22" si="4">H22+1</f>
        <v>2.5</v>
      </c>
      <c r="J22" s="122">
        <f t="shared" si="4"/>
        <v>3.5</v>
      </c>
      <c r="K22" s="122">
        <f t="shared" si="4"/>
        <v>4.5</v>
      </c>
    </row>
    <row r="23" spans="3:12" x14ac:dyDescent="0.3">
      <c r="C23" s="173" t="s">
        <v>648</v>
      </c>
      <c r="D23" s="74"/>
      <c r="E23" s="74"/>
      <c r="F23" s="206"/>
      <c r="G23" s="204">
        <f>1/(1+$D$30)^G22</f>
        <v>1</v>
      </c>
      <c r="H23" s="204">
        <f>1/(1+$D$30)^H22</f>
        <v>1</v>
      </c>
      <c r="I23" s="204">
        <f>1/(1+$D$30)^I22</f>
        <v>1</v>
      </c>
      <c r="J23" s="204">
        <f>1/(1+$D$30)^J22</f>
        <v>1</v>
      </c>
      <c r="K23" s="204">
        <f>1/(1+$D$30)^K22</f>
        <v>1</v>
      </c>
    </row>
    <row r="24" spans="3:12" ht="15" thickBot="1" x14ac:dyDescent="0.35">
      <c r="D24" s="70"/>
      <c r="E24" s="70"/>
    </row>
    <row r="25" spans="3:12" x14ac:dyDescent="0.3">
      <c r="C25" s="216" t="s">
        <v>649</v>
      </c>
      <c r="D25" s="217" t="s">
        <v>735</v>
      </c>
      <c r="E25" s="217"/>
      <c r="F25" s="216"/>
      <c r="G25" s="218">
        <f>G21*G23</f>
        <v>859.74549734652896</v>
      </c>
      <c r="H25" s="218">
        <f t="shared" ref="H25:K25" si="5">H21*H23</f>
        <v>1085.4924026547687</v>
      </c>
      <c r="I25" s="218">
        <f t="shared" si="5"/>
        <v>1370.5145997947566</v>
      </c>
      <c r="J25" s="218">
        <f t="shared" si="5"/>
        <v>1730.3762455239976</v>
      </c>
      <c r="K25" s="218">
        <f t="shared" si="5"/>
        <v>2184.7282411454257</v>
      </c>
    </row>
    <row r="28" spans="3:12" x14ac:dyDescent="0.3">
      <c r="C28" s="177" t="s">
        <v>650</v>
      </c>
      <c r="D28" s="37">
        <f>'Instrinsic Growth'!I68</f>
        <v>0.26257410594759995</v>
      </c>
      <c r="E28" s="32"/>
    </row>
    <row r="29" spans="3:12" x14ac:dyDescent="0.3">
      <c r="C29" t="s">
        <v>651</v>
      </c>
      <c r="D29" s="137">
        <f>+Terminal_Growth</f>
        <v>4.4999999999999998E-2</v>
      </c>
      <c r="E29" s="137"/>
    </row>
    <row r="30" spans="3:12" x14ac:dyDescent="0.3">
      <c r="C30" s="214" t="s">
        <v>652</v>
      </c>
      <c r="D30" s="215">
        <f>[1]WACC!N46</f>
        <v>0</v>
      </c>
      <c r="E30" s="137"/>
    </row>
    <row r="32" spans="3:12" x14ac:dyDescent="0.3">
      <c r="C32" s="128" t="s">
        <v>653</v>
      </c>
      <c r="D32" s="128"/>
      <c r="E32" s="223"/>
      <c r="F32" s="128" t="s">
        <v>685</v>
      </c>
      <c r="G32" s="128"/>
      <c r="H32" s="128"/>
      <c r="I32" s="128"/>
      <c r="J32" s="128"/>
      <c r="K32" s="128"/>
    </row>
    <row r="33" spans="3:11" x14ac:dyDescent="0.3">
      <c r="G33" s="31"/>
      <c r="H33" s="274" t="s">
        <v>652</v>
      </c>
      <c r="I33" s="274"/>
      <c r="J33" s="274"/>
      <c r="K33" s="274"/>
    </row>
    <row r="34" spans="3:11" x14ac:dyDescent="0.3">
      <c r="C34" t="s">
        <v>654</v>
      </c>
      <c r="D34" s="65">
        <f>K21*(1+D28)</f>
        <v>2758.3813058026585</v>
      </c>
      <c r="E34" s="65"/>
      <c r="F34" s="226"/>
      <c r="G34" s="43">
        <f>D45</f>
        <v>-54066.50536470471</v>
      </c>
      <c r="H34" s="140">
        <v>0.1</v>
      </c>
      <c r="I34" s="140">
        <f>D35</f>
        <v>0</v>
      </c>
      <c r="J34" s="140">
        <v>0.12</v>
      </c>
      <c r="K34" s="140">
        <v>0.13</v>
      </c>
    </row>
    <row r="35" spans="3:11" x14ac:dyDescent="0.3">
      <c r="C35" t="s">
        <v>652</v>
      </c>
      <c r="D35" s="137">
        <f>D30</f>
        <v>0</v>
      </c>
      <c r="E35" s="137"/>
      <c r="F35" s="275" t="s">
        <v>655</v>
      </c>
      <c r="G35" s="141">
        <v>0.04</v>
      </c>
      <c r="H35" s="65">
        <v>34476.518277990661</v>
      </c>
      <c r="I35" s="65">
        <v>34476.518277990661</v>
      </c>
      <c r="J35" s="65">
        <v>27663.508607177522</v>
      </c>
      <c r="K35" s="65">
        <v>25392.505383573138</v>
      </c>
    </row>
    <row r="36" spans="3:11" ht="15.6" x14ac:dyDescent="0.3">
      <c r="C36" t="s">
        <v>656</v>
      </c>
      <c r="D36" s="137">
        <f>D29</f>
        <v>4.4999999999999998E-2</v>
      </c>
      <c r="E36" s="137"/>
      <c r="F36" s="275"/>
      <c r="G36" s="141">
        <f>D36</f>
        <v>4.4999999999999998E-2</v>
      </c>
      <c r="H36" s="184">
        <v>34476.518277990661</v>
      </c>
      <c r="I36" s="227">
        <v>34476.518277990661</v>
      </c>
      <c r="J36" s="184">
        <v>27663.508607177522</v>
      </c>
      <c r="K36" s="184">
        <v>25392.505383573138</v>
      </c>
    </row>
    <row r="37" spans="3:11" x14ac:dyDescent="0.3">
      <c r="F37" s="275"/>
      <c r="G37" s="141">
        <v>0.05</v>
      </c>
      <c r="H37" s="184">
        <v>39926.926014641176</v>
      </c>
      <c r="I37" s="184">
        <v>39926.926014641176</v>
      </c>
      <c r="J37" s="184">
        <v>30583.369894668867</v>
      </c>
      <c r="K37" s="184">
        <v>27663.508607177515</v>
      </c>
    </row>
    <row r="38" spans="3:11" x14ac:dyDescent="0.3">
      <c r="C38" s="29" t="s">
        <v>657</v>
      </c>
      <c r="D38" s="222">
        <f>D34/(D35-D36)</f>
        <v>-61297.362351170188</v>
      </c>
      <c r="E38" s="210"/>
      <c r="F38" s="275"/>
      <c r="G38" s="141">
        <v>0.06</v>
      </c>
      <c r="H38" s="184">
        <v>48102.537619616938</v>
      </c>
      <c r="I38" s="184">
        <v>48102.537619616938</v>
      </c>
      <c r="J38" s="184">
        <v>34476.518277990661</v>
      </c>
      <c r="K38" s="184">
        <v>30583.369894668864</v>
      </c>
    </row>
    <row r="41" spans="3:11" x14ac:dyDescent="0.3">
      <c r="C41" s="128" t="s">
        <v>658</v>
      </c>
      <c r="D41" s="128"/>
      <c r="E41" s="223"/>
    </row>
    <row r="43" spans="3:11" x14ac:dyDescent="0.3">
      <c r="C43" t="s">
        <v>649</v>
      </c>
      <c r="D43" s="65">
        <f>SUM(G21:K21)</f>
        <v>7230.8569864654783</v>
      </c>
      <c r="E43" s="65"/>
    </row>
    <row r="44" spans="3:11" x14ac:dyDescent="0.3">
      <c r="C44" t="s">
        <v>659</v>
      </c>
      <c r="D44" s="184">
        <f>D38*K23</f>
        <v>-61297.362351170188</v>
      </c>
      <c r="E44" s="184"/>
    </row>
    <row r="45" spans="3:11" x14ac:dyDescent="0.3">
      <c r="C45" s="41" t="s">
        <v>660</v>
      </c>
      <c r="D45" s="189">
        <f>SUM(D43:D44)</f>
        <v>-54066.50536470471</v>
      </c>
      <c r="E45" s="185"/>
    </row>
    <row r="46" spans="3:11" x14ac:dyDescent="0.3">
      <c r="C46" s="68" t="s">
        <v>661</v>
      </c>
      <c r="D46" s="184">
        <f>'Data Sheet'!K69</f>
        <v>407.54</v>
      </c>
      <c r="E46" s="184"/>
    </row>
    <row r="47" spans="3:11" x14ac:dyDescent="0.3">
      <c r="C47" s="68" t="s">
        <v>662</v>
      </c>
      <c r="D47" s="184">
        <f>SUM('RAW FS'!F5:F6)</f>
        <v>4920</v>
      </c>
      <c r="E47" s="184"/>
    </row>
    <row r="48" spans="3:11" x14ac:dyDescent="0.3">
      <c r="D48" s="40"/>
      <c r="E48" s="40"/>
    </row>
    <row r="49" spans="3:5" x14ac:dyDescent="0.3">
      <c r="C49" s="41" t="s">
        <v>663</v>
      </c>
      <c r="D49" s="189">
        <f>D45+D46-D47</f>
        <v>-58578.965364704709</v>
      </c>
      <c r="E49" s="185"/>
    </row>
    <row r="50" spans="3:5" x14ac:dyDescent="0.3">
      <c r="C50" s="115" t="s">
        <v>664</v>
      </c>
      <c r="D50" s="115">
        <f>'Data Sheet'!K93</f>
        <v>29.64</v>
      </c>
      <c r="E50" s="115"/>
    </row>
    <row r="51" spans="3:5" ht="15" thickBot="1" x14ac:dyDescent="0.35"/>
    <row r="52" spans="3:5" ht="15.6" x14ac:dyDescent="0.3">
      <c r="C52" s="219" t="s">
        <v>665</v>
      </c>
      <c r="D52" s="221">
        <f>D49/D50</f>
        <v>-1976.3483591330873</v>
      </c>
      <c r="E52" s="224"/>
    </row>
    <row r="54" spans="3:5" x14ac:dyDescent="0.3">
      <c r="C54" s="29" t="s">
        <v>666</v>
      </c>
      <c r="D54" s="44">
        <f>+'Comps Data'!C4</f>
        <v>2935.35</v>
      </c>
      <c r="E54" s="40"/>
    </row>
    <row r="55" spans="3:5" ht="15.6" x14ac:dyDescent="0.3">
      <c r="C55" s="30" t="s">
        <v>667</v>
      </c>
      <c r="D55" s="220">
        <f>D54/D52-1</f>
        <v>-2.4852391717458011</v>
      </c>
      <c r="E55" s="225"/>
    </row>
  </sheetData>
  <mergeCells count="3">
    <mergeCell ref="H33:K33"/>
    <mergeCell ref="F35:F38"/>
    <mergeCell ref="G12:K12"/>
  </mergeCells>
  <pageMargins left="0.7" right="0.7" top="0.75" bottom="0.75" header="0.3" footer="0.3"/>
  <ignoredErrors>
    <ignoredError sqref="F19:K19" formula="1"/>
    <ignoredError sqref="D4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tabColor rgb="FFFFFF66"/>
  </sheetPr>
  <dimension ref="B2:O32"/>
  <sheetViews>
    <sheetView showGridLines="0" zoomScale="91" zoomScaleNormal="70" workbookViewId="0">
      <selection activeCell="E31" sqref="E31"/>
    </sheetView>
  </sheetViews>
  <sheetFormatPr defaultColWidth="10" defaultRowHeight="14.4" x14ac:dyDescent="0.3"/>
  <cols>
    <col min="1" max="1" width="1.77734375" customWidth="1"/>
    <col min="2" max="2" width="28" bestFit="1" customWidth="1"/>
    <col min="3" max="6" width="15.77734375" customWidth="1"/>
    <col min="7" max="7" width="17.109375" customWidth="1"/>
    <col min="8" max="8" width="7.77734375" customWidth="1"/>
    <col min="9" max="11" width="13.77734375" customWidth="1"/>
    <col min="12" max="12" width="7.77734375" customWidth="1"/>
    <col min="13" max="15" width="12.77734375" customWidth="1"/>
  </cols>
  <sheetData>
    <row r="2" spans="2:15" ht="18" x14ac:dyDescent="0.35">
      <c r="B2" s="155" t="str">
        <f>Company_Name&amp;" - Comparable Company Valuation"</f>
        <v>SRF LTD - Comparable Company Valuation</v>
      </c>
    </row>
    <row r="3" spans="2:15" ht="15.6" x14ac:dyDescent="0.3">
      <c r="B3" s="48" t="s">
        <v>778</v>
      </c>
    </row>
    <row r="5" spans="2:15" x14ac:dyDescent="0.3">
      <c r="B5" s="127"/>
      <c r="C5" s="278" t="s">
        <v>686</v>
      </c>
      <c r="D5" s="278"/>
      <c r="E5" s="278"/>
      <c r="F5" s="278"/>
      <c r="G5" s="278"/>
      <c r="H5" s="127"/>
      <c r="I5" s="278" t="s">
        <v>687</v>
      </c>
      <c r="J5" s="278"/>
      <c r="K5" s="278"/>
      <c r="L5" s="128"/>
      <c r="M5" s="278" t="s">
        <v>688</v>
      </c>
      <c r="N5" s="278"/>
      <c r="O5" s="278"/>
    </row>
    <row r="6" spans="2:15" x14ac:dyDescent="0.3">
      <c r="B6" s="128"/>
      <c r="C6" s="279" t="s">
        <v>666</v>
      </c>
      <c r="D6" s="279" t="s">
        <v>795</v>
      </c>
      <c r="E6" s="281" t="s">
        <v>689</v>
      </c>
      <c r="F6" s="281" t="s">
        <v>690</v>
      </c>
      <c r="G6" s="281" t="s">
        <v>691</v>
      </c>
      <c r="H6" s="129"/>
      <c r="I6" s="129"/>
      <c r="J6" s="129"/>
      <c r="K6" s="129"/>
      <c r="L6" s="129"/>
      <c r="M6" s="230" t="s">
        <v>796</v>
      </c>
      <c r="N6" s="230" t="s">
        <v>796</v>
      </c>
      <c r="O6" s="129"/>
    </row>
    <row r="7" spans="2:15" x14ac:dyDescent="0.3">
      <c r="B7" s="231" t="s">
        <v>797</v>
      </c>
      <c r="C7" s="280"/>
      <c r="D7" s="280"/>
      <c r="E7" s="282"/>
      <c r="F7" s="282"/>
      <c r="G7" s="282"/>
      <c r="H7" s="129"/>
      <c r="I7" s="129" t="s">
        <v>692</v>
      </c>
      <c r="J7" s="129" t="s">
        <v>8</v>
      </c>
      <c r="K7" s="129" t="s">
        <v>693</v>
      </c>
      <c r="L7" s="129"/>
      <c r="M7" s="230" t="s">
        <v>692</v>
      </c>
      <c r="N7" s="230" t="s">
        <v>8</v>
      </c>
      <c r="O7" s="129" t="s">
        <v>696</v>
      </c>
    </row>
    <row r="8" spans="2:15" x14ac:dyDescent="0.3">
      <c r="B8" s="228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</row>
    <row r="9" spans="2:15" x14ac:dyDescent="0.3">
      <c r="B9" s="67" t="s">
        <v>638</v>
      </c>
      <c r="C9" s="209">
        <f>+'Comps Data'!C4</f>
        <v>2935.35</v>
      </c>
      <c r="D9" s="209">
        <v>29.6</v>
      </c>
      <c r="E9" s="209">
        <f>C9*D9</f>
        <v>86886.36</v>
      </c>
      <c r="F9" s="209">
        <f>'Comps Data'!F4-'Comps Data'!G4</f>
        <v>4838.8999999999996</v>
      </c>
      <c r="G9" s="209">
        <f>E9+F9</f>
        <v>91725.26</v>
      </c>
      <c r="H9" s="209"/>
      <c r="I9" s="209">
        <f>'Comps Data'!J3</f>
        <v>12901.02</v>
      </c>
      <c r="J9" s="209">
        <f>'Comps Data'!H4</f>
        <v>2456.4</v>
      </c>
      <c r="K9" s="209">
        <f>'Comps Data'!K4</f>
        <v>1146.93</v>
      </c>
      <c r="L9" s="232"/>
      <c r="M9" s="233">
        <f>G9/I9</f>
        <v>7.1099230913524663</v>
      </c>
      <c r="N9" s="233">
        <f>G9/J9</f>
        <v>37.341336915811752</v>
      </c>
      <c r="O9" s="233">
        <f>E9/K9</f>
        <v>75.755591012529095</v>
      </c>
    </row>
    <row r="10" spans="2:15" x14ac:dyDescent="0.3">
      <c r="B10" s="66" t="s">
        <v>184</v>
      </c>
      <c r="C10" s="75">
        <f>+'Comps Data'!C5</f>
        <v>815.3</v>
      </c>
      <c r="D10" s="75">
        <f>'Comps Data'!D5</f>
        <v>25.48</v>
      </c>
      <c r="E10" s="75">
        <f t="shared" ref="E10:E12" si="0">C10*D10</f>
        <v>20773.844000000001</v>
      </c>
      <c r="F10" s="75">
        <f>'Comps Data'!F5-'Comps Data'!G5</f>
        <v>5834</v>
      </c>
      <c r="G10" s="75">
        <f t="shared" ref="G10:G12" si="1">E10+F10</f>
        <v>26607.844000000001</v>
      </c>
      <c r="H10" s="75"/>
      <c r="I10" s="75">
        <f>'Comps Data'!J5</f>
        <v>14853</v>
      </c>
      <c r="J10" s="75">
        <f>'Comps Data'!H5</f>
        <v>2340</v>
      </c>
      <c r="K10" s="75">
        <f>'Comps Data'!K5</f>
        <v>-405</v>
      </c>
      <c r="L10" s="234"/>
      <c r="M10" s="235">
        <f t="shared" ref="M10:N12" si="2">$G10/I10</f>
        <v>1.791412105298593</v>
      </c>
      <c r="N10" s="235">
        <f t="shared" si="2"/>
        <v>11.370873504273504</v>
      </c>
      <c r="O10" s="235">
        <f t="shared" ref="O10:O12" si="3">E10/K10</f>
        <v>-51.293441975308646</v>
      </c>
    </row>
    <row r="11" spans="2:15" x14ac:dyDescent="0.3">
      <c r="B11" s="66" t="s">
        <v>185</v>
      </c>
      <c r="C11" s="75">
        <f>+'Comps Data'!C6</f>
        <v>630</v>
      </c>
      <c r="D11" s="75">
        <f>'Comps Data'!D6</f>
        <v>84.4</v>
      </c>
      <c r="E11" s="75">
        <f t="shared" si="0"/>
        <v>53172</v>
      </c>
      <c r="F11" s="75">
        <f>'Comps Data'!F6-'Comps Data'!G6</f>
        <v>27181</v>
      </c>
      <c r="G11" s="75">
        <f t="shared" si="1"/>
        <v>80353</v>
      </c>
      <c r="H11" s="75"/>
      <c r="I11" s="75">
        <f>'Comps Data'!J6</f>
        <v>45142</v>
      </c>
      <c r="J11" s="75">
        <f>'Comps Data'!H6</f>
        <v>4528</v>
      </c>
      <c r="K11" s="75">
        <f>'Comps Data'!K6</f>
        <v>-339</v>
      </c>
      <c r="L11" s="234"/>
      <c r="M11" s="235">
        <f t="shared" si="2"/>
        <v>1.7800053165566434</v>
      </c>
      <c r="N11" s="235">
        <f t="shared" si="2"/>
        <v>17.745803886925795</v>
      </c>
      <c r="O11" s="235">
        <f t="shared" si="3"/>
        <v>-156.84955752212389</v>
      </c>
    </row>
    <row r="12" spans="2:15" x14ac:dyDescent="0.3">
      <c r="B12" s="66" t="s">
        <v>186</v>
      </c>
      <c r="C12" s="245">
        <f>+'Comps Data'!C3</f>
        <v>2751.2</v>
      </c>
      <c r="D12" s="245">
        <f>'Comps Data'!D3</f>
        <v>50.86</v>
      </c>
      <c r="E12" s="245">
        <f t="shared" si="0"/>
        <v>139926.03199999998</v>
      </c>
      <c r="F12" s="245">
        <f>'Comps Data'!F3-'Comps Data'!G3</f>
        <v>-154.40999999999997</v>
      </c>
      <c r="G12" s="245">
        <f t="shared" si="1"/>
        <v>139771.62199999997</v>
      </c>
      <c r="H12" s="245"/>
      <c r="I12" s="245">
        <f>'Comps Data'!J3</f>
        <v>12901.02</v>
      </c>
      <c r="J12" s="245">
        <f>'Comps Data'!H3</f>
        <v>2771</v>
      </c>
      <c r="K12" s="245">
        <f>'Comps Data'!K3</f>
        <v>1972.94</v>
      </c>
      <c r="L12" s="234"/>
      <c r="M12" s="235">
        <f t="shared" si="2"/>
        <v>10.834152803421743</v>
      </c>
      <c r="N12" s="235">
        <f t="shared" si="2"/>
        <v>50.440859617466607</v>
      </c>
      <c r="O12" s="235">
        <f t="shared" si="3"/>
        <v>70.922598761239556</v>
      </c>
    </row>
    <row r="14" spans="2:15" x14ac:dyDescent="0.3">
      <c r="B14" s="122" t="s">
        <v>697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42">
        <f>MAX(M9:M12)</f>
        <v>10.834152803421743</v>
      </c>
      <c r="N14" s="142">
        <f>MAX(N9:N12)</f>
        <v>50.440859617466607</v>
      </c>
      <c r="O14" s="142">
        <f>MAX(O9:O12)</f>
        <v>75.755591012529095</v>
      </c>
    </row>
    <row r="15" spans="2:15" x14ac:dyDescent="0.3">
      <c r="B15" s="122" t="s">
        <v>698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42">
        <f>QUARTILE(M9:M12,3)</f>
        <v>8.0409805193697856</v>
      </c>
      <c r="N15" s="142">
        <f>QUARTILE(N9:N12,3)</f>
        <v>40.616217591225464</v>
      </c>
      <c r="O15" s="142">
        <f>QUARTILE(O9:O12,3)</f>
        <v>72.130846824061933</v>
      </c>
    </row>
    <row r="16" spans="2:15" x14ac:dyDescent="0.3">
      <c r="B16" s="115" t="s">
        <v>100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237">
        <f>AVERAGE(M9:M12)</f>
        <v>5.3788733291573614</v>
      </c>
      <c r="N16" s="237">
        <f>AVERAGE(N9:N12)</f>
        <v>29.224718481119417</v>
      </c>
      <c r="O16" s="237">
        <f>AVERAGE(O9:O12)</f>
        <v>-15.366202430915969</v>
      </c>
    </row>
    <row r="17" spans="2:15" x14ac:dyDescent="0.3">
      <c r="B17" s="115" t="s">
        <v>67</v>
      </c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237">
        <f>MEDIAN(M9:M12)</f>
        <v>4.4506675983255297</v>
      </c>
      <c r="N17" s="237">
        <f>MEDIAN(N9:N12)</f>
        <v>27.543570401368775</v>
      </c>
      <c r="O17" s="237">
        <f>MEDIAN(O9:O12)</f>
        <v>9.8145783929654513</v>
      </c>
    </row>
    <row r="18" spans="2:15" x14ac:dyDescent="0.3">
      <c r="B18" s="115" t="s">
        <v>699</v>
      </c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236">
        <f>QUARTILE(M9:M12,1)</f>
        <v>1.7885604081131055</v>
      </c>
      <c r="N18" s="236">
        <f>QUARTILE(N9:N12,1)</f>
        <v>16.152071291262722</v>
      </c>
      <c r="O18" s="236">
        <f>QUARTILE(O9:O12,1)</f>
        <v>-77.682470862012451</v>
      </c>
    </row>
    <row r="19" spans="2:15" x14ac:dyDescent="0.3">
      <c r="B19" s="115" t="s">
        <v>700</v>
      </c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236">
        <f>MIN(M9:M12)</f>
        <v>1.7800053165566434</v>
      </c>
      <c r="N19" s="236">
        <f>MIN(N9:N12)</f>
        <v>11.370873504273504</v>
      </c>
      <c r="O19" s="236">
        <f>MIN(O9:O12)</f>
        <v>-156.84955752212389</v>
      </c>
    </row>
    <row r="21" spans="2:15" x14ac:dyDescent="0.3">
      <c r="B21" s="128" t="s">
        <v>717</v>
      </c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9" t="s">
        <v>694</v>
      </c>
      <c r="N21" s="129" t="s">
        <v>695</v>
      </c>
      <c r="O21" s="129" t="s">
        <v>696</v>
      </c>
    </row>
    <row r="22" spans="2:15" x14ac:dyDescent="0.3"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9"/>
      <c r="N22" s="229"/>
      <c r="O22" s="229"/>
    </row>
    <row r="23" spans="2:15" x14ac:dyDescent="0.3">
      <c r="B23" s="122" t="s">
        <v>701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245">
        <f>M17*I9</f>
        <v>57418.151699349626</v>
      </c>
      <c r="N23" s="245">
        <f>N17*J9</f>
        <v>67658.026333922258</v>
      </c>
      <c r="O23" s="245">
        <f>O25+O24</f>
        <v>16095.534396243866</v>
      </c>
    </row>
    <row r="24" spans="2:15" x14ac:dyDescent="0.3">
      <c r="B24" s="173" t="s">
        <v>702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75">
        <f>F9</f>
        <v>4838.8999999999996</v>
      </c>
      <c r="N24" s="75">
        <f>F9</f>
        <v>4838.8999999999996</v>
      </c>
      <c r="O24" s="75">
        <f>F9</f>
        <v>4838.8999999999996</v>
      </c>
    </row>
    <row r="25" spans="2:15" x14ac:dyDescent="0.3">
      <c r="B25" s="150" t="s">
        <v>703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89">
        <f>M23-M24</f>
        <v>52579.251699349625</v>
      </c>
      <c r="N25" s="189">
        <f t="shared" ref="N25" si="4">N23-N24</f>
        <v>62819.126333922257</v>
      </c>
      <c r="O25" s="189">
        <f>O17*K9</f>
        <v>11256.634396243866</v>
      </c>
    </row>
    <row r="26" spans="2:15" x14ac:dyDescent="0.3"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238"/>
      <c r="N26" s="238"/>
      <c r="O26" s="238"/>
    </row>
    <row r="27" spans="2:15" x14ac:dyDescent="0.3">
      <c r="B27" s="25" t="s">
        <v>704</v>
      </c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31">
        <f>D9</f>
        <v>29.6</v>
      </c>
      <c r="N27" s="31">
        <f>D9</f>
        <v>29.6</v>
      </c>
      <c r="O27" s="31">
        <f>D9</f>
        <v>29.6</v>
      </c>
    </row>
    <row r="28" spans="2:15" x14ac:dyDescent="0.3">
      <c r="B28" s="25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31"/>
      <c r="N28" s="31"/>
      <c r="O28" s="31"/>
    </row>
    <row r="29" spans="2:15" x14ac:dyDescent="0.3">
      <c r="B29" s="150" t="s">
        <v>705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89">
        <f>M25/M27</f>
        <v>1776.3260709239737</v>
      </c>
      <c r="N29" s="189">
        <f t="shared" ref="N29:O29" si="5">N25/N27</f>
        <v>2122.2677815514276</v>
      </c>
      <c r="O29" s="189">
        <f t="shared" si="5"/>
        <v>380.29170257580626</v>
      </c>
    </row>
    <row r="31" spans="2:15" ht="15.6" x14ac:dyDescent="0.3">
      <c r="M31" s="168" t="str">
        <f>IF(M29&gt;$C$9,"Undervalued","Overvalued")</f>
        <v>Overvalued</v>
      </c>
      <c r="N31" s="168" t="str">
        <f t="shared" ref="N31:O31" si="6">IF(N29&gt;$C$9,"Undervalued","Overvalued")</f>
        <v>Overvalued</v>
      </c>
      <c r="O31" s="168" t="str">
        <f t="shared" si="6"/>
        <v>Overvalued</v>
      </c>
    </row>
    <row r="32" spans="2:15" x14ac:dyDescent="0.3">
      <c r="B32" s="239" t="s">
        <v>706</v>
      </c>
    </row>
  </sheetData>
  <mergeCells count="8">
    <mergeCell ref="I5:K5"/>
    <mergeCell ref="M5:O5"/>
    <mergeCell ref="C5:G5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theme="6" tint="0.39997558519241921"/>
  </sheetPr>
  <dimension ref="A1:K93"/>
  <sheetViews>
    <sheetView topLeftCell="A51" workbookViewId="0">
      <selection activeCell="B65" sqref="B65"/>
    </sheetView>
  </sheetViews>
  <sheetFormatPr defaultColWidth="8.77734375" defaultRowHeight="14.4" x14ac:dyDescent="0.3"/>
  <cols>
    <col min="1" max="1" width="27.6640625" style="8" bestFit="1" customWidth="1"/>
    <col min="2" max="11" width="13.44140625" style="8" bestFit="1" customWidth="1"/>
    <col min="12" max="16384" width="8.77734375" style="8"/>
  </cols>
  <sheetData>
    <row r="1" spans="1:11" customFormat="1" x14ac:dyDescent="0.3">
      <c r="A1" s="9" t="s">
        <v>154</v>
      </c>
      <c r="B1" s="9" t="s">
        <v>155</v>
      </c>
      <c r="E1" s="283" t="str">
        <f>IF(B2&lt;&gt;B3,"A NEW VERSION OF THE WORKSHEET IS AVAILABLE","")</f>
        <v/>
      </c>
      <c r="F1" s="283"/>
      <c r="G1" s="283"/>
      <c r="H1" s="283"/>
      <c r="I1" s="283"/>
      <c r="J1" s="283"/>
      <c r="K1" s="283"/>
    </row>
    <row r="2" spans="1:11" x14ac:dyDescent="0.3">
      <c r="A2" s="9" t="s">
        <v>156</v>
      </c>
      <c r="B2" s="8">
        <v>2.1</v>
      </c>
      <c r="E2" s="284" t="s">
        <v>157</v>
      </c>
      <c r="F2" s="284"/>
      <c r="G2" s="284"/>
      <c r="H2" s="284"/>
      <c r="I2" s="284"/>
      <c r="J2" s="284"/>
      <c r="K2" s="284"/>
    </row>
    <row r="3" spans="1:11" x14ac:dyDescent="0.3">
      <c r="A3" s="9" t="s">
        <v>158</v>
      </c>
      <c r="B3" s="8">
        <v>2.1</v>
      </c>
    </row>
    <row r="4" spans="1:11" x14ac:dyDescent="0.3">
      <c r="A4" s="9"/>
    </row>
    <row r="5" spans="1:11" x14ac:dyDescent="0.3">
      <c r="A5" s="9" t="s">
        <v>159</v>
      </c>
    </row>
    <row r="6" spans="1:11" x14ac:dyDescent="0.3">
      <c r="A6" s="8" t="s">
        <v>160</v>
      </c>
      <c r="B6" s="8">
        <f>IF(B9&gt;0,B9/B8,0)</f>
        <v>29.642481169054022</v>
      </c>
    </row>
    <row r="7" spans="1:11" x14ac:dyDescent="0.3">
      <c r="A7" s="8" t="s">
        <v>161</v>
      </c>
      <c r="B7">
        <v>10</v>
      </c>
    </row>
    <row r="8" spans="1:11" x14ac:dyDescent="0.3">
      <c r="A8" s="8" t="s">
        <v>162</v>
      </c>
      <c r="B8">
        <v>2768.05</v>
      </c>
    </row>
    <row r="9" spans="1:11" x14ac:dyDescent="0.3">
      <c r="A9" s="8" t="s">
        <v>163</v>
      </c>
      <c r="B9">
        <v>82051.87</v>
      </c>
    </row>
    <row r="15" spans="1:11" x14ac:dyDescent="0.3">
      <c r="A15" s="9" t="s">
        <v>164</v>
      </c>
    </row>
    <row r="16" spans="1:11" s="10" customFormat="1" x14ac:dyDescent="0.3">
      <c r="A16" s="11" t="s">
        <v>165</v>
      </c>
      <c r="B16" s="12">
        <v>42094</v>
      </c>
      <c r="C16" s="12">
        <v>42460</v>
      </c>
      <c r="D16" s="12">
        <v>42825</v>
      </c>
      <c r="E16" s="12">
        <v>43190</v>
      </c>
      <c r="F16" s="12">
        <v>43555</v>
      </c>
      <c r="G16" s="12">
        <v>43921</v>
      </c>
      <c r="H16" s="12">
        <v>44286</v>
      </c>
      <c r="I16" s="12">
        <v>44651</v>
      </c>
      <c r="J16" s="12">
        <v>45016</v>
      </c>
      <c r="K16" s="12">
        <v>45382</v>
      </c>
    </row>
    <row r="17" spans="1:11" s="13" customFormat="1" x14ac:dyDescent="0.3">
      <c r="A17" s="13" t="s">
        <v>0</v>
      </c>
      <c r="B17">
        <v>4539.8500000000004</v>
      </c>
      <c r="C17">
        <v>4592.72</v>
      </c>
      <c r="D17">
        <v>4821.8</v>
      </c>
      <c r="E17">
        <v>5589.04</v>
      </c>
      <c r="F17">
        <v>7099.59</v>
      </c>
      <c r="G17">
        <v>7209.41</v>
      </c>
      <c r="H17">
        <v>8400.0400000000009</v>
      </c>
      <c r="I17">
        <v>12433.66</v>
      </c>
      <c r="J17">
        <v>14870.25</v>
      </c>
      <c r="K17">
        <v>13138.52</v>
      </c>
    </row>
    <row r="18" spans="1:11" s="13" customFormat="1" x14ac:dyDescent="0.3">
      <c r="A18" s="8" t="s">
        <v>112</v>
      </c>
      <c r="B18">
        <v>2574.71</v>
      </c>
      <c r="C18">
        <v>2309.61</v>
      </c>
      <c r="D18">
        <v>2440.2399999999998</v>
      </c>
      <c r="E18">
        <v>3063.1</v>
      </c>
      <c r="F18">
        <v>4041.16</v>
      </c>
      <c r="G18">
        <v>3778.79</v>
      </c>
      <c r="H18">
        <v>4090.6</v>
      </c>
      <c r="I18">
        <v>6346.69</v>
      </c>
      <c r="J18">
        <v>7402.43</v>
      </c>
      <c r="K18">
        <v>6814.16</v>
      </c>
    </row>
    <row r="19" spans="1:11" s="13" customFormat="1" x14ac:dyDescent="0.3">
      <c r="A19" s="8" t="s">
        <v>113</v>
      </c>
      <c r="B19">
        <v>32.75</v>
      </c>
      <c r="C19">
        <v>-20.96</v>
      </c>
      <c r="D19">
        <v>21.43</v>
      </c>
      <c r="E19">
        <v>31.1</v>
      </c>
      <c r="F19">
        <v>74.03</v>
      </c>
      <c r="G19">
        <v>91.82</v>
      </c>
      <c r="H19">
        <v>71.66</v>
      </c>
      <c r="I19">
        <v>279.75</v>
      </c>
      <c r="J19">
        <v>8.92</v>
      </c>
      <c r="K19">
        <v>105.38</v>
      </c>
    </row>
    <row r="20" spans="1:11" s="13" customFormat="1" x14ac:dyDescent="0.3">
      <c r="A20" s="8" t="s">
        <v>114</v>
      </c>
      <c r="B20">
        <v>434.15</v>
      </c>
      <c r="C20">
        <v>398.07</v>
      </c>
      <c r="D20">
        <v>417.8</v>
      </c>
      <c r="E20">
        <v>500.79</v>
      </c>
      <c r="F20">
        <v>585.09</v>
      </c>
      <c r="G20">
        <v>672.55</v>
      </c>
      <c r="H20">
        <v>717.34</v>
      </c>
      <c r="I20">
        <v>1135.56</v>
      </c>
      <c r="J20">
        <v>1472.25</v>
      </c>
      <c r="K20">
        <v>1344.81</v>
      </c>
    </row>
    <row r="21" spans="1:11" s="13" customFormat="1" x14ac:dyDescent="0.3">
      <c r="A21" s="8" t="s">
        <v>115</v>
      </c>
      <c r="B21">
        <v>192.7</v>
      </c>
      <c r="C21">
        <v>197.52</v>
      </c>
      <c r="D21">
        <v>210.06</v>
      </c>
      <c r="E21">
        <v>266.83999999999997</v>
      </c>
      <c r="F21">
        <v>275.41000000000003</v>
      </c>
      <c r="G21">
        <v>315.13</v>
      </c>
      <c r="H21">
        <v>324.12</v>
      </c>
      <c r="I21">
        <v>406.3</v>
      </c>
      <c r="J21">
        <v>440.42</v>
      </c>
      <c r="K21">
        <v>506.14</v>
      </c>
    </row>
    <row r="22" spans="1:11" s="13" customFormat="1" x14ac:dyDescent="0.3">
      <c r="A22" s="8" t="s">
        <v>116</v>
      </c>
      <c r="B22">
        <v>356.32</v>
      </c>
      <c r="C22">
        <v>386.62</v>
      </c>
      <c r="D22">
        <v>433.99</v>
      </c>
      <c r="E22">
        <v>474.23</v>
      </c>
      <c r="F22">
        <v>461</v>
      </c>
      <c r="G22">
        <v>542.17999999999995</v>
      </c>
      <c r="H22">
        <v>621.69000000000005</v>
      </c>
      <c r="I22">
        <v>780.66</v>
      </c>
      <c r="J22">
        <v>814.21</v>
      </c>
      <c r="K22">
        <v>935.27</v>
      </c>
    </row>
    <row r="23" spans="1:11" s="13" customFormat="1" x14ac:dyDescent="0.3">
      <c r="A23" s="8" t="s">
        <v>117</v>
      </c>
      <c r="B23">
        <v>209.85</v>
      </c>
      <c r="C23">
        <v>220.2</v>
      </c>
      <c r="D23">
        <v>272.75</v>
      </c>
      <c r="E23">
        <v>335.3</v>
      </c>
      <c r="F23">
        <v>374.09</v>
      </c>
      <c r="G23">
        <v>389.98</v>
      </c>
      <c r="H23">
        <v>438.07</v>
      </c>
      <c r="I23">
        <v>737.57</v>
      </c>
      <c r="J23">
        <v>835.69</v>
      </c>
      <c r="K23">
        <v>691.96</v>
      </c>
    </row>
    <row r="24" spans="1:11" s="13" customFormat="1" x14ac:dyDescent="0.3">
      <c r="A24" s="8" t="s">
        <v>118</v>
      </c>
      <c r="B24">
        <v>87.41</v>
      </c>
      <c r="C24">
        <v>96.98</v>
      </c>
      <c r="D24">
        <v>99</v>
      </c>
      <c r="E24">
        <v>73.64</v>
      </c>
      <c r="F24">
        <v>139.87</v>
      </c>
      <c r="G24">
        <v>147.66</v>
      </c>
      <c r="H24">
        <v>146.55000000000001</v>
      </c>
      <c r="I24">
        <v>203.43</v>
      </c>
      <c r="J24">
        <v>384.97</v>
      </c>
      <c r="K24">
        <v>367.45</v>
      </c>
    </row>
    <row r="25" spans="1:11" s="13" customFormat="1" x14ac:dyDescent="0.3">
      <c r="A25" s="13" t="s">
        <v>119</v>
      </c>
      <c r="B25">
        <v>64.58</v>
      </c>
      <c r="C25">
        <v>27.6</v>
      </c>
      <c r="D25">
        <v>73.010000000000005</v>
      </c>
      <c r="E25">
        <v>115.12</v>
      </c>
      <c r="F25">
        <v>78.02</v>
      </c>
      <c r="G25">
        <v>152.24</v>
      </c>
      <c r="H25">
        <v>66.040000000000006</v>
      </c>
      <c r="I25">
        <v>115.51</v>
      </c>
      <c r="J25">
        <v>74.930000000000007</v>
      </c>
      <c r="K25">
        <v>83.02</v>
      </c>
    </row>
    <row r="26" spans="1:11" s="13" customFormat="1" x14ac:dyDescent="0.3">
      <c r="A26" s="13" t="s">
        <v>12</v>
      </c>
      <c r="B26">
        <v>245.03</v>
      </c>
      <c r="C26">
        <v>274.95999999999998</v>
      </c>
      <c r="D26">
        <v>283.44</v>
      </c>
      <c r="E26">
        <v>315.8</v>
      </c>
      <c r="F26">
        <v>358.17</v>
      </c>
      <c r="G26">
        <v>388.61</v>
      </c>
      <c r="H26">
        <v>453.08</v>
      </c>
      <c r="I26">
        <v>517.23</v>
      </c>
      <c r="J26">
        <v>575.32000000000005</v>
      </c>
      <c r="K26">
        <v>672.62</v>
      </c>
    </row>
    <row r="27" spans="1:11" s="13" customFormat="1" x14ac:dyDescent="0.3">
      <c r="A27" s="13" t="s">
        <v>10</v>
      </c>
      <c r="B27">
        <v>137.58000000000001</v>
      </c>
      <c r="C27">
        <v>130.46</v>
      </c>
      <c r="D27">
        <v>101.77</v>
      </c>
      <c r="E27">
        <v>123.89</v>
      </c>
      <c r="F27">
        <v>198.37</v>
      </c>
      <c r="G27">
        <v>200.68</v>
      </c>
      <c r="H27">
        <v>133.94999999999999</v>
      </c>
      <c r="I27">
        <v>115.93</v>
      </c>
      <c r="J27">
        <v>204.82</v>
      </c>
      <c r="K27">
        <v>302.29000000000002</v>
      </c>
    </row>
    <row r="28" spans="1:11" s="13" customFormat="1" x14ac:dyDescent="0.3">
      <c r="A28" s="13" t="s">
        <v>120</v>
      </c>
      <c r="B28">
        <v>399.43</v>
      </c>
      <c r="C28">
        <v>584.94000000000005</v>
      </c>
      <c r="D28">
        <v>657.19</v>
      </c>
      <c r="E28">
        <v>581.66999999999996</v>
      </c>
      <c r="F28">
        <v>818.48</v>
      </c>
      <c r="G28">
        <v>1017.89</v>
      </c>
      <c r="H28">
        <v>1612.34</v>
      </c>
      <c r="I28">
        <v>2585.5500000000002</v>
      </c>
      <c r="J28">
        <v>2823.99</v>
      </c>
      <c r="K28">
        <v>1692.22</v>
      </c>
    </row>
    <row r="29" spans="1:11" s="13" customFormat="1" x14ac:dyDescent="0.3">
      <c r="A29" s="13" t="s">
        <v>16</v>
      </c>
      <c r="B29">
        <v>96.62</v>
      </c>
      <c r="C29">
        <v>155.05000000000001</v>
      </c>
      <c r="D29">
        <v>142.19999999999999</v>
      </c>
      <c r="E29">
        <v>119.96</v>
      </c>
      <c r="F29">
        <v>176.85</v>
      </c>
      <c r="G29">
        <v>-1.2</v>
      </c>
      <c r="H29">
        <v>414.4</v>
      </c>
      <c r="I29">
        <v>696.63</v>
      </c>
      <c r="J29">
        <v>661.65</v>
      </c>
      <c r="K29">
        <v>356.51</v>
      </c>
    </row>
    <row r="30" spans="1:11" s="13" customFormat="1" x14ac:dyDescent="0.3">
      <c r="A30" s="13" t="s">
        <v>121</v>
      </c>
      <c r="B30">
        <v>302.81</v>
      </c>
      <c r="C30">
        <v>429.89</v>
      </c>
      <c r="D30">
        <v>514.99</v>
      </c>
      <c r="E30">
        <v>461.71</v>
      </c>
      <c r="F30">
        <v>641.63</v>
      </c>
      <c r="G30">
        <v>1019.09</v>
      </c>
      <c r="H30">
        <v>1197.94</v>
      </c>
      <c r="I30">
        <v>1888.92</v>
      </c>
      <c r="J30">
        <v>2162.34</v>
      </c>
      <c r="K30">
        <v>1335.71</v>
      </c>
    </row>
    <row r="31" spans="1:11" s="13" customFormat="1" x14ac:dyDescent="0.3">
      <c r="A31" s="13" t="s">
        <v>166</v>
      </c>
      <c r="B31">
        <v>58.44</v>
      </c>
      <c r="C31">
        <v>58.44</v>
      </c>
      <c r="D31">
        <v>70.13</v>
      </c>
      <c r="E31">
        <v>70.13</v>
      </c>
      <c r="F31">
        <v>70.2</v>
      </c>
      <c r="G31">
        <v>81.900000000000006</v>
      </c>
      <c r="H31">
        <v>144.62</v>
      </c>
      <c r="I31">
        <v>498.21</v>
      </c>
      <c r="J31">
        <v>214.16</v>
      </c>
      <c r="K31">
        <v>214.16</v>
      </c>
    </row>
    <row r="32" spans="1:11" s="13" customFormat="1" x14ac:dyDescent="0.3"/>
    <row r="33" spans="1:11" x14ac:dyDescent="0.3">
      <c r="A33" s="13"/>
    </row>
    <row r="34" spans="1:11" x14ac:dyDescent="0.3">
      <c r="A34" s="13"/>
    </row>
    <row r="35" spans="1:11" x14ac:dyDescent="0.3">
      <c r="A35" s="13"/>
    </row>
    <row r="36" spans="1:11" x14ac:dyDescent="0.3">
      <c r="A36" s="13"/>
    </row>
    <row r="37" spans="1:11" x14ac:dyDescent="0.3">
      <c r="A37" s="13"/>
    </row>
    <row r="38" spans="1:11" x14ac:dyDescent="0.3">
      <c r="A38" s="13"/>
    </row>
    <row r="39" spans="1:11" x14ac:dyDescent="0.3">
      <c r="A39" s="13"/>
    </row>
    <row r="40" spans="1:11" x14ac:dyDescent="0.3">
      <c r="A40" s="9" t="s">
        <v>167</v>
      </c>
    </row>
    <row r="41" spans="1:11" s="10" customFormat="1" x14ac:dyDescent="0.3">
      <c r="A41" s="11" t="s">
        <v>165</v>
      </c>
      <c r="B41" s="12">
        <v>44834</v>
      </c>
      <c r="C41" s="12">
        <v>44926</v>
      </c>
      <c r="D41" s="12">
        <v>45016</v>
      </c>
      <c r="E41" s="12">
        <v>45107</v>
      </c>
      <c r="F41" s="12">
        <v>45199</v>
      </c>
      <c r="G41" s="12">
        <v>45291</v>
      </c>
      <c r="H41" s="12">
        <v>45382</v>
      </c>
      <c r="I41" s="12">
        <v>45473</v>
      </c>
      <c r="J41" s="12">
        <v>45565</v>
      </c>
      <c r="K41" s="12">
        <v>45657</v>
      </c>
    </row>
    <row r="42" spans="1:11" s="13" customFormat="1" x14ac:dyDescent="0.3">
      <c r="A42" s="13" t="s">
        <v>0</v>
      </c>
      <c r="B42">
        <v>3727.78</v>
      </c>
      <c r="C42">
        <v>3469.66</v>
      </c>
      <c r="D42">
        <v>3778.09</v>
      </c>
      <c r="E42">
        <v>3338.38</v>
      </c>
      <c r="F42">
        <v>3177.36</v>
      </c>
      <c r="G42">
        <v>3053.04</v>
      </c>
      <c r="H42">
        <v>3569.74</v>
      </c>
      <c r="I42">
        <v>3464.12</v>
      </c>
      <c r="J42">
        <v>3424.3</v>
      </c>
      <c r="K42">
        <v>3491.31</v>
      </c>
    </row>
    <row r="43" spans="1:11" s="13" customFormat="1" x14ac:dyDescent="0.3">
      <c r="A43" s="13" t="s">
        <v>168</v>
      </c>
      <c r="B43">
        <v>2958.67</v>
      </c>
      <c r="C43">
        <v>2636.14</v>
      </c>
      <c r="D43">
        <v>2846.49</v>
      </c>
      <c r="E43">
        <v>2642.13</v>
      </c>
      <c r="F43">
        <v>2551.15</v>
      </c>
      <c r="G43">
        <v>2487.21</v>
      </c>
      <c r="H43">
        <v>2873.92</v>
      </c>
      <c r="I43">
        <v>2860.7</v>
      </c>
      <c r="J43">
        <v>2886.26</v>
      </c>
      <c r="K43">
        <v>2871.74</v>
      </c>
    </row>
    <row r="44" spans="1:11" s="13" customFormat="1" x14ac:dyDescent="0.3">
      <c r="A44" s="13" t="s">
        <v>119</v>
      </c>
      <c r="B44">
        <v>32.74</v>
      </c>
      <c r="C44">
        <v>10.01</v>
      </c>
      <c r="D44">
        <v>22.33</v>
      </c>
      <c r="E44">
        <v>11.76</v>
      </c>
      <c r="F44">
        <v>29.12</v>
      </c>
      <c r="G44">
        <v>18.75</v>
      </c>
      <c r="H44">
        <v>23.39</v>
      </c>
      <c r="I44">
        <v>25.26</v>
      </c>
      <c r="J44">
        <v>33.33</v>
      </c>
      <c r="K44">
        <v>39.64</v>
      </c>
    </row>
    <row r="45" spans="1:11" s="13" customFormat="1" x14ac:dyDescent="0.3">
      <c r="A45" s="13" t="s">
        <v>12</v>
      </c>
      <c r="B45">
        <v>139.30000000000001</v>
      </c>
      <c r="C45">
        <v>150.65</v>
      </c>
      <c r="D45">
        <v>154.63999999999999</v>
      </c>
      <c r="E45">
        <v>156.61000000000001</v>
      </c>
      <c r="F45">
        <v>161.22999999999999</v>
      </c>
      <c r="G45">
        <v>168.89</v>
      </c>
      <c r="H45">
        <v>185.89</v>
      </c>
      <c r="I45">
        <v>188.16</v>
      </c>
      <c r="J45">
        <v>193.93</v>
      </c>
      <c r="K45">
        <v>194.26</v>
      </c>
    </row>
    <row r="46" spans="1:11" s="13" customFormat="1" x14ac:dyDescent="0.3">
      <c r="A46" s="13" t="s">
        <v>10</v>
      </c>
      <c r="B46">
        <v>44.47</v>
      </c>
      <c r="C46">
        <v>61.95</v>
      </c>
      <c r="D46">
        <v>65.900000000000006</v>
      </c>
      <c r="E46">
        <v>65.63</v>
      </c>
      <c r="F46">
        <v>79.290000000000006</v>
      </c>
      <c r="G46">
        <v>67.37</v>
      </c>
      <c r="H46">
        <v>90</v>
      </c>
      <c r="I46">
        <v>96.54</v>
      </c>
      <c r="J46">
        <v>93.78</v>
      </c>
      <c r="K46">
        <v>96.25</v>
      </c>
    </row>
    <row r="47" spans="1:11" s="13" customFormat="1" x14ac:dyDescent="0.3">
      <c r="A47" s="13" t="s">
        <v>120</v>
      </c>
      <c r="B47">
        <v>618.08000000000004</v>
      </c>
      <c r="C47">
        <v>630.92999999999995</v>
      </c>
      <c r="D47">
        <v>733.39</v>
      </c>
      <c r="E47">
        <v>485.77</v>
      </c>
      <c r="F47">
        <v>414.81</v>
      </c>
      <c r="G47">
        <v>348.32</v>
      </c>
      <c r="H47">
        <v>443.32</v>
      </c>
      <c r="I47">
        <v>343.98</v>
      </c>
      <c r="J47">
        <v>283.66000000000003</v>
      </c>
      <c r="K47">
        <v>368.7</v>
      </c>
    </row>
    <row r="48" spans="1:11" s="13" customFormat="1" x14ac:dyDescent="0.3">
      <c r="A48" s="13" t="s">
        <v>16</v>
      </c>
      <c r="B48">
        <v>137.09</v>
      </c>
      <c r="C48">
        <v>120.03</v>
      </c>
      <c r="D48">
        <v>170.94</v>
      </c>
      <c r="E48">
        <v>126.48</v>
      </c>
      <c r="F48">
        <v>114.03</v>
      </c>
      <c r="G48">
        <v>94.89</v>
      </c>
      <c r="H48">
        <v>21.11</v>
      </c>
      <c r="I48">
        <v>91.76</v>
      </c>
      <c r="J48">
        <v>82.24</v>
      </c>
      <c r="K48">
        <v>97.62</v>
      </c>
    </row>
    <row r="49" spans="1:11" s="13" customFormat="1" x14ac:dyDescent="0.3">
      <c r="A49" s="13" t="s">
        <v>121</v>
      </c>
      <c r="B49">
        <v>480.99</v>
      </c>
      <c r="C49">
        <v>510.9</v>
      </c>
      <c r="D49">
        <v>562.45000000000005</v>
      </c>
      <c r="E49">
        <v>359.29</v>
      </c>
      <c r="F49">
        <v>300.77999999999997</v>
      </c>
      <c r="G49">
        <v>253.43</v>
      </c>
      <c r="H49">
        <v>422.21</v>
      </c>
      <c r="I49">
        <v>252.22</v>
      </c>
      <c r="J49">
        <v>201.42</v>
      </c>
      <c r="K49">
        <v>271.08</v>
      </c>
    </row>
    <row r="50" spans="1:11" x14ac:dyDescent="0.3">
      <c r="A50" s="13" t="s">
        <v>169</v>
      </c>
      <c r="B50">
        <v>769.11</v>
      </c>
      <c r="C50">
        <v>833.52</v>
      </c>
      <c r="D50">
        <v>931.6</v>
      </c>
      <c r="E50">
        <v>696.25</v>
      </c>
      <c r="F50">
        <v>626.21</v>
      </c>
      <c r="G50">
        <v>565.83000000000004</v>
      </c>
      <c r="H50">
        <v>695.82</v>
      </c>
      <c r="I50">
        <v>603.41999999999996</v>
      </c>
      <c r="J50">
        <v>538.04</v>
      </c>
      <c r="K50">
        <v>619.57000000000005</v>
      </c>
    </row>
    <row r="51" spans="1:11" x14ac:dyDescent="0.3">
      <c r="A51" s="13"/>
    </row>
    <row r="52" spans="1:11" x14ac:dyDescent="0.3">
      <c r="A52" s="13"/>
    </row>
    <row r="53" spans="1:11" x14ac:dyDescent="0.3">
      <c r="A53" s="13"/>
    </row>
    <row r="54" spans="1:11" x14ac:dyDescent="0.3">
      <c r="A54" s="13"/>
    </row>
    <row r="55" spans="1:11" x14ac:dyDescent="0.3">
      <c r="A55" s="9" t="s">
        <v>170</v>
      </c>
    </row>
    <row r="56" spans="1:11" s="10" customFormat="1" x14ac:dyDescent="0.3">
      <c r="A56" s="11" t="s">
        <v>165</v>
      </c>
      <c r="B56" s="12">
        <v>42094</v>
      </c>
      <c r="C56" s="12">
        <v>42460</v>
      </c>
      <c r="D56" s="12">
        <v>42825</v>
      </c>
      <c r="E56" s="12">
        <v>43190</v>
      </c>
      <c r="F56" s="12">
        <v>43555</v>
      </c>
      <c r="G56" s="12">
        <v>43921</v>
      </c>
      <c r="H56" s="12">
        <v>44286</v>
      </c>
      <c r="I56" s="12">
        <v>44651</v>
      </c>
      <c r="J56" s="12">
        <v>45016</v>
      </c>
      <c r="K56" s="12">
        <v>45382</v>
      </c>
    </row>
    <row r="57" spans="1:11" x14ac:dyDescent="0.3">
      <c r="A57" s="13" t="s">
        <v>26</v>
      </c>
      <c r="B57">
        <v>58.44</v>
      </c>
      <c r="C57">
        <v>58.44</v>
      </c>
      <c r="D57">
        <v>58.44</v>
      </c>
      <c r="E57">
        <v>58.44</v>
      </c>
      <c r="F57">
        <v>58.5</v>
      </c>
      <c r="G57">
        <v>58.5</v>
      </c>
      <c r="H57">
        <v>60.26</v>
      </c>
      <c r="I57">
        <v>297.44</v>
      </c>
      <c r="J57">
        <v>297.44</v>
      </c>
      <c r="K57">
        <v>297.44</v>
      </c>
    </row>
    <row r="58" spans="1:11" x14ac:dyDescent="0.3">
      <c r="A58" s="13" t="s">
        <v>27</v>
      </c>
      <c r="B58">
        <v>2237.9</v>
      </c>
      <c r="C58">
        <v>2704.54</v>
      </c>
      <c r="D58">
        <v>3124.22</v>
      </c>
      <c r="E58">
        <v>3506.09</v>
      </c>
      <c r="F58">
        <v>4070.77</v>
      </c>
      <c r="G58">
        <v>4874.82</v>
      </c>
      <c r="H58">
        <v>6796.16</v>
      </c>
      <c r="I58">
        <v>8267.92</v>
      </c>
      <c r="J58">
        <v>10029.61</v>
      </c>
      <c r="K58">
        <v>11181.58</v>
      </c>
    </row>
    <row r="59" spans="1:11" x14ac:dyDescent="0.3">
      <c r="A59" s="13" t="s">
        <v>28</v>
      </c>
      <c r="B59">
        <v>2434.89</v>
      </c>
      <c r="C59">
        <v>2515.25</v>
      </c>
      <c r="D59">
        <v>2396.21</v>
      </c>
      <c r="E59">
        <v>3141.84</v>
      </c>
      <c r="F59">
        <v>3730.19</v>
      </c>
      <c r="G59">
        <v>4134.51</v>
      </c>
      <c r="H59">
        <v>3468.59</v>
      </c>
      <c r="I59">
        <v>3655.19</v>
      </c>
      <c r="J59">
        <v>4477.53</v>
      </c>
      <c r="K59">
        <v>5030.54</v>
      </c>
    </row>
    <row r="60" spans="1:11" x14ac:dyDescent="0.3">
      <c r="A60" s="13" t="s">
        <v>29</v>
      </c>
      <c r="B60">
        <v>1151.9000000000001</v>
      </c>
      <c r="C60">
        <v>1145.71</v>
      </c>
      <c r="D60">
        <v>1389.46</v>
      </c>
      <c r="E60">
        <v>1656.64</v>
      </c>
      <c r="F60">
        <v>2028.44</v>
      </c>
      <c r="G60">
        <v>1794.67</v>
      </c>
      <c r="H60">
        <v>2586.2600000000002</v>
      </c>
      <c r="I60">
        <v>3544.46</v>
      </c>
      <c r="J60">
        <v>3931.29</v>
      </c>
      <c r="K60">
        <v>3944.82</v>
      </c>
    </row>
    <row r="61" spans="1:11" customFormat="1" x14ac:dyDescent="0.3">
      <c r="A61" s="9" t="s">
        <v>110</v>
      </c>
      <c r="B61">
        <v>5883.13</v>
      </c>
      <c r="C61">
        <v>6423.94</v>
      </c>
      <c r="D61">
        <v>6968.33</v>
      </c>
      <c r="E61">
        <v>8363.01</v>
      </c>
      <c r="F61">
        <v>9887.9</v>
      </c>
      <c r="G61">
        <v>10862.5</v>
      </c>
      <c r="H61">
        <v>12911.27</v>
      </c>
      <c r="I61">
        <v>15765.01</v>
      </c>
      <c r="J61">
        <v>18735.87</v>
      </c>
      <c r="K61">
        <v>20454.38</v>
      </c>
    </row>
    <row r="62" spans="1:11" x14ac:dyDescent="0.3">
      <c r="A62" s="13" t="s">
        <v>122</v>
      </c>
      <c r="B62">
        <v>3922.33</v>
      </c>
      <c r="C62">
        <v>4112.5200000000004</v>
      </c>
      <c r="D62">
        <v>4404.91</v>
      </c>
      <c r="E62">
        <v>5121.59</v>
      </c>
      <c r="F62">
        <v>5609.39</v>
      </c>
      <c r="G62">
        <v>6367.59</v>
      </c>
      <c r="H62">
        <v>7826.96</v>
      </c>
      <c r="I62">
        <v>8425.2900000000009</v>
      </c>
      <c r="J62">
        <v>10049.799999999999</v>
      </c>
      <c r="K62">
        <v>13241.62</v>
      </c>
    </row>
    <row r="63" spans="1:11" x14ac:dyDescent="0.3">
      <c r="A63" s="13" t="s">
        <v>32</v>
      </c>
      <c r="B63">
        <v>104.12</v>
      </c>
      <c r="C63">
        <v>117.44</v>
      </c>
      <c r="D63">
        <v>258.58</v>
      </c>
      <c r="E63">
        <v>558.80999999999995</v>
      </c>
      <c r="F63">
        <v>753.61</v>
      </c>
      <c r="G63">
        <v>1393.29</v>
      </c>
      <c r="H63">
        <v>772.26</v>
      </c>
      <c r="I63">
        <v>1671.63</v>
      </c>
      <c r="J63">
        <v>2405.54</v>
      </c>
      <c r="K63">
        <v>805.33</v>
      </c>
    </row>
    <row r="64" spans="1:11" x14ac:dyDescent="0.3">
      <c r="A64" s="13" t="s">
        <v>33</v>
      </c>
      <c r="B64">
        <v>94.27</v>
      </c>
      <c r="C64">
        <v>164.93</v>
      </c>
      <c r="D64">
        <v>195.88</v>
      </c>
      <c r="E64">
        <v>121.82</v>
      </c>
      <c r="F64">
        <v>100.6</v>
      </c>
      <c r="G64">
        <v>202.66</v>
      </c>
      <c r="H64">
        <v>416.68</v>
      </c>
      <c r="I64">
        <v>320.89999999999998</v>
      </c>
      <c r="J64">
        <v>494.21</v>
      </c>
      <c r="K64">
        <v>526.70000000000005</v>
      </c>
    </row>
    <row r="65" spans="1:11" x14ac:dyDescent="0.3">
      <c r="A65" s="13" t="s">
        <v>34</v>
      </c>
      <c r="B65">
        <v>1762.41</v>
      </c>
      <c r="C65">
        <v>2029.05</v>
      </c>
      <c r="D65">
        <v>2108.96</v>
      </c>
      <c r="E65">
        <v>2560.79</v>
      </c>
      <c r="F65">
        <v>3424.3</v>
      </c>
      <c r="G65">
        <v>2898.96</v>
      </c>
      <c r="H65">
        <v>3895.37</v>
      </c>
      <c r="I65">
        <v>5347.19</v>
      </c>
      <c r="J65">
        <v>5786.32</v>
      </c>
      <c r="K65">
        <v>5880.73</v>
      </c>
    </row>
    <row r="66" spans="1:11" customFormat="1" x14ac:dyDescent="0.3">
      <c r="A66" s="9" t="s">
        <v>110</v>
      </c>
      <c r="B66">
        <v>5883.13</v>
      </c>
      <c r="C66">
        <v>6423.94</v>
      </c>
      <c r="D66">
        <v>6968.33</v>
      </c>
      <c r="E66">
        <v>8363.01</v>
      </c>
      <c r="F66">
        <v>9887.9</v>
      </c>
      <c r="G66">
        <v>10862.5</v>
      </c>
      <c r="H66">
        <v>12911.27</v>
      </c>
      <c r="I66">
        <v>15765.01</v>
      </c>
      <c r="J66">
        <v>18735.87</v>
      </c>
      <c r="K66">
        <v>20454.38</v>
      </c>
    </row>
    <row r="67" spans="1:11" s="13" customFormat="1" x14ac:dyDescent="0.3">
      <c r="A67" s="13" t="s">
        <v>35</v>
      </c>
      <c r="B67">
        <v>610.66</v>
      </c>
      <c r="C67">
        <v>514.48</v>
      </c>
      <c r="D67">
        <v>656.89</v>
      </c>
      <c r="E67">
        <v>680.65</v>
      </c>
      <c r="F67">
        <v>1028.75</v>
      </c>
      <c r="G67">
        <v>891.07</v>
      </c>
      <c r="H67">
        <v>1274.56</v>
      </c>
      <c r="I67">
        <v>1792.45</v>
      </c>
      <c r="J67">
        <v>1785.62</v>
      </c>
      <c r="K67">
        <v>1942.82</v>
      </c>
    </row>
    <row r="68" spans="1:11" x14ac:dyDescent="0.3">
      <c r="A68" s="13" t="s">
        <v>36</v>
      </c>
      <c r="B68">
        <v>763.5</v>
      </c>
      <c r="C68">
        <v>671.05</v>
      </c>
      <c r="D68">
        <v>838.14</v>
      </c>
      <c r="E68">
        <v>958.18</v>
      </c>
      <c r="F68">
        <v>1224.74</v>
      </c>
      <c r="G68">
        <v>1201.23</v>
      </c>
      <c r="H68">
        <v>1465.82</v>
      </c>
      <c r="I68">
        <v>2138.4699999999998</v>
      </c>
      <c r="J68">
        <v>2274.29</v>
      </c>
      <c r="K68">
        <v>2326.4699999999998</v>
      </c>
    </row>
    <row r="69" spans="1:11" x14ac:dyDescent="0.3">
      <c r="A69" s="8" t="s">
        <v>37</v>
      </c>
      <c r="B69">
        <v>107.3</v>
      </c>
      <c r="C69">
        <v>389.23</v>
      </c>
      <c r="D69">
        <v>96.12</v>
      </c>
      <c r="E69">
        <v>96.74</v>
      </c>
      <c r="F69">
        <v>198.88</v>
      </c>
      <c r="G69">
        <v>125.47</v>
      </c>
      <c r="H69">
        <v>282</v>
      </c>
      <c r="I69">
        <v>459.35</v>
      </c>
      <c r="J69">
        <v>616.46</v>
      </c>
      <c r="K69">
        <v>407.54</v>
      </c>
    </row>
    <row r="70" spans="1:11" x14ac:dyDescent="0.3">
      <c r="A70" s="8" t="s">
        <v>171</v>
      </c>
      <c r="B70">
        <v>58435600</v>
      </c>
      <c r="C70">
        <v>58440500</v>
      </c>
      <c r="D70">
        <v>58440500</v>
      </c>
      <c r="E70">
        <v>58440500</v>
      </c>
      <c r="F70">
        <v>58500500</v>
      </c>
      <c r="G70">
        <v>58500500</v>
      </c>
      <c r="H70">
        <v>60265205</v>
      </c>
      <c r="I70">
        <v>297441025</v>
      </c>
      <c r="J70">
        <v>297444825</v>
      </c>
      <c r="K70">
        <v>297444825</v>
      </c>
    </row>
    <row r="71" spans="1:11" x14ac:dyDescent="0.3">
      <c r="A71" s="8" t="s">
        <v>172</v>
      </c>
    </row>
    <row r="72" spans="1:11" x14ac:dyDescent="0.3">
      <c r="A72" s="8" t="s">
        <v>173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13"/>
    </row>
    <row r="75" spans="1:11" x14ac:dyDescent="0.3">
      <c r="A75" s="13"/>
    </row>
    <row r="76" spans="1:11" x14ac:dyDescent="0.3">
      <c r="A76" s="13"/>
    </row>
    <row r="77" spans="1:11" x14ac:dyDescent="0.3">
      <c r="A77" s="13"/>
    </row>
    <row r="78" spans="1:11" x14ac:dyDescent="0.3">
      <c r="A78" s="13"/>
    </row>
    <row r="79" spans="1:11" x14ac:dyDescent="0.3">
      <c r="A79" s="13"/>
    </row>
    <row r="80" spans="1:11" x14ac:dyDescent="0.3">
      <c r="A80" s="9" t="s">
        <v>174</v>
      </c>
    </row>
    <row r="81" spans="1:11" s="10" customFormat="1" x14ac:dyDescent="0.3">
      <c r="A81" s="11" t="s">
        <v>165</v>
      </c>
      <c r="B81" s="12">
        <v>42094</v>
      </c>
      <c r="C81" s="12">
        <v>42460</v>
      </c>
      <c r="D81" s="12">
        <v>42825</v>
      </c>
      <c r="E81" s="12">
        <v>43190</v>
      </c>
      <c r="F81" s="12">
        <v>43555</v>
      </c>
      <c r="G81" s="12">
        <v>43921</v>
      </c>
      <c r="H81" s="12">
        <v>44286</v>
      </c>
      <c r="I81" s="12">
        <v>44651</v>
      </c>
      <c r="J81" s="12">
        <v>45016</v>
      </c>
      <c r="K81" s="12">
        <v>45382</v>
      </c>
    </row>
    <row r="82" spans="1:11" customFormat="1" x14ac:dyDescent="0.3">
      <c r="A82" s="13" t="s">
        <v>175</v>
      </c>
      <c r="B82">
        <v>542.35</v>
      </c>
      <c r="C82">
        <v>1090.05</v>
      </c>
      <c r="D82">
        <v>645.44000000000005</v>
      </c>
      <c r="E82">
        <v>677.98</v>
      </c>
      <c r="F82">
        <v>895.64</v>
      </c>
      <c r="G82">
        <v>1304.44</v>
      </c>
      <c r="H82">
        <v>1771.68</v>
      </c>
      <c r="I82">
        <v>2105.7199999999998</v>
      </c>
      <c r="J82">
        <v>2901.71</v>
      </c>
      <c r="K82">
        <v>2093.86</v>
      </c>
    </row>
    <row r="83" spans="1:11" s="13" customFormat="1" x14ac:dyDescent="0.3">
      <c r="A83" s="13" t="s">
        <v>176</v>
      </c>
      <c r="B83">
        <v>-499.79</v>
      </c>
      <c r="C83">
        <v>-666.74</v>
      </c>
      <c r="D83">
        <v>-613.25</v>
      </c>
      <c r="E83">
        <v>-1173.74</v>
      </c>
      <c r="F83">
        <v>-1038.8699999999999</v>
      </c>
      <c r="G83">
        <v>-1178.56</v>
      </c>
      <c r="H83">
        <v>-1498.72</v>
      </c>
      <c r="I83">
        <v>-1586.25</v>
      </c>
      <c r="J83">
        <v>-2963.79</v>
      </c>
      <c r="K83">
        <v>-2230.81</v>
      </c>
    </row>
    <row r="84" spans="1:11" s="13" customFormat="1" x14ac:dyDescent="0.3">
      <c r="A84" s="13" t="s">
        <v>177</v>
      </c>
      <c r="B84">
        <v>-18.100000000000001</v>
      </c>
      <c r="C84">
        <v>-182.49</v>
      </c>
      <c r="D84">
        <v>-284.44</v>
      </c>
      <c r="E84">
        <v>495.14</v>
      </c>
      <c r="F84">
        <v>245.77</v>
      </c>
      <c r="G84">
        <v>-198.99</v>
      </c>
      <c r="H84">
        <v>-251.11</v>
      </c>
      <c r="I84">
        <v>-207.28</v>
      </c>
      <c r="J84">
        <v>219.58</v>
      </c>
      <c r="K84">
        <v>-71.7</v>
      </c>
    </row>
    <row r="85" spans="1:11" customFormat="1" x14ac:dyDescent="0.3">
      <c r="A85" s="13" t="s">
        <v>64</v>
      </c>
      <c r="B85">
        <v>24.46</v>
      </c>
      <c r="C85">
        <v>240.82</v>
      </c>
      <c r="D85">
        <v>-252.25</v>
      </c>
      <c r="E85">
        <v>-0.62</v>
      </c>
      <c r="F85">
        <v>102.54</v>
      </c>
      <c r="G85">
        <v>-73.11</v>
      </c>
      <c r="H85">
        <v>21.85</v>
      </c>
      <c r="I85">
        <v>312.19</v>
      </c>
      <c r="J85">
        <v>157.5</v>
      </c>
      <c r="K85">
        <v>-208.65</v>
      </c>
    </row>
    <row r="86" spans="1:11" x14ac:dyDescent="0.3">
      <c r="A86" s="13"/>
    </row>
    <row r="87" spans="1:11" x14ac:dyDescent="0.3">
      <c r="A87" s="13"/>
    </row>
    <row r="88" spans="1:11" x14ac:dyDescent="0.3">
      <c r="A88" s="13"/>
    </row>
    <row r="89" spans="1:11" x14ac:dyDescent="0.3">
      <c r="A89" s="13"/>
    </row>
    <row r="90" spans="1:11" customFormat="1" x14ac:dyDescent="0.3">
      <c r="A90" s="9" t="s">
        <v>178</v>
      </c>
      <c r="B90">
        <v>198.4</v>
      </c>
      <c r="C90">
        <v>261.69</v>
      </c>
      <c r="D90">
        <v>325.43</v>
      </c>
      <c r="E90">
        <v>391.03</v>
      </c>
      <c r="F90">
        <v>480.6</v>
      </c>
      <c r="G90">
        <v>556.66</v>
      </c>
      <c r="H90">
        <v>1082.1600000000001</v>
      </c>
      <c r="I90">
        <v>2679.35</v>
      </c>
      <c r="J90">
        <v>2411.85</v>
      </c>
      <c r="K90">
        <v>2560.25</v>
      </c>
    </row>
    <row r="92" spans="1:11" customFormat="1" x14ac:dyDescent="0.3">
      <c r="A92" s="9" t="s">
        <v>179</v>
      </c>
    </row>
    <row r="93" spans="1:11" x14ac:dyDescent="0.3">
      <c r="A93" s="8" t="s">
        <v>180</v>
      </c>
      <c r="B93" s="14">
        <v>28.71</v>
      </c>
      <c r="C93" s="14">
        <v>28.71</v>
      </c>
      <c r="D93" s="14">
        <v>28.71</v>
      </c>
      <c r="E93" s="14">
        <v>28.71</v>
      </c>
      <c r="F93" s="14">
        <v>28.74</v>
      </c>
      <c r="G93" s="14">
        <v>28.74</v>
      </c>
      <c r="H93" s="14">
        <v>29.62</v>
      </c>
      <c r="I93" s="14">
        <v>29.64</v>
      </c>
      <c r="J93" s="14">
        <v>29.64</v>
      </c>
      <c r="K93" s="14">
        <v>29.64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1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7 6 V a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v p V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6 V a W i i K R 7 g O A A A A E Q A A A B M A H A B G b 3 J t d W x h c y 9 T Z W N 0 a W 9 u M S 5 t I K I Y A C i g F A A A A A A A A A A A A A A A A A A A A A A A A A A A A C t O T S 7 J z M 9 T C I b Q h t Y A U E s B A i 0 A F A A C A A g A 7 6 V a W s i A H 7 C m A A A A 9 w A A A B I A A A A A A A A A A A A A A A A A A A A A A E N v b m Z p Z y 9 Q Y W N r Y W d l L n h t b F B L A Q I t A B Q A A g A I A O + l W l o P y u m r p A A A A O k A A A A T A A A A A A A A A A A A A A A A A P I A A A B b Q 2 9 u d G V u d F 9 U e X B l c 1 0 u e G 1 s U E s B A i 0 A F A A C A A g A 7 6 V a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T g 8 V H v N Z p P p 7 J z 7 m k Q 0 l I A A A A A A g A A A A A A E G Y A A A A B A A A g A A A A t N m i Q D S a o E U r D b H 2 J Y f q X d A 9 F H Q c x j H 5 t y M P M o 7 a a 9 8 A A A A A D o A A A A A C A A A g A A A A r V 0 e I 6 2 x i K I x s 0 l 3 y y t u O 0 P D 7 u B 7 W w d D j j h D m 6 e e + K N Q A A A A y 4 q h h V L n h G c K 8 L G N Y N X k / n o 1 p k H d y a 8 8 Z + p P A n I 6 y j N q 1 D 7 r o b a b R f P 3 H q G S p 0 2 h l P A / U / t a C X B B r 5 Z w X g B H R y a 5 j / u x j V z v j 4 z c b N C / P z p A A A A A 3 + c D N b K c 8 Y H 2 N s R 3 h o H h d X S c g U b o 5 E J A F J s E c F E 4 d i 2 X M 1 L Q J 8 u I s X d 1 o T X G Q / a Q V + K u 1 c 8 4 V z M Z c 1 N E c k g Z G Q = = < / D a t a M a s h u p > 
</file>

<file path=customXml/itemProps1.xml><?xml version="1.0" encoding="utf-8"?>
<ds:datastoreItem xmlns:ds="http://schemas.openxmlformats.org/officeDocument/2006/customXml" ds:itemID="{31C0E526-219C-43A2-8957-7FC10B34FD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3-FInancial Statements</vt:lpstr>
      <vt:lpstr>Ratio Analysis</vt:lpstr>
      <vt:lpstr>Forecasting</vt:lpstr>
      <vt:lpstr>Regression Beta and ERP</vt:lpstr>
      <vt:lpstr>Common Size Statements</vt:lpstr>
      <vt:lpstr>Instrinsic Growth</vt:lpstr>
      <vt:lpstr>DCF</vt:lpstr>
      <vt:lpstr>Comps Valuation</vt:lpstr>
      <vt:lpstr>Data Sheet</vt:lpstr>
      <vt:lpstr>RAW FS</vt:lpstr>
      <vt:lpstr>CFS</vt:lpstr>
      <vt:lpstr>Comps Data</vt:lpstr>
      <vt:lpstr>Company_Name</vt:lpstr>
      <vt:lpstr>Hist_Year</vt:lpstr>
      <vt:lpstr>Mid_Year_Convention</vt:lpstr>
      <vt:lpstr>Reinvestment_Rate</vt:lpstr>
      <vt:lpstr>Tax_Rate</vt:lpstr>
      <vt:lpstr>Terminal_Growth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Kumar Pathak</dc:creator>
  <cp:lastModifiedBy>Abhishek Yadav</cp:lastModifiedBy>
  <dcterms:created xsi:type="dcterms:W3CDTF">2024-11-03T02:32:57Z</dcterms:created>
  <dcterms:modified xsi:type="dcterms:W3CDTF">2025-05-18T15:50:10Z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317c2a1fcded45a5af82ef7d7982bb9a</vt:lpwstr>
  </property>
</Properties>
</file>