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oobkiller\Downloads\FM\"/>
    </mc:Choice>
  </mc:AlternateContent>
  <xr:revisionPtr revIDLastSave="0" documentId="13_ncr:1_{2092BF4F-A953-4D64-A9D6-45B50B76CD91}" xr6:coauthVersionLast="47" xr6:coauthVersionMax="47" xr10:uidLastSave="{00000000-0000-0000-0000-000000000000}"/>
  <bookViews>
    <workbookView xWindow="-108" yWindow="-108" windowWidth="18648" windowHeight="11784" xr2:uid="{00000000-000D-0000-FFFF-FFFF00000000}"/>
  </bookViews>
  <sheets>
    <sheet name="Financial " sheetId="7" r:id="rId1"/>
    <sheet name="Historical Fs" sheetId="8" r:id="rId2"/>
    <sheet name="Cash Flow" sheetId="9" r:id="rId3"/>
    <sheet name="Data Sheet" sheetId="6" r:id="rId4"/>
    <sheet name="Balance Sheet" sheetId="2" r:id="rId5"/>
  </sheets>
  <definedNames>
    <definedName name="UPDATE">'Data Sheet'!$E$1</definedName>
  </definedNames>
  <calcPr calcId="181029" iterate="1" iterateDelta="9.9999999999994451E-4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7" l="1"/>
  <c r="O26" i="7"/>
  <c r="O27" i="7"/>
  <c r="O28" i="7"/>
  <c r="O29" i="7"/>
  <c r="O30" i="7"/>
  <c r="O40" i="7"/>
  <c r="O39" i="7"/>
  <c r="O38" i="7"/>
  <c r="O36" i="7"/>
  <c r="O35" i="7"/>
  <c r="O34" i="7"/>
  <c r="O33" i="7"/>
  <c r="O24" i="7"/>
  <c r="O23" i="7"/>
  <c r="O22" i="7"/>
  <c r="O21" i="7"/>
  <c r="O20" i="7"/>
  <c r="O18" i="7"/>
  <c r="O17" i="7"/>
  <c r="O16" i="7"/>
  <c r="O14" i="7"/>
  <c r="O13" i="7"/>
  <c r="O12" i="7"/>
  <c r="O11" i="7"/>
  <c r="N39" i="7"/>
  <c r="N40" i="7"/>
  <c r="N38" i="7"/>
  <c r="N34" i="7"/>
  <c r="N35" i="7"/>
  <c r="N36" i="7"/>
  <c r="N33" i="7"/>
  <c r="N27" i="7"/>
  <c r="N28" i="7"/>
  <c r="N29" i="7"/>
  <c r="N30" i="7"/>
  <c r="N26" i="7"/>
  <c r="N21" i="7"/>
  <c r="N22" i="7"/>
  <c r="N23" i="7"/>
  <c r="N24" i="7"/>
  <c r="N20" i="7"/>
  <c r="N17" i="7"/>
  <c r="N18" i="7"/>
  <c r="N16" i="7"/>
  <c r="N12" i="7"/>
  <c r="N13" i="7"/>
  <c r="N14" i="7"/>
  <c r="N11" i="7"/>
  <c r="N6" i="7"/>
  <c r="O6" i="7"/>
  <c r="N7" i="7"/>
  <c r="O7" i="7"/>
  <c r="N8" i="7"/>
  <c r="O8" i="7"/>
  <c r="N9" i="7"/>
  <c r="O9" i="7"/>
  <c r="O5" i="7"/>
  <c r="N5" i="7"/>
  <c r="L40" i="7"/>
  <c r="K40" i="7"/>
  <c r="J40" i="7"/>
  <c r="I40" i="7"/>
  <c r="H40" i="7"/>
  <c r="G40" i="7"/>
  <c r="F40" i="7"/>
  <c r="E40" i="7"/>
  <c r="D40" i="7"/>
  <c r="L39" i="7"/>
  <c r="K39" i="7"/>
  <c r="J39" i="7"/>
  <c r="I39" i="7"/>
  <c r="H39" i="7"/>
  <c r="G39" i="7"/>
  <c r="F39" i="7"/>
  <c r="E39" i="7"/>
  <c r="D39" i="7"/>
  <c r="L38" i="7"/>
  <c r="K38" i="7"/>
  <c r="J38" i="7"/>
  <c r="I38" i="7"/>
  <c r="H38" i="7"/>
  <c r="G38" i="7"/>
  <c r="F38" i="7"/>
  <c r="E38" i="7"/>
  <c r="D38" i="7"/>
  <c r="C40" i="7"/>
  <c r="C39" i="7"/>
  <c r="C38" i="7"/>
  <c r="K36" i="7"/>
  <c r="L35" i="7"/>
  <c r="L36" i="7" s="1"/>
  <c r="K35" i="7"/>
  <c r="J35" i="7"/>
  <c r="I35" i="7"/>
  <c r="H35" i="7"/>
  <c r="G35" i="7"/>
  <c r="F35" i="7"/>
  <c r="E35" i="7"/>
  <c r="D35" i="7"/>
  <c r="D36" i="7" s="1"/>
  <c r="L34" i="7"/>
  <c r="K34" i="7"/>
  <c r="J34" i="7"/>
  <c r="J36" i="7" s="1"/>
  <c r="I34" i="7"/>
  <c r="I36" i="7" s="1"/>
  <c r="H34" i="7"/>
  <c r="H36" i="7" s="1"/>
  <c r="G34" i="7"/>
  <c r="G36" i="7" s="1"/>
  <c r="F34" i="7"/>
  <c r="F36" i="7" s="1"/>
  <c r="E34" i="7"/>
  <c r="E36" i="7" s="1"/>
  <c r="D34" i="7"/>
  <c r="L33" i="7"/>
  <c r="K33" i="7"/>
  <c r="J33" i="7"/>
  <c r="I33" i="7"/>
  <c r="H33" i="7"/>
  <c r="G33" i="7"/>
  <c r="F33" i="7"/>
  <c r="E33" i="7"/>
  <c r="D33" i="7"/>
  <c r="C34" i="7"/>
  <c r="C35" i="7"/>
  <c r="C36" i="7"/>
  <c r="L30" i="7"/>
  <c r="K30" i="7"/>
  <c r="J30" i="7"/>
  <c r="I30" i="7"/>
  <c r="H30" i="7"/>
  <c r="G30" i="7"/>
  <c r="F30" i="7"/>
  <c r="E30" i="7"/>
  <c r="D30" i="7"/>
  <c r="L29" i="7"/>
  <c r="K29" i="7"/>
  <c r="J29" i="7"/>
  <c r="I29" i="7"/>
  <c r="H29" i="7"/>
  <c r="G29" i="7"/>
  <c r="F29" i="7"/>
  <c r="E29" i="7"/>
  <c r="D29" i="7"/>
  <c r="L28" i="7"/>
  <c r="K28" i="7"/>
  <c r="J28" i="7"/>
  <c r="I28" i="7"/>
  <c r="H28" i="7"/>
  <c r="G28" i="7"/>
  <c r="F28" i="7"/>
  <c r="E28" i="7"/>
  <c r="D28" i="7"/>
  <c r="L27" i="7"/>
  <c r="K27" i="7"/>
  <c r="J27" i="7"/>
  <c r="I27" i="7"/>
  <c r="H27" i="7"/>
  <c r="G27" i="7"/>
  <c r="F27" i="7"/>
  <c r="E27" i="7"/>
  <c r="D27" i="7"/>
  <c r="L26" i="7"/>
  <c r="K26" i="7"/>
  <c r="J26" i="7"/>
  <c r="I26" i="7"/>
  <c r="H26" i="7"/>
  <c r="G26" i="7"/>
  <c r="F26" i="7"/>
  <c r="E26" i="7"/>
  <c r="D26" i="7"/>
  <c r="C33" i="7"/>
  <c r="C30" i="7"/>
  <c r="C29" i="7"/>
  <c r="C28" i="7"/>
  <c r="C27" i="7"/>
  <c r="C26" i="7"/>
  <c r="L24" i="7"/>
  <c r="K24" i="7"/>
  <c r="J24" i="7"/>
  <c r="I24" i="7"/>
  <c r="H24" i="7"/>
  <c r="G24" i="7"/>
  <c r="F24" i="7"/>
  <c r="E24" i="7"/>
  <c r="D24" i="7"/>
  <c r="L21" i="7"/>
  <c r="K21" i="7"/>
  <c r="J21" i="7"/>
  <c r="I21" i="7"/>
  <c r="H21" i="7"/>
  <c r="G21" i="7"/>
  <c r="F21" i="7"/>
  <c r="E21" i="7"/>
  <c r="D21" i="7"/>
  <c r="C21" i="7"/>
  <c r="C44" i="8"/>
  <c r="M44" i="8"/>
  <c r="L44" i="8"/>
  <c r="K44" i="8"/>
  <c r="J44" i="8"/>
  <c r="I44" i="8"/>
  <c r="H44" i="8"/>
  <c r="G44" i="8"/>
  <c r="F44" i="8"/>
  <c r="E44" i="8"/>
  <c r="D44" i="8"/>
  <c r="K23" i="7" l="1"/>
  <c r="L23" i="7"/>
  <c r="F23" i="7"/>
  <c r="L22" i="7"/>
  <c r="K22" i="7"/>
  <c r="J22" i="7"/>
  <c r="I22" i="7"/>
  <c r="H22" i="7"/>
  <c r="G22" i="7"/>
  <c r="F22" i="7"/>
  <c r="E22" i="7"/>
  <c r="D22" i="7"/>
  <c r="J23" i="7"/>
  <c r="I23" i="7"/>
  <c r="H23" i="7"/>
  <c r="E23" i="7"/>
  <c r="D23" i="7"/>
  <c r="L20" i="7"/>
  <c r="K20" i="7"/>
  <c r="J20" i="7"/>
  <c r="I20" i="7"/>
  <c r="H20" i="7"/>
  <c r="G20" i="7"/>
  <c r="F20" i="7"/>
  <c r="E20" i="7"/>
  <c r="D20" i="7"/>
  <c r="C24" i="7"/>
  <c r="C23" i="7"/>
  <c r="C22" i="7"/>
  <c r="C20" i="7"/>
  <c r="L18" i="7"/>
  <c r="K18" i="7"/>
  <c r="J18" i="7"/>
  <c r="I18" i="7"/>
  <c r="H18" i="7"/>
  <c r="G18" i="7"/>
  <c r="F18" i="7"/>
  <c r="E18" i="7"/>
  <c r="D18" i="7"/>
  <c r="L17" i="7"/>
  <c r="K17" i="7"/>
  <c r="J17" i="7"/>
  <c r="I17" i="7"/>
  <c r="H17" i="7"/>
  <c r="G17" i="7"/>
  <c r="F17" i="7"/>
  <c r="E17" i="7"/>
  <c r="D17" i="7"/>
  <c r="L16" i="7"/>
  <c r="K16" i="7"/>
  <c r="J16" i="7"/>
  <c r="I16" i="7"/>
  <c r="H16" i="7"/>
  <c r="G16" i="7"/>
  <c r="F16" i="7"/>
  <c r="E16" i="7"/>
  <c r="D16" i="7"/>
  <c r="C18" i="7"/>
  <c r="C17" i="7"/>
  <c r="C16" i="7"/>
  <c r="L14" i="7"/>
  <c r="K14" i="7"/>
  <c r="J14" i="7"/>
  <c r="I14" i="7"/>
  <c r="H14" i="7"/>
  <c r="G14" i="7"/>
  <c r="F14" i="7"/>
  <c r="E14" i="7"/>
  <c r="D14" i="7"/>
  <c r="L13" i="7"/>
  <c r="K13" i="7"/>
  <c r="J13" i="7"/>
  <c r="I13" i="7"/>
  <c r="H13" i="7"/>
  <c r="G13" i="7"/>
  <c r="F13" i="7"/>
  <c r="E13" i="7"/>
  <c r="D13" i="7"/>
  <c r="L12" i="7"/>
  <c r="K12" i="7"/>
  <c r="J12" i="7"/>
  <c r="I12" i="7"/>
  <c r="H12" i="7"/>
  <c r="G12" i="7"/>
  <c r="F12" i="7"/>
  <c r="E12" i="7"/>
  <c r="D12" i="7"/>
  <c r="L11" i="7"/>
  <c r="K11" i="7"/>
  <c r="J11" i="7"/>
  <c r="I11" i="7"/>
  <c r="H11" i="7"/>
  <c r="G11" i="7"/>
  <c r="F11" i="7"/>
  <c r="E11" i="7"/>
  <c r="D11" i="7"/>
  <c r="C13" i="7"/>
  <c r="C14" i="7"/>
  <c r="C12" i="7"/>
  <c r="C11" i="7"/>
  <c r="L9" i="7"/>
  <c r="K9" i="7"/>
  <c r="J9" i="7"/>
  <c r="I9" i="7"/>
  <c r="H9" i="7"/>
  <c r="G9" i="7"/>
  <c r="F9" i="7"/>
  <c r="E9" i="7"/>
  <c r="D9" i="7"/>
  <c r="L8" i="7"/>
  <c r="K8" i="7"/>
  <c r="J8" i="7"/>
  <c r="I8" i="7"/>
  <c r="H8" i="7"/>
  <c r="G8" i="7"/>
  <c r="F8" i="7"/>
  <c r="E8" i="7"/>
  <c r="L7" i="7"/>
  <c r="K7" i="7"/>
  <c r="J7" i="7"/>
  <c r="I7" i="7"/>
  <c r="H7" i="7"/>
  <c r="G7" i="7"/>
  <c r="F7" i="7"/>
  <c r="E7" i="7"/>
  <c r="L6" i="7"/>
  <c r="K6" i="7"/>
  <c r="J6" i="7"/>
  <c r="I6" i="7"/>
  <c r="H6" i="7"/>
  <c r="G6" i="7"/>
  <c r="F6" i="7"/>
  <c r="E6" i="7"/>
  <c r="D8" i="7"/>
  <c r="D7" i="7"/>
  <c r="D6" i="7"/>
  <c r="L5" i="7"/>
  <c r="K5" i="7"/>
  <c r="J5" i="7"/>
  <c r="I5" i="7"/>
  <c r="H5" i="7"/>
  <c r="G5" i="7"/>
  <c r="F5" i="7"/>
  <c r="E5" i="7"/>
  <c r="D5" i="7"/>
  <c r="L3" i="7"/>
  <c r="K3" i="7"/>
  <c r="J3" i="7"/>
  <c r="I3" i="7"/>
  <c r="H3" i="7"/>
  <c r="G3" i="7"/>
  <c r="F3" i="7"/>
  <c r="E3" i="7"/>
  <c r="D3" i="7"/>
  <c r="C3" i="7"/>
  <c r="C63" i="8"/>
  <c r="D63" i="8"/>
  <c r="E63" i="8"/>
  <c r="F63" i="8"/>
  <c r="G63" i="8"/>
  <c r="H63" i="8"/>
  <c r="I63" i="8"/>
  <c r="J63" i="8"/>
  <c r="K63" i="8"/>
  <c r="L63" i="8"/>
  <c r="M63" i="8"/>
  <c r="M13" i="8"/>
  <c r="L13" i="8"/>
  <c r="K13" i="8"/>
  <c r="J13" i="8"/>
  <c r="I13" i="8"/>
  <c r="H13" i="8"/>
  <c r="G13" i="8"/>
  <c r="F13" i="8"/>
  <c r="E13" i="8"/>
  <c r="D13" i="8"/>
  <c r="C13" i="8"/>
  <c r="M101" i="8"/>
  <c r="L101" i="8"/>
  <c r="K101" i="8"/>
  <c r="J101" i="8"/>
  <c r="I101" i="8"/>
  <c r="H101" i="8"/>
  <c r="G101" i="8"/>
  <c r="F101" i="8"/>
  <c r="E101" i="8"/>
  <c r="D101" i="8"/>
  <c r="C101" i="8"/>
  <c r="M100" i="8"/>
  <c r="L100" i="8"/>
  <c r="K100" i="8"/>
  <c r="J100" i="8"/>
  <c r="I100" i="8"/>
  <c r="H100" i="8"/>
  <c r="G100" i="8"/>
  <c r="F100" i="8"/>
  <c r="E100" i="8"/>
  <c r="D100" i="8"/>
  <c r="C100" i="8"/>
  <c r="M99" i="8"/>
  <c r="L99" i="8"/>
  <c r="K99" i="8"/>
  <c r="J99" i="8"/>
  <c r="I99" i="8"/>
  <c r="H99" i="8"/>
  <c r="G99" i="8"/>
  <c r="F99" i="8"/>
  <c r="E99" i="8"/>
  <c r="D99" i="8"/>
  <c r="C99" i="8"/>
  <c r="M98" i="8"/>
  <c r="L98" i="8"/>
  <c r="K98" i="8"/>
  <c r="J98" i="8"/>
  <c r="I98" i="8"/>
  <c r="H98" i="8"/>
  <c r="G98" i="8"/>
  <c r="F98" i="8"/>
  <c r="E98" i="8"/>
  <c r="D98" i="8"/>
  <c r="C98" i="8"/>
  <c r="M97" i="8"/>
  <c r="L97" i="8"/>
  <c r="K97" i="8"/>
  <c r="J97" i="8"/>
  <c r="I97" i="8"/>
  <c r="H97" i="8"/>
  <c r="G97" i="8"/>
  <c r="F97" i="8"/>
  <c r="E97" i="8"/>
  <c r="D97" i="8"/>
  <c r="C97" i="8"/>
  <c r="M96" i="8"/>
  <c r="L96" i="8"/>
  <c r="K96" i="8"/>
  <c r="J96" i="8"/>
  <c r="I96" i="8"/>
  <c r="H96" i="8"/>
  <c r="G96" i="8"/>
  <c r="F96" i="8"/>
  <c r="E96" i="8"/>
  <c r="D96" i="8"/>
  <c r="C96" i="8"/>
  <c r="M95" i="8"/>
  <c r="L95" i="8"/>
  <c r="K95" i="8"/>
  <c r="J95" i="8"/>
  <c r="I95" i="8"/>
  <c r="H95" i="8"/>
  <c r="G95" i="8"/>
  <c r="F95" i="8"/>
  <c r="E95" i="8"/>
  <c r="D95" i="8"/>
  <c r="C95" i="8"/>
  <c r="M94" i="8"/>
  <c r="M102" i="8" s="1"/>
  <c r="L94" i="8"/>
  <c r="L102" i="8" s="1"/>
  <c r="K94" i="8"/>
  <c r="K102" i="8" s="1"/>
  <c r="J94" i="8"/>
  <c r="J102" i="8" s="1"/>
  <c r="I94" i="8"/>
  <c r="I102" i="8" s="1"/>
  <c r="H94" i="8"/>
  <c r="H102" i="8" s="1"/>
  <c r="G94" i="8"/>
  <c r="G102" i="8" s="1"/>
  <c r="F94" i="8"/>
  <c r="F102" i="8" s="1"/>
  <c r="E94" i="8"/>
  <c r="E102" i="8" s="1"/>
  <c r="D94" i="8"/>
  <c r="D102" i="8" s="1"/>
  <c r="C94" i="8"/>
  <c r="C102" i="8" s="1"/>
  <c r="M90" i="8"/>
  <c r="L90" i="8"/>
  <c r="K90" i="8"/>
  <c r="J90" i="8"/>
  <c r="I90" i="8"/>
  <c r="H90" i="8"/>
  <c r="G90" i="8"/>
  <c r="F90" i="8"/>
  <c r="E90" i="8"/>
  <c r="D90" i="8"/>
  <c r="C90" i="8"/>
  <c r="M89" i="8"/>
  <c r="L89" i="8"/>
  <c r="K89" i="8"/>
  <c r="J89" i="8"/>
  <c r="I89" i="8"/>
  <c r="H89" i="8"/>
  <c r="G89" i="8"/>
  <c r="F89" i="8"/>
  <c r="E89" i="8"/>
  <c r="D89" i="8"/>
  <c r="C89" i="8"/>
  <c r="M88" i="8"/>
  <c r="L88" i="8"/>
  <c r="K88" i="8"/>
  <c r="J88" i="8"/>
  <c r="I88" i="8"/>
  <c r="H88" i="8"/>
  <c r="G88" i="8"/>
  <c r="F88" i="8"/>
  <c r="E88" i="8"/>
  <c r="D88" i="8"/>
  <c r="C88" i="8"/>
  <c r="M87" i="8"/>
  <c r="L87" i="8"/>
  <c r="K87" i="8"/>
  <c r="J87" i="8"/>
  <c r="I87" i="8"/>
  <c r="H87" i="8"/>
  <c r="G87" i="8"/>
  <c r="F87" i="8"/>
  <c r="E87" i="8"/>
  <c r="D87" i="8"/>
  <c r="C87" i="8"/>
  <c r="M86" i="8"/>
  <c r="L86" i="8"/>
  <c r="K86" i="8"/>
  <c r="J86" i="8"/>
  <c r="I86" i="8"/>
  <c r="H86" i="8"/>
  <c r="G86" i="8"/>
  <c r="F86" i="8"/>
  <c r="E86" i="8"/>
  <c r="D86" i="8"/>
  <c r="C86" i="8"/>
  <c r="M85" i="8"/>
  <c r="L85" i="8"/>
  <c r="K85" i="8"/>
  <c r="J85" i="8"/>
  <c r="I85" i="8"/>
  <c r="H85" i="8"/>
  <c r="G85" i="8"/>
  <c r="F85" i="8"/>
  <c r="E85" i="8"/>
  <c r="D85" i="8"/>
  <c r="C85" i="8"/>
  <c r="M84" i="8"/>
  <c r="L84" i="8"/>
  <c r="K84" i="8"/>
  <c r="J84" i="8"/>
  <c r="I84" i="8"/>
  <c r="H84" i="8"/>
  <c r="G84" i="8"/>
  <c r="F84" i="8"/>
  <c r="E84" i="8"/>
  <c r="D84" i="8"/>
  <c r="C84" i="8"/>
  <c r="M83" i="8"/>
  <c r="L83" i="8"/>
  <c r="K83" i="8"/>
  <c r="J83" i="8"/>
  <c r="I83" i="8"/>
  <c r="H83" i="8"/>
  <c r="G83" i="8"/>
  <c r="F83" i="8"/>
  <c r="E83" i="8"/>
  <c r="D83" i="8"/>
  <c r="C83" i="8"/>
  <c r="M82" i="8"/>
  <c r="L82" i="8"/>
  <c r="K82" i="8"/>
  <c r="J82" i="8"/>
  <c r="I82" i="8"/>
  <c r="H82" i="8"/>
  <c r="G82" i="8"/>
  <c r="F82" i="8"/>
  <c r="E82" i="8"/>
  <c r="D82" i="8"/>
  <c r="C82" i="8"/>
  <c r="M81" i="8"/>
  <c r="L81" i="8"/>
  <c r="K81" i="8"/>
  <c r="J81" i="8"/>
  <c r="I81" i="8"/>
  <c r="H81" i="8"/>
  <c r="G81" i="8"/>
  <c r="F81" i="8"/>
  <c r="E81" i="8"/>
  <c r="D81" i="8"/>
  <c r="C81" i="8"/>
  <c r="M80" i="8"/>
  <c r="L80" i="8"/>
  <c r="K80" i="8"/>
  <c r="J80" i="8"/>
  <c r="I80" i="8"/>
  <c r="H80" i="8"/>
  <c r="G80" i="8"/>
  <c r="G91" i="8" s="1"/>
  <c r="F80" i="8"/>
  <c r="E80" i="8"/>
  <c r="D80" i="8"/>
  <c r="C80" i="8"/>
  <c r="M76" i="8"/>
  <c r="L76" i="8"/>
  <c r="K76" i="8"/>
  <c r="J76" i="8"/>
  <c r="I76" i="8"/>
  <c r="H76" i="8"/>
  <c r="G76" i="8"/>
  <c r="F76" i="8"/>
  <c r="E76" i="8"/>
  <c r="D76" i="8"/>
  <c r="C76" i="8"/>
  <c r="M75" i="8"/>
  <c r="L75" i="8"/>
  <c r="K75" i="8"/>
  <c r="J75" i="8"/>
  <c r="I75" i="8"/>
  <c r="H75" i="8"/>
  <c r="G75" i="8"/>
  <c r="F75" i="8"/>
  <c r="E75" i="8"/>
  <c r="D75" i="8"/>
  <c r="C75" i="8"/>
  <c r="M74" i="8"/>
  <c r="L74" i="8"/>
  <c r="K74" i="8"/>
  <c r="J74" i="8"/>
  <c r="I74" i="8"/>
  <c r="H74" i="8"/>
  <c r="G74" i="8"/>
  <c r="F74" i="8"/>
  <c r="E74" i="8"/>
  <c r="D74" i="8"/>
  <c r="C74" i="8"/>
  <c r="M73" i="8"/>
  <c r="L73" i="8"/>
  <c r="K73" i="8"/>
  <c r="J73" i="8"/>
  <c r="I73" i="8"/>
  <c r="H73" i="8"/>
  <c r="G73" i="8"/>
  <c r="F73" i="8"/>
  <c r="E73" i="8"/>
  <c r="D73" i="8"/>
  <c r="C73" i="8"/>
  <c r="M72" i="8"/>
  <c r="L72" i="8"/>
  <c r="K72" i="8"/>
  <c r="J72" i="8"/>
  <c r="I72" i="8"/>
  <c r="H72" i="8"/>
  <c r="G72" i="8"/>
  <c r="F72" i="8"/>
  <c r="E72" i="8"/>
  <c r="D72" i="8"/>
  <c r="C72" i="8"/>
  <c r="M71" i="8"/>
  <c r="L71" i="8"/>
  <c r="K71" i="8"/>
  <c r="J71" i="8"/>
  <c r="I71" i="8"/>
  <c r="H71" i="8"/>
  <c r="G71" i="8"/>
  <c r="F71" i="8"/>
  <c r="E71" i="8"/>
  <c r="D71" i="8"/>
  <c r="C71" i="8"/>
  <c r="M70" i="8"/>
  <c r="L70" i="8"/>
  <c r="K70" i="8"/>
  <c r="J70" i="8"/>
  <c r="I70" i="8"/>
  <c r="H70" i="8"/>
  <c r="G70" i="8"/>
  <c r="F70" i="8"/>
  <c r="E70" i="8"/>
  <c r="D70" i="8"/>
  <c r="C70" i="8"/>
  <c r="M69" i="8"/>
  <c r="M77" i="8" s="1"/>
  <c r="L69" i="8"/>
  <c r="L77" i="8" s="1"/>
  <c r="K69" i="8"/>
  <c r="K77" i="8" s="1"/>
  <c r="J69" i="8"/>
  <c r="J77" i="8" s="1"/>
  <c r="I69" i="8"/>
  <c r="I77" i="8" s="1"/>
  <c r="H69" i="8"/>
  <c r="H77" i="8" s="1"/>
  <c r="G69" i="8"/>
  <c r="G77" i="8" s="1"/>
  <c r="F69" i="8"/>
  <c r="F77" i="8" s="1"/>
  <c r="E69" i="8"/>
  <c r="E77" i="8" s="1"/>
  <c r="D69" i="8"/>
  <c r="D77" i="8" s="1"/>
  <c r="C69" i="8"/>
  <c r="C77" i="8" s="1"/>
  <c r="J61" i="8"/>
  <c r="F55" i="8"/>
  <c r="C60" i="8"/>
  <c r="C59" i="8"/>
  <c r="M60" i="8"/>
  <c r="L60" i="8"/>
  <c r="K60" i="8"/>
  <c r="J60" i="8"/>
  <c r="I60" i="8"/>
  <c r="H60" i="8"/>
  <c r="H61" i="8" s="1"/>
  <c r="G60" i="8"/>
  <c r="G61" i="8" s="1"/>
  <c r="F60" i="8"/>
  <c r="E60" i="8"/>
  <c r="D60" i="8"/>
  <c r="M59" i="8"/>
  <c r="L59" i="8"/>
  <c r="K59" i="8"/>
  <c r="J59" i="8"/>
  <c r="I59" i="8"/>
  <c r="I61" i="8" s="1"/>
  <c r="H59" i="8"/>
  <c r="H55" i="8" s="1"/>
  <c r="G59" i="8"/>
  <c r="F59" i="8"/>
  <c r="E59" i="8"/>
  <c r="D59" i="8"/>
  <c r="M58" i="8"/>
  <c r="M61" i="8" s="1"/>
  <c r="L58" i="8"/>
  <c r="L61" i="8" s="1"/>
  <c r="K58" i="8"/>
  <c r="K61" i="8" s="1"/>
  <c r="J58" i="8"/>
  <c r="J55" i="8" s="1"/>
  <c r="I58" i="8"/>
  <c r="I55" i="8" s="1"/>
  <c r="H58" i="8"/>
  <c r="G58" i="8"/>
  <c r="F58" i="8"/>
  <c r="F61" i="8" s="1"/>
  <c r="E58" i="8"/>
  <c r="E55" i="8" s="1"/>
  <c r="E56" i="8" s="1"/>
  <c r="D58" i="8"/>
  <c r="D61" i="8" s="1"/>
  <c r="C58" i="8"/>
  <c r="C61" i="8" s="1"/>
  <c r="M54" i="8"/>
  <c r="L54" i="8"/>
  <c r="K54" i="8"/>
  <c r="J54" i="8"/>
  <c r="I54" i="8"/>
  <c r="H54" i="8"/>
  <c r="G54" i="8"/>
  <c r="F54" i="8"/>
  <c r="E54" i="8"/>
  <c r="D54" i="8"/>
  <c r="M53" i="8"/>
  <c r="L53" i="8"/>
  <c r="K53" i="8"/>
  <c r="J53" i="8"/>
  <c r="I53" i="8"/>
  <c r="H53" i="8"/>
  <c r="G53" i="8"/>
  <c r="F53" i="8"/>
  <c r="E53" i="8"/>
  <c r="D53" i="8"/>
  <c r="M52" i="8"/>
  <c r="L52" i="8"/>
  <c r="K52" i="8"/>
  <c r="J52" i="8"/>
  <c r="I52" i="8"/>
  <c r="H52" i="8"/>
  <c r="H56" i="8" s="1"/>
  <c r="G52" i="8"/>
  <c r="F52" i="8"/>
  <c r="F56" i="8" s="1"/>
  <c r="F65" i="8" s="1"/>
  <c r="E52" i="8"/>
  <c r="D52" i="8"/>
  <c r="D46" i="8"/>
  <c r="E46" i="8"/>
  <c r="F46" i="8"/>
  <c r="G46" i="8"/>
  <c r="H46" i="8"/>
  <c r="I46" i="8"/>
  <c r="J46" i="8"/>
  <c r="K46" i="8"/>
  <c r="L46" i="8"/>
  <c r="M46" i="8"/>
  <c r="C47" i="8"/>
  <c r="D47" i="8"/>
  <c r="E47" i="8"/>
  <c r="F47" i="8"/>
  <c r="G47" i="8"/>
  <c r="H47" i="8"/>
  <c r="I47" i="8"/>
  <c r="J47" i="8"/>
  <c r="K47" i="8"/>
  <c r="L47" i="8"/>
  <c r="M47" i="8"/>
  <c r="C48" i="8"/>
  <c r="D48" i="8"/>
  <c r="E48" i="8"/>
  <c r="F48" i="8"/>
  <c r="G48" i="8"/>
  <c r="H48" i="8"/>
  <c r="I48" i="8"/>
  <c r="J48" i="8"/>
  <c r="K48" i="8"/>
  <c r="L48" i="8"/>
  <c r="M48" i="8"/>
  <c r="C49" i="8"/>
  <c r="D49" i="8"/>
  <c r="E49" i="8"/>
  <c r="F49" i="8"/>
  <c r="G49" i="8"/>
  <c r="H49" i="8"/>
  <c r="I49" i="8"/>
  <c r="J49" i="8"/>
  <c r="K49" i="8"/>
  <c r="L49" i="8"/>
  <c r="M49" i="8"/>
  <c r="C50" i="8"/>
  <c r="D50" i="8"/>
  <c r="E50" i="8"/>
  <c r="F50" i="8"/>
  <c r="G50" i="8"/>
  <c r="H50" i="8"/>
  <c r="I50" i="8"/>
  <c r="J50" i="8"/>
  <c r="K50" i="8"/>
  <c r="L50" i="8"/>
  <c r="M50" i="8"/>
  <c r="C53" i="8"/>
  <c r="C54" i="8"/>
  <c r="C52" i="8"/>
  <c r="C46" i="8"/>
  <c r="L36" i="8"/>
  <c r="L41" i="8" s="1"/>
  <c r="K36" i="8"/>
  <c r="K41" i="8" s="1"/>
  <c r="J36" i="8"/>
  <c r="J41" i="8" s="1"/>
  <c r="I36" i="8"/>
  <c r="I41" i="8" s="1"/>
  <c r="H36" i="8"/>
  <c r="H41" i="8" s="1"/>
  <c r="G36" i="8"/>
  <c r="G41" i="8" s="1"/>
  <c r="F36" i="8"/>
  <c r="F41" i="8" s="1"/>
  <c r="E36" i="8"/>
  <c r="E41" i="8" s="1"/>
  <c r="D36" i="8"/>
  <c r="D41" i="8" s="1"/>
  <c r="C36" i="8"/>
  <c r="C41" i="8" s="1"/>
  <c r="L30" i="8"/>
  <c r="M30" i="8" s="1"/>
  <c r="K30" i="8"/>
  <c r="J30" i="8"/>
  <c r="I30" i="8"/>
  <c r="H30" i="8"/>
  <c r="G30" i="8"/>
  <c r="F30" i="8"/>
  <c r="E30" i="8"/>
  <c r="D30" i="8"/>
  <c r="C30" i="8"/>
  <c r="L24" i="8"/>
  <c r="K24" i="8"/>
  <c r="J24" i="8"/>
  <c r="I24" i="8"/>
  <c r="H24" i="8"/>
  <c r="G24" i="8"/>
  <c r="F24" i="8"/>
  <c r="E24" i="8"/>
  <c r="D24" i="8"/>
  <c r="C24" i="8"/>
  <c r="L21" i="8"/>
  <c r="K21" i="8"/>
  <c r="J21" i="8"/>
  <c r="I21" i="8"/>
  <c r="H21" i="8"/>
  <c r="G21" i="8"/>
  <c r="F21" i="8"/>
  <c r="E21" i="8"/>
  <c r="D21" i="8"/>
  <c r="C21" i="8"/>
  <c r="L15" i="8"/>
  <c r="M15" i="8" s="1"/>
  <c r="K15" i="8"/>
  <c r="J15" i="8"/>
  <c r="I15" i="8"/>
  <c r="H15" i="8"/>
  <c r="G15" i="8"/>
  <c r="F15" i="8"/>
  <c r="E15" i="8"/>
  <c r="D15" i="8"/>
  <c r="C15" i="8"/>
  <c r="L9" i="8"/>
  <c r="K9" i="8"/>
  <c r="J9" i="8"/>
  <c r="I9" i="8"/>
  <c r="H9" i="8"/>
  <c r="G9" i="8"/>
  <c r="F9" i="8"/>
  <c r="E9" i="8"/>
  <c r="D9" i="8"/>
  <c r="C9" i="8"/>
  <c r="M6" i="8"/>
  <c r="M12" i="8" s="1"/>
  <c r="L6" i="8"/>
  <c r="K6" i="8"/>
  <c r="J6" i="8"/>
  <c r="I6" i="8"/>
  <c r="H6" i="8"/>
  <c r="G6" i="8"/>
  <c r="F6" i="8"/>
  <c r="E6" i="8"/>
  <c r="D6" i="8"/>
  <c r="C6" i="8"/>
  <c r="C25" i="8" s="1"/>
  <c r="L3" i="8"/>
  <c r="K3" i="8"/>
  <c r="J3" i="8"/>
  <c r="I3" i="8"/>
  <c r="H3" i="8"/>
  <c r="G3" i="8"/>
  <c r="F3" i="8"/>
  <c r="E3" i="8"/>
  <c r="D3" i="8"/>
  <c r="C3" i="8"/>
  <c r="B2" i="8"/>
  <c r="B6" i="6"/>
  <c r="C17" i="2"/>
  <c r="D17" i="2"/>
  <c r="E17" i="2"/>
  <c r="F17" i="2"/>
  <c r="G17" i="2"/>
  <c r="H17" i="2"/>
  <c r="I17" i="2"/>
  <c r="J17" i="2"/>
  <c r="K17" i="2"/>
  <c r="C18" i="2"/>
  <c r="D18" i="2"/>
  <c r="D21" i="2" s="1"/>
  <c r="E18" i="2"/>
  <c r="E21" i="2" s="1"/>
  <c r="F18" i="2"/>
  <c r="F21" i="2" s="1"/>
  <c r="G18" i="2"/>
  <c r="H18" i="2"/>
  <c r="I18" i="2"/>
  <c r="J18" i="2"/>
  <c r="K18" i="2"/>
  <c r="B17" i="2"/>
  <c r="C4" i="2"/>
  <c r="D4" i="2"/>
  <c r="E24" i="2" s="1"/>
  <c r="E4" i="2"/>
  <c r="E23" i="2" s="1"/>
  <c r="E5" i="2"/>
  <c r="F4" i="2"/>
  <c r="G4" i="2"/>
  <c r="H4" i="2"/>
  <c r="I4" i="2"/>
  <c r="I5" i="2"/>
  <c r="J4" i="2"/>
  <c r="J5" i="2"/>
  <c r="K4" i="2"/>
  <c r="C5" i="2"/>
  <c r="D5" i="2"/>
  <c r="F5" i="2"/>
  <c r="F23" i="2" s="1"/>
  <c r="G5" i="2"/>
  <c r="G23" i="2" s="1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F16" i="2" s="1"/>
  <c r="G7" i="2"/>
  <c r="G16" i="2" s="1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H16" i="2" s="1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D20" i="2"/>
  <c r="F20" i="2"/>
  <c r="B20" i="2"/>
  <c r="E1" i="6"/>
  <c r="D16" i="2"/>
  <c r="K23" i="2"/>
  <c r="C23" i="2"/>
  <c r="K16" i="2"/>
  <c r="C16" i="2"/>
  <c r="D23" i="2"/>
  <c r="C3" i="2"/>
  <c r="D3" i="2"/>
  <c r="E3" i="2"/>
  <c r="F3" i="2"/>
  <c r="G3" i="2"/>
  <c r="H3" i="2"/>
  <c r="I3" i="2"/>
  <c r="J3" i="2"/>
  <c r="K3" i="2"/>
  <c r="K21" i="2"/>
  <c r="J21" i="2"/>
  <c r="I21" i="2"/>
  <c r="H21" i="2"/>
  <c r="G21" i="2"/>
  <c r="C21" i="2"/>
  <c r="B18" i="2"/>
  <c r="B21" i="2"/>
  <c r="B13" i="2"/>
  <c r="B16" i="2" s="1"/>
  <c r="B12" i="2"/>
  <c r="B11" i="2"/>
  <c r="B10" i="2"/>
  <c r="B8" i="2"/>
  <c r="B7" i="2"/>
  <c r="B6" i="2"/>
  <c r="B3" i="2"/>
  <c r="G20" i="2"/>
  <c r="K20" i="2"/>
  <c r="J20" i="2"/>
  <c r="C20" i="2"/>
  <c r="E20" i="2"/>
  <c r="A1" i="2"/>
  <c r="G23" i="7" l="1"/>
  <c r="H65" i="8"/>
  <c r="K56" i="8"/>
  <c r="K65" i="8" s="1"/>
  <c r="I56" i="8"/>
  <c r="I65" i="8" s="1"/>
  <c r="F104" i="8"/>
  <c r="J56" i="8"/>
  <c r="J65" i="8" s="1"/>
  <c r="M55" i="8"/>
  <c r="M56" i="8" s="1"/>
  <c r="M65" i="8" s="1"/>
  <c r="D55" i="8"/>
  <c r="D56" i="8" s="1"/>
  <c r="D65" i="8" s="1"/>
  <c r="K55" i="8"/>
  <c r="G55" i="8"/>
  <c r="G56" i="8" s="1"/>
  <c r="G65" i="8" s="1"/>
  <c r="C55" i="8"/>
  <c r="C56" i="8" s="1"/>
  <c r="C65" i="8" s="1"/>
  <c r="L55" i="8"/>
  <c r="L56" i="8" s="1"/>
  <c r="L65" i="8" s="1"/>
  <c r="E61" i="8"/>
  <c r="E65" i="8" s="1"/>
  <c r="D91" i="8"/>
  <c r="D104" i="8" s="1"/>
  <c r="L91" i="8"/>
  <c r="L104" i="8" s="1"/>
  <c r="I91" i="8"/>
  <c r="F91" i="8"/>
  <c r="K91" i="8"/>
  <c r="K104" i="8" s="1"/>
  <c r="H91" i="8"/>
  <c r="E91" i="8"/>
  <c r="E104" i="8" s="1"/>
  <c r="M91" i="8"/>
  <c r="J91" i="8"/>
  <c r="J104" i="8"/>
  <c r="G104" i="8"/>
  <c r="H104" i="8"/>
  <c r="M104" i="8"/>
  <c r="I104" i="8"/>
  <c r="C91" i="8"/>
  <c r="C104" i="8" s="1"/>
  <c r="H16" i="8"/>
  <c r="I7" i="8"/>
  <c r="K7" i="8"/>
  <c r="C10" i="8"/>
  <c r="J22" i="8"/>
  <c r="K22" i="8"/>
  <c r="G10" i="8"/>
  <c r="H7" i="8"/>
  <c r="E10" i="8"/>
  <c r="F10" i="8"/>
  <c r="C16" i="8"/>
  <c r="K16" i="8"/>
  <c r="G22" i="8"/>
  <c r="J25" i="8"/>
  <c r="M16" i="8"/>
  <c r="C12" i="8"/>
  <c r="D12" i="8"/>
  <c r="D18" i="8" s="1"/>
  <c r="D27" i="8" s="1"/>
  <c r="L7" i="8"/>
  <c r="F16" i="8"/>
  <c r="G25" i="8"/>
  <c r="J10" i="8"/>
  <c r="G16" i="8"/>
  <c r="D10" i="8"/>
  <c r="M18" i="8"/>
  <c r="M19" i="8" s="1"/>
  <c r="F7" i="8"/>
  <c r="D7" i="8"/>
  <c r="G12" i="8"/>
  <c r="G18" i="8" s="1"/>
  <c r="G19" i="8" s="1"/>
  <c r="H10" i="8"/>
  <c r="I16" i="8"/>
  <c r="I25" i="8"/>
  <c r="L10" i="8"/>
  <c r="I22" i="8"/>
  <c r="H25" i="8"/>
  <c r="I10" i="8"/>
  <c r="L12" i="8"/>
  <c r="L18" i="8" s="1"/>
  <c r="L27" i="8" s="1"/>
  <c r="J16" i="8"/>
  <c r="M36" i="8"/>
  <c r="M41" i="8" s="1"/>
  <c r="E12" i="8"/>
  <c r="E18" i="8" s="1"/>
  <c r="E19" i="8" s="1"/>
  <c r="L22" i="8"/>
  <c r="K10" i="8"/>
  <c r="D16" i="8"/>
  <c r="L16" i="8"/>
  <c r="E22" i="8"/>
  <c r="C22" i="8"/>
  <c r="D25" i="8"/>
  <c r="L25" i="8"/>
  <c r="D22" i="8"/>
  <c r="C18" i="8"/>
  <c r="C27" i="8" s="1"/>
  <c r="C31" i="8" s="1"/>
  <c r="K25" i="8"/>
  <c r="E16" i="8"/>
  <c r="F22" i="8"/>
  <c r="E25" i="8"/>
  <c r="G7" i="8"/>
  <c r="H12" i="8"/>
  <c r="H18" i="8" s="1"/>
  <c r="H19" i="8" s="1"/>
  <c r="M21" i="8"/>
  <c r="M22" i="8" s="1"/>
  <c r="J12" i="8"/>
  <c r="J18" i="8" s="1"/>
  <c r="H22" i="8"/>
  <c r="I12" i="8"/>
  <c r="I18" i="8" s="1"/>
  <c r="J7" i="8"/>
  <c r="K12" i="8"/>
  <c r="K18" i="8" s="1"/>
  <c r="E7" i="8"/>
  <c r="M7" i="8"/>
  <c r="F12" i="8"/>
  <c r="F18" i="8" s="1"/>
  <c r="F19" i="8" s="1"/>
  <c r="M10" i="8"/>
  <c r="F25" i="8"/>
  <c r="M24" i="8"/>
  <c r="M25" i="8" s="1"/>
  <c r="D24" i="2"/>
  <c r="C24" i="2"/>
  <c r="H24" i="2"/>
  <c r="H23" i="2"/>
  <c r="B23" i="2"/>
  <c r="G24" i="2"/>
  <c r="I24" i="2"/>
  <c r="E16" i="2"/>
  <c r="J23" i="2"/>
  <c r="J24" i="2"/>
  <c r="I16" i="2"/>
  <c r="K24" i="2"/>
  <c r="E1" i="2"/>
  <c r="I23" i="2"/>
  <c r="F24" i="2"/>
  <c r="I20" i="2"/>
  <c r="H20" i="2"/>
  <c r="D19" i="8" l="1"/>
  <c r="L19" i="8"/>
  <c r="G27" i="8"/>
  <c r="G31" i="8" s="1"/>
  <c r="C19" i="8"/>
  <c r="H27" i="8"/>
  <c r="H31" i="8" s="1"/>
  <c r="E27" i="8"/>
  <c r="E28" i="8" s="1"/>
  <c r="D28" i="8"/>
  <c r="D33" i="8"/>
  <c r="D31" i="8"/>
  <c r="I27" i="8"/>
  <c r="I19" i="8"/>
  <c r="L28" i="8"/>
  <c r="L33" i="8"/>
  <c r="L31" i="8"/>
  <c r="J27" i="8"/>
  <c r="J19" i="8"/>
  <c r="M27" i="8"/>
  <c r="C28" i="8"/>
  <c r="C33" i="8"/>
  <c r="F27" i="8"/>
  <c r="K27" i="8"/>
  <c r="K19" i="8"/>
  <c r="G28" i="8" l="1"/>
  <c r="G33" i="8"/>
  <c r="G34" i="8" s="1"/>
  <c r="E33" i="8"/>
  <c r="E38" i="8" s="1"/>
  <c r="E31" i="8"/>
  <c r="H28" i="8"/>
  <c r="H33" i="8"/>
  <c r="H34" i="8" s="1"/>
  <c r="M33" i="8"/>
  <c r="M28" i="8"/>
  <c r="M31" i="8"/>
  <c r="K28" i="8"/>
  <c r="K33" i="8"/>
  <c r="K31" i="8"/>
  <c r="I28" i="8"/>
  <c r="I31" i="8"/>
  <c r="I33" i="8"/>
  <c r="F33" i="8"/>
  <c r="F28" i="8"/>
  <c r="F31" i="8"/>
  <c r="C34" i="8"/>
  <c r="C38" i="8"/>
  <c r="C42" i="8" s="1"/>
  <c r="J28" i="8"/>
  <c r="J33" i="8"/>
  <c r="J31" i="8"/>
  <c r="D38" i="8"/>
  <c r="D34" i="8"/>
  <c r="L34" i="8"/>
  <c r="L38" i="8"/>
  <c r="E34" i="8" l="1"/>
  <c r="G38" i="8"/>
  <c r="G42" i="8" s="1"/>
  <c r="H38" i="8"/>
  <c r="D39" i="8"/>
  <c r="D42" i="8"/>
  <c r="E39" i="8"/>
  <c r="E42" i="8"/>
  <c r="L42" i="8"/>
  <c r="K34" i="8"/>
  <c r="K38" i="8"/>
  <c r="L39" i="8" s="1"/>
  <c r="J34" i="8"/>
  <c r="J38" i="8"/>
  <c r="F34" i="8"/>
  <c r="F38" i="8"/>
  <c r="I34" i="8"/>
  <c r="I38" i="8"/>
  <c r="M34" i="8"/>
  <c r="M38" i="8"/>
  <c r="H39" i="8" l="1"/>
  <c r="H42" i="8"/>
  <c r="K39" i="8"/>
  <c r="K42" i="8"/>
  <c r="F39" i="8"/>
  <c r="F42" i="8"/>
  <c r="J39" i="8"/>
  <c r="J42" i="8"/>
  <c r="M39" i="8"/>
  <c r="M42" i="8"/>
  <c r="I39" i="8"/>
  <c r="I42" i="8"/>
  <c r="G39" i="8"/>
</calcChain>
</file>

<file path=xl/sharedStrings.xml><?xml version="1.0" encoding="utf-8"?>
<sst xmlns="http://schemas.openxmlformats.org/spreadsheetml/2006/main" count="234" uniqueCount="162">
  <si>
    <t>COMPANY NAME</t>
  </si>
  <si>
    <t>SCREENER.IN</t>
  </si>
  <si>
    <t>Narration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</si>
  <si>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</si>
  <si>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</si>
  <si>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</si>
  <si>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</si>
  <si>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</si>
  <si>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</si>
  <si>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</si>
  <si>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</si>
  <si>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</si>
  <si>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Sales Growth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</si>
  <si>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</si>
  <si>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</si>
  <si>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</si>
  <si>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</si>
  <si>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</si>
  <si>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</si>
  <si>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</si>
  <si>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</si>
  <si>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</si>
  <si>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</si>
  <si>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</si>
  <si>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</si>
  <si>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</si>
  <si>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</si>
  <si>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</si>
  <si>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</si>
  <si>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</si>
  <si>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</si>
  <si>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</si>
  <si>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</si>
  <si>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</si>
  <si>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</si>
  <si>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</si>
  <si>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</si>
  <si>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EPS</t>
  </si>
  <si>
    <t>Return on Equity</t>
  </si>
  <si>
    <t>Return on Capital Emp</t>
  </si>
  <si>
    <t>LATEST VERSION</t>
  </si>
  <si>
    <t>CURRENT VERSION</t>
  </si>
  <si>
    <t>TATA MOTORS LTD</t>
  </si>
  <si>
    <t>META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</si>
  <si>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</si>
  <si>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</si>
  <si>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</si>
  <si>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</si>
  <si>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</si>
  <si>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</si>
  <si>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</si>
  <si>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</si>
  <si>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</si>
  <si>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</si>
  <si>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</si>
  <si>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</si>
  <si>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</si>
  <si>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</si>
  <si>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</si>
  <si>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</si>
  <si>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</si>
  <si>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</si>
  <si>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</si>
  <si>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</si>
  <si>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Years</t>
  </si>
  <si>
    <t>#</t>
  </si>
  <si>
    <t>Income Statement</t>
  </si>
  <si>
    <t>LTM</t>
  </si>
  <si>
    <t>NA</t>
  </si>
  <si>
    <t>COGS</t>
  </si>
  <si>
    <t>Gross Profit</t>
  </si>
  <si>
    <t>Selling and General Expenses</t>
  </si>
  <si>
    <t>S&amp;G Exp% of Sales</t>
  </si>
  <si>
    <t>COGS Growth% of Sales</t>
  </si>
  <si>
    <t>EBITA</t>
  </si>
  <si>
    <t>Interest on Sales</t>
  </si>
  <si>
    <t>Depreceation</t>
  </si>
  <si>
    <t>Depreceation % of Sales</t>
  </si>
  <si>
    <t>EBITA % on Sales</t>
  </si>
  <si>
    <t>PBT</t>
  </si>
  <si>
    <t>PBT % of Sales</t>
  </si>
  <si>
    <t>Effective tax</t>
  </si>
  <si>
    <t>Net Profit</t>
  </si>
  <si>
    <t>Net Margin</t>
  </si>
  <si>
    <t>No. of Equity Share</t>
  </si>
  <si>
    <t>DPS</t>
  </si>
  <si>
    <t>Cash from Operating Activity -</t>
  </si>
  <si>
    <t>Profit from operations</t>
  </si>
  <si>
    <t>Payables</t>
  </si>
  <si>
    <t>Loans Advances</t>
  </si>
  <si>
    <t>Other WC items</t>
  </si>
  <si>
    <t>Working capital changes</t>
  </si>
  <si>
    <t>Direct taxes</t>
  </si>
  <si>
    <t>Cash from Investing Activity -</t>
  </si>
  <si>
    <t>Fixed assets purchased</t>
  </si>
  <si>
    <t>Fixed assets sold</t>
  </si>
  <si>
    <t>Investments purchased</t>
  </si>
  <si>
    <t>Investments sold</t>
  </si>
  <si>
    <t>Interest received</t>
  </si>
  <si>
    <t>Dividends received</t>
  </si>
  <si>
    <t>Investment in group cos</t>
  </si>
  <si>
    <t>Redemp n Canc of Shares</t>
  </si>
  <si>
    <t>Acquisition of companies</t>
  </si>
  <si>
    <t>Inter corporate deposits</t>
  </si>
  <si>
    <t>Other investing items</t>
  </si>
  <si>
    <t>Cash from Financing Activity -</t>
  </si>
  <si>
    <t>Proceeds from shares</t>
  </si>
  <si>
    <t>Redemption of debentures</t>
  </si>
  <si>
    <t>Proceeds from borrowings</t>
  </si>
  <si>
    <t>Repayment of borrowings</t>
  </si>
  <si>
    <t>Interest paid fin</t>
  </si>
  <si>
    <t>Dividends paid</t>
  </si>
  <si>
    <t>Financial liabilities</t>
  </si>
  <si>
    <t>Other financing items</t>
  </si>
  <si>
    <t>Balance Sheet</t>
  </si>
  <si>
    <t>EPS Growth%</t>
  </si>
  <si>
    <t>Diviednd payout ratio</t>
  </si>
  <si>
    <t>Total Liabilities</t>
  </si>
  <si>
    <t>Fixed Assets Net Block</t>
  </si>
  <si>
    <t>Total Non Current Assets</t>
  </si>
  <si>
    <t>Total Assets</t>
  </si>
  <si>
    <t>Total Current Assets</t>
  </si>
  <si>
    <t>Check</t>
  </si>
  <si>
    <t>Cash Flow Statement</t>
  </si>
  <si>
    <t>Cash from Operating Activities</t>
  </si>
  <si>
    <t>Operating Activities</t>
  </si>
  <si>
    <t>Investing Activities</t>
  </si>
  <si>
    <t>Cash from investing activites</t>
  </si>
  <si>
    <t>Financing activities</t>
  </si>
  <si>
    <t>Cah from Financing Activites</t>
  </si>
  <si>
    <t>Gross Margin</t>
  </si>
  <si>
    <t>EBITDA Growth</t>
  </si>
  <si>
    <t>EBIT Growth</t>
  </si>
  <si>
    <t>Net Profit Growth</t>
  </si>
  <si>
    <t>SalesGrowth</t>
  </si>
  <si>
    <t>Dividend Growth</t>
  </si>
  <si>
    <t>EBITDA Margin</t>
  </si>
  <si>
    <t>EBT Margin</t>
  </si>
  <si>
    <t>Net Profit Margin</t>
  </si>
  <si>
    <t>SalesExpenses%Sales</t>
  </si>
  <si>
    <t>Depreciation%Sales</t>
  </si>
  <si>
    <t>OperatingIncome%Sales</t>
  </si>
  <si>
    <t>Return on Capital Employed</t>
  </si>
  <si>
    <t>Retained Earnings%</t>
  </si>
  <si>
    <t>Return on Equity%</t>
  </si>
  <si>
    <t>Self Sustained Growth Rate</t>
  </si>
  <si>
    <t>Interest Coverage Ratio</t>
  </si>
  <si>
    <t>Debtor Turnover Ratio</t>
  </si>
  <si>
    <t>Creditor Turnover Ratio</t>
  </si>
  <si>
    <t>Fixed Asset Turnover</t>
  </si>
  <si>
    <t>Capital Turnover Ratio</t>
  </si>
  <si>
    <t>Payable Days</t>
  </si>
  <si>
    <t>Inventory Days</t>
  </si>
  <si>
    <t>Cash Conversion Cycle</t>
  </si>
  <si>
    <t>CFO/Sales</t>
  </si>
  <si>
    <t>CFO/Total Assets</t>
  </si>
  <si>
    <t>CFO/Total Debt</t>
  </si>
  <si>
    <t>Retained Earning</t>
  </si>
  <si>
    <t>in days</t>
  </si>
  <si>
    <t>Mean</t>
  </si>
  <si>
    <t>Median</t>
  </si>
  <si>
    <t>Trends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</si>
</sst>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_(* #,##0.00_);_(* \(#,##0.00\);_(* &quot;-&quot;??_);_(@_)"/>
    <numFmt numFmtId="165" formatCode="[$-409]mmm\-yy;@"/>
    <numFmt numFmtId="166" formatCode="&quot;₹&quot;\ #,##0.00"/>
    <numFmt numFmtId="167" formatCode="_ &quot;₹&quot;\ * #,##0.00_ ;_ &quot;₹&quot;\ * \(#,##0.00\)_ ;_ &quot;₹&quot;\ * &quot;-&quot;??_ ;_ @_ "/>
    <numFmt numFmtId="173" formatCode="0.00&quot;x&quot;"/>
    <numFmt numFmtId="177" formatCode="0&quot; days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9" fontId="3" fillId="0" borderId="0" applyFont="0" applyFill="0" applyBorder="0" applyAlignment="0" applyProtection="0"/>
  </cellStyleXfs>
  <cellXfs count="44">
    <xf numFmtId="0" fontId="0" fillId="0" borderId="0" xfId="0"/>
    <xf numFmtId="43" fontId="1" fillId="0" borderId="0" xfId="1" applyFont="1" applyBorder="1"/>
    <xf numFmtId="0" fontId="1" fillId="0" borderId="0" xfId="0" applyFont="1"/>
    <xf numFmtId="43" fontId="0" fillId="0" borderId="0" xfId="1" applyFont="1" applyBorder="1"/>
    <xf numFmtId="43" fontId="3" fillId="0" borderId="0" xfId="1" applyFont="1" applyBorder="1"/>
    <xf numFmtId="9" fontId="1" fillId="0" borderId="0" xfId="4" applyFont="1" applyBorder="1"/>
    <xf numFmtId="0" fontId="2" fillId="3" borderId="0" xfId="0" applyFont="1" applyFill="1"/>
    <xf numFmtId="165" fontId="2" fillId="3" borderId="0" xfId="0" applyNumberFormat="1" applyFont="1" applyFill="1" applyAlignment="1">
      <alignment horizontal="center"/>
    </xf>
    <xf numFmtId="43" fontId="0" fillId="0" borderId="0" xfId="1" applyFont="1" applyBorder="1" applyAlignment="1">
      <alignment horizontal="center"/>
    </xf>
    <xf numFmtId="43" fontId="1" fillId="0" borderId="0" xfId="1" applyFont="1" applyBorder="1" applyAlignment="1">
      <alignment horizontal="center"/>
    </xf>
    <xf numFmtId="165" fontId="2" fillId="3" borderId="0" xfId="1" applyNumberFormat="1" applyFont="1" applyFill="1" applyBorder="1"/>
    <xf numFmtId="165" fontId="6" fillId="0" borderId="0" xfId="1" applyNumberFormat="1" applyFont="1" applyFill="1" applyBorder="1"/>
    <xf numFmtId="164" fontId="0" fillId="0" borderId="0" xfId="1" applyNumberFormat="1" applyFont="1" applyBorder="1"/>
    <xf numFmtId="167" fontId="0" fillId="0" borderId="0" xfId="0" applyNumberFormat="1"/>
    <xf numFmtId="17" fontId="0" fillId="0" borderId="0" xfId="0" applyNumberFormat="1"/>
    <xf numFmtId="0" fontId="2" fillId="4" borderId="0" xfId="0" applyFont="1" applyFill="1"/>
    <xf numFmtId="14" fontId="2" fillId="4" borderId="0" xfId="0" applyNumberFormat="1" applyFont="1" applyFill="1"/>
    <xf numFmtId="166" fontId="0" fillId="0" borderId="0" xfId="0" applyNumberFormat="1"/>
    <xf numFmtId="0" fontId="7" fillId="0" borderId="0" xfId="0" applyFont="1"/>
    <xf numFmtId="10" fontId="7" fillId="0" borderId="0" xfId="0" applyNumberFormat="1" applyFont="1"/>
    <xf numFmtId="0" fontId="0" fillId="3" borderId="0" xfId="0" applyFill="1"/>
    <xf numFmtId="43" fontId="3" fillId="0" borderId="0" xfId="1" applyFont="1" applyBorder="1" applyAlignment="1"/>
    <xf numFmtId="43" fontId="1" fillId="0" borderId="0" xfId="1" applyFont="1" applyBorder="1" applyAlignment="1"/>
    <xf numFmtId="43" fontId="0" fillId="0" borderId="0" xfId="1" applyFont="1" applyBorder="1" applyAlignment="1"/>
    <xf numFmtId="167" fontId="1" fillId="0" borderId="0" xfId="0" applyNumberFormat="1" applyFont="1"/>
    <xf numFmtId="0" fontId="1" fillId="0" borderId="1" xfId="0" applyFont="1" applyBorder="1"/>
    <xf numFmtId="166" fontId="1" fillId="0" borderId="1" xfId="0" applyNumberFormat="1" applyFont="1" applyBorder="1"/>
    <xf numFmtId="0" fontId="2" fillId="4" borderId="0" xfId="0" applyFont="1" applyFill="1" applyAlignment="1">
      <alignment horizontal="center"/>
    </xf>
    <xf numFmtId="43" fontId="4" fillId="0" borderId="0" xfId="2" applyNumberFormat="1" applyBorder="1" applyAlignment="1" applyProtection="1">
      <alignment horizontal="center"/>
    </xf>
    <xf numFmtId="43" fontId="2" fillId="2" borderId="0" xfId="3" applyNumberFormat="1" applyFont="1" applyBorder="1" applyAlignment="1">
      <alignment horizontal="center"/>
    </xf>
    <xf numFmtId="10" fontId="6" fillId="0" borderId="0" xfId="0" applyNumberFormat="1" applyFont="1"/>
    <xf numFmtId="10" fontId="0" fillId="0" borderId="2" xfId="0" applyNumberFormat="1" applyBorder="1"/>
    <xf numFmtId="0" fontId="0" fillId="0" borderId="2" xfId="0" applyBorder="1"/>
    <xf numFmtId="10" fontId="0" fillId="0" borderId="0" xfId="0" applyNumberFormat="1" applyBorder="1"/>
    <xf numFmtId="0" fontId="0" fillId="0" borderId="0" xfId="0" applyBorder="1"/>
    <xf numFmtId="10" fontId="0" fillId="0" borderId="3" xfId="0" applyNumberFormat="1" applyBorder="1"/>
    <xf numFmtId="0" fontId="0" fillId="0" borderId="3" xfId="0" applyBorder="1"/>
    <xf numFmtId="173" fontId="0" fillId="0" borderId="3" xfId="0" applyNumberFormat="1" applyBorder="1"/>
    <xf numFmtId="173" fontId="0" fillId="0" borderId="2" xfId="0" applyNumberFormat="1" applyBorder="1"/>
    <xf numFmtId="173" fontId="0" fillId="0" borderId="0" xfId="0" applyNumberFormat="1" applyBorder="1"/>
    <xf numFmtId="177" fontId="0" fillId="0" borderId="2" xfId="0" applyNumberFormat="1" applyBorder="1"/>
    <xf numFmtId="177" fontId="0" fillId="0" borderId="0" xfId="0" applyNumberFormat="1" applyBorder="1"/>
    <xf numFmtId="177" fontId="0" fillId="0" borderId="3" xfId="0" applyNumberFormat="1" applyBorder="1"/>
    <xf numFmtId="14" fontId="2" fillId="4" borderId="0" xfId="0" applyNumberFormat="1" applyFont="1" applyFill="1" applyAlignment="1">
      <alignment horizontal="center"/>
    </xf>
  </cellXfs>
  <cellStyles count="5">
    <cellStyle name="Accent6" xfId="3" builtinId="49"/>
    <cellStyle name="Comma" xfId="1" builtinId="3"/>
    <cellStyle name="Hyperlink" xfId="2" builtinId="8"/>
    <cellStyle name="Normal" xfId="0" builtinId="0"/>
    <cellStyle name="Percent" xfId="4" builtinId="5"/>
  </cellStyles>
  <dxfs count="1"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9" defaultPivotStyle="PivotStyleLight16"/>
  <colors>
    <mruColors>
      <color rgb="FF0275D8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reener.in/excel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1B375-E2A5-46FB-909C-F9E65C075643}">
  <sheetPr>
    <tabColor rgb="FF0275D8"/>
  </sheetPr>
  <dimension ref="B2:O40"/>
  <sheetViews>
    <sheetView showGridLines="0" tabSelected="1" workbookViewId="0">
      <selection activeCell="A9" sqref="A9"/>
    </sheetView>
  </sheetViews>
  <sheetFormatPr defaultRowHeight="14.4" x14ac:dyDescent="0.3"/>
  <cols>
    <col min="2" max="2" width="23.88671875" bestFit="1" customWidth="1"/>
    <col min="3" max="8" width="10.44140625" bestFit="1" customWidth="1"/>
    <col min="9" max="9" width="10.6640625" bestFit="1" customWidth="1"/>
    <col min="10" max="11" width="10.44140625" bestFit="1" customWidth="1"/>
    <col min="12" max="12" width="10.33203125" bestFit="1" customWidth="1"/>
    <col min="13" max="13" width="20.109375" customWidth="1"/>
    <col min="14" max="14" width="10.6640625" bestFit="1" customWidth="1"/>
  </cols>
  <sheetData>
    <row r="2" spans="2:15" x14ac:dyDescent="0.3">
      <c r="B2" s="27" t="str">
        <f>"Ratio Analysis - "&amp;'Data Sheet'!B1</f>
        <v>Ratio Analysis - TATA MOTORS LTD</v>
      </c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2:15" x14ac:dyDescent="0.3">
      <c r="B3" s="15" t="s">
        <v>64</v>
      </c>
      <c r="C3" s="16">
        <f>'Data Sheet'!B16</f>
        <v>42094</v>
      </c>
      <c r="D3" s="16">
        <f>'Data Sheet'!C16</f>
        <v>42460</v>
      </c>
      <c r="E3" s="16">
        <f>'Data Sheet'!D16</f>
        <v>42825</v>
      </c>
      <c r="F3" s="16">
        <f>'Data Sheet'!E16</f>
        <v>43190</v>
      </c>
      <c r="G3" s="16">
        <f>'Data Sheet'!F16</f>
        <v>43555</v>
      </c>
      <c r="H3" s="16">
        <f>'Data Sheet'!G16</f>
        <v>43921</v>
      </c>
      <c r="I3" s="16">
        <f>'Data Sheet'!H16</f>
        <v>44286</v>
      </c>
      <c r="J3" s="16">
        <f>'Data Sheet'!I16</f>
        <v>44651</v>
      </c>
      <c r="K3" s="16">
        <f>'Data Sheet'!J16</f>
        <v>45016</v>
      </c>
      <c r="L3" s="16">
        <f>'Data Sheet'!K16</f>
        <v>45382</v>
      </c>
      <c r="M3" s="43" t="s">
        <v>161</v>
      </c>
      <c r="N3" s="16" t="s">
        <v>159</v>
      </c>
      <c r="O3" s="16" t="s">
        <v>160</v>
      </c>
    </row>
    <row r="5" spans="2:15" x14ac:dyDescent="0.3">
      <c r="B5" s="31" t="s">
        <v>134</v>
      </c>
      <c r="C5" s="32"/>
      <c r="D5" s="31">
        <f>'Historical Fs'!D7</f>
        <v>3.75690010654397E-2</v>
      </c>
      <c r="E5" s="31">
        <f>'Historical Fs'!E7</f>
        <v>-1.2280329732469508E-2</v>
      </c>
      <c r="F5" s="31">
        <f>'Historical Fs'!F7</f>
        <v>8.104774581985974E-2</v>
      </c>
      <c r="G5" s="31">
        <f>'Historical Fs'!G7</f>
        <v>3.5629919045237157E-2</v>
      </c>
      <c r="H5" s="31">
        <f>'Historical Fs'!H7</f>
        <v>-0.135360159555724</v>
      </c>
      <c r="I5" s="31">
        <f>'Historical Fs'!I7</f>
        <v>-4.3181168490336042E-2</v>
      </c>
      <c r="J5" s="31">
        <f>'Historical Fs'!J7</f>
        <v>0.11472967306158344</v>
      </c>
      <c r="K5" s="31">
        <f>'Historical Fs'!K7</f>
        <v>0.24245815155859707</v>
      </c>
      <c r="L5" s="31">
        <f>'Historical Fs'!L7</f>
        <v>0.26580803363974326</v>
      </c>
      <c r="M5" s="32"/>
      <c r="N5" s="31">
        <f>IFERROR(AVERAGE(D5:L5),0)</f>
        <v>6.5157874045770087E-2</v>
      </c>
      <c r="O5" s="31">
        <f>IFERROR(MEDIAN(D5:L5),0)</f>
        <v>3.75690010654397E-2</v>
      </c>
    </row>
    <row r="6" spans="2:15" x14ac:dyDescent="0.3">
      <c r="B6" s="33" t="s">
        <v>131</v>
      </c>
      <c r="C6" s="34"/>
      <c r="D6" s="33">
        <f>'Historical Fs'!D18/'Historical Fs'!C18-1</f>
        <v>-2.1494113584437979E-2</v>
      </c>
      <c r="E6" s="33">
        <f>'Historical Fs'!E18/'Historical Fs'!D18-1</f>
        <v>-0.22936587208052905</v>
      </c>
      <c r="F6" s="33">
        <f>'Historical Fs'!F18/'Historical Fs'!E18-1</f>
        <v>6.3165689322506102E-2</v>
      </c>
      <c r="G6" s="33">
        <f>'Historical Fs'!G18/'Historical Fs'!F18-1</f>
        <v>-0.21595203460649259</v>
      </c>
      <c r="H6" s="33">
        <f>'Historical Fs'!H18/'Historical Fs'!G18-1</f>
        <v>-0.27072537547138131</v>
      </c>
      <c r="I6" s="33">
        <f>'Historical Fs'!I18/'Historical Fs'!H18-1</f>
        <v>0.79503554497758966</v>
      </c>
      <c r="J6" s="33">
        <f>'Historical Fs'!J18/'Historical Fs'!I18-1</f>
        <v>-0.234374182150762</v>
      </c>
      <c r="K6" s="33">
        <f>'Historical Fs'!K18/'Historical Fs'!J18-1</f>
        <v>0.28704223973294352</v>
      </c>
      <c r="L6" s="33">
        <f>'Historical Fs'!L18/'Historical Fs'!K18-1</f>
        <v>0.87134505497269066</v>
      </c>
      <c r="M6" s="32"/>
      <c r="N6" s="33">
        <f t="shared" ref="N6:N40" si="0">IFERROR(AVERAGE(D6:L6),0)</f>
        <v>0.11607521679023633</v>
      </c>
      <c r="O6" s="33">
        <f t="shared" ref="O6:O11" si="1">IFERROR(MEDIAN(D6:L6),0)</f>
        <v>-2.1494113584437979E-2</v>
      </c>
    </row>
    <row r="7" spans="2:15" x14ac:dyDescent="0.3">
      <c r="B7" s="33" t="s">
        <v>132</v>
      </c>
      <c r="C7" s="34"/>
      <c r="D7" s="33">
        <f>'Historical Fs'!D27/'Historical Fs'!C27-1</f>
        <v>-0.19978245260625749</v>
      </c>
      <c r="E7" s="33">
        <f>'Historical Fs'!E27/'Historical Fs'!D27-1</f>
        <v>-0.55668251823863213</v>
      </c>
      <c r="F7" s="33">
        <f>'Historical Fs'!F27/'Historical Fs'!E27-1</f>
        <v>-0.29861436616351744</v>
      </c>
      <c r="G7" s="33">
        <f>'Historical Fs'!G27/'Historical Fs'!F27-1</f>
        <v>-1.897095149646705</v>
      </c>
      <c r="H7" s="33">
        <f>'Historical Fs'!H27/'Historical Fs'!G27-1</f>
        <v>1.2800251873039095</v>
      </c>
      <c r="I7" s="33">
        <f>'Historical Fs'!I27/'Historical Fs'!H27-1</f>
        <v>-1.0602479570180365</v>
      </c>
      <c r="J7" s="33">
        <f>'Historical Fs'!J27/'Historical Fs'!I27-1</f>
        <v>-15.64914925025267</v>
      </c>
      <c r="K7" s="33">
        <f>'Historical Fs'!K27/'Historical Fs'!J27-1</f>
        <v>-0.65313668793078505</v>
      </c>
      <c r="L7" s="33">
        <f>'Historical Fs'!L27/'Historical Fs'!K27-1</f>
        <v>-7.8141215397976174</v>
      </c>
      <c r="M7" s="32"/>
      <c r="N7" s="33">
        <f t="shared" si="0"/>
        <v>-2.9832005260389236</v>
      </c>
      <c r="O7" s="33">
        <f t="shared" si="1"/>
        <v>-0.65313668793078505</v>
      </c>
    </row>
    <row r="8" spans="2:15" x14ac:dyDescent="0.3">
      <c r="B8" s="33" t="s">
        <v>133</v>
      </c>
      <c r="C8" s="34"/>
      <c r="D8" s="33">
        <f>'Historical Fs'!D33/'Historical Fs'!C33-1</f>
        <v>3.1824673563310757E-2</v>
      </c>
      <c r="E8" s="33">
        <f>'Historical Fs'!E33/'Historical Fs'!D33-1</f>
        <v>-0.69539895165986787</v>
      </c>
      <c r="F8" s="33">
        <f>'Historical Fs'!F33/'Historical Fs'!E33-1</f>
        <v>-0.79011124197155724</v>
      </c>
      <c r="G8" s="33">
        <f>'Historical Fs'!G33/'Historical Fs'!F33-1</f>
        <v>-9.0901779933437599</v>
      </c>
      <c r="H8" s="33">
        <f>'Historical Fs'!H33/'Historical Fs'!G33-1</f>
        <v>0.5552366845212704</v>
      </c>
      <c r="I8" s="33">
        <f>'Historical Fs'!I33/'Historical Fs'!H33-1</f>
        <v>-0.82862505348950144</v>
      </c>
      <c r="J8" s="33">
        <f>'Historical Fs'!J33/'Historical Fs'!I33-1</f>
        <v>6.1952157445306248</v>
      </c>
      <c r="K8" s="33">
        <f>'Historical Fs'!K33/'Historical Fs'!J33-1</f>
        <v>-0.7090436533357708</v>
      </c>
      <c r="L8" s="33">
        <f>'Historical Fs'!L33/'Historical Fs'!K33-1</f>
        <v>-5.6377318134923335</v>
      </c>
      <c r="M8" s="32"/>
      <c r="N8" s="33">
        <f t="shared" si="0"/>
        <v>-1.2187568449641761</v>
      </c>
      <c r="O8" s="33">
        <f t="shared" si="1"/>
        <v>-0.7090436533357708</v>
      </c>
    </row>
    <row r="9" spans="2:15" x14ac:dyDescent="0.3">
      <c r="B9" s="35" t="s">
        <v>135</v>
      </c>
      <c r="C9" s="36"/>
      <c r="D9" s="35">
        <f>IFERROR('Historical Fs'!D41/'Historical Fs'!C41-1,0)</f>
        <v>0</v>
      </c>
      <c r="E9" s="35">
        <f>IFERROR('Historical Fs'!E41/'Historical Fs'!D41-1,0)</f>
        <v>-1</v>
      </c>
      <c r="F9" s="35">
        <f>IFERROR('Historical Fs'!F41/'Historical Fs'!E41-1,0)</f>
        <v>0</v>
      </c>
      <c r="G9" s="35">
        <f>IFERROR('Historical Fs'!G41/'Historical Fs'!F41-1,0)</f>
        <v>0</v>
      </c>
      <c r="H9" s="35">
        <f>IFERROR('Historical Fs'!H41/'Historical Fs'!G41-1,0)</f>
        <v>0</v>
      </c>
      <c r="I9" s="35">
        <f>IFERROR('Historical Fs'!I41/'Historical Fs'!H41-1,0)</f>
        <v>0</v>
      </c>
      <c r="J9" s="35">
        <f>IFERROR('Historical Fs'!J41/'Historical Fs'!I41-1,0)</f>
        <v>0</v>
      </c>
      <c r="K9" s="35">
        <f>IFERROR('Historical Fs'!K41/'Historical Fs'!J41-1,0)</f>
        <v>0</v>
      </c>
      <c r="L9" s="35">
        <f>IFERROR('Historical Fs'!L41/'Historical Fs'!K41-1,0)</f>
        <v>0.49985611428699661</v>
      </c>
      <c r="M9" s="32"/>
      <c r="N9" s="35">
        <f t="shared" si="0"/>
        <v>-5.5571542857000375E-2</v>
      </c>
      <c r="O9" s="35">
        <f t="shared" si="1"/>
        <v>0</v>
      </c>
    </row>
    <row r="10" spans="2:15" x14ac:dyDescent="0.3">
      <c r="N10" s="33"/>
    </row>
    <row r="11" spans="2:15" x14ac:dyDescent="0.3">
      <c r="B11" s="32" t="s">
        <v>130</v>
      </c>
      <c r="C11" s="31">
        <f>'Historical Fs'!C13</f>
        <v>0.22914703499762759</v>
      </c>
      <c r="D11" s="31">
        <f>'Historical Fs'!D13</f>
        <v>0.24734524196690946</v>
      </c>
      <c r="E11" s="31">
        <f>'Historical Fs'!E13</f>
        <v>0.23819078253229964</v>
      </c>
      <c r="F11" s="31">
        <f>'Historical Fs'!F13</f>
        <v>0.21649990080619999</v>
      </c>
      <c r="G11" s="31">
        <f>'Historical Fs'!G13</f>
        <v>0.19571167496416494</v>
      </c>
      <c r="H11" s="31">
        <f>'Historical Fs'!H13</f>
        <v>0.19417127271491774</v>
      </c>
      <c r="I11" s="31">
        <f>'Historical Fs'!I13</f>
        <v>0.2180538622208833</v>
      </c>
      <c r="J11" s="31">
        <f>'Historical Fs'!J13</f>
        <v>0.19807108271747378</v>
      </c>
      <c r="K11" s="31">
        <f>'Historical Fs'!K13</f>
        <v>0.20685017994636876</v>
      </c>
      <c r="L11" s="31">
        <f>'Historical Fs'!L13</f>
        <v>0.28014992061362093</v>
      </c>
      <c r="M11" s="32"/>
      <c r="N11" s="31">
        <f>IFERROR(AVERAGE(C11:L11),0)</f>
        <v>0.22241909534804663</v>
      </c>
      <c r="O11" s="31">
        <f>IFERROR(MEDIAN(D10:L11),0)</f>
        <v>0.21649990080619999</v>
      </c>
    </row>
    <row r="12" spans="2:15" x14ac:dyDescent="0.3">
      <c r="B12" s="34" t="s">
        <v>136</v>
      </c>
      <c r="C12" s="33">
        <f>'Historical Fs'!C19</f>
        <v>0.14910625508580397</v>
      </c>
      <c r="D12" s="33">
        <f>'Historical Fs'!D19</f>
        <v>0.14061845347443788</v>
      </c>
      <c r="E12" s="33">
        <f>'Historical Fs'!E19</f>
        <v>0.10971268723777329</v>
      </c>
      <c r="F12" s="33">
        <f>'Historical Fs'!F19</f>
        <v>0.10789788444182975</v>
      </c>
      <c r="G12" s="33">
        <f>'Historical Fs'!G19</f>
        <v>8.1686628795807431E-2</v>
      </c>
      <c r="H12" s="33">
        <f>'Historical Fs'!H19</f>
        <v>6.8898034485042198E-2</v>
      </c>
      <c r="I12" s="33">
        <f>'Historical Fs'!I19</f>
        <v>0.12925583904385496</v>
      </c>
      <c r="J12" s="33">
        <f>'Historical Fs'!J19</f>
        <v>8.877632835227646E-2</v>
      </c>
      <c r="K12" s="33">
        <f>'Historical Fs'!K19</f>
        <v>9.1961958102532049E-2</v>
      </c>
      <c r="L12" s="33">
        <f>'Historical Fs'!L19</f>
        <v>0.13595470321509881</v>
      </c>
      <c r="M12" s="34"/>
      <c r="N12" s="33">
        <f t="shared" ref="N12:N14" si="2">IFERROR(AVERAGE(C12:L12),0)</f>
        <v>0.11038687722344567</v>
      </c>
      <c r="O12" s="33">
        <f t="shared" ref="O12:O14" si="3">IFERROR(MEDIAN(D11:L12),0)</f>
        <v>0.16739486309467783</v>
      </c>
    </row>
    <row r="13" spans="2:15" x14ac:dyDescent="0.3">
      <c r="B13" s="34" t="s">
        <v>137</v>
      </c>
      <c r="C13" s="33">
        <f>'Historical Fs'!C28</f>
        <v>7.9756085085905037E-2</v>
      </c>
      <c r="D13" s="33">
        <f>'Historical Fs'!D28</f>
        <v>6.1511300676516931E-2</v>
      </c>
      <c r="E13" s="33">
        <f>'Historical Fs'!E28</f>
        <v>2.7608071132565179E-2</v>
      </c>
      <c r="F13" s="33">
        <f>'Historical Fs'!F28</f>
        <v>1.7912163958707913E-2</v>
      </c>
      <c r="G13" s="33">
        <f>'Historical Fs'!G28</f>
        <v>-1.5516078776333117E-2</v>
      </c>
      <c r="H13" s="33">
        <f>'Historical Fs'!H28</f>
        <v>-4.0915360088026265E-2</v>
      </c>
      <c r="I13" s="33">
        <f>'Historical Fs'!I28</f>
        <v>2.5763151547420113E-3</v>
      </c>
      <c r="J13" s="33">
        <f>'Historical Fs'!J28</f>
        <v>-3.3856482095653805E-2</v>
      </c>
      <c r="K13" s="33">
        <f>'Historical Fs'!K28</f>
        <v>-9.4518849588445895E-3</v>
      </c>
      <c r="L13" s="33">
        <f>'Historical Fs'!L28</f>
        <v>5.0881564327377671E-2</v>
      </c>
      <c r="M13" s="34"/>
      <c r="N13" s="33">
        <f t="shared" si="2"/>
        <v>1.4050569441695698E-2</v>
      </c>
      <c r="O13" s="33">
        <f t="shared" si="3"/>
        <v>6.5204667580779557E-2</v>
      </c>
    </row>
    <row r="14" spans="2:15" x14ac:dyDescent="0.3">
      <c r="B14" s="36" t="s">
        <v>138</v>
      </c>
      <c r="C14" s="35">
        <f>'Historical Fs'!C34</f>
        <v>5.0713146858982282E-2</v>
      </c>
      <c r="D14" s="35">
        <f>'Historical Fs'!D34</f>
        <v>5.0432381990407359E-2</v>
      </c>
      <c r="E14" s="35">
        <f>'Historical Fs'!E34</f>
        <v>1.5552749314395296E-2</v>
      </c>
      <c r="F14" s="35">
        <f>'Historical Fs'!F34</f>
        <v>3.01961430487095E-3</v>
      </c>
      <c r="G14" s="35">
        <f>'Historical Fs'!G34</f>
        <v>-2.358875187786641E-2</v>
      </c>
      <c r="H14" s="35">
        <f>'Historical Fs'!H34</f>
        <v>-4.2429333632923408E-2</v>
      </c>
      <c r="I14" s="35">
        <f>'Historical Fs'!I34</f>
        <v>-7.5994791724005731E-3</v>
      </c>
      <c r="J14" s="35">
        <f>'Historical Fs'!J34</f>
        <v>-4.9052154538339235E-2</v>
      </c>
      <c r="K14" s="35">
        <f>'Historical Fs'!K34</f>
        <v>-1.1486934720964945E-2</v>
      </c>
      <c r="L14" s="35">
        <f>'Historical Fs'!L34</f>
        <v>4.2086415300861268E-2</v>
      </c>
      <c r="M14" s="36"/>
      <c r="N14" s="35">
        <f t="shared" si="2"/>
        <v>2.7647653827022585E-3</v>
      </c>
      <c r="O14" s="35">
        <f t="shared" si="3"/>
        <v>-2.5115820088292811E-3</v>
      </c>
    </row>
    <row r="15" spans="2:15" x14ac:dyDescent="0.3">
      <c r="N15" s="33"/>
    </row>
    <row r="16" spans="2:15" x14ac:dyDescent="0.3">
      <c r="B16" s="32" t="s">
        <v>139</v>
      </c>
      <c r="C16" s="31">
        <f>IFERROR('Historical Fs'!C15/'Historical Fs'!C6,0)</f>
        <v>8.0040779911823637E-2</v>
      </c>
      <c r="D16" s="31">
        <f>IFERROR('Historical Fs'!D15/'Historical Fs'!D6,0)</f>
        <v>0.10672678849247161</v>
      </c>
      <c r="E16" s="31">
        <f>IFERROR('Historical Fs'!E15/'Historical Fs'!E6,0)</f>
        <v>0.12847809529452636</v>
      </c>
      <c r="F16" s="31">
        <f>IFERROR('Historical Fs'!F15/'Historical Fs'!F6,0)</f>
        <v>0.10860201636437025</v>
      </c>
      <c r="G16" s="31">
        <f>IFERROR('Historical Fs'!G15/'Historical Fs'!G6,0)</f>
        <v>0.11402504616835751</v>
      </c>
      <c r="H16" s="31">
        <f>IFERROR('Historical Fs'!H15/'Historical Fs'!H6,0)</f>
        <v>0.12527323822987554</v>
      </c>
      <c r="I16" s="31">
        <f>IFERROR('Historical Fs'!I15/'Historical Fs'!I6,0)</f>
        <v>8.8798023177028354E-2</v>
      </c>
      <c r="J16" s="31">
        <f>IFERROR('Historical Fs'!J15/'Historical Fs'!J6,0)</f>
        <v>0.10929475436519734</v>
      </c>
      <c r="K16" s="31">
        <f>IFERROR('Historical Fs'!K15/'Historical Fs'!K6,0)</f>
        <v>0.11488822184383672</v>
      </c>
      <c r="L16" s="31">
        <f>IFERROR('Historical Fs'!L15/'Historical Fs'!L6,0)</f>
        <v>0.14419521739852212</v>
      </c>
      <c r="M16" s="32"/>
      <c r="N16" s="31">
        <f>IFERROR(AVERAGE(C16:L16),0)</f>
        <v>0.11203221812460093</v>
      </c>
      <c r="O16" s="31">
        <f t="shared" ref="O16:O18" si="4">IFERROR(MEDIAN(D15:L16),0)</f>
        <v>0.11402504616835751</v>
      </c>
    </row>
    <row r="17" spans="2:15" x14ac:dyDescent="0.3">
      <c r="B17" s="34" t="s">
        <v>140</v>
      </c>
      <c r="C17" s="33">
        <f>'Historical Fs'!C24/'Historical Fs'!C6</f>
        <v>5.0876584184966822E-2</v>
      </c>
      <c r="D17" s="33">
        <f>'Historical Fs'!D24/'Historical Fs'!D6</f>
        <v>6.1201425695927715E-2</v>
      </c>
      <c r="E17" s="33">
        <f>'Historical Fs'!E24/'Historical Fs'!E6</f>
        <v>6.63903865924938E-2</v>
      </c>
      <c r="F17" s="33">
        <f>'Historical Fs'!F24/'Historical Fs'!F6</f>
        <v>7.3927472182518786E-2</v>
      </c>
      <c r="G17" s="33">
        <f>'Historical Fs'!G24/'Historical Fs'!G6</f>
        <v>7.8130605447998658E-2</v>
      </c>
      <c r="H17" s="33">
        <f>'Historical Fs'!H24/'Historical Fs'!H6</f>
        <v>8.206839774331566E-2</v>
      </c>
      <c r="I17" s="33">
        <f>'Historical Fs'!I24/'Historical Fs'!I6</f>
        <v>9.4264230933596482E-2</v>
      </c>
      <c r="J17" s="33">
        <f>'Historical Fs'!J24/'Historical Fs'!J6</f>
        <v>8.9191478279219347E-2</v>
      </c>
      <c r="K17" s="33">
        <f>'Historical Fs'!K24/'Historical Fs'!K6</f>
        <v>7.1857611147098821E-2</v>
      </c>
      <c r="L17" s="33">
        <f>'Historical Fs'!L24/'Historical Fs'!L6</f>
        <v>6.2270839777984394E-2</v>
      </c>
      <c r="M17" s="34"/>
      <c r="N17" s="33">
        <f t="shared" ref="N17:N18" si="5">IFERROR(AVERAGE(C17:L17),0)</f>
        <v>7.3017903198512063E-2</v>
      </c>
      <c r="O17" s="33">
        <f t="shared" si="4"/>
        <v>9.1727854606407921E-2</v>
      </c>
    </row>
    <row r="18" spans="2:15" x14ac:dyDescent="0.3">
      <c r="B18" s="36" t="s">
        <v>141</v>
      </c>
      <c r="C18" s="35">
        <f>('Historical Fs'!C18-'Historical Fs'!C24)/'Historical Fs'!C6</f>
        <v>9.8229670900837146E-2</v>
      </c>
      <c r="D18" s="35">
        <f>('Historical Fs'!D18-'Historical Fs'!D24)/'Historical Fs'!D6</f>
        <v>7.941702777851016E-2</v>
      </c>
      <c r="E18" s="35">
        <f>('Historical Fs'!E18-'Historical Fs'!E24)/'Historical Fs'!E6</f>
        <v>4.3322300645279484E-2</v>
      </c>
      <c r="F18" s="35">
        <f>('Historical Fs'!F18-'Historical Fs'!F24)/'Historical Fs'!F6</f>
        <v>3.3970412259310953E-2</v>
      </c>
      <c r="G18" s="35">
        <f>('Historical Fs'!G18-'Historical Fs'!G24)/'Historical Fs'!G6</f>
        <v>3.5560233478087663E-3</v>
      </c>
      <c r="H18" s="35">
        <f>('Historical Fs'!H18-'Historical Fs'!H24)/'Historical Fs'!H6</f>
        <v>-1.3170363258273456E-2</v>
      </c>
      <c r="I18" s="35">
        <f>('Historical Fs'!I18-'Historical Fs'!I24)/'Historical Fs'!I6</f>
        <v>3.4991608110258483E-2</v>
      </c>
      <c r="J18" s="35">
        <f>('Historical Fs'!J18-'Historical Fs'!J24)/'Historical Fs'!J6</f>
        <v>-4.1514992694289269E-4</v>
      </c>
      <c r="K18" s="35">
        <f>('Historical Fs'!K18-'Historical Fs'!K24)/'Historical Fs'!K6</f>
        <v>2.0104346955433228E-2</v>
      </c>
      <c r="L18" s="35">
        <f>('Historical Fs'!L18-'Historical Fs'!L24)/'Historical Fs'!L6</f>
        <v>7.3683863437114416E-2</v>
      </c>
      <c r="M18" s="36"/>
      <c r="N18" s="35">
        <f t="shared" si="5"/>
        <v>3.7368974024933624E-2</v>
      </c>
      <c r="O18" s="35">
        <f t="shared" si="4"/>
        <v>6.4330613185239097E-2</v>
      </c>
    </row>
    <row r="19" spans="2:15" x14ac:dyDescent="0.3">
      <c r="N19" s="33"/>
    </row>
    <row r="20" spans="2:15" x14ac:dyDescent="0.3">
      <c r="B20" s="32" t="s">
        <v>142</v>
      </c>
      <c r="C20" s="31">
        <f>('Historical Fs'!C18-'Historical Fs'!C24)/SUM('Historical Fs'!C46:C48)</f>
        <v>0.19904181268509033</v>
      </c>
      <c r="D20" s="31">
        <f>('Historical Fs'!D18-'Historical Fs'!D24)/SUM('Historical Fs'!D46:D48)</f>
        <v>0.1462081011853561</v>
      </c>
      <c r="E20" s="31">
        <f>('Historical Fs'!E18-'Historical Fs'!E24)/SUM('Historical Fs'!E46:E48)</f>
        <v>8.5490986154773282E-2</v>
      </c>
      <c r="F20" s="31">
        <f>('Historical Fs'!F18-'Historical Fs'!F24)/SUM('Historical Fs'!F46:F48)</f>
        <v>5.3716113570365424E-2</v>
      </c>
      <c r="G20" s="31">
        <f>('Historical Fs'!G18-'Historical Fs'!G24)/SUM('Historical Fs'!G46:G48)</f>
        <v>6.4542733637543747E-3</v>
      </c>
      <c r="H20" s="31">
        <f>('Historical Fs'!H18-'Historical Fs'!H24)/SUM('Historical Fs'!H46:H48)</f>
        <v>-1.8387082646096023E-2</v>
      </c>
      <c r="I20" s="31">
        <f>('Historical Fs'!I18-'Historical Fs'!I24)/SUM('Historical Fs'!I46:I48)</f>
        <v>4.4284324706251613E-2</v>
      </c>
      <c r="J20" s="31">
        <f>('Historical Fs'!J18-'Historical Fs'!J24)/SUM('Historical Fs'!J46:J48)</f>
        <v>-6.0520306054739361E-4</v>
      </c>
      <c r="K20" s="31">
        <f>('Historical Fs'!K18-'Historical Fs'!K24)/SUM('Historical Fs'!K46:K48)</f>
        <v>3.8762956416083731E-2</v>
      </c>
      <c r="L20" s="31">
        <f>('Historical Fs'!L18-'Historical Fs'!L24)/SUM('Historical Fs'!L46:L48)</f>
        <v>0.16790572738589765</v>
      </c>
      <c r="M20" s="32"/>
      <c r="N20" s="31">
        <f>IFERROR(AVERAGE(C20:L20),0)</f>
        <v>7.2287200976092911E-2</v>
      </c>
      <c r="O20" s="31">
        <f t="shared" ref="O20:O24" si="6">IFERROR(MEDIAN(D19:L20),0)</f>
        <v>4.4284324706251613E-2</v>
      </c>
    </row>
    <row r="21" spans="2:15" x14ac:dyDescent="0.3">
      <c r="B21" s="34" t="s">
        <v>143</v>
      </c>
      <c r="C21" s="33">
        <f>'Historical Fs'!C44</f>
        <v>1</v>
      </c>
      <c r="D21" s="33">
        <f>'Historical Fs'!D44</f>
        <v>0.99506765991253665</v>
      </c>
      <c r="E21" s="33">
        <f>'Historical Fs'!E44</f>
        <v>1</v>
      </c>
      <c r="F21" s="33">
        <f>'Historical Fs'!F44</f>
        <v>1</v>
      </c>
      <c r="G21" s="33">
        <f>'Historical Fs'!G44</f>
        <v>0</v>
      </c>
      <c r="H21" s="33">
        <f>'Historical Fs'!H44</f>
        <v>0</v>
      </c>
      <c r="I21" s="33">
        <f>'Historical Fs'!I44</f>
        <v>0</v>
      </c>
      <c r="J21" s="33">
        <f>'Historical Fs'!J44</f>
        <v>0</v>
      </c>
      <c r="K21" s="33">
        <f>'Historical Fs'!K44</f>
        <v>0</v>
      </c>
      <c r="L21" s="33">
        <f>'Historical Fs'!L44</f>
        <v>0.93761804283154149</v>
      </c>
      <c r="M21" s="34"/>
      <c r="N21" s="33">
        <f t="shared" ref="N21:N24" si="7">IFERROR(AVERAGE(C21:L21),0)</f>
        <v>0.49326857027440785</v>
      </c>
      <c r="O21" s="33">
        <f t="shared" si="6"/>
        <v>4.1523640561167668E-2</v>
      </c>
    </row>
    <row r="22" spans="2:15" x14ac:dyDescent="0.3">
      <c r="B22" s="34" t="s">
        <v>144</v>
      </c>
      <c r="C22" s="33">
        <f>'Historical Fs'!C33/('Historical Fs'!C46+'Historical Fs'!C47)</f>
        <v>0.2372052002491202</v>
      </c>
      <c r="D22" s="33">
        <f>'Historical Fs'!D33/('Historical Fs'!D46+'Historical Fs'!D47)</f>
        <v>0.17441316864171685</v>
      </c>
      <c r="E22" s="33">
        <f>'Historical Fs'!E33/('Historical Fs'!E46+'Historical Fs'!E47)</f>
        <v>7.2241189530689517E-2</v>
      </c>
      <c r="F22" s="33">
        <f>'Historical Fs'!F33/('Historical Fs'!F46+'Historical Fs'!F47)</f>
        <v>9.2254980749341738E-3</v>
      </c>
      <c r="G22" s="33">
        <f>'Historical Fs'!G33/('Historical Fs'!G46+'Historical Fs'!G47)</f>
        <v>-0.11835164630648645</v>
      </c>
      <c r="H22" s="33">
        <f>'Historical Fs'!H33/('Historical Fs'!H46+'Historical Fs'!H47)</f>
        <v>-0.1780542775131683</v>
      </c>
      <c r="I22" s="33">
        <f>'Historical Fs'!I33/('Historical Fs'!I46+'Historical Fs'!I47)</f>
        <v>-3.4360591904822733E-2</v>
      </c>
      <c r="J22" s="33">
        <f>'Historical Fs'!J33/('Historical Fs'!J46+'Historical Fs'!J47)</f>
        <v>-0.30651638060341208</v>
      </c>
      <c r="K22" s="33">
        <f>'Historical Fs'!K33/('Historical Fs'!K46+'Historical Fs'!K47)</f>
        <v>-8.7686298356707396E-2</v>
      </c>
      <c r="L22" s="33">
        <f>'Historical Fs'!L33/('Historical Fs'!L46+'Historical Fs'!L47)</f>
        <v>0.2170423898249165</v>
      </c>
      <c r="M22" s="34"/>
      <c r="N22" s="33">
        <f t="shared" si="7"/>
        <v>-1.4841748363219691E-3</v>
      </c>
      <c r="O22" s="33">
        <f t="shared" si="6"/>
        <v>0</v>
      </c>
    </row>
    <row r="23" spans="2:15" x14ac:dyDescent="0.3">
      <c r="B23" s="34" t="s">
        <v>145</v>
      </c>
      <c r="C23" s="33">
        <f>IFERROR(C21*C22,0)</f>
        <v>0.2372052002491202</v>
      </c>
      <c r="D23" s="33">
        <f t="shared" ref="D23:L23" si="8">IFERROR(D21*D22,0)</f>
        <v>0.17355290357824379</v>
      </c>
      <c r="E23" s="33">
        <f t="shared" si="8"/>
        <v>7.2241189530689517E-2</v>
      </c>
      <c r="F23" s="33">
        <f t="shared" si="8"/>
        <v>9.2254980749341738E-3</v>
      </c>
      <c r="G23" s="33">
        <f t="shared" si="8"/>
        <v>0</v>
      </c>
      <c r="H23" s="33">
        <f t="shared" si="8"/>
        <v>0</v>
      </c>
      <c r="I23" s="33">
        <f t="shared" si="8"/>
        <v>0</v>
      </c>
      <c r="J23" s="33">
        <f t="shared" si="8"/>
        <v>0</v>
      </c>
      <c r="K23" s="33">
        <f t="shared" si="8"/>
        <v>0</v>
      </c>
      <c r="L23" s="33">
        <f t="shared" si="8"/>
        <v>0.20350286075911869</v>
      </c>
      <c r="M23" s="34"/>
      <c r="N23" s="33">
        <f t="shared" si="7"/>
        <v>6.9572765219210644E-2</v>
      </c>
      <c r="O23" s="33">
        <f t="shared" si="6"/>
        <v>0</v>
      </c>
    </row>
    <row r="24" spans="2:15" x14ac:dyDescent="0.3">
      <c r="B24" s="36" t="s">
        <v>146</v>
      </c>
      <c r="C24" s="37">
        <f>IFERROR(('Historical Fs'!C18-'Historical Fs'!C24)/'Historical Fs'!C21,0)</f>
        <v>5.3173039541375138</v>
      </c>
      <c r="D24" s="37">
        <f>IFERROR(('Historical Fs'!D18-'Historical Fs'!D24)/'Historical Fs'!D21,0)</f>
        <v>4.4352863933500721</v>
      </c>
      <c r="E24" s="37">
        <f>IFERROR(('Historical Fs'!E18-'Historical Fs'!E24)/'Historical Fs'!E21,0)</f>
        <v>2.7568835373205922</v>
      </c>
      <c r="F24" s="37">
        <f>IFERROR(('Historical Fs'!F18-'Historical Fs'!F24)/'Historical Fs'!F21,0)</f>
        <v>2.1154494328024094</v>
      </c>
      <c r="G24" s="37">
        <f>IFERROR(('Historical Fs'!G18-'Historical Fs'!G24)/'Historical Fs'!G21,0)</f>
        <v>0.18645156808947008</v>
      </c>
      <c r="H24" s="37">
        <f>IFERROR(('Historical Fs'!H18-'Historical Fs'!H24)/'Historical Fs'!H21,0)</f>
        <v>-0.47469326953211261</v>
      </c>
      <c r="I24" s="37">
        <f>IFERROR(('Historical Fs'!I18-'Historical Fs'!I24)/'Historical Fs'!I21,0)</f>
        <v>1.079478385658198</v>
      </c>
      <c r="J24" s="37">
        <f>IFERROR(('Historical Fs'!J18-'Historical Fs'!J24)/'Historical Fs'!J21,0)</f>
        <v>-1.2414275987824557E-2</v>
      </c>
      <c r="K24" s="37">
        <f>IFERROR(('Historical Fs'!K18-'Historical Fs'!K24)/'Historical Fs'!K21,0)</f>
        <v>0.68020669934320532</v>
      </c>
      <c r="L24" s="37">
        <f>IFERROR(('Historical Fs'!L18-'Historical Fs'!L24)/'Historical Fs'!L21,0)</f>
        <v>3.2314225457050894</v>
      </c>
      <c r="M24" s="36"/>
      <c r="N24" s="37">
        <f t="shared" si="7"/>
        <v>1.9315374970886616</v>
      </c>
      <c r="O24" s="37">
        <f t="shared" si="6"/>
        <v>0.12289704655446665</v>
      </c>
    </row>
    <row r="25" spans="2:15" x14ac:dyDescent="0.3">
      <c r="N25" s="33"/>
    </row>
    <row r="26" spans="2:15" x14ac:dyDescent="0.3">
      <c r="B26" s="32" t="s">
        <v>147</v>
      </c>
      <c r="C26" s="38">
        <f>'Historical Fs'!C6/'Historical Fs'!C58</f>
        <v>20.92016821419486</v>
      </c>
      <c r="D26" s="38">
        <f>'Historical Fs'!D6/'Historical Fs'!D58</f>
        <v>20.119918266350599</v>
      </c>
      <c r="E26" s="38">
        <f>'Historical Fs'!E6/'Historical Fs'!E58</f>
        <v>19.160353236640844</v>
      </c>
      <c r="F26" s="38">
        <f>'Historical Fs'!F6/'Historical Fs'!F58</f>
        <v>14.655712224718874</v>
      </c>
      <c r="G26" s="38">
        <f>'Historical Fs'!G6/'Historical Fs'!G58</f>
        <v>15.894698773489607</v>
      </c>
      <c r="H26" s="38">
        <f>'Historical Fs'!H6/'Historical Fs'!H58</f>
        <v>23.366617170976728</v>
      </c>
      <c r="I26" s="38">
        <f>'Historical Fs'!I6/'Historical Fs'!I58</f>
        <v>19.701330853658153</v>
      </c>
      <c r="J26" s="38">
        <f>'Historical Fs'!J6/'Historical Fs'!J58</f>
        <v>22.379917570317598</v>
      </c>
      <c r="K26" s="38">
        <f>'Historical Fs'!K6/'Historical Fs'!K58</f>
        <v>21.982947610142858</v>
      </c>
      <c r="L26" s="38">
        <f>'Historical Fs'!L6/'Historical Fs'!L58</f>
        <v>25.833687966063799</v>
      </c>
      <c r="M26" s="32"/>
      <c r="N26" s="38">
        <f>IFERROR(AVERAGE(C26:L26),0)</f>
        <v>20.401535188655391</v>
      </c>
      <c r="O26" s="38">
        <f t="shared" ref="O26:O30" si="9">IFERROR(MEDIAN(D25:L26),0)</f>
        <v>20.119918266350599</v>
      </c>
    </row>
    <row r="27" spans="2:15" x14ac:dyDescent="0.3">
      <c r="B27" s="34" t="s">
        <v>148</v>
      </c>
      <c r="C27" s="39">
        <f>'Historical Fs'!C6/'Historical Fs'!C49</f>
        <v>2.4493010585757142</v>
      </c>
      <c r="D27" s="39">
        <f>'Historical Fs'!D6/'Historical Fs'!D49</f>
        <v>2.3769603927858673</v>
      </c>
      <c r="E27" s="39">
        <f>'Historical Fs'!E6/'Historical Fs'!E49</f>
        <v>1.9842807783040648</v>
      </c>
      <c r="F27" s="39">
        <f>'Historical Fs'!F6/'Historical Fs'!F49</f>
        <v>2.0414780318629697</v>
      </c>
      <c r="G27" s="39">
        <f>'Historical Fs'!G6/'Historical Fs'!G49</f>
        <v>2.1667847518227492</v>
      </c>
      <c r="H27" s="39">
        <f>'Historical Fs'!H6/'Historical Fs'!H49</f>
        <v>1.9602534811345065</v>
      </c>
      <c r="I27" s="39">
        <f>'Historical Fs'!I6/'Historical Fs'!I49</f>
        <v>1.7323684804395676</v>
      </c>
      <c r="J27" s="39">
        <f>'Historical Fs'!J6/'Historical Fs'!J49</f>
        <v>2.0170312149360217</v>
      </c>
      <c r="K27" s="39">
        <f>'Historical Fs'!K6/'Historical Fs'!K49</f>
        <v>2.2286057258733614</v>
      </c>
      <c r="L27" s="39">
        <f>'Historical Fs'!L6/'Historical Fs'!L49</f>
        <v>2.4536044912626069</v>
      </c>
      <c r="M27" s="34"/>
      <c r="N27" s="39">
        <f t="shared" ref="N26:O30" si="10">IFERROR(AVERAGE(C27:L27),0)</f>
        <v>2.1410668406997426</v>
      </c>
      <c r="O27" s="39">
        <f t="shared" si="9"/>
        <v>8.5546583579907391</v>
      </c>
    </row>
    <row r="28" spans="2:15" x14ac:dyDescent="0.3">
      <c r="B28" s="34" t="s">
        <v>36</v>
      </c>
      <c r="C28" s="39">
        <f>'Historical Fs'!C6/'Historical Fs'!C59</f>
        <v>8.9900219797938927</v>
      </c>
      <c r="D28" s="39">
        <f>'Historical Fs'!D6/'Historical Fs'!D59</f>
        <v>8.3613381173839922</v>
      </c>
      <c r="E28" s="39">
        <f>'Historical Fs'!E6/'Historical Fs'!E59</f>
        <v>7.6867643466738649</v>
      </c>
      <c r="F28" s="39">
        <f>'Historical Fs'!F6/'Historical Fs'!F59</f>
        <v>6.9190051742350009</v>
      </c>
      <c r="G28" s="39">
        <f>'Historical Fs'!G6/'Historical Fs'!G59</f>
        <v>7.7392856309817084</v>
      </c>
      <c r="H28" s="39">
        <f>'Historical Fs'!H6/'Historical Fs'!H59</f>
        <v>6.9698269049637886</v>
      </c>
      <c r="I28" s="39">
        <f>'Historical Fs'!I6/'Historical Fs'!I59</f>
        <v>6.9217098811563442</v>
      </c>
      <c r="J28" s="39">
        <f>'Historical Fs'!J6/'Historical Fs'!J59</f>
        <v>7.9015588385356104</v>
      </c>
      <c r="K28" s="39">
        <f>'Historical Fs'!K6/'Historical Fs'!K59</f>
        <v>8.4888641723217457</v>
      </c>
      <c r="L28" s="39">
        <f>'Historical Fs'!L6/'Historical Fs'!L59</f>
        <v>9.1639137956181322</v>
      </c>
      <c r="M28" s="34"/>
      <c r="N28" s="39">
        <f t="shared" si="10"/>
        <v>7.9142288841664072</v>
      </c>
      <c r="O28" s="39">
        <f t="shared" si="9"/>
        <v>4.6863048327488039</v>
      </c>
    </row>
    <row r="29" spans="2:15" x14ac:dyDescent="0.3">
      <c r="B29" s="34" t="s">
        <v>149</v>
      </c>
      <c r="C29" s="39">
        <f>'Historical Fs'!C6/'Historical Fs'!C52</f>
        <v>2.9742370802544178</v>
      </c>
      <c r="D29" s="39">
        <f>'Historical Fs'!D6/'Historical Fs'!D52</f>
        <v>2.546312771514708</v>
      </c>
      <c r="E29" s="39">
        <f>'Historical Fs'!E6/'Historical Fs'!E52</f>
        <v>2.8109343484246239</v>
      </c>
      <c r="F29" s="39">
        <f>'Historical Fs'!F6/'Historical Fs'!F52</f>
        <v>2.4012948768781421</v>
      </c>
      <c r="G29" s="39">
        <f>'Historical Fs'!G6/'Historical Fs'!G52</f>
        <v>2.7144319562092578</v>
      </c>
      <c r="H29" s="39">
        <f>'Historical Fs'!H6/'Historical Fs'!H52</f>
        <v>2.0539205744067566</v>
      </c>
      <c r="I29" s="39">
        <f>'Historical Fs'!I6/'Historical Fs'!I52</f>
        <v>1.8008727134726064</v>
      </c>
      <c r="J29" s="39">
        <f>'Historical Fs'!J6/'Historical Fs'!J52</f>
        <v>2.0053488717943728</v>
      </c>
      <c r="K29" s="39">
        <f>'Historical Fs'!K6/'Historical Fs'!K52</f>
        <v>2.6193791539294131</v>
      </c>
      <c r="L29" s="39">
        <f>'Historical Fs'!L6/'Historical Fs'!L52</f>
        <v>2.9985490243659285</v>
      </c>
      <c r="M29" s="34"/>
      <c r="N29" s="39">
        <f t="shared" si="10"/>
        <v>2.4925281371250225</v>
      </c>
      <c r="O29" s="39">
        <f t="shared" si="9"/>
        <v>4.9587770993004643</v>
      </c>
    </row>
    <row r="30" spans="2:15" x14ac:dyDescent="0.3">
      <c r="B30" s="36" t="s">
        <v>150</v>
      </c>
      <c r="C30" s="37">
        <f>'Historical Fs'!C6/SUM('Historical Fs'!C46:C47)</f>
        <v>4.6773906756114965</v>
      </c>
      <c r="D30" s="37">
        <f>'Historical Fs'!D6/SUM('Historical Fs'!D46:D47)</f>
        <v>3.4583567493379874</v>
      </c>
      <c r="E30" s="37">
        <f>'Historical Fs'!E6/SUM('Historical Fs'!E46:E47)</f>
        <v>4.6449144180459854</v>
      </c>
      <c r="F30" s="37">
        <f>'Historical Fs'!F6/SUM('Historical Fs'!F46:F47)</f>
        <v>3.0551908765475422</v>
      </c>
      <c r="G30" s="37">
        <f>'Historical Fs'!G6/SUM('Historical Fs'!G46:G47)</f>
        <v>5.0172915853821474</v>
      </c>
      <c r="H30" s="37">
        <f>'Historical Fs'!H6/SUM('Historical Fs'!H46:H47)</f>
        <v>4.196490075795241</v>
      </c>
      <c r="I30" s="37">
        <f>'Historical Fs'!I6/SUM('Historical Fs'!I46:I47)</f>
        <v>4.5214403678625628</v>
      </c>
      <c r="J30" s="37">
        <f>'Historical Fs'!J6/SUM('Historical Fs'!J46:J47)</f>
        <v>6.2487852671963351</v>
      </c>
      <c r="K30" s="37">
        <f>'Historical Fs'!K6/SUM('Historical Fs'!K46:K47)</f>
        <v>7.6335680916398054</v>
      </c>
      <c r="L30" s="37">
        <f>'Historical Fs'!L6/SUM('Historical Fs'!L46:L47)</f>
        <v>5.1570652495194773</v>
      </c>
      <c r="M30" s="36"/>
      <c r="N30" s="37">
        <f t="shared" si="10"/>
        <v>4.861049335693858</v>
      </c>
      <c r="O30" s="37">
        <f t="shared" si="9"/>
        <v>3.0268699504567351</v>
      </c>
    </row>
    <row r="31" spans="2:15" x14ac:dyDescent="0.3">
      <c r="N31" s="33"/>
    </row>
    <row r="32" spans="2:15" x14ac:dyDescent="0.3">
      <c r="B32" s="2" t="s">
        <v>158</v>
      </c>
      <c r="N32" s="33"/>
    </row>
    <row r="33" spans="2:15" x14ac:dyDescent="0.3">
      <c r="B33" s="32" t="s">
        <v>35</v>
      </c>
      <c r="C33" s="40">
        <f>360/C26</f>
        <v>17.208274633075415</v>
      </c>
      <c r="D33" s="40">
        <f t="shared" ref="D33:L33" si="11">360/D26</f>
        <v>17.892716820926616</v>
      </c>
      <c r="E33" s="40">
        <f t="shared" si="11"/>
        <v>18.788797657005748</v>
      </c>
      <c r="F33" s="40">
        <f t="shared" si="11"/>
        <v>24.563801095439803</v>
      </c>
      <c r="G33" s="40">
        <f t="shared" si="11"/>
        <v>22.649060868044604</v>
      </c>
      <c r="H33" s="40">
        <f t="shared" si="11"/>
        <v>15.406594688731829</v>
      </c>
      <c r="I33" s="40">
        <f t="shared" si="11"/>
        <v>18.272877232207641</v>
      </c>
      <c r="J33" s="40">
        <f t="shared" si="11"/>
        <v>16.085850131881926</v>
      </c>
      <c r="K33" s="40">
        <f t="shared" si="11"/>
        <v>16.376329798188539</v>
      </c>
      <c r="L33" s="40">
        <f t="shared" si="11"/>
        <v>13.935292571192734</v>
      </c>
      <c r="M33" s="32"/>
      <c r="N33" s="40">
        <f>IFERROR(AVERAGE(C33:L33),0)</f>
        <v>18.117959549669486</v>
      </c>
      <c r="O33" s="40">
        <f t="shared" ref="O33:O36" si="12">IFERROR(MEDIAN(D32:L33),0)</f>
        <v>17.892716820926616</v>
      </c>
    </row>
    <row r="34" spans="2:15" x14ac:dyDescent="0.3">
      <c r="B34" s="34" t="s">
        <v>151</v>
      </c>
      <c r="C34" s="41">
        <f>360/C27</f>
        <v>146.98070649156642</v>
      </c>
      <c r="D34" s="41">
        <f t="shared" ref="D34:L34" si="13">360/D27</f>
        <v>151.45393296943809</v>
      </c>
      <c r="E34" s="41">
        <f t="shared" si="13"/>
        <v>181.42593726462775</v>
      </c>
      <c r="F34" s="41">
        <f t="shared" si="13"/>
        <v>176.34282337658988</v>
      </c>
      <c r="G34" s="41">
        <f t="shared" si="13"/>
        <v>166.14479112295751</v>
      </c>
      <c r="H34" s="41">
        <f t="shared" si="13"/>
        <v>183.64971850051157</v>
      </c>
      <c r="I34" s="41">
        <f t="shared" si="13"/>
        <v>207.80798315416956</v>
      </c>
      <c r="J34" s="41">
        <f t="shared" si="13"/>
        <v>178.48013324445196</v>
      </c>
      <c r="K34" s="41">
        <f t="shared" si="13"/>
        <v>161.53597552968716</v>
      </c>
      <c r="L34" s="41">
        <f t="shared" si="13"/>
        <v>146.7229136896251</v>
      </c>
      <c r="M34" s="34"/>
      <c r="N34" s="41">
        <f t="shared" ref="N34:N36" si="14">IFERROR(AVERAGE(C34:L34),0)</f>
        <v>170.05449153436251</v>
      </c>
      <c r="O34" s="41">
        <f t="shared" si="12"/>
        <v>85.643357392532451</v>
      </c>
    </row>
    <row r="35" spans="2:15" x14ac:dyDescent="0.3">
      <c r="B35" s="34" t="s">
        <v>152</v>
      </c>
      <c r="C35" s="41">
        <f>360/C28</f>
        <v>40.044395976910998</v>
      </c>
      <c r="D35" s="41">
        <f t="shared" ref="D35:L35" si="15">360/D28</f>
        <v>43.055309442818348</v>
      </c>
      <c r="E35" s="41">
        <f t="shared" si="15"/>
        <v>46.833750036291327</v>
      </c>
      <c r="F35" s="41">
        <f t="shared" si="15"/>
        <v>52.030601355895556</v>
      </c>
      <c r="G35" s="41">
        <f t="shared" si="15"/>
        <v>46.515921128283118</v>
      </c>
      <c r="H35" s="41">
        <f t="shared" si="15"/>
        <v>51.651210985399693</v>
      </c>
      <c r="I35" s="41">
        <f t="shared" si="15"/>
        <v>52.010270031696017</v>
      </c>
      <c r="J35" s="41">
        <f t="shared" si="15"/>
        <v>45.560630168858999</v>
      </c>
      <c r="K35" s="41">
        <f t="shared" si="15"/>
        <v>42.408500441530592</v>
      </c>
      <c r="L35" s="41">
        <f t="shared" si="15"/>
        <v>39.284524934328779</v>
      </c>
      <c r="M35" s="34"/>
      <c r="N35" s="41">
        <f t="shared" si="14"/>
        <v>45.939511450201337</v>
      </c>
      <c r="O35" s="41">
        <f t="shared" si="12"/>
        <v>99.376757522760329</v>
      </c>
    </row>
    <row r="36" spans="2:15" x14ac:dyDescent="0.3">
      <c r="B36" s="36" t="s">
        <v>153</v>
      </c>
      <c r="C36" s="42">
        <f>SUM(C33,C35)-C34</f>
        <v>-89.728035881580013</v>
      </c>
      <c r="D36" s="42">
        <f t="shared" ref="D36:L36" si="16">SUM(D33,D35)-D34</f>
        <v>-90.505906705693121</v>
      </c>
      <c r="E36" s="42">
        <f t="shared" si="16"/>
        <v>-115.80338957133067</v>
      </c>
      <c r="F36" s="42">
        <f t="shared" si="16"/>
        <v>-99.748420925254521</v>
      </c>
      <c r="G36" s="42">
        <f t="shared" si="16"/>
        <v>-96.979809126629789</v>
      </c>
      <c r="H36" s="42">
        <f t="shared" si="16"/>
        <v>-116.59191282638005</v>
      </c>
      <c r="I36" s="42">
        <f t="shared" si="16"/>
        <v>-137.5248358902659</v>
      </c>
      <c r="J36" s="42">
        <f t="shared" si="16"/>
        <v>-116.83365294371103</v>
      </c>
      <c r="K36" s="42">
        <f t="shared" si="16"/>
        <v>-102.75114528996804</v>
      </c>
      <c r="L36" s="42">
        <f t="shared" si="16"/>
        <v>-93.503096184103583</v>
      </c>
      <c r="M36" s="36"/>
      <c r="N36" s="42">
        <f t="shared" si="14"/>
        <v>-105.99702053449168</v>
      </c>
      <c r="O36" s="42">
        <f t="shared" si="12"/>
        <v>-25.610690885682175</v>
      </c>
    </row>
    <row r="37" spans="2:15" x14ac:dyDescent="0.3">
      <c r="N37" s="33"/>
    </row>
    <row r="38" spans="2:15" x14ac:dyDescent="0.3">
      <c r="B38" s="32" t="s">
        <v>154</v>
      </c>
      <c r="C38" s="31">
        <f>'Historical Fs'!C77/'Historical Fs'!C6</f>
        <v>0.12106750071762705</v>
      </c>
      <c r="D38" s="31">
        <f>'Historical Fs'!D77/'Historical Fs'!D6</f>
        <v>0.14360971207739662</v>
      </c>
      <c r="E38" s="31">
        <f>'Historical Fs'!E77/'Historical Fs'!E6</f>
        <v>0.12404497255040564</v>
      </c>
      <c r="F38" s="31">
        <f>'Historical Fs'!F77/'Historical Fs'!F6</f>
        <v>5.9759805574664121E-2</v>
      </c>
      <c r="G38" s="31">
        <f>'Historical Fs'!G77/'Historical Fs'!G6</f>
        <v>3.8653579670555313E-2</v>
      </c>
      <c r="H38" s="31">
        <f>'Historical Fs'!H77/'Historical Fs'!H6</f>
        <v>0.12141665635964458</v>
      </c>
      <c r="I38" s="31">
        <f>'Historical Fs'!I77/'Historical Fs'!I6</f>
        <v>0.11572300859005244</v>
      </c>
      <c r="J38" s="31">
        <f>'Historical Fs'!J77/'Historical Fs'!J6</f>
        <v>1.2684338598291522E-2</v>
      </c>
      <c r="K38" s="31">
        <f>'Historical Fs'!K77/'Historical Fs'!K6</f>
        <v>9.3248786148573667E-2</v>
      </c>
      <c r="L38" s="31">
        <f>'Historical Fs'!L77/'Historical Fs'!L6</f>
        <v>0.1718091547380062</v>
      </c>
      <c r="M38" s="32"/>
      <c r="N38" s="31">
        <f>IFERROR(AVERAGE(C38:L38),0)</f>
        <v>0.10020175150252172</v>
      </c>
      <c r="O38" s="31">
        <f t="shared" ref="O38:O40" si="17">IFERROR(MEDIAN(D37:L38),0)</f>
        <v>0.11572300859005244</v>
      </c>
    </row>
    <row r="39" spans="2:15" x14ac:dyDescent="0.3">
      <c r="B39" s="34" t="s">
        <v>155</v>
      </c>
      <c r="C39" s="33">
        <f>'Historical Fs'!C77/'Historical Fs'!C63</f>
        <v>0.1342520624188657</v>
      </c>
      <c r="D39" s="33">
        <f>'Historical Fs'!D77/'Historical Fs'!D63</f>
        <v>0.14899075217760099</v>
      </c>
      <c r="E39" s="33">
        <f>'Historical Fs'!E77/'Historical Fs'!E63</f>
        <v>0.12273077928285075</v>
      </c>
      <c r="F39" s="33">
        <f>'Historical Fs'!F77/'Historical Fs'!F63</f>
        <v>5.3250110386320486E-2</v>
      </c>
      <c r="G39" s="33">
        <f>'Historical Fs'!G77/'Historical Fs'!G63</f>
        <v>3.8177516390146542E-2</v>
      </c>
      <c r="H39" s="33">
        <f>'Historical Fs'!H77/'Historical Fs'!H63</f>
        <v>9.9000750797857404E-2</v>
      </c>
      <c r="I39" s="33">
        <f>'Historical Fs'!I77/'Historical Fs'!I63</f>
        <v>8.4629819997903213E-2</v>
      </c>
      <c r="J39" s="33">
        <f>'Historical Fs'!J77/'Historical Fs'!J63</f>
        <v>1.073355621163692E-2</v>
      </c>
      <c r="K39" s="33">
        <f>'Historical Fs'!K77/'Historical Fs'!K63</f>
        <v>9.639517425935408E-2</v>
      </c>
      <c r="L39" s="33">
        <f>'Historical Fs'!L77/'Historical Fs'!L63</f>
        <v>0.20298709375467744</v>
      </c>
      <c r="M39" s="34"/>
      <c r="N39" s="33">
        <f t="shared" ref="N39:N40" si="18">IFERROR(AVERAGE(C39:L39),0)</f>
        <v>9.9114761567721366E-2</v>
      </c>
      <c r="O39" s="33">
        <f t="shared" si="17"/>
        <v>9.7697962528605742E-2</v>
      </c>
    </row>
    <row r="40" spans="2:15" x14ac:dyDescent="0.3">
      <c r="B40" s="36" t="s">
        <v>156</v>
      </c>
      <c r="C40" s="35">
        <f>'Historical Fs'!C77/'Historical Fs'!C48</f>
        <v>0.43281933433581865</v>
      </c>
      <c r="D40" s="35">
        <f>'Historical Fs'!D77/'Historical Fs'!D48</f>
        <v>0.56534057978118779</v>
      </c>
      <c r="E40" s="35">
        <f>'Historical Fs'!E77/'Historical Fs'!E48</f>
        <v>0.42560185883717339</v>
      </c>
      <c r="F40" s="35">
        <f>'Historical Fs'!F77/'Historical Fs'!F48</f>
        <v>0.19587305159826587</v>
      </c>
      <c r="G40" s="35">
        <f>'Historical Fs'!G77/'Historical Fs'!G48</f>
        <v>0.1099219460940742</v>
      </c>
      <c r="H40" s="35">
        <f>'Historical Fs'!H77/'Historical Fs'!H48</f>
        <v>0.25401554192386361</v>
      </c>
      <c r="I40" s="35">
        <f>'Historical Fs'!I77/'Historical Fs'!I48</f>
        <v>0.20338341005738594</v>
      </c>
      <c r="J40" s="35">
        <f>'Historical Fs'!J77/'Historical Fs'!J48</f>
        <v>2.4117605968438302E-2</v>
      </c>
      <c r="K40" s="35">
        <f>'Historical Fs'!K77/'Historical Fs'!K48</f>
        <v>0.24055008953614193</v>
      </c>
      <c r="L40" s="35">
        <f>'Historical Fs'!L77/'Historical Fs'!L48</f>
        <v>0.70145670667754345</v>
      </c>
      <c r="M40" s="36"/>
      <c r="N40" s="35">
        <f t="shared" si="18"/>
        <v>0.31530801248098933</v>
      </c>
      <c r="O40" s="35">
        <f t="shared" si="17"/>
        <v>0.13586076573022587</v>
      </c>
    </row>
  </sheetData>
  <mergeCells count="1">
    <mergeCell ref="B2:L2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76A7632A-25B0-4411-8DB4-87909A62FF4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'Financial '!C10:L10</xm:f>
              <xm:sqref>M10</xm:sqref>
            </x14:sparkline>
            <x14:sparkline>
              <xm:f>'Financial '!C11:L11</xm:f>
              <xm:sqref>M11</xm:sqref>
            </x14:sparkline>
            <x14:sparkline>
              <xm:f>'Financial '!C12:L12</xm:f>
              <xm:sqref>M12</xm:sqref>
            </x14:sparkline>
            <x14:sparkline>
              <xm:f>'Financial '!C13:L13</xm:f>
              <xm:sqref>M13</xm:sqref>
            </x14:sparkline>
            <x14:sparkline>
              <xm:f>'Financial '!C14:L14</xm:f>
              <xm:sqref>M14</xm:sqref>
            </x14:sparkline>
            <x14:sparkline>
              <xm:f>'Financial '!C15:L15</xm:f>
              <xm:sqref>M15</xm:sqref>
            </x14:sparkline>
            <x14:sparkline>
              <xm:f>'Financial '!C16:L16</xm:f>
              <xm:sqref>M16</xm:sqref>
            </x14:sparkline>
            <x14:sparkline>
              <xm:f>'Financial '!C17:L17</xm:f>
              <xm:sqref>M17</xm:sqref>
            </x14:sparkline>
            <x14:sparkline>
              <xm:f>'Financial '!C18:L18</xm:f>
              <xm:sqref>M18</xm:sqref>
            </x14:sparkline>
            <x14:sparkline>
              <xm:f>'Financial '!C19:L19</xm:f>
              <xm:sqref>M19</xm:sqref>
            </x14:sparkline>
            <x14:sparkline>
              <xm:f>'Financial '!C20:L20</xm:f>
              <xm:sqref>M20</xm:sqref>
            </x14:sparkline>
            <x14:sparkline>
              <xm:f>'Financial '!C21:L21</xm:f>
              <xm:sqref>M21</xm:sqref>
            </x14:sparkline>
            <x14:sparkline>
              <xm:f>'Financial '!C22:L22</xm:f>
              <xm:sqref>M22</xm:sqref>
            </x14:sparkline>
            <x14:sparkline>
              <xm:f>'Financial '!C23:L23</xm:f>
              <xm:sqref>M23</xm:sqref>
            </x14:sparkline>
            <x14:sparkline>
              <xm:f>'Financial '!C24:L24</xm:f>
              <xm:sqref>M24</xm:sqref>
            </x14:sparkline>
            <x14:sparkline>
              <xm:f>'Financial '!C25:L25</xm:f>
              <xm:sqref>M25</xm:sqref>
            </x14:sparkline>
            <x14:sparkline>
              <xm:f>'Financial '!C26:L26</xm:f>
              <xm:sqref>M26</xm:sqref>
            </x14:sparkline>
            <x14:sparkline>
              <xm:f>'Financial '!C27:L27</xm:f>
              <xm:sqref>M27</xm:sqref>
            </x14:sparkline>
            <x14:sparkline>
              <xm:f>'Financial '!C28:L28</xm:f>
              <xm:sqref>M28</xm:sqref>
            </x14:sparkline>
            <x14:sparkline>
              <xm:f>'Financial '!C29:L29</xm:f>
              <xm:sqref>M29</xm:sqref>
            </x14:sparkline>
            <x14:sparkline>
              <xm:f>'Financial '!C30:L30</xm:f>
              <xm:sqref>M30</xm:sqref>
            </x14:sparkline>
            <x14:sparkline>
              <xm:f>'Financial '!C31:L31</xm:f>
              <xm:sqref>M31</xm:sqref>
            </x14:sparkline>
            <x14:sparkline>
              <xm:f>'Financial '!C32:L32</xm:f>
              <xm:sqref>M32</xm:sqref>
            </x14:sparkline>
            <x14:sparkline>
              <xm:f>'Financial '!C33:L33</xm:f>
              <xm:sqref>M33</xm:sqref>
            </x14:sparkline>
            <x14:sparkline>
              <xm:f>'Financial '!C34:L34</xm:f>
              <xm:sqref>M34</xm:sqref>
            </x14:sparkline>
            <x14:sparkline>
              <xm:f>'Financial '!C35:L35</xm:f>
              <xm:sqref>M35</xm:sqref>
            </x14:sparkline>
            <x14:sparkline>
              <xm:f>'Financial '!C36:L36</xm:f>
              <xm:sqref>M36</xm:sqref>
            </x14:sparkline>
            <x14:sparkline>
              <xm:f>'Financial '!C37:L37</xm:f>
              <xm:sqref>M37</xm:sqref>
            </x14:sparkline>
            <x14:sparkline>
              <xm:f>'Financial '!C38:L38</xm:f>
              <xm:sqref>M38</xm:sqref>
            </x14:sparkline>
            <x14:sparkline>
              <xm:f>'Financial '!C39:L39</xm:f>
              <xm:sqref>M39</xm:sqref>
            </x14:sparkline>
            <x14:sparkline>
              <xm:f>'Financial '!C40:L40</xm:f>
              <xm:sqref>M40</xm:sqref>
            </x14:sparkline>
          </x14:sparklines>
        </x14:sparklineGroup>
        <x14:sparklineGroup displayEmptyCellsAs="gap" markers="1" negative="1" xr2:uid="{39887D5A-E940-4A37-8115-BBEE89DFB6C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'Financial '!D5:L5</xm:f>
              <xm:sqref>M5</xm:sqref>
            </x14:sparkline>
            <x14:sparkline>
              <xm:f>'Financial '!D6:L6</xm:f>
              <xm:sqref>M6</xm:sqref>
            </x14:sparkline>
            <x14:sparkline>
              <xm:f>'Financial '!D7:L7</xm:f>
              <xm:sqref>M7</xm:sqref>
            </x14:sparkline>
            <x14:sparkline>
              <xm:f>'Financial '!D8:L8</xm:f>
              <xm:sqref>M8</xm:sqref>
            </x14:sparkline>
            <x14:sparkline>
              <xm:f>'Financial '!D9:L9</xm:f>
              <xm:sqref>M9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CF097-64D1-41C1-A83F-D96EDA3C8B04}">
  <sheetPr>
    <tabColor rgb="FF0275D8"/>
  </sheetPr>
  <dimension ref="A2:N104"/>
  <sheetViews>
    <sheetView showGridLines="0" topLeftCell="B37" workbookViewId="0">
      <selection activeCell="D41" sqref="D41"/>
    </sheetView>
  </sheetViews>
  <sheetFormatPr defaultRowHeight="14.4" outlineLevelRow="1" x14ac:dyDescent="0.3"/>
  <cols>
    <col min="1" max="1" width="4.77734375" customWidth="1"/>
    <col min="2" max="2" width="26" bestFit="1" customWidth="1"/>
    <col min="3" max="4" width="14.6640625" bestFit="1" customWidth="1"/>
    <col min="5" max="12" width="13.77734375" customWidth="1"/>
    <col min="13" max="13" width="14.6640625" bestFit="1" customWidth="1"/>
  </cols>
  <sheetData>
    <row r="2" spans="1:13" x14ac:dyDescent="0.3">
      <c r="B2" s="27" t="str">
        <f>"Historical Financial Statement - "&amp;'Data Sheet'!B1</f>
        <v>Historical Financial Statement - TATA MOTORS LTD</v>
      </c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3" x14ac:dyDescent="0.3">
      <c r="B3" s="15" t="s">
        <v>64</v>
      </c>
      <c r="C3" s="16">
        <f>'Data Sheet'!B16</f>
        <v>42094</v>
      </c>
      <c r="D3" s="16">
        <f>'Data Sheet'!C16</f>
        <v>42460</v>
      </c>
      <c r="E3" s="16">
        <f>'Data Sheet'!D16</f>
        <v>42825</v>
      </c>
      <c r="F3" s="16">
        <f>'Data Sheet'!E16</f>
        <v>43190</v>
      </c>
      <c r="G3" s="16">
        <f>'Data Sheet'!F16</f>
        <v>43555</v>
      </c>
      <c r="H3" s="16">
        <f>'Data Sheet'!G16</f>
        <v>43921</v>
      </c>
      <c r="I3" s="16">
        <f>'Data Sheet'!H16</f>
        <v>44286</v>
      </c>
      <c r="J3" s="16">
        <f>'Data Sheet'!I16</f>
        <v>44651</v>
      </c>
      <c r="K3" s="16">
        <f>'Data Sheet'!J16</f>
        <v>45016</v>
      </c>
      <c r="L3" s="16">
        <f>'Data Sheet'!K16</f>
        <v>45382</v>
      </c>
      <c r="M3" t="s">
        <v>67</v>
      </c>
    </row>
    <row r="5" spans="1:13" x14ac:dyDescent="0.3">
      <c r="A5" t="s">
        <v>65</v>
      </c>
      <c r="B5" s="2" t="s">
        <v>66</v>
      </c>
    </row>
    <row r="6" spans="1:13" x14ac:dyDescent="0.3">
      <c r="B6" t="s">
        <v>3</v>
      </c>
      <c r="C6" s="17">
        <f>IFERROR('Data Sheet'!B17,0)</f>
        <v>263158.98</v>
      </c>
      <c r="D6" s="17">
        <f>IFERROR('Data Sheet'!C17,0)</f>
        <v>273045.59999999998</v>
      </c>
      <c r="E6" s="17">
        <f>IFERROR('Data Sheet'!D17,0)</f>
        <v>269692.51</v>
      </c>
      <c r="F6" s="17">
        <f>IFERROR('Data Sheet'!E17,0)</f>
        <v>291550.48</v>
      </c>
      <c r="G6" s="17">
        <f>IFERROR('Data Sheet'!F17,0)</f>
        <v>301938.40000000002</v>
      </c>
      <c r="H6" s="17">
        <f>IFERROR('Data Sheet'!G17,0)</f>
        <v>261067.97</v>
      </c>
      <c r="I6" s="17">
        <f>IFERROR('Data Sheet'!H17,0)</f>
        <v>249794.75</v>
      </c>
      <c r="J6" s="17">
        <f>IFERROR('Data Sheet'!I17,0)</f>
        <v>278453.62</v>
      </c>
      <c r="K6" s="17">
        <f>IFERROR('Data Sheet'!J17,0)</f>
        <v>345966.97</v>
      </c>
      <c r="L6" s="17">
        <f>IFERROR('Data Sheet'!K17,0)</f>
        <v>437927.77</v>
      </c>
      <c r="M6" s="17">
        <f>IFERROR(SUM('Data Sheet'!H42:K42),0)</f>
        <v>437927.77</v>
      </c>
    </row>
    <row r="7" spans="1:13" x14ac:dyDescent="0.3">
      <c r="B7" s="18" t="s">
        <v>12</v>
      </c>
      <c r="C7" s="18" t="s">
        <v>68</v>
      </c>
      <c r="D7" s="19">
        <f>D6/C6-1</f>
        <v>3.75690010654397E-2</v>
      </c>
      <c r="E7" s="19">
        <f t="shared" ref="E7:L7" si="0">E6/D6-1</f>
        <v>-1.2280329732469508E-2</v>
      </c>
      <c r="F7" s="19">
        <f t="shared" si="0"/>
        <v>8.104774581985974E-2</v>
      </c>
      <c r="G7" s="19">
        <f t="shared" si="0"/>
        <v>3.5629919045237157E-2</v>
      </c>
      <c r="H7" s="19">
        <f t="shared" si="0"/>
        <v>-0.135360159555724</v>
      </c>
      <c r="I7" s="19">
        <f t="shared" si="0"/>
        <v>-4.3181168490336042E-2</v>
      </c>
      <c r="J7" s="19">
        <f t="shared" si="0"/>
        <v>0.11472967306158344</v>
      </c>
      <c r="K7" s="19">
        <f t="shared" si="0"/>
        <v>0.24245815155859707</v>
      </c>
      <c r="L7" s="19">
        <f t="shared" si="0"/>
        <v>0.26580803363974326</v>
      </c>
      <c r="M7" s="18">
        <f>M6/L6-1</f>
        <v>0</v>
      </c>
    </row>
    <row r="9" spans="1:13" x14ac:dyDescent="0.3">
      <c r="B9" t="s">
        <v>69</v>
      </c>
      <c r="C9" s="17">
        <f>IFERROR(SUM('Data Sheet'!B18,'Data Sheet'!B20:B22)-1*'Data Sheet'!B19,0)</f>
        <v>202856.88</v>
      </c>
      <c r="D9" s="17">
        <f>IFERROR(SUM('Data Sheet'!C18,'Data Sheet'!C20:C22)-1*'Data Sheet'!C19,0)</f>
        <v>205509.07</v>
      </c>
      <c r="E9" s="17">
        <f>IFERROR(SUM('Data Sheet'!D18,'Data Sheet'!D20:D22)-1*'Data Sheet'!D19,0)</f>
        <v>205454.23999999996</v>
      </c>
      <c r="F9" s="17">
        <f>IFERROR(SUM('Data Sheet'!E18,'Data Sheet'!E20:E22)-1*'Data Sheet'!E19,0)</f>
        <v>228429.83</v>
      </c>
      <c r="G9" s="17">
        <f>IFERROR(SUM('Data Sheet'!F18,'Data Sheet'!F20:F22)-1*'Data Sheet'!F19,0)</f>
        <v>242845.53</v>
      </c>
      <c r="H9" s="17">
        <f>IFERROR(SUM('Data Sheet'!G18,'Data Sheet'!G20:G22)-1*'Data Sheet'!G19,0)</f>
        <v>210376.07000000004</v>
      </c>
      <c r="I9" s="17">
        <f>IFERROR(SUM('Data Sheet'!H18,'Data Sheet'!H20:H22)-1*'Data Sheet'!H19,0)</f>
        <v>195326.04</v>
      </c>
      <c r="J9" s="17">
        <f>IFERROR(SUM('Data Sheet'!I18,'Data Sheet'!I20:I22)-1*'Data Sheet'!I19,0)</f>
        <v>223300.00999999998</v>
      </c>
      <c r="K9" s="17">
        <f>IFERROR(SUM('Data Sheet'!J18,'Data Sheet'!J20:J22)-1*'Data Sheet'!J19,0)</f>
        <v>274403.64</v>
      </c>
      <c r="L9" s="17">
        <f>IFERROR(SUM('Data Sheet'!K18,'Data Sheet'!K20:K22)-1*'Data Sheet'!K19,0)</f>
        <v>315242.33999999997</v>
      </c>
      <c r="M9" s="17">
        <v>315242.33999999997</v>
      </c>
    </row>
    <row r="10" spans="1:13" x14ac:dyDescent="0.3">
      <c r="B10" s="18" t="s">
        <v>73</v>
      </c>
      <c r="C10" s="19">
        <f>C9/C6</f>
        <v>0.77085296500237244</v>
      </c>
      <c r="D10" s="19">
        <f>D9/D6</f>
        <v>0.75265475803309057</v>
      </c>
      <c r="E10" s="19">
        <f t="shared" ref="E10:M10" si="1">E9/E6</f>
        <v>0.76180921746770036</v>
      </c>
      <c r="F10" s="19">
        <f t="shared" si="1"/>
        <v>0.78350009919380004</v>
      </c>
      <c r="G10" s="19">
        <f t="shared" si="1"/>
        <v>0.80428832503583503</v>
      </c>
      <c r="H10" s="19">
        <f t="shared" si="1"/>
        <v>0.80582872728508226</v>
      </c>
      <c r="I10" s="19">
        <f t="shared" si="1"/>
        <v>0.7819461377791167</v>
      </c>
      <c r="J10" s="19">
        <f t="shared" si="1"/>
        <v>0.80192891728252624</v>
      </c>
      <c r="K10" s="19">
        <f t="shared" si="1"/>
        <v>0.79314982005363122</v>
      </c>
      <c r="L10" s="19">
        <f t="shared" si="1"/>
        <v>0.71985007938637902</v>
      </c>
      <c r="M10" s="19">
        <f t="shared" si="1"/>
        <v>0.71985007938637902</v>
      </c>
    </row>
    <row r="12" spans="1:13" x14ac:dyDescent="0.3">
      <c r="B12" s="25" t="s">
        <v>70</v>
      </c>
      <c r="C12" s="26">
        <f>C6-C9</f>
        <v>60302.099999999977</v>
      </c>
      <c r="D12" s="26">
        <f t="shared" ref="D12:M12" si="2">D6-D9</f>
        <v>67536.52999999997</v>
      </c>
      <c r="E12" s="26">
        <f t="shared" si="2"/>
        <v>64238.270000000048</v>
      </c>
      <c r="F12" s="26">
        <f t="shared" si="2"/>
        <v>63120.649999999994</v>
      </c>
      <c r="G12" s="26">
        <f t="shared" si="2"/>
        <v>59092.870000000024</v>
      </c>
      <c r="H12" s="26">
        <f t="shared" si="2"/>
        <v>50691.899999999965</v>
      </c>
      <c r="I12" s="26">
        <f t="shared" si="2"/>
        <v>54468.709999999992</v>
      </c>
      <c r="J12" s="26">
        <f t="shared" si="2"/>
        <v>55153.610000000015</v>
      </c>
      <c r="K12" s="26">
        <f t="shared" si="2"/>
        <v>71563.329999999958</v>
      </c>
      <c r="L12" s="26">
        <f t="shared" si="2"/>
        <v>122685.43000000005</v>
      </c>
      <c r="M12" s="26">
        <f t="shared" si="2"/>
        <v>122685.43000000005</v>
      </c>
    </row>
    <row r="13" spans="1:13" x14ac:dyDescent="0.3">
      <c r="B13" s="18" t="s">
        <v>130</v>
      </c>
      <c r="C13" s="19">
        <f>C12/C6</f>
        <v>0.22914703499762759</v>
      </c>
      <c r="D13" s="19">
        <f t="shared" ref="D13:M13" si="3">D12/D6</f>
        <v>0.24734524196690946</v>
      </c>
      <c r="E13" s="19">
        <f t="shared" si="3"/>
        <v>0.23819078253229964</v>
      </c>
      <c r="F13" s="19">
        <f t="shared" si="3"/>
        <v>0.21649990080619999</v>
      </c>
      <c r="G13" s="19">
        <f t="shared" si="3"/>
        <v>0.19571167496416494</v>
      </c>
      <c r="H13" s="19">
        <f t="shared" si="3"/>
        <v>0.19417127271491774</v>
      </c>
      <c r="I13" s="19">
        <f t="shared" si="3"/>
        <v>0.2180538622208833</v>
      </c>
      <c r="J13" s="19">
        <f t="shared" si="3"/>
        <v>0.19807108271747378</v>
      </c>
      <c r="K13" s="19">
        <f t="shared" si="3"/>
        <v>0.20685017994636876</v>
      </c>
      <c r="L13" s="19">
        <f t="shared" si="3"/>
        <v>0.28014992061362093</v>
      </c>
      <c r="M13" s="19">
        <f t="shared" si="3"/>
        <v>0.28014992061362093</v>
      </c>
    </row>
    <row r="15" spans="1:13" x14ac:dyDescent="0.3">
      <c r="B15" t="s">
        <v>71</v>
      </c>
      <c r="C15" s="17">
        <f>IFERROR(SUM('Data Sheet'!B23:B24),0)</f>
        <v>21063.449999999997</v>
      </c>
      <c r="D15" s="17">
        <f>IFERROR(SUM('Data Sheet'!C23:C24),0)</f>
        <v>29141.280000000002</v>
      </c>
      <c r="E15" s="17">
        <f>IFERROR(SUM('Data Sheet'!D23:D24),0)</f>
        <v>34649.58</v>
      </c>
      <c r="F15" s="17">
        <f>IFERROR(SUM('Data Sheet'!E23:E24),0)</f>
        <v>31662.97</v>
      </c>
      <c r="G15" s="17">
        <f>IFERROR(SUM('Data Sheet'!F23:F24),0)</f>
        <v>34428.54</v>
      </c>
      <c r="H15" s="17">
        <f>IFERROR(SUM('Data Sheet'!G23:G24),0)</f>
        <v>32704.83</v>
      </c>
      <c r="I15" s="17">
        <f>IFERROR(SUM('Data Sheet'!H23:H24),0)</f>
        <v>22181.280000000002</v>
      </c>
      <c r="J15" s="17">
        <f>IFERROR(SUM('Data Sheet'!I23:I24),0)</f>
        <v>30433.52</v>
      </c>
      <c r="K15" s="17">
        <f>IFERROR(SUM('Data Sheet'!J23:J24),0)</f>
        <v>39747.53</v>
      </c>
      <c r="L15" s="17">
        <f>IFERROR(SUM('Data Sheet'!K23:K24),0)</f>
        <v>63147.09</v>
      </c>
      <c r="M15" s="17">
        <f>L15</f>
        <v>63147.09</v>
      </c>
    </row>
    <row r="16" spans="1:13" x14ac:dyDescent="0.3">
      <c r="B16" s="18" t="s">
        <v>72</v>
      </c>
      <c r="C16" s="19">
        <f>C15/C6</f>
        <v>8.0040779911823637E-2</v>
      </c>
      <c r="D16" s="19">
        <f t="shared" ref="D16:M16" si="4">D15/D6</f>
        <v>0.10672678849247161</v>
      </c>
      <c r="E16" s="19">
        <f t="shared" si="4"/>
        <v>0.12847809529452636</v>
      </c>
      <c r="F16" s="19">
        <f t="shared" si="4"/>
        <v>0.10860201636437025</v>
      </c>
      <c r="G16" s="19">
        <f t="shared" si="4"/>
        <v>0.11402504616835751</v>
      </c>
      <c r="H16" s="19">
        <f t="shared" si="4"/>
        <v>0.12527323822987554</v>
      </c>
      <c r="I16" s="19">
        <f t="shared" si="4"/>
        <v>8.8798023177028354E-2</v>
      </c>
      <c r="J16" s="19">
        <f t="shared" si="4"/>
        <v>0.10929475436519734</v>
      </c>
      <c r="K16" s="19">
        <f t="shared" si="4"/>
        <v>0.11488822184383672</v>
      </c>
      <c r="L16" s="19">
        <f t="shared" si="4"/>
        <v>0.14419521739852212</v>
      </c>
      <c r="M16" s="19">
        <f t="shared" si="4"/>
        <v>0.14419521739852212</v>
      </c>
    </row>
    <row r="18" spans="2:13" x14ac:dyDescent="0.3">
      <c r="B18" s="25" t="s">
        <v>74</v>
      </c>
      <c r="C18" s="26">
        <f>C12-C15</f>
        <v>39238.64999999998</v>
      </c>
      <c r="D18" s="26">
        <f t="shared" ref="D18:M18" si="5">D12-D15</f>
        <v>38395.249999999971</v>
      </c>
      <c r="E18" s="26">
        <f t="shared" si="5"/>
        <v>29588.690000000046</v>
      </c>
      <c r="F18" s="26">
        <f t="shared" si="5"/>
        <v>31457.679999999993</v>
      </c>
      <c r="G18" s="26">
        <f t="shared" si="5"/>
        <v>24664.330000000024</v>
      </c>
      <c r="H18" s="26">
        <f t="shared" si="5"/>
        <v>17987.069999999963</v>
      </c>
      <c r="I18" s="26">
        <f t="shared" si="5"/>
        <v>32287.429999999989</v>
      </c>
      <c r="J18" s="26">
        <f t="shared" si="5"/>
        <v>24720.090000000015</v>
      </c>
      <c r="K18" s="26">
        <f t="shared" si="5"/>
        <v>31815.799999999959</v>
      </c>
      <c r="L18" s="26">
        <f t="shared" si="5"/>
        <v>59538.340000000055</v>
      </c>
      <c r="M18" s="26">
        <f t="shared" si="5"/>
        <v>59538.340000000055</v>
      </c>
    </row>
    <row r="19" spans="2:13" x14ac:dyDescent="0.3">
      <c r="B19" s="18" t="s">
        <v>78</v>
      </c>
      <c r="C19" s="19">
        <f>C18/C6</f>
        <v>0.14910625508580397</v>
      </c>
      <c r="D19" s="19">
        <f t="shared" ref="D19:M19" si="6">D18/D6</f>
        <v>0.14061845347443788</v>
      </c>
      <c r="E19" s="19">
        <f t="shared" si="6"/>
        <v>0.10971268723777329</v>
      </c>
      <c r="F19" s="19">
        <f t="shared" si="6"/>
        <v>0.10789788444182975</v>
      </c>
      <c r="G19" s="19">
        <f t="shared" si="6"/>
        <v>8.1686628795807431E-2</v>
      </c>
      <c r="H19" s="19">
        <f t="shared" si="6"/>
        <v>6.8898034485042198E-2</v>
      </c>
      <c r="I19" s="19">
        <f t="shared" si="6"/>
        <v>0.12925583904385496</v>
      </c>
      <c r="J19" s="19">
        <f t="shared" si="6"/>
        <v>8.877632835227646E-2</v>
      </c>
      <c r="K19" s="19">
        <f t="shared" si="6"/>
        <v>9.1961958102532049E-2</v>
      </c>
      <c r="L19" s="19">
        <f t="shared" si="6"/>
        <v>0.13595470321509881</v>
      </c>
      <c r="M19" s="19">
        <f t="shared" si="6"/>
        <v>0.13595470321509881</v>
      </c>
    </row>
    <row r="21" spans="2:13" x14ac:dyDescent="0.3">
      <c r="B21" t="s">
        <v>8</v>
      </c>
      <c r="C21" s="17">
        <f>IFERROR('Data Sheet'!B27,0)</f>
        <v>4861.49</v>
      </c>
      <c r="D21" s="17">
        <f>IFERROR('Data Sheet'!C27,0)</f>
        <v>4889.08</v>
      </c>
      <c r="E21" s="17">
        <f>IFERROR('Data Sheet'!D27,0)</f>
        <v>4238.01</v>
      </c>
      <c r="F21" s="17">
        <f>IFERROR('Data Sheet'!E27,0)</f>
        <v>4681.79</v>
      </c>
      <c r="G21" s="17">
        <f>IFERROR('Data Sheet'!F27,0)</f>
        <v>5758.6</v>
      </c>
      <c r="H21" s="17">
        <f>IFERROR('Data Sheet'!G27,0)</f>
        <v>7243.33</v>
      </c>
      <c r="I21" s="17">
        <f>IFERROR('Data Sheet'!H27,0)</f>
        <v>8097.17</v>
      </c>
      <c r="J21" s="17">
        <f>IFERROR('Data Sheet'!I27,0)</f>
        <v>9311.86</v>
      </c>
      <c r="K21" s="17">
        <f>IFERROR('Data Sheet'!J27,0)</f>
        <v>10225.48</v>
      </c>
      <c r="L21" s="17">
        <f>IFERROR('Data Sheet'!K27,0)</f>
        <v>9985.76</v>
      </c>
      <c r="M21" s="17">
        <f>L21</f>
        <v>9985.76</v>
      </c>
    </row>
    <row r="22" spans="2:13" x14ac:dyDescent="0.3">
      <c r="B22" s="18" t="s">
        <v>75</v>
      </c>
      <c r="C22" s="19">
        <f>C21/C6</f>
        <v>1.8473585814932098E-2</v>
      </c>
      <c r="D22" s="19">
        <f t="shared" ref="D22:M22" si="7">D21/D6</f>
        <v>1.7905727101993223E-2</v>
      </c>
      <c r="E22" s="19">
        <f t="shared" si="7"/>
        <v>1.5714229512714312E-2</v>
      </c>
      <c r="F22" s="19">
        <f t="shared" si="7"/>
        <v>1.605824830060304E-2</v>
      </c>
      <c r="G22" s="19">
        <f t="shared" si="7"/>
        <v>1.9072102124141878E-2</v>
      </c>
      <c r="H22" s="19">
        <f t="shared" si="7"/>
        <v>2.7744996829752802E-2</v>
      </c>
      <c r="I22" s="19">
        <f t="shared" si="7"/>
        <v>3.2415292955516477E-2</v>
      </c>
      <c r="J22" s="19">
        <f t="shared" si="7"/>
        <v>3.3441332168710897E-2</v>
      </c>
      <c r="K22" s="19">
        <f t="shared" si="7"/>
        <v>2.9556231914277829E-2</v>
      </c>
      <c r="L22" s="19">
        <f t="shared" si="7"/>
        <v>2.2802299109736749E-2</v>
      </c>
      <c r="M22" s="19">
        <f t="shared" si="7"/>
        <v>2.2802299109736749E-2</v>
      </c>
    </row>
    <row r="24" spans="2:13" x14ac:dyDescent="0.3">
      <c r="B24" t="s">
        <v>76</v>
      </c>
      <c r="C24" s="17">
        <f>IFERROR('Data Sheet'!B26,0)</f>
        <v>13388.63</v>
      </c>
      <c r="D24" s="17">
        <f>IFERROR('Data Sheet'!C26,0)</f>
        <v>16710.78</v>
      </c>
      <c r="E24" s="17">
        <f>IFERROR('Data Sheet'!D26,0)</f>
        <v>17904.990000000002</v>
      </c>
      <c r="F24" s="17">
        <f>IFERROR('Data Sheet'!E26,0)</f>
        <v>21553.59</v>
      </c>
      <c r="G24" s="17">
        <f>IFERROR('Data Sheet'!F26,0)</f>
        <v>23590.63</v>
      </c>
      <c r="H24" s="17">
        <f>IFERROR('Data Sheet'!G26,0)</f>
        <v>21425.43</v>
      </c>
      <c r="I24" s="17">
        <f>IFERROR('Data Sheet'!H26,0)</f>
        <v>23546.71</v>
      </c>
      <c r="J24" s="17">
        <f>IFERROR('Data Sheet'!I26,0)</f>
        <v>24835.69</v>
      </c>
      <c r="K24" s="17">
        <f>IFERROR('Data Sheet'!J26,0)</f>
        <v>24860.36</v>
      </c>
      <c r="L24" s="17">
        <f>IFERROR('Data Sheet'!K26,0)</f>
        <v>27270.13</v>
      </c>
      <c r="M24" s="17">
        <f>L24</f>
        <v>27270.13</v>
      </c>
    </row>
    <row r="25" spans="2:13" x14ac:dyDescent="0.3">
      <c r="B25" t="s">
        <v>77</v>
      </c>
      <c r="C25" s="19">
        <f>C24/C6</f>
        <v>5.0876584184966822E-2</v>
      </c>
      <c r="D25" s="19">
        <f t="shared" ref="D25:M25" si="8">D24/D6</f>
        <v>6.1201425695927715E-2</v>
      </c>
      <c r="E25" s="19">
        <f t="shared" si="8"/>
        <v>6.63903865924938E-2</v>
      </c>
      <c r="F25" s="19">
        <f t="shared" si="8"/>
        <v>7.3927472182518786E-2</v>
      </c>
      <c r="G25" s="19">
        <f t="shared" si="8"/>
        <v>7.8130605447998658E-2</v>
      </c>
      <c r="H25" s="19">
        <f t="shared" si="8"/>
        <v>8.206839774331566E-2</v>
      </c>
      <c r="I25" s="19">
        <f t="shared" si="8"/>
        <v>9.4264230933596482E-2</v>
      </c>
      <c r="J25" s="19">
        <f t="shared" si="8"/>
        <v>8.9191478279219347E-2</v>
      </c>
      <c r="K25" s="19">
        <f t="shared" si="8"/>
        <v>7.1857611147098821E-2</v>
      </c>
      <c r="L25" s="19">
        <f t="shared" si="8"/>
        <v>6.2270839777984394E-2</v>
      </c>
      <c r="M25" s="19">
        <f t="shared" si="8"/>
        <v>6.2270839777984394E-2</v>
      </c>
    </row>
    <row r="27" spans="2:13" x14ac:dyDescent="0.3">
      <c r="B27" s="25" t="s">
        <v>79</v>
      </c>
      <c r="C27" s="26">
        <f>C18-SUM(C21,C24)</f>
        <v>20988.529999999981</v>
      </c>
      <c r="D27" s="26">
        <f t="shared" ref="D27:M27" si="9">D18-SUM(D21,D24)</f>
        <v>16795.38999999997</v>
      </c>
      <c r="E27" s="26">
        <f t="shared" si="9"/>
        <v>7445.690000000046</v>
      </c>
      <c r="F27" s="26">
        <f t="shared" si="9"/>
        <v>5222.299999999992</v>
      </c>
      <c r="G27" s="26">
        <f t="shared" si="9"/>
        <v>-4684.8999999999796</v>
      </c>
      <c r="H27" s="26">
        <f t="shared" si="9"/>
        <v>-10681.690000000039</v>
      </c>
      <c r="I27" s="26">
        <f t="shared" si="9"/>
        <v>643.549999999992</v>
      </c>
      <c r="J27" s="26">
        <f t="shared" si="9"/>
        <v>-9427.4599999999882</v>
      </c>
      <c r="K27" s="26">
        <f t="shared" si="9"/>
        <v>-3270.0400000000373</v>
      </c>
      <c r="L27" s="26">
        <f t="shared" si="9"/>
        <v>22282.450000000055</v>
      </c>
      <c r="M27" s="26">
        <f t="shared" si="9"/>
        <v>22282.450000000055</v>
      </c>
    </row>
    <row r="28" spans="2:13" x14ac:dyDescent="0.3">
      <c r="B28" t="s">
        <v>80</v>
      </c>
      <c r="C28" s="19">
        <f>C27/C6</f>
        <v>7.9756085085905037E-2</v>
      </c>
      <c r="D28" s="19">
        <f t="shared" ref="D28:M28" si="10">D27/D6</f>
        <v>6.1511300676516931E-2</v>
      </c>
      <c r="E28" s="19">
        <f t="shared" si="10"/>
        <v>2.7608071132565179E-2</v>
      </c>
      <c r="F28" s="19">
        <f t="shared" si="10"/>
        <v>1.7912163958707913E-2</v>
      </c>
      <c r="G28" s="19">
        <f t="shared" si="10"/>
        <v>-1.5516078776333117E-2</v>
      </c>
      <c r="H28" s="19">
        <f t="shared" si="10"/>
        <v>-4.0915360088026265E-2</v>
      </c>
      <c r="I28" s="19">
        <f t="shared" si="10"/>
        <v>2.5763151547420113E-3</v>
      </c>
      <c r="J28" s="19">
        <f t="shared" si="10"/>
        <v>-3.3856482095653805E-2</v>
      </c>
      <c r="K28" s="19">
        <f t="shared" si="10"/>
        <v>-9.4518849588445895E-3</v>
      </c>
      <c r="L28" s="19">
        <f t="shared" si="10"/>
        <v>5.0881564327377671E-2</v>
      </c>
      <c r="M28" s="19">
        <f t="shared" si="10"/>
        <v>5.0881564327377671E-2</v>
      </c>
    </row>
    <row r="30" spans="2:13" x14ac:dyDescent="0.3">
      <c r="B30" t="s">
        <v>10</v>
      </c>
      <c r="C30" s="13">
        <f>IFERROR('Data Sheet'!B29,0)</f>
        <v>7642.91</v>
      </c>
      <c r="D30" s="13">
        <f>IFERROR('Data Sheet'!C29,0)</f>
        <v>3025.05</v>
      </c>
      <c r="E30" s="13">
        <f>IFERROR('Data Sheet'!D29,0)</f>
        <v>3251.23</v>
      </c>
      <c r="F30" s="13">
        <f>IFERROR('Data Sheet'!E29,0)</f>
        <v>4341.93</v>
      </c>
      <c r="G30" s="13">
        <f>IFERROR('Data Sheet'!F29,0)</f>
        <v>-2437.4499999999998</v>
      </c>
      <c r="H30" s="13">
        <f>IFERROR('Data Sheet'!G29,0)</f>
        <v>395.25</v>
      </c>
      <c r="I30" s="13">
        <f>IFERROR('Data Sheet'!H29,0)</f>
        <v>2541.86</v>
      </c>
      <c r="J30" s="13">
        <f>IFERROR('Data Sheet'!I29,0)</f>
        <v>4231.29</v>
      </c>
      <c r="K30" s="13">
        <f>IFERROR('Data Sheet'!J29,0)</f>
        <v>704.06</v>
      </c>
      <c r="L30" s="13">
        <f>IFERROR('Data Sheet'!K29,0)</f>
        <v>-3851.64</v>
      </c>
      <c r="M30" s="13">
        <f>L30</f>
        <v>-3851.64</v>
      </c>
    </row>
    <row r="31" spans="2:13" x14ac:dyDescent="0.3">
      <c r="B31" t="s">
        <v>81</v>
      </c>
      <c r="C31" s="19">
        <f>C30/C27</f>
        <v>0.3641469888553418</v>
      </c>
      <c r="D31" s="19">
        <f t="shared" ref="D31:M31" si="11">D30/D27</f>
        <v>0.18011192356950362</v>
      </c>
      <c r="E31" s="19">
        <f t="shared" si="11"/>
        <v>0.43665932908836924</v>
      </c>
      <c r="F31" s="19">
        <f t="shared" si="11"/>
        <v>0.8314210213890445</v>
      </c>
      <c r="G31" s="19">
        <f t="shared" si="11"/>
        <v>0.52027791414971725</v>
      </c>
      <c r="H31" s="19">
        <f t="shared" si="11"/>
        <v>-3.7002571690434617E-2</v>
      </c>
      <c r="I31" s="19">
        <f t="shared" si="11"/>
        <v>3.9497474943672315</v>
      </c>
      <c r="J31" s="19">
        <f t="shared" si="11"/>
        <v>-0.4488260888935095</v>
      </c>
      <c r="K31" s="19">
        <f t="shared" si="11"/>
        <v>-0.21530623478611635</v>
      </c>
      <c r="L31" s="19">
        <f t="shared" si="11"/>
        <v>-0.17285531887202665</v>
      </c>
      <c r="M31" s="19">
        <f t="shared" si="11"/>
        <v>-0.17285531887202665</v>
      </c>
    </row>
    <row r="33" spans="1:13" x14ac:dyDescent="0.3">
      <c r="B33" s="25" t="s">
        <v>82</v>
      </c>
      <c r="C33" s="26">
        <f t="shared" ref="C33:F33" si="12">C27-ABS(C30)</f>
        <v>13345.619999999981</v>
      </c>
      <c r="D33" s="26">
        <f t="shared" si="12"/>
        <v>13770.339999999971</v>
      </c>
      <c r="E33" s="26">
        <f t="shared" si="12"/>
        <v>4194.4600000000464</v>
      </c>
      <c r="F33" s="26">
        <f t="shared" si="12"/>
        <v>880.36999999999171</v>
      </c>
      <c r="G33" s="26">
        <f>G27-ABS(G30)</f>
        <v>-7122.3499999999794</v>
      </c>
      <c r="H33" s="26">
        <f t="shared" ref="H33:M33" si="13">H27-ABS(H30)</f>
        <v>-11076.940000000039</v>
      </c>
      <c r="I33" s="26">
        <f t="shared" si="13"/>
        <v>-1898.3100000000081</v>
      </c>
      <c r="J33" s="26">
        <f t="shared" si="13"/>
        <v>-13658.749999999989</v>
      </c>
      <c r="K33" s="26">
        <f t="shared" si="13"/>
        <v>-3974.1000000000372</v>
      </c>
      <c r="L33" s="26">
        <f t="shared" si="13"/>
        <v>18430.810000000056</v>
      </c>
      <c r="M33" s="26">
        <f t="shared" si="13"/>
        <v>18430.810000000056</v>
      </c>
    </row>
    <row r="34" spans="1:13" x14ac:dyDescent="0.3">
      <c r="B34" t="s">
        <v>83</v>
      </c>
      <c r="C34" s="19">
        <f>C33/C6</f>
        <v>5.0713146858982282E-2</v>
      </c>
      <c r="D34" s="19">
        <f t="shared" ref="D34:M34" si="14">D33/D6</f>
        <v>5.0432381990407359E-2</v>
      </c>
      <c r="E34" s="19">
        <f t="shared" si="14"/>
        <v>1.5552749314395296E-2</v>
      </c>
      <c r="F34" s="19">
        <f t="shared" si="14"/>
        <v>3.01961430487095E-3</v>
      </c>
      <c r="G34" s="19">
        <f t="shared" si="14"/>
        <v>-2.358875187786641E-2</v>
      </c>
      <c r="H34" s="19">
        <f t="shared" si="14"/>
        <v>-4.2429333632923408E-2</v>
      </c>
      <c r="I34" s="19">
        <f t="shared" si="14"/>
        <v>-7.5994791724005731E-3</v>
      </c>
      <c r="J34" s="19">
        <f t="shared" si="14"/>
        <v>-4.9052154538339235E-2</v>
      </c>
      <c r="K34" s="19">
        <f t="shared" si="14"/>
        <v>-1.1486934720964945E-2</v>
      </c>
      <c r="L34" s="19">
        <f t="shared" si="14"/>
        <v>4.2086415300861268E-2</v>
      </c>
      <c r="M34" s="19">
        <f t="shared" si="14"/>
        <v>4.2086415300861268E-2</v>
      </c>
    </row>
    <row r="36" spans="1:13" x14ac:dyDescent="0.3">
      <c r="B36" t="s">
        <v>84</v>
      </c>
      <c r="C36">
        <f>'Data Sheet'!B93</f>
        <v>288.74</v>
      </c>
      <c r="D36">
        <f>'Data Sheet'!C93</f>
        <v>288.72000000000003</v>
      </c>
      <c r="E36">
        <f>'Data Sheet'!D93</f>
        <v>288.73</v>
      </c>
      <c r="F36">
        <f>'Data Sheet'!E93</f>
        <v>288.73</v>
      </c>
      <c r="G36">
        <f>'Data Sheet'!F93</f>
        <v>288.73</v>
      </c>
      <c r="H36">
        <f>'Data Sheet'!G93</f>
        <v>308.89999999999998</v>
      </c>
      <c r="I36">
        <f>'Data Sheet'!H93</f>
        <v>332.03</v>
      </c>
      <c r="J36">
        <f>'Data Sheet'!I93</f>
        <v>332.07</v>
      </c>
      <c r="K36">
        <f>'Data Sheet'!J93</f>
        <v>332.13</v>
      </c>
      <c r="L36">
        <f>'Data Sheet'!K93</f>
        <v>332.37</v>
      </c>
      <c r="M36">
        <f>L36</f>
        <v>332.37</v>
      </c>
    </row>
    <row r="38" spans="1:13" x14ac:dyDescent="0.3">
      <c r="B38" t="s">
        <v>37</v>
      </c>
      <c r="C38" s="17">
        <f>C33/C36</f>
        <v>46.220198102098706</v>
      </c>
      <c r="D38" s="17">
        <f t="shared" ref="D38:M38" si="15">D33/D36</f>
        <v>47.694444444444336</v>
      </c>
      <c r="E38" s="17">
        <f t="shared" si="15"/>
        <v>14.527274616423808</v>
      </c>
      <c r="F38" s="17">
        <f t="shared" si="15"/>
        <v>3.049111626779315</v>
      </c>
      <c r="G38" s="13">
        <f t="shared" si="15"/>
        <v>-24.667855782218609</v>
      </c>
      <c r="H38" s="13">
        <f t="shared" si="15"/>
        <v>-35.859307219164904</v>
      </c>
      <c r="I38" s="13">
        <f t="shared" si="15"/>
        <v>-5.7172845827184542</v>
      </c>
      <c r="J38" s="13">
        <f t="shared" si="15"/>
        <v>-41.132140813683833</v>
      </c>
      <c r="K38" s="13">
        <f t="shared" si="15"/>
        <v>-11.965495438533218</v>
      </c>
      <c r="L38" s="17">
        <f t="shared" si="15"/>
        <v>55.452688269097862</v>
      </c>
      <c r="M38" s="17">
        <f t="shared" si="15"/>
        <v>55.452688269097862</v>
      </c>
    </row>
    <row r="39" spans="1:13" x14ac:dyDescent="0.3">
      <c r="B39" t="s">
        <v>115</v>
      </c>
      <c r="C39" s="17"/>
      <c r="D39" s="19">
        <f>D38/C38-1</f>
        <v>3.189614936502605E-2</v>
      </c>
      <c r="E39" s="19">
        <f t="shared" ref="E39:M39" si="16">E38/D38-1</f>
        <v>-0.69540950134463697</v>
      </c>
      <c r="F39" s="19">
        <f t="shared" si="16"/>
        <v>-0.79011124197155724</v>
      </c>
      <c r="G39" s="19">
        <f t="shared" si="16"/>
        <v>-9.0901779933437616</v>
      </c>
      <c r="H39" s="19">
        <f t="shared" si="16"/>
        <v>0.45368561968865806</v>
      </c>
      <c r="I39" s="19">
        <f t="shared" si="16"/>
        <v>-0.84056344011958861</v>
      </c>
      <c r="J39" s="19">
        <f>J38/I38-1</f>
        <v>6.194349033807641</v>
      </c>
      <c r="K39" s="19">
        <f t="shared" si="16"/>
        <v>-0.70909621522659627</v>
      </c>
      <c r="L39" s="19">
        <f>L38/K38-1</f>
        <v>-5.6343829684243723</v>
      </c>
      <c r="M39" s="19">
        <f t="shared" si="16"/>
        <v>0</v>
      </c>
    </row>
    <row r="41" spans="1:13" x14ac:dyDescent="0.3">
      <c r="B41" t="s">
        <v>85</v>
      </c>
      <c r="C41" s="17">
        <f>'Data Sheet'!B31/'Historical Fs'!C36</f>
        <v>0</v>
      </c>
      <c r="D41" s="17">
        <f>'Data Sheet'!C31/'Historical Fs'!D36</f>
        <v>0.23524522028262676</v>
      </c>
      <c r="E41" s="17">
        <f>'Data Sheet'!D31/'Historical Fs'!E36</f>
        <v>0</v>
      </c>
      <c r="F41" s="17">
        <f>'Data Sheet'!E31/'Historical Fs'!F36</f>
        <v>0</v>
      </c>
      <c r="G41" s="17">
        <f>'Data Sheet'!F31/'Historical Fs'!G36</f>
        <v>0</v>
      </c>
      <c r="H41" s="17">
        <f>'Data Sheet'!G31/'Historical Fs'!H36</f>
        <v>0</v>
      </c>
      <c r="I41" s="17">
        <f>'Data Sheet'!H31/'Historical Fs'!I36</f>
        <v>0</v>
      </c>
      <c r="J41" s="17">
        <f>'Data Sheet'!I31/'Historical Fs'!J36</f>
        <v>0</v>
      </c>
      <c r="K41" s="17">
        <f>'Data Sheet'!J31/'Historical Fs'!K36</f>
        <v>2.3063860536536898</v>
      </c>
      <c r="L41" s="17">
        <f>'Data Sheet'!K31/'Historical Fs'!L36</f>
        <v>3.4592472244787436</v>
      </c>
      <c r="M41" s="17">
        <f>'Data Sheet'!L31/'Historical Fs'!M36</f>
        <v>0</v>
      </c>
    </row>
    <row r="42" spans="1:13" x14ac:dyDescent="0.3">
      <c r="B42" t="s">
        <v>116</v>
      </c>
      <c r="C42" s="19">
        <f>C41/C38</f>
        <v>0</v>
      </c>
      <c r="D42" s="19">
        <f t="shared" ref="D42:M42" si="17">D41/D38</f>
        <v>4.9323400874633563E-3</v>
      </c>
      <c r="E42" s="19">
        <f t="shared" si="17"/>
        <v>0</v>
      </c>
      <c r="F42" s="19">
        <f t="shared" si="17"/>
        <v>0</v>
      </c>
      <c r="G42" s="19">
        <f t="shared" si="17"/>
        <v>0</v>
      </c>
      <c r="H42" s="19">
        <f t="shared" si="17"/>
        <v>0</v>
      </c>
      <c r="I42" s="19">
        <f t="shared" si="17"/>
        <v>0</v>
      </c>
      <c r="J42" s="19">
        <f t="shared" si="17"/>
        <v>0</v>
      </c>
      <c r="K42" s="19">
        <f t="shared" si="17"/>
        <v>-0.19275307616818721</v>
      </c>
      <c r="L42" s="19">
        <f t="shared" si="17"/>
        <v>6.2381957168458492E-2</v>
      </c>
      <c r="M42" s="19">
        <f t="shared" si="17"/>
        <v>0</v>
      </c>
    </row>
    <row r="44" spans="1:13" x14ac:dyDescent="0.3">
      <c r="B44" t="s">
        <v>157</v>
      </c>
      <c r="C44" s="30">
        <f>IFERROR(IF(C38&gt;C41,1-C42,0),0)</f>
        <v>1</v>
      </c>
      <c r="D44" s="30">
        <f t="shared" ref="D44:M44" si="18">IFERROR(IF(D38&gt;D41,1-D42,0),0)</f>
        <v>0.99506765991253665</v>
      </c>
      <c r="E44" s="30">
        <f t="shared" si="18"/>
        <v>1</v>
      </c>
      <c r="F44" s="30">
        <f t="shared" si="18"/>
        <v>1</v>
      </c>
      <c r="G44" s="30">
        <f t="shared" si="18"/>
        <v>0</v>
      </c>
      <c r="H44" s="30">
        <f t="shared" si="18"/>
        <v>0</v>
      </c>
      <c r="I44" s="30">
        <f t="shared" si="18"/>
        <v>0</v>
      </c>
      <c r="J44" s="30">
        <f t="shared" si="18"/>
        <v>0</v>
      </c>
      <c r="K44" s="30">
        <f t="shared" si="18"/>
        <v>0</v>
      </c>
      <c r="L44" s="30">
        <f t="shared" si="18"/>
        <v>0.93761804283154149</v>
      </c>
      <c r="M44" s="30">
        <f t="shared" si="18"/>
        <v>1</v>
      </c>
    </row>
    <row r="45" spans="1:13" x14ac:dyDescent="0.3">
      <c r="A45" t="s">
        <v>65</v>
      </c>
      <c r="B45" s="6" t="s">
        <v>114</v>
      </c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</row>
    <row r="46" spans="1:13" x14ac:dyDescent="0.3">
      <c r="B46" s="21" t="s">
        <v>13</v>
      </c>
      <c r="C46" s="17">
        <f>'Data Sheet'!B57</f>
        <v>643.78</v>
      </c>
      <c r="D46" s="17">
        <f>'Data Sheet'!C57</f>
        <v>679.18</v>
      </c>
      <c r="E46" s="17">
        <f>'Data Sheet'!D57</f>
        <v>679.22</v>
      </c>
      <c r="F46" s="17">
        <f>'Data Sheet'!E57</f>
        <v>679.22</v>
      </c>
      <c r="G46" s="17">
        <f>'Data Sheet'!F57</f>
        <v>679.22</v>
      </c>
      <c r="H46" s="17">
        <f>'Data Sheet'!G57</f>
        <v>719.54</v>
      </c>
      <c r="I46" s="17">
        <f>'Data Sheet'!H57</f>
        <v>765.81</v>
      </c>
      <c r="J46" s="17">
        <f>'Data Sheet'!I57</f>
        <v>765.88</v>
      </c>
      <c r="K46" s="17">
        <f>'Data Sheet'!J57</f>
        <v>766.02</v>
      </c>
      <c r="L46" s="17">
        <f>'Data Sheet'!K57</f>
        <v>766.5</v>
      </c>
      <c r="M46" s="17">
        <f>'Data Sheet'!L57</f>
        <v>0</v>
      </c>
    </row>
    <row r="47" spans="1:13" x14ac:dyDescent="0.3">
      <c r="B47" s="21" t="s">
        <v>14</v>
      </c>
      <c r="C47" s="17">
        <f>'Data Sheet'!B58</f>
        <v>55618.14</v>
      </c>
      <c r="D47" s="17">
        <f>'Data Sheet'!C58</f>
        <v>78273.23</v>
      </c>
      <c r="E47" s="17">
        <f>'Data Sheet'!D58</f>
        <v>57382.67</v>
      </c>
      <c r="F47" s="17">
        <f>'Data Sheet'!E58</f>
        <v>94748.69</v>
      </c>
      <c r="G47" s="17">
        <f>'Data Sheet'!F58</f>
        <v>59500.34</v>
      </c>
      <c r="H47" s="17">
        <f>'Data Sheet'!G58</f>
        <v>61491.49</v>
      </c>
      <c r="I47" s="17">
        <f>'Data Sheet'!H58</f>
        <v>54480.91</v>
      </c>
      <c r="J47" s="17">
        <f>'Data Sheet'!I58</f>
        <v>43795.360000000001</v>
      </c>
      <c r="K47" s="17">
        <f>'Data Sheet'!J58</f>
        <v>44555.77</v>
      </c>
      <c r="L47" s="17">
        <f>'Data Sheet'!K58</f>
        <v>84151.52</v>
      </c>
      <c r="M47" s="17">
        <f>'Data Sheet'!L58</f>
        <v>0</v>
      </c>
    </row>
    <row r="48" spans="1:13" x14ac:dyDescent="0.3">
      <c r="B48" s="21" t="s">
        <v>45</v>
      </c>
      <c r="C48" s="17">
        <f>'Data Sheet'!B59</f>
        <v>73610.39</v>
      </c>
      <c r="D48" s="17">
        <f>'Data Sheet'!C59</f>
        <v>69359.960000000006</v>
      </c>
      <c r="E48" s="17">
        <f>'Data Sheet'!D59</f>
        <v>78603.98</v>
      </c>
      <c r="F48" s="17">
        <f>'Data Sheet'!E59</f>
        <v>88950.47</v>
      </c>
      <c r="G48" s="17">
        <f>'Data Sheet'!F59</f>
        <v>106175.34</v>
      </c>
      <c r="H48" s="17">
        <f>'Data Sheet'!G59</f>
        <v>124787.64</v>
      </c>
      <c r="I48" s="17">
        <f>'Data Sheet'!H59</f>
        <v>142130.57</v>
      </c>
      <c r="J48" s="17">
        <f>'Data Sheet'!I59</f>
        <v>146449.03</v>
      </c>
      <c r="K48" s="17">
        <f>'Data Sheet'!J59</f>
        <v>134113.44</v>
      </c>
      <c r="L48" s="17">
        <f>'Data Sheet'!K59</f>
        <v>107262.5</v>
      </c>
      <c r="M48" s="17">
        <f>'Data Sheet'!L59</f>
        <v>0</v>
      </c>
    </row>
    <row r="49" spans="1:14" x14ac:dyDescent="0.3">
      <c r="B49" s="21" t="s">
        <v>46</v>
      </c>
      <c r="C49" s="17">
        <f>'Data Sheet'!B60</f>
        <v>107442.48</v>
      </c>
      <c r="D49" s="17">
        <f>'Data Sheet'!C60</f>
        <v>114871.75</v>
      </c>
      <c r="E49" s="17">
        <f>'Data Sheet'!D60</f>
        <v>135914.49</v>
      </c>
      <c r="F49" s="17">
        <f>'Data Sheet'!E60</f>
        <v>142813.43</v>
      </c>
      <c r="G49" s="17">
        <f>'Data Sheet'!F60</f>
        <v>139348.59</v>
      </c>
      <c r="H49" s="17">
        <f>'Data Sheet'!G60</f>
        <v>133180.72</v>
      </c>
      <c r="I49" s="17">
        <f>'Data Sheet'!H60</f>
        <v>144192.62</v>
      </c>
      <c r="J49" s="17">
        <f>'Data Sheet'!I60</f>
        <v>138051.22</v>
      </c>
      <c r="K49" s="17">
        <f>'Data Sheet'!J60</f>
        <v>155239.20000000001</v>
      </c>
      <c r="L49" s="17">
        <f>'Data Sheet'!K60</f>
        <v>178483.44</v>
      </c>
      <c r="M49" s="17">
        <f>'Data Sheet'!L60</f>
        <v>0</v>
      </c>
    </row>
    <row r="50" spans="1:14" x14ac:dyDescent="0.3">
      <c r="A50" s="2"/>
      <c r="B50" s="25" t="s">
        <v>117</v>
      </c>
      <c r="C50" s="26">
        <f>'Data Sheet'!B61</f>
        <v>237314.79</v>
      </c>
      <c r="D50" s="26">
        <f>'Data Sheet'!C61</f>
        <v>263184.12</v>
      </c>
      <c r="E50" s="26">
        <f>'Data Sheet'!D61</f>
        <v>272580.36</v>
      </c>
      <c r="F50" s="26">
        <f>'Data Sheet'!E61</f>
        <v>327191.81</v>
      </c>
      <c r="G50" s="26">
        <f>'Data Sheet'!F61</f>
        <v>305703.49</v>
      </c>
      <c r="H50" s="26">
        <f>'Data Sheet'!G61</f>
        <v>320179.39</v>
      </c>
      <c r="I50" s="26">
        <f>'Data Sheet'!H61</f>
        <v>341569.91</v>
      </c>
      <c r="J50" s="26">
        <f>'Data Sheet'!I61</f>
        <v>329061.49</v>
      </c>
      <c r="K50" s="26">
        <f>'Data Sheet'!J61</f>
        <v>334674.43</v>
      </c>
      <c r="L50" s="26">
        <f>'Data Sheet'!K61</f>
        <v>370663.96</v>
      </c>
      <c r="M50" s="26">
        <f>'Data Sheet'!L61</f>
        <v>0</v>
      </c>
      <c r="N50" s="2"/>
    </row>
    <row r="51" spans="1:14" x14ac:dyDescent="0.3">
      <c r="B51" s="22"/>
    </row>
    <row r="52" spans="1:14" x14ac:dyDescent="0.3">
      <c r="B52" s="21" t="s">
        <v>118</v>
      </c>
      <c r="C52" s="17">
        <f>'Data Sheet'!B62</f>
        <v>88479.49</v>
      </c>
      <c r="D52" s="17">
        <f>'Data Sheet'!C62</f>
        <v>107231.76</v>
      </c>
      <c r="E52" s="17">
        <f>'Data Sheet'!D62</f>
        <v>95944.08</v>
      </c>
      <c r="F52" s="17">
        <f>'Data Sheet'!E62</f>
        <v>121413.86</v>
      </c>
      <c r="G52" s="17">
        <f>'Data Sheet'!F62</f>
        <v>111234.47</v>
      </c>
      <c r="H52" s="17">
        <f>'Data Sheet'!G62</f>
        <v>127107.14</v>
      </c>
      <c r="I52" s="17">
        <f>'Data Sheet'!H62</f>
        <v>138707.60999999999</v>
      </c>
      <c r="J52" s="17">
        <f>'Data Sheet'!I62</f>
        <v>138855.45000000001</v>
      </c>
      <c r="K52" s="17">
        <f>'Data Sheet'!J62</f>
        <v>132079.76</v>
      </c>
      <c r="L52" s="17">
        <f>'Data Sheet'!K62</f>
        <v>146046.56</v>
      </c>
      <c r="M52" s="17">
        <f>'Data Sheet'!L62</f>
        <v>0</v>
      </c>
    </row>
    <row r="53" spans="1:14" x14ac:dyDescent="0.3">
      <c r="B53" s="21" t="s">
        <v>17</v>
      </c>
      <c r="C53" s="17">
        <f>'Data Sheet'!B63</f>
        <v>28640.09</v>
      </c>
      <c r="D53" s="17">
        <f>'Data Sheet'!C63</f>
        <v>25918.94</v>
      </c>
      <c r="E53" s="17">
        <f>'Data Sheet'!D63</f>
        <v>33698.839999999997</v>
      </c>
      <c r="F53" s="17">
        <f>'Data Sheet'!E63</f>
        <v>40033.5</v>
      </c>
      <c r="G53" s="17">
        <f>'Data Sheet'!F63</f>
        <v>31883.84</v>
      </c>
      <c r="H53" s="17">
        <f>'Data Sheet'!G63</f>
        <v>35622.29</v>
      </c>
      <c r="I53" s="17">
        <f>'Data Sheet'!H63</f>
        <v>20963.93</v>
      </c>
      <c r="J53" s="17">
        <f>'Data Sheet'!I63</f>
        <v>10251.09</v>
      </c>
      <c r="K53" s="17">
        <f>'Data Sheet'!J63</f>
        <v>14274.5</v>
      </c>
      <c r="L53" s="17">
        <f>'Data Sheet'!K63</f>
        <v>10937.33</v>
      </c>
      <c r="M53" s="17">
        <f>'Data Sheet'!L63</f>
        <v>0</v>
      </c>
    </row>
    <row r="54" spans="1:14" x14ac:dyDescent="0.3">
      <c r="B54" s="21" t="s">
        <v>18</v>
      </c>
      <c r="C54" s="17">
        <f>'Data Sheet'!B64</f>
        <v>15336.74</v>
      </c>
      <c r="D54" s="17">
        <f>'Data Sheet'!C64</f>
        <v>23767.02</v>
      </c>
      <c r="E54" s="17">
        <f>'Data Sheet'!D64</f>
        <v>20337.919999999998</v>
      </c>
      <c r="F54" s="17">
        <f>'Data Sheet'!E64</f>
        <v>20812.75</v>
      </c>
      <c r="G54" s="17">
        <f>'Data Sheet'!F64</f>
        <v>15770.72</v>
      </c>
      <c r="H54" s="17">
        <f>'Data Sheet'!G64</f>
        <v>16308.48</v>
      </c>
      <c r="I54" s="17">
        <f>'Data Sheet'!H64</f>
        <v>24620.28</v>
      </c>
      <c r="J54" s="17">
        <f>'Data Sheet'!I64</f>
        <v>29379.53</v>
      </c>
      <c r="K54" s="17">
        <f>'Data Sheet'!J64</f>
        <v>26379.16</v>
      </c>
      <c r="L54" s="17">
        <f>'Data Sheet'!K64</f>
        <v>22971.07</v>
      </c>
      <c r="M54" s="17">
        <f>'Data Sheet'!L64</f>
        <v>0</v>
      </c>
    </row>
    <row r="55" spans="1:14" x14ac:dyDescent="0.3">
      <c r="B55" s="21" t="s">
        <v>47</v>
      </c>
      <c r="C55" s="17">
        <f>'Data Sheet'!B65-SUM('Historical Fs'!C58:C60)</f>
        <v>30891.17</v>
      </c>
      <c r="D55" s="17">
        <f>'Data Sheet'!C65-SUM('Historical Fs'!D58:D60)</f>
        <v>29579.359999999986</v>
      </c>
      <c r="E55" s="17">
        <f>'Data Sheet'!D65-SUM('Historical Fs'!E58:E60)</f>
        <v>37360.780000000013</v>
      </c>
      <c r="F55" s="17">
        <f>'Data Sheet'!E65-SUM('Historical Fs'!F58:F60)</f>
        <v>48286.860000000015</v>
      </c>
      <c r="G55" s="17">
        <f>'Data Sheet'!F65-SUM('Historical Fs'!G58:G60)</f>
        <v>56155.739999999991</v>
      </c>
      <c r="H55" s="17">
        <f>'Data Sheet'!G65-SUM('Historical Fs'!H58:H60)</f>
        <v>58784.94</v>
      </c>
      <c r="I55" s="17">
        <f>'Data Sheet'!H65-SUM('Historical Fs'!I58:I60)</f>
        <v>61717.959999999992</v>
      </c>
      <c r="J55" s="17">
        <f>'Data Sheet'!I65-SUM('Historical Fs'!J58:J60)</f>
        <v>62223.770000000019</v>
      </c>
      <c r="K55" s="17">
        <f>'Data Sheet'!J65-SUM('Historical Fs'!K58:K60)</f>
        <v>68432.090000000011</v>
      </c>
      <c r="L55" s="17">
        <f>'Data Sheet'!K65-SUM('Historical Fs'!L58:L60)</f>
        <v>80162.209999999992</v>
      </c>
      <c r="M55" s="17">
        <f>'Data Sheet'!L65-SUM('Historical Fs'!M58:M60)</f>
        <v>0</v>
      </c>
    </row>
    <row r="56" spans="1:14" x14ac:dyDescent="0.3">
      <c r="B56" s="25" t="s">
        <v>119</v>
      </c>
      <c r="C56" s="26">
        <f>SUM(C52:C55)</f>
        <v>163347.49</v>
      </c>
      <c r="D56" s="26">
        <f t="shared" ref="D56:M56" si="19">SUM(D52:D55)</f>
        <v>186497.07999999996</v>
      </c>
      <c r="E56" s="26">
        <f t="shared" si="19"/>
        <v>187341.62</v>
      </c>
      <c r="F56" s="26">
        <f t="shared" si="19"/>
        <v>230546.97</v>
      </c>
      <c r="G56" s="26">
        <f t="shared" si="19"/>
        <v>215044.77</v>
      </c>
      <c r="H56" s="26">
        <f t="shared" si="19"/>
        <v>237822.85</v>
      </c>
      <c r="I56" s="26">
        <f t="shared" si="19"/>
        <v>246009.77999999997</v>
      </c>
      <c r="J56" s="26">
        <f t="shared" si="19"/>
        <v>240709.84000000003</v>
      </c>
      <c r="K56" s="26">
        <f t="shared" si="19"/>
        <v>241165.51</v>
      </c>
      <c r="L56" s="26">
        <f t="shared" si="19"/>
        <v>260117.16999999998</v>
      </c>
      <c r="M56" s="26">
        <f t="shared" si="19"/>
        <v>0</v>
      </c>
      <c r="N56" s="2"/>
    </row>
    <row r="57" spans="1:14" x14ac:dyDescent="0.3">
      <c r="B57" s="21"/>
    </row>
    <row r="58" spans="1:14" x14ac:dyDescent="0.3">
      <c r="B58" s="21" t="s">
        <v>52</v>
      </c>
      <c r="C58" s="17">
        <f>'Data Sheet'!B67</f>
        <v>12579.2</v>
      </c>
      <c r="D58" s="17">
        <f>'Data Sheet'!C67</f>
        <v>13570.91</v>
      </c>
      <c r="E58" s="17">
        <f>'Data Sheet'!D67</f>
        <v>14075.55</v>
      </c>
      <c r="F58" s="17">
        <f>'Data Sheet'!E67</f>
        <v>19893.3</v>
      </c>
      <c r="G58" s="17">
        <f>'Data Sheet'!F67</f>
        <v>18996.169999999998</v>
      </c>
      <c r="H58" s="17">
        <f>'Data Sheet'!G67</f>
        <v>11172.69</v>
      </c>
      <c r="I58" s="17">
        <f>'Data Sheet'!H67</f>
        <v>12679.08</v>
      </c>
      <c r="J58" s="17">
        <f>'Data Sheet'!I67</f>
        <v>12442.12</v>
      </c>
      <c r="K58" s="17">
        <f>'Data Sheet'!J67</f>
        <v>15737.97</v>
      </c>
      <c r="L58" s="17">
        <f>'Data Sheet'!K67</f>
        <v>16951.810000000001</v>
      </c>
      <c r="M58" s="17">
        <f>'Data Sheet'!L67</f>
        <v>0</v>
      </c>
    </row>
    <row r="59" spans="1:14" x14ac:dyDescent="0.3">
      <c r="B59" s="21" t="s">
        <v>34</v>
      </c>
      <c r="C59" s="17">
        <f>'Data Sheet'!B68</f>
        <v>29272.34</v>
      </c>
      <c r="D59" s="17">
        <f>'Data Sheet'!C68</f>
        <v>32655.73</v>
      </c>
      <c r="E59" s="17">
        <f>'Data Sheet'!D68</f>
        <v>35085.31</v>
      </c>
      <c r="F59" s="17">
        <f>'Data Sheet'!E68</f>
        <v>42137.63</v>
      </c>
      <c r="G59" s="17">
        <f>'Data Sheet'!F68</f>
        <v>39013.730000000003</v>
      </c>
      <c r="H59" s="17">
        <f>'Data Sheet'!G68</f>
        <v>37456.879999999997</v>
      </c>
      <c r="I59" s="17">
        <f>'Data Sheet'!H68</f>
        <v>36088.589999999997</v>
      </c>
      <c r="J59" s="17">
        <f>'Data Sheet'!I68</f>
        <v>35240.339999999997</v>
      </c>
      <c r="K59" s="17">
        <f>'Data Sheet'!J68</f>
        <v>40755.39</v>
      </c>
      <c r="L59" s="17">
        <f>'Data Sheet'!K68</f>
        <v>47788.29</v>
      </c>
      <c r="M59" s="17">
        <f>'Data Sheet'!L68</f>
        <v>0</v>
      </c>
    </row>
    <row r="60" spans="1:14" x14ac:dyDescent="0.3">
      <c r="B60" s="23" t="s">
        <v>61</v>
      </c>
      <c r="C60" s="17">
        <f>'Data Sheet'!B69</f>
        <v>32115.759999999998</v>
      </c>
      <c r="D60" s="17">
        <f>'Data Sheet'!C69</f>
        <v>30460.400000000001</v>
      </c>
      <c r="E60" s="17">
        <f>'Data Sheet'!D69</f>
        <v>36077.879999999997</v>
      </c>
      <c r="F60" s="17">
        <f>'Data Sheet'!E69</f>
        <v>34613.910000000003</v>
      </c>
      <c r="G60" s="17">
        <f>'Data Sheet'!F69</f>
        <v>32648.82</v>
      </c>
      <c r="H60" s="17">
        <f>'Data Sheet'!G69</f>
        <v>33726.97</v>
      </c>
      <c r="I60" s="17">
        <f>'Data Sheet'!H69</f>
        <v>46792.46</v>
      </c>
      <c r="J60" s="17">
        <f>'Data Sheet'!I69</f>
        <v>40669.19</v>
      </c>
      <c r="K60" s="17">
        <f>'Data Sheet'!J69</f>
        <v>37015.56</v>
      </c>
      <c r="L60" s="17">
        <f>'Data Sheet'!K69</f>
        <v>45806.69</v>
      </c>
      <c r="M60" s="17">
        <f>'Data Sheet'!L69</f>
        <v>0</v>
      </c>
    </row>
    <row r="61" spans="1:14" x14ac:dyDescent="0.3">
      <c r="B61" s="25" t="s">
        <v>121</v>
      </c>
      <c r="C61" s="26">
        <f>SUM(C58:C60)</f>
        <v>73967.3</v>
      </c>
      <c r="D61" s="26">
        <f t="shared" ref="D61:M61" si="20">SUM(D58:D60)</f>
        <v>76687.040000000008</v>
      </c>
      <c r="E61" s="26">
        <f t="shared" si="20"/>
        <v>85238.739999999991</v>
      </c>
      <c r="F61" s="26">
        <f t="shared" si="20"/>
        <v>96644.84</v>
      </c>
      <c r="G61" s="26">
        <f t="shared" si="20"/>
        <v>90658.72</v>
      </c>
      <c r="H61" s="26">
        <f t="shared" si="20"/>
        <v>82356.540000000008</v>
      </c>
      <c r="I61" s="26">
        <f t="shared" si="20"/>
        <v>95560.13</v>
      </c>
      <c r="J61" s="26">
        <f t="shared" si="20"/>
        <v>88351.65</v>
      </c>
      <c r="K61" s="26">
        <f t="shared" si="20"/>
        <v>93508.92</v>
      </c>
      <c r="L61" s="26">
        <f t="shared" si="20"/>
        <v>110546.79000000001</v>
      </c>
      <c r="M61" s="26">
        <f t="shared" si="20"/>
        <v>0</v>
      </c>
    </row>
    <row r="63" spans="1:14" x14ac:dyDescent="0.3">
      <c r="B63" s="25" t="s">
        <v>120</v>
      </c>
      <c r="C63" s="26">
        <f>SUM(C56,C61)</f>
        <v>237314.78999999998</v>
      </c>
      <c r="D63" s="26">
        <f t="shared" ref="D63:M63" si="21">SUM(D56,D61)</f>
        <v>263184.12</v>
      </c>
      <c r="E63" s="26">
        <f t="shared" si="21"/>
        <v>272580.36</v>
      </c>
      <c r="F63" s="26">
        <f t="shared" si="21"/>
        <v>327191.81</v>
      </c>
      <c r="G63" s="26">
        <f t="shared" si="21"/>
        <v>305703.49</v>
      </c>
      <c r="H63" s="26">
        <f t="shared" si="21"/>
        <v>320179.39</v>
      </c>
      <c r="I63" s="26">
        <f t="shared" si="21"/>
        <v>341569.91</v>
      </c>
      <c r="J63" s="26">
        <f t="shared" si="21"/>
        <v>329061.49</v>
      </c>
      <c r="K63" s="26">
        <f t="shared" si="21"/>
        <v>334674.43</v>
      </c>
      <c r="L63" s="26">
        <f t="shared" si="21"/>
        <v>370663.95999999996</v>
      </c>
      <c r="M63" s="26">
        <f t="shared" si="21"/>
        <v>0</v>
      </c>
    </row>
    <row r="65" spans="1:13" x14ac:dyDescent="0.3">
      <c r="B65" t="s">
        <v>122</v>
      </c>
      <c r="C65" t="b">
        <f>C50=C63</f>
        <v>1</v>
      </c>
      <c r="D65" t="b">
        <f t="shared" ref="D65:M65" si="22">D50=D63</f>
        <v>1</v>
      </c>
      <c r="E65" t="b">
        <f t="shared" si="22"/>
        <v>1</v>
      </c>
      <c r="F65" t="b">
        <f t="shared" si="22"/>
        <v>1</v>
      </c>
      <c r="G65" t="b">
        <f t="shared" si="22"/>
        <v>1</v>
      </c>
      <c r="H65" t="b">
        <f t="shared" si="22"/>
        <v>1</v>
      </c>
      <c r="I65" t="b">
        <f t="shared" si="22"/>
        <v>1</v>
      </c>
      <c r="J65" t="b">
        <f t="shared" si="22"/>
        <v>1</v>
      </c>
      <c r="K65" t="b">
        <f t="shared" si="22"/>
        <v>1</v>
      </c>
      <c r="L65" t="b">
        <f t="shared" si="22"/>
        <v>1</v>
      </c>
      <c r="M65" t="b">
        <f t="shared" si="22"/>
        <v>1</v>
      </c>
    </row>
    <row r="67" spans="1:13" x14ac:dyDescent="0.3">
      <c r="A67" t="s">
        <v>65</v>
      </c>
      <c r="B67" s="6" t="s">
        <v>123</v>
      </c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</row>
    <row r="68" spans="1:13" hidden="1" outlineLevel="1" x14ac:dyDescent="0.3">
      <c r="B68" s="2" t="s">
        <v>125</v>
      </c>
    </row>
    <row r="69" spans="1:13" hidden="1" outlineLevel="1" x14ac:dyDescent="0.3">
      <c r="B69" t="s">
        <v>87</v>
      </c>
      <c r="C69" s="13">
        <f>'Cash Flow'!E4</f>
        <v>43397</v>
      </c>
      <c r="D69" s="13">
        <f>'Cash Flow'!F4</f>
        <v>38626</v>
      </c>
      <c r="E69" s="13">
        <f>'Cash Flow'!G4</f>
        <v>28840</v>
      </c>
      <c r="F69" s="13">
        <f>'Cash Flow'!H4</f>
        <v>33312</v>
      </c>
      <c r="G69" s="13">
        <f>'Cash Flow'!I4</f>
        <v>28771</v>
      </c>
      <c r="H69" s="13">
        <f>'Cash Flow'!J4</f>
        <v>23352</v>
      </c>
      <c r="I69" s="13">
        <f>'Cash Flow'!K4</f>
        <v>31198</v>
      </c>
      <c r="J69" s="13">
        <f>'Cash Flow'!L4</f>
        <v>26943</v>
      </c>
      <c r="K69" s="13">
        <f>'Cash Flow'!M4</f>
        <v>41694</v>
      </c>
      <c r="L69" s="13">
        <f>'Cash Flow'!N4</f>
        <v>65106</v>
      </c>
      <c r="M69" s="13">
        <f>'Cash Flow'!O4</f>
        <v>0</v>
      </c>
    </row>
    <row r="70" spans="1:13" hidden="1" outlineLevel="1" x14ac:dyDescent="0.3">
      <c r="B70" t="s">
        <v>52</v>
      </c>
      <c r="C70" s="13">
        <f>'Cash Flow'!E5</f>
        <v>-3179</v>
      </c>
      <c r="D70" s="13">
        <f>'Cash Flow'!F5</f>
        <v>-2223</v>
      </c>
      <c r="E70" s="13">
        <f>'Cash Flow'!G5</f>
        <v>-4152</v>
      </c>
      <c r="F70" s="13">
        <f>'Cash Flow'!H5</f>
        <v>-10688</v>
      </c>
      <c r="G70" s="13">
        <f>'Cash Flow'!I5</f>
        <v>-9109</v>
      </c>
      <c r="H70" s="13">
        <f>'Cash Flow'!J5</f>
        <v>9950</v>
      </c>
      <c r="I70" s="13">
        <f>'Cash Flow'!K5</f>
        <v>-5505</v>
      </c>
      <c r="J70" s="13">
        <f>'Cash Flow'!L5</f>
        <v>185</v>
      </c>
      <c r="K70" s="13">
        <f>'Cash Flow'!M5</f>
        <v>-2213</v>
      </c>
      <c r="L70" s="13">
        <f>'Cash Flow'!N5</f>
        <v>-1151</v>
      </c>
      <c r="M70" s="13">
        <f>'Cash Flow'!O5</f>
        <v>0</v>
      </c>
    </row>
    <row r="71" spans="1:13" hidden="1" outlineLevel="1" x14ac:dyDescent="0.3">
      <c r="B71" t="s">
        <v>34</v>
      </c>
      <c r="C71" s="13">
        <f>'Cash Flow'!E6</f>
        <v>-3692</v>
      </c>
      <c r="D71" s="13">
        <f>'Cash Flow'!F6</f>
        <v>-5743</v>
      </c>
      <c r="E71" s="13">
        <f>'Cash Flow'!G6</f>
        <v>-6621</v>
      </c>
      <c r="F71" s="13">
        <f>'Cash Flow'!H6</f>
        <v>-3560</v>
      </c>
      <c r="G71" s="13">
        <f>'Cash Flow'!I6</f>
        <v>2069</v>
      </c>
      <c r="H71" s="13">
        <f>'Cash Flow'!J6</f>
        <v>2326</v>
      </c>
      <c r="I71" s="13">
        <f>'Cash Flow'!K6</f>
        <v>3814</v>
      </c>
      <c r="J71" s="13">
        <f>'Cash Flow'!L6</f>
        <v>472</v>
      </c>
      <c r="K71" s="13">
        <f>'Cash Flow'!M6</f>
        <v>-5665</v>
      </c>
      <c r="L71" s="13">
        <f>'Cash Flow'!N6</f>
        <v>-7265</v>
      </c>
      <c r="M71" s="13">
        <f>'Cash Flow'!O6</f>
        <v>0</v>
      </c>
    </row>
    <row r="72" spans="1:13" hidden="1" outlineLevel="1" x14ac:dyDescent="0.3">
      <c r="B72" t="s">
        <v>88</v>
      </c>
      <c r="C72" s="13">
        <f>'Cash Flow'!E7</f>
        <v>3598</v>
      </c>
      <c r="D72" s="13">
        <f>'Cash Flow'!F7</f>
        <v>3947</v>
      </c>
      <c r="E72" s="13">
        <f>'Cash Flow'!G7</f>
        <v>9301</v>
      </c>
      <c r="F72" s="13">
        <f>'Cash Flow'!H7</f>
        <v>7320</v>
      </c>
      <c r="G72" s="13">
        <f>'Cash Flow'!I7</f>
        <v>-4692</v>
      </c>
      <c r="H72" s="13">
        <f>'Cash Flow'!J7</f>
        <v>-8085</v>
      </c>
      <c r="I72" s="13">
        <f>'Cash Flow'!K7</f>
        <v>5748</v>
      </c>
      <c r="J72" s="13">
        <f>'Cash Flow'!L7</f>
        <v>-7012</v>
      </c>
      <c r="K72" s="13">
        <f>'Cash Flow'!M7</f>
        <v>6945</v>
      </c>
      <c r="L72" s="13">
        <f>'Cash Flow'!N7</f>
        <v>13706</v>
      </c>
      <c r="M72" s="13">
        <f>'Cash Flow'!O7</f>
        <v>0</v>
      </c>
    </row>
    <row r="73" spans="1:13" hidden="1" outlineLevel="1" x14ac:dyDescent="0.3">
      <c r="B73" t="s">
        <v>89</v>
      </c>
      <c r="C73" s="13">
        <f>'Cash Flow'!E8</f>
        <v>0</v>
      </c>
      <c r="D73" s="13">
        <f>'Cash Flow'!F8</f>
        <v>-520</v>
      </c>
      <c r="E73" s="13">
        <f>'Cash Flow'!G8</f>
        <v>0</v>
      </c>
      <c r="F73" s="13">
        <f>'Cash Flow'!H8</f>
        <v>0</v>
      </c>
      <c r="G73" s="13">
        <f>'Cash Flow'!I8</f>
        <v>0</v>
      </c>
      <c r="H73" s="13">
        <f>'Cash Flow'!J8</f>
        <v>0</v>
      </c>
      <c r="I73" s="13">
        <f>'Cash Flow'!K8</f>
        <v>0</v>
      </c>
      <c r="J73" s="13">
        <f>'Cash Flow'!L8</f>
        <v>0</v>
      </c>
      <c r="K73" s="13">
        <f>'Cash Flow'!M8</f>
        <v>0</v>
      </c>
      <c r="L73" s="13">
        <f>'Cash Flow'!N8</f>
        <v>-3083</v>
      </c>
      <c r="M73" s="13">
        <f>'Cash Flow'!O8</f>
        <v>0</v>
      </c>
    </row>
    <row r="74" spans="1:13" hidden="1" outlineLevel="1" x14ac:dyDescent="0.3">
      <c r="B74" t="s">
        <v>90</v>
      </c>
      <c r="C74" s="13">
        <f>'Cash Flow'!E9</f>
        <v>-398</v>
      </c>
      <c r="D74" s="13">
        <f>'Cash Flow'!F9</f>
        <v>5852</v>
      </c>
      <c r="E74" s="13">
        <f>'Cash Flow'!G9</f>
        <v>4727</v>
      </c>
      <c r="F74" s="13">
        <f>'Cash Flow'!H9</f>
        <v>494</v>
      </c>
      <c r="G74" s="13">
        <f>'Cash Flow'!I9</f>
        <v>4512</v>
      </c>
      <c r="H74" s="13">
        <f>'Cash Flow'!J9</f>
        <v>875</v>
      </c>
      <c r="I74" s="13">
        <f>'Cash Flow'!K9</f>
        <v>-4150</v>
      </c>
      <c r="J74" s="13">
        <f>'Cash Flow'!L9</f>
        <v>-4396</v>
      </c>
      <c r="K74" s="13">
        <f>'Cash Flow'!M9</f>
        <v>-2194</v>
      </c>
      <c r="L74" s="13">
        <f>'Cash Flow'!N9</f>
        <v>5118</v>
      </c>
      <c r="M74" s="13">
        <f>'Cash Flow'!O9</f>
        <v>0</v>
      </c>
    </row>
    <row r="75" spans="1:13" hidden="1" outlineLevel="1" x14ac:dyDescent="0.3">
      <c r="B75" t="s">
        <v>91</v>
      </c>
      <c r="C75" s="13">
        <f>'Cash Flow'!E10</f>
        <v>-3672</v>
      </c>
      <c r="D75" s="13">
        <f>'Cash Flow'!F10</f>
        <v>1313</v>
      </c>
      <c r="E75" s="13">
        <f>'Cash Flow'!G10</f>
        <v>3254</v>
      </c>
      <c r="F75" s="13">
        <f>'Cash Flow'!H10</f>
        <v>-6434</v>
      </c>
      <c r="G75" s="13">
        <f>'Cash Flow'!I10</f>
        <v>-7221</v>
      </c>
      <c r="H75" s="13">
        <f>'Cash Flow'!J10</f>
        <v>5065</v>
      </c>
      <c r="I75" s="13">
        <f>'Cash Flow'!K10</f>
        <v>-93</v>
      </c>
      <c r="J75" s="13">
        <f>'Cash Flow'!L10</f>
        <v>-10750</v>
      </c>
      <c r="K75" s="13">
        <f>'Cash Flow'!M10</f>
        <v>-3127</v>
      </c>
      <c r="L75" s="13">
        <f>'Cash Flow'!N10</f>
        <v>7325</v>
      </c>
      <c r="M75" s="13">
        <f>'Cash Flow'!O10</f>
        <v>0</v>
      </c>
    </row>
    <row r="76" spans="1:13" hidden="1" outlineLevel="1" x14ac:dyDescent="0.3">
      <c r="B76" t="s">
        <v>92</v>
      </c>
      <c r="C76" s="13">
        <f>'Cash Flow'!E11</f>
        <v>-4194</v>
      </c>
      <c r="D76" s="13">
        <f>'Cash Flow'!F11</f>
        <v>-2040</v>
      </c>
      <c r="E76" s="13">
        <f>'Cash Flow'!G11</f>
        <v>-1895</v>
      </c>
      <c r="F76" s="13">
        <f>'Cash Flow'!H11</f>
        <v>-3021</v>
      </c>
      <c r="G76" s="13">
        <f>'Cash Flow'!I11</f>
        <v>-2659</v>
      </c>
      <c r="H76" s="13">
        <f>'Cash Flow'!J11</f>
        <v>-1785</v>
      </c>
      <c r="I76" s="13">
        <f>'Cash Flow'!K11</f>
        <v>-2105</v>
      </c>
      <c r="J76" s="13">
        <f>'Cash Flow'!L11</f>
        <v>-1910</v>
      </c>
      <c r="K76" s="13">
        <f>'Cash Flow'!M11</f>
        <v>-3179</v>
      </c>
      <c r="L76" s="13">
        <f>'Cash Flow'!N11</f>
        <v>-4516</v>
      </c>
      <c r="M76" s="13">
        <f>'Cash Flow'!O11</f>
        <v>0</v>
      </c>
    </row>
    <row r="77" spans="1:13" collapsed="1" x14ac:dyDescent="0.3">
      <c r="B77" s="2" t="s">
        <v>124</v>
      </c>
      <c r="C77" s="24">
        <f>SUM(C69:C76)</f>
        <v>31860</v>
      </c>
      <c r="D77" s="24">
        <f t="shared" ref="D77:M77" si="23">SUM(D69:D76)</f>
        <v>39212</v>
      </c>
      <c r="E77" s="24">
        <f t="shared" si="23"/>
        <v>33454</v>
      </c>
      <c r="F77" s="24">
        <f t="shared" si="23"/>
        <v>17423</v>
      </c>
      <c r="G77" s="24">
        <f t="shared" si="23"/>
        <v>11671</v>
      </c>
      <c r="H77" s="24">
        <f t="shared" si="23"/>
        <v>31698</v>
      </c>
      <c r="I77" s="24">
        <f t="shared" si="23"/>
        <v>28907</v>
      </c>
      <c r="J77" s="24">
        <f t="shared" si="23"/>
        <v>3532</v>
      </c>
      <c r="K77" s="24">
        <f t="shared" si="23"/>
        <v>32261</v>
      </c>
      <c r="L77" s="24">
        <f t="shared" si="23"/>
        <v>75240</v>
      </c>
      <c r="M77" s="24">
        <f t="shared" si="23"/>
        <v>0</v>
      </c>
    </row>
    <row r="79" spans="1:13" hidden="1" outlineLevel="1" x14ac:dyDescent="0.3">
      <c r="B79" s="2" t="s">
        <v>126</v>
      </c>
    </row>
    <row r="80" spans="1:13" hidden="1" outlineLevel="1" x14ac:dyDescent="0.3">
      <c r="B80" t="s">
        <v>94</v>
      </c>
      <c r="C80" s="13">
        <f>'Cash Flow'!E13</f>
        <v>-31962</v>
      </c>
      <c r="D80" s="13">
        <f>'Cash Flow'!F13</f>
        <v>-31503</v>
      </c>
      <c r="E80" s="13">
        <f>'Cash Flow'!G13</f>
        <v>-16072</v>
      </c>
      <c r="F80" s="13">
        <f>'Cash Flow'!H13</f>
        <v>-35079</v>
      </c>
      <c r="G80" s="13">
        <f>'Cash Flow'!I13</f>
        <v>-35304</v>
      </c>
      <c r="H80" s="13">
        <f>'Cash Flow'!J13</f>
        <v>-29702</v>
      </c>
      <c r="I80" s="13">
        <f>'Cash Flow'!K13</f>
        <v>-20205</v>
      </c>
      <c r="J80" s="13">
        <f>'Cash Flow'!L13</f>
        <v>-15168</v>
      </c>
      <c r="K80" s="13">
        <f>'Cash Flow'!M13</f>
        <v>-19230</v>
      </c>
      <c r="L80" s="13">
        <f>'Cash Flow'!N13</f>
        <v>-31414</v>
      </c>
      <c r="M80" s="13">
        <f>'Cash Flow'!O13</f>
        <v>0</v>
      </c>
    </row>
    <row r="81" spans="2:13" hidden="1" outlineLevel="1" x14ac:dyDescent="0.3">
      <c r="B81" t="s">
        <v>95</v>
      </c>
      <c r="C81" s="13">
        <f>'Cash Flow'!E14</f>
        <v>74</v>
      </c>
      <c r="D81" s="13">
        <f>'Cash Flow'!F14</f>
        <v>59</v>
      </c>
      <c r="E81" s="13">
        <f>'Cash Flow'!G14</f>
        <v>53</v>
      </c>
      <c r="F81" s="13">
        <f>'Cash Flow'!H14</f>
        <v>30</v>
      </c>
      <c r="G81" s="13">
        <f>'Cash Flow'!I14</f>
        <v>67</v>
      </c>
      <c r="H81" s="13">
        <f>'Cash Flow'!J14</f>
        <v>171</v>
      </c>
      <c r="I81" s="13">
        <f>'Cash Flow'!K14</f>
        <v>351</v>
      </c>
      <c r="J81" s="13">
        <f>'Cash Flow'!L14</f>
        <v>230</v>
      </c>
      <c r="K81" s="13">
        <f>'Cash Flow'!M14</f>
        <v>285</v>
      </c>
      <c r="L81" s="13">
        <f>'Cash Flow'!N14</f>
        <v>231</v>
      </c>
      <c r="M81" s="13">
        <f>'Cash Flow'!O14</f>
        <v>0</v>
      </c>
    </row>
    <row r="82" spans="2:13" hidden="1" outlineLevel="1" x14ac:dyDescent="0.3">
      <c r="B82" t="s">
        <v>96</v>
      </c>
      <c r="C82" s="13">
        <f>'Cash Flow'!E15</f>
        <v>-5461</v>
      </c>
      <c r="D82" s="13">
        <f>'Cash Flow'!F15</f>
        <v>-4728</v>
      </c>
      <c r="E82" s="13">
        <f>'Cash Flow'!G15</f>
        <v>-6</v>
      </c>
      <c r="F82" s="13">
        <f>'Cash Flow'!H15</f>
        <v>-329</v>
      </c>
      <c r="G82" s="13">
        <f>'Cash Flow'!I15</f>
        <v>-130</v>
      </c>
      <c r="H82" s="13">
        <f>'Cash Flow'!J15</f>
        <v>-1439</v>
      </c>
      <c r="I82" s="13">
        <f>'Cash Flow'!K15</f>
        <v>-7530</v>
      </c>
      <c r="J82" s="13">
        <f>'Cash Flow'!L15</f>
        <v>-3008</v>
      </c>
      <c r="K82" s="13">
        <f>'Cash Flow'!M15</f>
        <v>-50</v>
      </c>
      <c r="L82" s="13">
        <f>'Cash Flow'!N15</f>
        <v>-5567</v>
      </c>
      <c r="M82" s="13">
        <f>'Cash Flow'!O15</f>
        <v>0</v>
      </c>
    </row>
    <row r="83" spans="2:13" hidden="1" outlineLevel="1" x14ac:dyDescent="0.3">
      <c r="B83" t="s">
        <v>97</v>
      </c>
      <c r="C83" s="13">
        <f>'Cash Flow'!E16</f>
        <v>42</v>
      </c>
      <c r="D83" s="13">
        <f>'Cash Flow'!F16</f>
        <v>89</v>
      </c>
      <c r="E83" s="13">
        <f>'Cash Flow'!G16</f>
        <v>1965</v>
      </c>
      <c r="F83" s="13">
        <f>'Cash Flow'!H16</f>
        <v>2381</v>
      </c>
      <c r="G83" s="13">
        <f>'Cash Flow'!I16</f>
        <v>5644</v>
      </c>
      <c r="H83" s="13">
        <f>'Cash Flow'!J16</f>
        <v>21</v>
      </c>
      <c r="I83" s="13">
        <f>'Cash Flow'!K16</f>
        <v>226</v>
      </c>
      <c r="J83" s="13">
        <f>'Cash Flow'!L16</f>
        <v>104</v>
      </c>
      <c r="K83" s="13">
        <f>'Cash Flow'!M16</f>
        <v>6895</v>
      </c>
      <c r="L83" s="13">
        <f>'Cash Flow'!N16</f>
        <v>10820</v>
      </c>
      <c r="M83" s="13">
        <f>'Cash Flow'!O16</f>
        <v>0</v>
      </c>
    </row>
    <row r="84" spans="2:13" hidden="1" outlineLevel="1" x14ac:dyDescent="0.3">
      <c r="B84" t="s">
        <v>98</v>
      </c>
      <c r="C84" s="13">
        <f>'Cash Flow'!E17</f>
        <v>698</v>
      </c>
      <c r="D84" s="13">
        <f>'Cash Flow'!F17</f>
        <v>731</v>
      </c>
      <c r="E84" s="13">
        <f>'Cash Flow'!G17</f>
        <v>638</v>
      </c>
      <c r="F84" s="13">
        <f>'Cash Flow'!H17</f>
        <v>690</v>
      </c>
      <c r="G84" s="13">
        <f>'Cash Flow'!I17</f>
        <v>761</v>
      </c>
      <c r="H84" s="13">
        <f>'Cash Flow'!J17</f>
        <v>1104</v>
      </c>
      <c r="I84" s="13">
        <f>'Cash Flow'!K17</f>
        <v>428</v>
      </c>
      <c r="J84" s="13">
        <f>'Cash Flow'!L17</f>
        <v>653</v>
      </c>
      <c r="K84" s="13">
        <f>'Cash Flow'!M17</f>
        <v>973</v>
      </c>
      <c r="L84" s="13">
        <f>'Cash Flow'!N17</f>
        <v>2493</v>
      </c>
      <c r="M84" s="13">
        <f>'Cash Flow'!O17</f>
        <v>0</v>
      </c>
    </row>
    <row r="85" spans="2:13" hidden="1" outlineLevel="1" x14ac:dyDescent="0.3">
      <c r="B85" t="s">
        <v>99</v>
      </c>
      <c r="C85" s="13">
        <f>'Cash Flow'!E18</f>
        <v>80</v>
      </c>
      <c r="D85" s="13">
        <f>'Cash Flow'!F18</f>
        <v>58</v>
      </c>
      <c r="E85" s="13">
        <f>'Cash Flow'!G18</f>
        <v>620</v>
      </c>
      <c r="F85" s="13">
        <f>'Cash Flow'!H18</f>
        <v>1797</v>
      </c>
      <c r="G85" s="13">
        <f>'Cash Flow'!I18</f>
        <v>232</v>
      </c>
      <c r="H85" s="13">
        <f>'Cash Flow'!J18</f>
        <v>21</v>
      </c>
      <c r="I85" s="13">
        <f>'Cash Flow'!K18</f>
        <v>18</v>
      </c>
      <c r="J85" s="13">
        <f>'Cash Flow'!L18</f>
        <v>32</v>
      </c>
      <c r="K85" s="13">
        <f>'Cash Flow'!M18</f>
        <v>46</v>
      </c>
      <c r="L85" s="13">
        <f>'Cash Flow'!N18</f>
        <v>96</v>
      </c>
      <c r="M85" s="13">
        <f>'Cash Flow'!O18</f>
        <v>0</v>
      </c>
    </row>
    <row r="86" spans="2:13" hidden="1" outlineLevel="1" x14ac:dyDescent="0.3">
      <c r="B86" t="s">
        <v>100</v>
      </c>
      <c r="C86" s="13">
        <f>'Cash Flow'!E19</f>
        <v>-160</v>
      </c>
      <c r="D86" s="13">
        <f>'Cash Flow'!F19</f>
        <v>0</v>
      </c>
      <c r="E86" s="13">
        <f>'Cash Flow'!G19</f>
        <v>-107</v>
      </c>
      <c r="F86" s="13">
        <f>'Cash Flow'!H19</f>
        <v>-4</v>
      </c>
      <c r="G86" s="13">
        <f>'Cash Flow'!I19</f>
        <v>-9</v>
      </c>
      <c r="H86" s="13">
        <f>'Cash Flow'!J19</f>
        <v>-606</v>
      </c>
      <c r="I86" s="13">
        <f>'Cash Flow'!K19</f>
        <v>-10</v>
      </c>
      <c r="J86" s="13">
        <f>'Cash Flow'!L19</f>
        <v>0</v>
      </c>
      <c r="K86" s="13">
        <f>'Cash Flow'!M19</f>
        <v>0</v>
      </c>
      <c r="L86" s="13">
        <f>'Cash Flow'!N19</f>
        <v>0</v>
      </c>
      <c r="M86" s="13">
        <f>'Cash Flow'!O19</f>
        <v>0</v>
      </c>
    </row>
    <row r="87" spans="2:13" hidden="1" outlineLevel="1" x14ac:dyDescent="0.3">
      <c r="B87" t="s">
        <v>101</v>
      </c>
      <c r="C87" s="13">
        <f>'Cash Flow'!E20</f>
        <v>0</v>
      </c>
      <c r="D87" s="13">
        <f>'Cash Flow'!F20</f>
        <v>0</v>
      </c>
      <c r="E87" s="13">
        <f>'Cash Flow'!G20</f>
        <v>0</v>
      </c>
      <c r="F87" s="13">
        <f>'Cash Flow'!H20</f>
        <v>14</v>
      </c>
      <c r="G87" s="13">
        <f>'Cash Flow'!I20</f>
        <v>533</v>
      </c>
      <c r="H87" s="13">
        <f>'Cash Flow'!J20</f>
        <v>0</v>
      </c>
      <c r="I87" s="13">
        <f>'Cash Flow'!K20</f>
        <v>0</v>
      </c>
      <c r="J87" s="13">
        <f>'Cash Flow'!L20</f>
        <v>0</v>
      </c>
      <c r="K87" s="13">
        <f>'Cash Flow'!M20</f>
        <v>19</v>
      </c>
      <c r="L87" s="13">
        <f>'Cash Flow'!N20</f>
        <v>108</v>
      </c>
      <c r="M87" s="13">
        <f>'Cash Flow'!O20</f>
        <v>0</v>
      </c>
    </row>
    <row r="88" spans="2:13" hidden="1" outlineLevel="1" x14ac:dyDescent="0.3">
      <c r="B88" t="s">
        <v>102</v>
      </c>
      <c r="C88" s="13">
        <f>'Cash Flow'!E21</f>
        <v>0</v>
      </c>
      <c r="D88" s="13">
        <f>'Cash Flow'!F21</f>
        <v>-111</v>
      </c>
      <c r="E88" s="13">
        <f>'Cash Flow'!G21</f>
        <v>0</v>
      </c>
      <c r="F88" s="13">
        <f>'Cash Flow'!H21</f>
        <v>0</v>
      </c>
      <c r="G88" s="13">
        <f>'Cash Flow'!I21</f>
        <v>-8</v>
      </c>
      <c r="H88" s="13">
        <f>'Cash Flow'!J21</f>
        <v>-27</v>
      </c>
      <c r="I88" s="13">
        <f>'Cash Flow'!K21</f>
        <v>0</v>
      </c>
      <c r="J88" s="13">
        <f>'Cash Flow'!L21</f>
        <v>-98</v>
      </c>
      <c r="K88" s="13">
        <f>'Cash Flow'!M21</f>
        <v>0</v>
      </c>
      <c r="L88" s="13">
        <f>'Cash Flow'!N21</f>
        <v>0</v>
      </c>
      <c r="M88" s="13">
        <f>'Cash Flow'!O21</f>
        <v>0</v>
      </c>
    </row>
    <row r="89" spans="2:13" hidden="1" outlineLevel="1" x14ac:dyDescent="0.3">
      <c r="B89" t="s">
        <v>103</v>
      </c>
      <c r="C89" s="13">
        <f>'Cash Flow'!E22</f>
        <v>0</v>
      </c>
      <c r="D89" s="13">
        <f>'Cash Flow'!F22</f>
        <v>0</v>
      </c>
      <c r="E89" s="13">
        <f>'Cash Flow'!G22</f>
        <v>0</v>
      </c>
      <c r="F89" s="13">
        <f>'Cash Flow'!H22</f>
        <v>0</v>
      </c>
      <c r="G89" s="13">
        <f>'Cash Flow'!I22</f>
        <v>0</v>
      </c>
      <c r="H89" s="13">
        <f>'Cash Flow'!J22</f>
        <v>0</v>
      </c>
      <c r="I89" s="13">
        <f>'Cash Flow'!K22</f>
        <v>0</v>
      </c>
      <c r="J89" s="13">
        <f>'Cash Flow'!L22</f>
        <v>0</v>
      </c>
      <c r="K89" s="13">
        <f>'Cash Flow'!M22</f>
        <v>0</v>
      </c>
      <c r="L89" s="13">
        <f>'Cash Flow'!N22</f>
        <v>-24</v>
      </c>
      <c r="M89" s="13">
        <f>'Cash Flow'!O22</f>
        <v>0</v>
      </c>
    </row>
    <row r="90" spans="2:13" hidden="1" outlineLevel="1" x14ac:dyDescent="0.3">
      <c r="B90" t="s">
        <v>104</v>
      </c>
      <c r="C90" s="13">
        <f>'Cash Flow'!E23</f>
        <v>456</v>
      </c>
      <c r="D90" s="13">
        <f>'Cash Flow'!F23</f>
        <v>-1289</v>
      </c>
      <c r="E90" s="13">
        <f>'Cash Flow'!G23</f>
        <v>-26663</v>
      </c>
      <c r="F90" s="13">
        <f>'Cash Flow'!H23</f>
        <v>5360</v>
      </c>
      <c r="G90" s="13">
        <f>'Cash Flow'!I23</f>
        <v>7335</v>
      </c>
      <c r="H90" s="13">
        <f>'Cash Flow'!J23</f>
        <v>-2659</v>
      </c>
      <c r="I90" s="13">
        <f>'Cash Flow'!K23</f>
        <v>1051</v>
      </c>
      <c r="J90" s="13">
        <f>'Cash Flow'!L23</f>
        <v>12813</v>
      </c>
      <c r="K90" s="13">
        <f>'Cash Flow'!M23</f>
        <v>-4357</v>
      </c>
      <c r="L90" s="13">
        <f>'Cash Flow'!N23</f>
        <v>429</v>
      </c>
      <c r="M90" s="13">
        <f>'Cash Flow'!O23</f>
        <v>0</v>
      </c>
    </row>
    <row r="91" spans="2:13" collapsed="1" x14ac:dyDescent="0.3">
      <c r="B91" s="2" t="s">
        <v>127</v>
      </c>
      <c r="C91" s="24">
        <f>SUM(C80:C90)</f>
        <v>-36233</v>
      </c>
      <c r="D91" s="24">
        <f t="shared" ref="D91:M91" si="24">SUM(D80:D90)</f>
        <v>-36694</v>
      </c>
      <c r="E91" s="24">
        <f t="shared" si="24"/>
        <v>-39572</v>
      </c>
      <c r="F91" s="24">
        <f t="shared" si="24"/>
        <v>-25140</v>
      </c>
      <c r="G91" s="24">
        <f t="shared" si="24"/>
        <v>-20879</v>
      </c>
      <c r="H91" s="24">
        <f t="shared" si="24"/>
        <v>-33116</v>
      </c>
      <c r="I91" s="24">
        <f t="shared" si="24"/>
        <v>-25671</v>
      </c>
      <c r="J91" s="24">
        <f t="shared" si="24"/>
        <v>-4442</v>
      </c>
      <c r="K91" s="24">
        <f t="shared" si="24"/>
        <v>-15419</v>
      </c>
      <c r="L91" s="24">
        <f t="shared" si="24"/>
        <v>-22828</v>
      </c>
      <c r="M91" s="24">
        <f t="shared" si="24"/>
        <v>0</v>
      </c>
    </row>
    <row r="93" spans="2:13" hidden="1" outlineLevel="1" x14ac:dyDescent="0.3">
      <c r="B93" s="2" t="s">
        <v>128</v>
      </c>
    </row>
    <row r="94" spans="2:13" hidden="1" outlineLevel="1" x14ac:dyDescent="0.3">
      <c r="B94" t="s">
        <v>106</v>
      </c>
      <c r="C94" s="13">
        <f>'Cash Flow'!E25</f>
        <v>0</v>
      </c>
      <c r="D94" s="13">
        <f>'Cash Flow'!F25</f>
        <v>7433</v>
      </c>
      <c r="E94" s="13">
        <f>'Cash Flow'!G25</f>
        <v>5</v>
      </c>
      <c r="F94" s="13">
        <f>'Cash Flow'!H25</f>
        <v>0</v>
      </c>
      <c r="G94" s="13">
        <f>'Cash Flow'!I25</f>
        <v>0</v>
      </c>
      <c r="H94" s="13">
        <f>'Cash Flow'!J25</f>
        <v>3889</v>
      </c>
      <c r="I94" s="13">
        <f>'Cash Flow'!K25</f>
        <v>2603</v>
      </c>
      <c r="J94" s="13">
        <f>'Cash Flow'!L25</f>
        <v>19</v>
      </c>
      <c r="K94" s="13">
        <f>'Cash Flow'!M25</f>
        <v>20</v>
      </c>
      <c r="L94" s="13">
        <f>'Cash Flow'!N25</f>
        <v>82</v>
      </c>
      <c r="M94" s="13">
        <f>'Cash Flow'!O25</f>
        <v>0</v>
      </c>
    </row>
    <row r="95" spans="2:13" hidden="1" outlineLevel="1" x14ac:dyDescent="0.3">
      <c r="B95" t="s">
        <v>107</v>
      </c>
      <c r="C95" s="13">
        <f>'Cash Flow'!E26</f>
        <v>-744</v>
      </c>
      <c r="D95" s="13">
        <f>'Cash Flow'!F26</f>
        <v>0</v>
      </c>
      <c r="E95" s="13">
        <f>'Cash Flow'!G26</f>
        <v>0</v>
      </c>
      <c r="F95" s="13">
        <f>'Cash Flow'!H26</f>
        <v>0</v>
      </c>
      <c r="G95" s="13">
        <f>'Cash Flow'!I26</f>
        <v>0</v>
      </c>
      <c r="H95" s="13">
        <f>'Cash Flow'!J26</f>
        <v>0</v>
      </c>
      <c r="I95" s="13">
        <f>'Cash Flow'!K26</f>
        <v>0</v>
      </c>
      <c r="J95" s="13">
        <f>'Cash Flow'!L26</f>
        <v>0</v>
      </c>
      <c r="K95" s="13">
        <f>'Cash Flow'!M26</f>
        <v>0</v>
      </c>
      <c r="L95" s="13">
        <f>'Cash Flow'!N26</f>
        <v>0</v>
      </c>
      <c r="M95" s="13">
        <f>'Cash Flow'!O26</f>
        <v>0</v>
      </c>
    </row>
    <row r="96" spans="2:13" hidden="1" outlineLevel="1" x14ac:dyDescent="0.3">
      <c r="B96" t="s">
        <v>108</v>
      </c>
      <c r="C96" s="13">
        <f>'Cash Flow'!E27</f>
        <v>36363</v>
      </c>
      <c r="D96" s="13">
        <f>'Cash Flow'!F27</f>
        <v>19519</v>
      </c>
      <c r="E96" s="13">
        <f>'Cash Flow'!G27</f>
        <v>33390</v>
      </c>
      <c r="F96" s="13">
        <f>'Cash Flow'!H27</f>
        <v>37482</v>
      </c>
      <c r="G96" s="13">
        <f>'Cash Flow'!I27</f>
        <v>51128</v>
      </c>
      <c r="H96" s="13">
        <f>'Cash Flow'!J27</f>
        <v>38297</v>
      </c>
      <c r="I96" s="13">
        <f>'Cash Flow'!K27</f>
        <v>46641</v>
      </c>
      <c r="J96" s="13">
        <f>'Cash Flow'!L27</f>
        <v>46578</v>
      </c>
      <c r="K96" s="13">
        <f>'Cash Flow'!M27</f>
        <v>43934</v>
      </c>
      <c r="L96" s="13">
        <f>'Cash Flow'!N27</f>
        <v>21824</v>
      </c>
      <c r="M96" s="13">
        <f>'Cash Flow'!O27</f>
        <v>0</v>
      </c>
    </row>
    <row r="97" spans="2:13" hidden="1" outlineLevel="1" x14ac:dyDescent="0.3">
      <c r="B97" t="s">
        <v>109</v>
      </c>
      <c r="C97" s="13">
        <f>'Cash Flow'!E28</f>
        <v>-23332</v>
      </c>
      <c r="D97" s="13">
        <f>'Cash Flow'!F28</f>
        <v>-24924</v>
      </c>
      <c r="E97" s="13">
        <f>'Cash Flow'!G28</f>
        <v>-21732</v>
      </c>
      <c r="F97" s="13">
        <f>'Cash Flow'!H28</f>
        <v>-29964</v>
      </c>
      <c r="G97" s="13">
        <f>'Cash Flow'!I28</f>
        <v>-35198</v>
      </c>
      <c r="H97" s="13">
        <f>'Cash Flow'!J28</f>
        <v>-29847</v>
      </c>
      <c r="I97" s="13">
        <f>'Cash Flow'!K28</f>
        <v>-29709</v>
      </c>
      <c r="J97" s="13">
        <f>'Cash Flow'!L28</f>
        <v>-42816</v>
      </c>
      <c r="K97" s="13">
        <f>'Cash Flow'!M28</f>
        <v>-62557</v>
      </c>
      <c r="L97" s="13">
        <f>'Cash Flow'!N28</f>
        <v>-50325</v>
      </c>
      <c r="M97" s="13">
        <f>'Cash Flow'!O28</f>
        <v>0</v>
      </c>
    </row>
    <row r="98" spans="2:13" hidden="1" outlineLevel="1" x14ac:dyDescent="0.3">
      <c r="B98" t="s">
        <v>110</v>
      </c>
      <c r="C98" s="13">
        <f>'Cash Flow'!E29</f>
        <v>-6307</v>
      </c>
      <c r="D98" s="13">
        <f>'Cash Flow'!F29</f>
        <v>-5716</v>
      </c>
      <c r="E98" s="13">
        <f>'Cash Flow'!G29</f>
        <v>-5336</v>
      </c>
      <c r="F98" s="13">
        <f>'Cash Flow'!H29</f>
        <v>-5411</v>
      </c>
      <c r="G98" s="13">
        <f>'Cash Flow'!I29</f>
        <v>-7005</v>
      </c>
      <c r="H98" s="13">
        <f>'Cash Flow'!J29</f>
        <v>-7518</v>
      </c>
      <c r="I98" s="13">
        <f>'Cash Flow'!K29</f>
        <v>-8123</v>
      </c>
      <c r="J98" s="13">
        <f>'Cash Flow'!L29</f>
        <v>-9251</v>
      </c>
      <c r="K98" s="13">
        <f>'Cash Flow'!M29</f>
        <v>-9336</v>
      </c>
      <c r="L98" s="13">
        <f>'Cash Flow'!N29</f>
        <v>-9332</v>
      </c>
      <c r="M98" s="13">
        <f>'Cash Flow'!O29</f>
        <v>0</v>
      </c>
    </row>
    <row r="99" spans="2:13" hidden="1" outlineLevel="1" x14ac:dyDescent="0.3">
      <c r="B99" t="s">
        <v>111</v>
      </c>
      <c r="C99" s="13">
        <f>'Cash Flow'!E30</f>
        <v>-720</v>
      </c>
      <c r="D99" s="13">
        <f>'Cash Flow'!F30</f>
        <v>-108</v>
      </c>
      <c r="E99" s="13">
        <f>'Cash Flow'!G30</f>
        <v>-121</v>
      </c>
      <c r="F99" s="13">
        <f>'Cash Flow'!H30</f>
        <v>-96</v>
      </c>
      <c r="G99" s="13">
        <f>'Cash Flow'!I30</f>
        <v>-95</v>
      </c>
      <c r="H99" s="13">
        <f>'Cash Flow'!J30</f>
        <v>-57</v>
      </c>
      <c r="I99" s="13">
        <f>'Cash Flow'!K30</f>
        <v>-30</v>
      </c>
      <c r="J99" s="13">
        <f>'Cash Flow'!L30</f>
        <v>-100</v>
      </c>
      <c r="K99" s="13">
        <f>'Cash Flow'!M30</f>
        <v>-141</v>
      </c>
      <c r="L99" s="13">
        <f>'Cash Flow'!N30</f>
        <v>-289</v>
      </c>
      <c r="M99" s="13">
        <f>'Cash Flow'!O30</f>
        <v>0</v>
      </c>
    </row>
    <row r="100" spans="2:13" hidden="1" outlineLevel="1" x14ac:dyDescent="0.3">
      <c r="B100" t="s">
        <v>112</v>
      </c>
      <c r="C100" s="13">
        <f>'Cash Flow'!E31</f>
        <v>0</v>
      </c>
      <c r="D100" s="13">
        <f>'Cash Flow'!F31</f>
        <v>0</v>
      </c>
      <c r="E100" s="13">
        <f>'Cash Flow'!G31</f>
        <v>0</v>
      </c>
      <c r="F100" s="13">
        <f>'Cash Flow'!H31</f>
        <v>0</v>
      </c>
      <c r="G100" s="13">
        <f>'Cash Flow'!I31</f>
        <v>0</v>
      </c>
      <c r="H100" s="13">
        <f>'Cash Flow'!J31</f>
        <v>-1346</v>
      </c>
      <c r="I100" s="13">
        <f>'Cash Flow'!K31</f>
        <v>-1477</v>
      </c>
      <c r="J100" s="13">
        <f>'Cash Flow'!L31</f>
        <v>-1559</v>
      </c>
      <c r="K100" s="13">
        <f>'Cash Flow'!M31</f>
        <v>-1517</v>
      </c>
      <c r="L100" s="13">
        <f>'Cash Flow'!N31</f>
        <v>-3848</v>
      </c>
      <c r="M100" s="13">
        <f>'Cash Flow'!O31</f>
        <v>0</v>
      </c>
    </row>
    <row r="101" spans="2:13" hidden="1" outlineLevel="1" x14ac:dyDescent="0.3">
      <c r="B101" t="s">
        <v>113</v>
      </c>
      <c r="C101" s="13">
        <f>'Cash Flow'!E32</f>
        <v>-57</v>
      </c>
      <c r="D101" s="13">
        <f>'Cash Flow'!F32</f>
        <v>0</v>
      </c>
      <c r="E101" s="13">
        <f>'Cash Flow'!G32</f>
        <v>0</v>
      </c>
      <c r="F101" s="13">
        <f>'Cash Flow'!H32</f>
        <v>0</v>
      </c>
      <c r="G101" s="13">
        <f>'Cash Flow'!I32</f>
        <v>0</v>
      </c>
      <c r="H101" s="13">
        <f>'Cash Flow'!J32</f>
        <v>-29</v>
      </c>
      <c r="I101" s="13">
        <f>'Cash Flow'!K32</f>
        <v>0</v>
      </c>
      <c r="J101" s="13">
        <f>'Cash Flow'!L32</f>
        <v>3750</v>
      </c>
      <c r="K101" s="13">
        <f>'Cash Flow'!M32</f>
        <v>3355</v>
      </c>
      <c r="L101" s="13">
        <f>'Cash Flow'!N32</f>
        <v>4884</v>
      </c>
      <c r="M101" s="13">
        <f>'Cash Flow'!O32</f>
        <v>0</v>
      </c>
    </row>
    <row r="102" spans="2:13" collapsed="1" x14ac:dyDescent="0.3">
      <c r="B102" s="2" t="s">
        <v>129</v>
      </c>
      <c r="C102" s="24">
        <f>SUM(C94:C101)</f>
        <v>5203</v>
      </c>
      <c r="D102" s="24">
        <f t="shared" ref="D102:M102" si="25">SUM(D94:D101)</f>
        <v>-3796</v>
      </c>
      <c r="E102" s="24">
        <f t="shared" si="25"/>
        <v>6206</v>
      </c>
      <c r="F102" s="24">
        <f t="shared" si="25"/>
        <v>2011</v>
      </c>
      <c r="G102" s="24">
        <f t="shared" si="25"/>
        <v>8830</v>
      </c>
      <c r="H102" s="24">
        <f t="shared" si="25"/>
        <v>3389</v>
      </c>
      <c r="I102" s="24">
        <f t="shared" si="25"/>
        <v>9905</v>
      </c>
      <c r="J102" s="24">
        <f t="shared" si="25"/>
        <v>-3379</v>
      </c>
      <c r="K102" s="24">
        <f t="shared" si="25"/>
        <v>-26242</v>
      </c>
      <c r="L102" s="24">
        <f t="shared" si="25"/>
        <v>-37004</v>
      </c>
      <c r="M102" s="24">
        <f t="shared" si="25"/>
        <v>0</v>
      </c>
    </row>
    <row r="104" spans="2:13" x14ac:dyDescent="0.3">
      <c r="B104" s="2" t="s">
        <v>24</v>
      </c>
      <c r="C104" s="24">
        <f>SUM(C77,C91,C102)</f>
        <v>830</v>
      </c>
      <c r="D104" s="24">
        <f t="shared" ref="D104:M104" si="26">SUM(D77,D91,D102)</f>
        <v>-1278</v>
      </c>
      <c r="E104" s="24">
        <f t="shared" si="26"/>
        <v>88</v>
      </c>
      <c r="F104" s="24">
        <f t="shared" si="26"/>
        <v>-5706</v>
      </c>
      <c r="G104" s="24">
        <f t="shared" si="26"/>
        <v>-378</v>
      </c>
      <c r="H104" s="24">
        <f t="shared" si="26"/>
        <v>1971</v>
      </c>
      <c r="I104" s="24">
        <f t="shared" si="26"/>
        <v>13141</v>
      </c>
      <c r="J104" s="24">
        <f t="shared" si="26"/>
        <v>-4289</v>
      </c>
      <c r="K104" s="24">
        <f t="shared" si="26"/>
        <v>-9400</v>
      </c>
      <c r="L104" s="24">
        <f t="shared" si="26"/>
        <v>15408</v>
      </c>
      <c r="M104" s="24">
        <f t="shared" si="26"/>
        <v>0</v>
      </c>
    </row>
  </sheetData>
  <mergeCells count="1">
    <mergeCell ref="B2:L2"/>
  </mergeCells>
  <pageMargins left="0.7" right="0.7" top="0.75" bottom="0.75" header="0.3" footer="0.3"/>
  <ignoredErrors>
    <ignoredError sqref="M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FEEAC-6868-4A8E-A43C-70C424922C53}">
  <dimension ref="B2:N33"/>
  <sheetViews>
    <sheetView workbookViewId="0">
      <selection activeCell="E3" sqref="E3"/>
    </sheetView>
  </sheetViews>
  <sheetFormatPr defaultRowHeight="14.4" x14ac:dyDescent="0.3"/>
  <cols>
    <col min="2" max="2" width="25.77734375" bestFit="1" customWidth="1"/>
    <col min="3" max="14" width="12.44140625" bestFit="1" customWidth="1"/>
  </cols>
  <sheetData>
    <row r="2" spans="2:14" x14ac:dyDescent="0.3">
      <c r="C2" s="14">
        <v>41334</v>
      </c>
      <c r="D2" s="14">
        <v>41699</v>
      </c>
      <c r="E2" s="14">
        <v>42064</v>
      </c>
      <c r="F2" s="14">
        <v>42430</v>
      </c>
      <c r="G2" s="14">
        <v>42795</v>
      </c>
      <c r="H2" s="14">
        <v>43160</v>
      </c>
      <c r="I2" s="14">
        <v>43525</v>
      </c>
      <c r="J2" s="14">
        <v>43891</v>
      </c>
      <c r="K2" s="14">
        <v>44256</v>
      </c>
      <c r="L2" s="14">
        <v>44621</v>
      </c>
      <c r="M2" s="14">
        <v>44986</v>
      </c>
      <c r="N2" s="14">
        <v>45352</v>
      </c>
    </row>
    <row r="3" spans="2:14" x14ac:dyDescent="0.3">
      <c r="B3" t="s">
        <v>86</v>
      </c>
      <c r="C3" s="13">
        <v>22163</v>
      </c>
      <c r="D3" s="13">
        <v>36151</v>
      </c>
      <c r="E3" s="13">
        <v>35531</v>
      </c>
      <c r="F3" s="13">
        <v>37900</v>
      </c>
      <c r="G3" s="13">
        <v>30199</v>
      </c>
      <c r="H3" s="13">
        <v>23857</v>
      </c>
      <c r="I3" s="13">
        <v>18891</v>
      </c>
      <c r="J3" s="13">
        <v>26633</v>
      </c>
      <c r="K3" s="13">
        <v>29001</v>
      </c>
      <c r="L3" s="13">
        <v>14283</v>
      </c>
      <c r="M3" s="13">
        <v>35388</v>
      </c>
      <c r="N3" s="13">
        <v>67915</v>
      </c>
    </row>
    <row r="4" spans="2:14" x14ac:dyDescent="0.3">
      <c r="B4" t="s">
        <v>87</v>
      </c>
      <c r="C4" s="13">
        <v>24406</v>
      </c>
      <c r="D4" s="13">
        <v>36303</v>
      </c>
      <c r="E4" s="13">
        <v>43397</v>
      </c>
      <c r="F4" s="13">
        <v>38626</v>
      </c>
      <c r="G4" s="13">
        <v>28840</v>
      </c>
      <c r="H4" s="13">
        <v>33312</v>
      </c>
      <c r="I4" s="13">
        <v>28771</v>
      </c>
      <c r="J4" s="13">
        <v>23352</v>
      </c>
      <c r="K4" s="13">
        <v>31198</v>
      </c>
      <c r="L4" s="13">
        <v>26943</v>
      </c>
      <c r="M4" s="13">
        <v>41694</v>
      </c>
      <c r="N4" s="13">
        <v>65106</v>
      </c>
    </row>
    <row r="5" spans="2:14" x14ac:dyDescent="0.3">
      <c r="B5" t="s">
        <v>52</v>
      </c>
      <c r="C5" s="13">
        <v>-5177</v>
      </c>
      <c r="D5" s="13">
        <v>445</v>
      </c>
      <c r="E5" s="13">
        <v>-3179</v>
      </c>
      <c r="F5" s="13">
        <v>-2223</v>
      </c>
      <c r="G5" s="13">
        <v>-4152</v>
      </c>
      <c r="H5" s="13">
        <v>-10688</v>
      </c>
      <c r="I5" s="13">
        <v>-9109</v>
      </c>
      <c r="J5" s="13">
        <v>9950</v>
      </c>
      <c r="K5" s="13">
        <v>-5505</v>
      </c>
      <c r="L5" s="13">
        <v>185</v>
      </c>
      <c r="M5" s="13">
        <v>-2213</v>
      </c>
      <c r="N5" s="13">
        <v>-1151</v>
      </c>
    </row>
    <row r="6" spans="2:14" x14ac:dyDescent="0.3">
      <c r="B6" t="s">
        <v>34</v>
      </c>
      <c r="C6" s="13">
        <v>-2656</v>
      </c>
      <c r="D6" s="13">
        <v>-2853</v>
      </c>
      <c r="E6" s="13">
        <v>-3692</v>
      </c>
      <c r="F6" s="13">
        <v>-5743</v>
      </c>
      <c r="G6" s="13">
        <v>-6621</v>
      </c>
      <c r="H6" s="13">
        <v>-3560</v>
      </c>
      <c r="I6" s="13">
        <v>2069</v>
      </c>
      <c r="J6" s="13">
        <v>2326</v>
      </c>
      <c r="K6" s="13">
        <v>3814</v>
      </c>
      <c r="L6" s="13">
        <v>472</v>
      </c>
      <c r="M6" s="13">
        <v>-5665</v>
      </c>
      <c r="N6" s="13">
        <v>-7265</v>
      </c>
    </row>
    <row r="7" spans="2:14" x14ac:dyDescent="0.3">
      <c r="B7" t="s">
        <v>88</v>
      </c>
      <c r="C7" s="13">
        <v>8132</v>
      </c>
      <c r="D7" s="13">
        <v>4694</v>
      </c>
      <c r="E7" s="13">
        <v>3598</v>
      </c>
      <c r="F7" s="13">
        <v>3947</v>
      </c>
      <c r="G7" s="13">
        <v>9301</v>
      </c>
      <c r="H7" s="13">
        <v>7320</v>
      </c>
      <c r="I7" s="13">
        <v>-4692</v>
      </c>
      <c r="J7" s="13">
        <v>-8085</v>
      </c>
      <c r="K7" s="13">
        <v>5748</v>
      </c>
      <c r="L7" s="13">
        <v>-7012</v>
      </c>
      <c r="M7" s="13">
        <v>6945</v>
      </c>
      <c r="N7" s="13">
        <v>13706</v>
      </c>
    </row>
    <row r="8" spans="2:14" x14ac:dyDescent="0.3">
      <c r="B8" t="s">
        <v>89</v>
      </c>
      <c r="C8" s="13">
        <v>0</v>
      </c>
      <c r="D8" s="13">
        <v>0</v>
      </c>
      <c r="E8" s="13">
        <v>0</v>
      </c>
      <c r="F8" s="13">
        <v>-520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-3083</v>
      </c>
    </row>
    <row r="9" spans="2:14" x14ac:dyDescent="0.3">
      <c r="B9" t="s">
        <v>90</v>
      </c>
      <c r="C9" s="13">
        <v>-303</v>
      </c>
      <c r="D9" s="13">
        <v>1870</v>
      </c>
      <c r="E9" s="13">
        <v>-398</v>
      </c>
      <c r="F9" s="13">
        <v>5852</v>
      </c>
      <c r="G9" s="13">
        <v>4727</v>
      </c>
      <c r="H9" s="13">
        <v>494</v>
      </c>
      <c r="I9" s="13">
        <v>4512</v>
      </c>
      <c r="J9" s="13">
        <v>875</v>
      </c>
      <c r="K9" s="13">
        <v>-4150</v>
      </c>
      <c r="L9" s="13">
        <v>-4396</v>
      </c>
      <c r="M9" s="13">
        <v>-2194</v>
      </c>
      <c r="N9" s="13">
        <v>5118</v>
      </c>
    </row>
    <row r="10" spans="2:14" x14ac:dyDescent="0.3">
      <c r="B10" t="s">
        <v>91</v>
      </c>
      <c r="C10" s="13">
        <v>-3</v>
      </c>
      <c r="D10" s="13">
        <v>4157</v>
      </c>
      <c r="E10" s="13">
        <v>-3672</v>
      </c>
      <c r="F10" s="13">
        <v>1313</v>
      </c>
      <c r="G10" s="13">
        <v>3254</v>
      </c>
      <c r="H10" s="13">
        <v>-6434</v>
      </c>
      <c r="I10" s="13">
        <v>-7221</v>
      </c>
      <c r="J10" s="13">
        <v>5065</v>
      </c>
      <c r="K10" s="13">
        <v>-93</v>
      </c>
      <c r="L10" s="13">
        <v>-10750</v>
      </c>
      <c r="M10" s="13">
        <v>-3127</v>
      </c>
      <c r="N10" s="13">
        <v>7325</v>
      </c>
    </row>
    <row r="11" spans="2:14" x14ac:dyDescent="0.3">
      <c r="B11" t="s">
        <v>92</v>
      </c>
      <c r="C11" s="13">
        <v>-2240</v>
      </c>
      <c r="D11" s="13">
        <v>-4308</v>
      </c>
      <c r="E11" s="13">
        <v>-4194</v>
      </c>
      <c r="F11" s="13">
        <v>-2040</v>
      </c>
      <c r="G11" s="13">
        <v>-1895</v>
      </c>
      <c r="H11" s="13">
        <v>-3021</v>
      </c>
      <c r="I11" s="13">
        <v>-2659</v>
      </c>
      <c r="J11" s="13">
        <v>-1785</v>
      </c>
      <c r="K11" s="13">
        <v>-2105</v>
      </c>
      <c r="L11" s="13">
        <v>-1910</v>
      </c>
      <c r="M11" s="13">
        <v>-3179</v>
      </c>
      <c r="N11" s="13">
        <v>-4516</v>
      </c>
    </row>
    <row r="12" spans="2:14" x14ac:dyDescent="0.3">
      <c r="B12" t="s">
        <v>93</v>
      </c>
      <c r="C12" s="13">
        <v>-22969</v>
      </c>
      <c r="D12" s="13">
        <v>-27991</v>
      </c>
      <c r="E12" s="13">
        <v>-36232</v>
      </c>
      <c r="F12" s="13">
        <v>-36694</v>
      </c>
      <c r="G12" s="13">
        <v>-39571</v>
      </c>
      <c r="H12" s="13">
        <v>-25139</v>
      </c>
      <c r="I12" s="13">
        <v>-20878</v>
      </c>
      <c r="J12" s="13">
        <v>-33115</v>
      </c>
      <c r="K12" s="13">
        <v>-25672</v>
      </c>
      <c r="L12" s="13">
        <v>-4444</v>
      </c>
      <c r="M12" s="13">
        <v>-15417</v>
      </c>
      <c r="N12" s="13">
        <v>-22828</v>
      </c>
    </row>
    <row r="13" spans="2:14" x14ac:dyDescent="0.3">
      <c r="B13" t="s">
        <v>94</v>
      </c>
      <c r="C13" s="13">
        <v>-18863</v>
      </c>
      <c r="D13" s="13">
        <v>-26975</v>
      </c>
      <c r="E13" s="13">
        <v>-31962</v>
      </c>
      <c r="F13" s="13">
        <v>-31503</v>
      </c>
      <c r="G13" s="13">
        <v>-16072</v>
      </c>
      <c r="H13" s="13">
        <v>-35079</v>
      </c>
      <c r="I13" s="13">
        <v>-35304</v>
      </c>
      <c r="J13" s="13">
        <v>-29702</v>
      </c>
      <c r="K13" s="13">
        <v>-20205</v>
      </c>
      <c r="L13" s="13">
        <v>-15168</v>
      </c>
      <c r="M13" s="13">
        <v>-19230</v>
      </c>
      <c r="N13" s="13">
        <v>-31414</v>
      </c>
    </row>
    <row r="14" spans="2:14" x14ac:dyDescent="0.3">
      <c r="B14" t="s">
        <v>95</v>
      </c>
      <c r="C14" s="13">
        <v>37</v>
      </c>
      <c r="D14" s="13">
        <v>50</v>
      </c>
      <c r="E14" s="13">
        <v>74</v>
      </c>
      <c r="F14" s="13">
        <v>59</v>
      </c>
      <c r="G14" s="13">
        <v>53</v>
      </c>
      <c r="H14" s="13">
        <v>30</v>
      </c>
      <c r="I14" s="13">
        <v>67</v>
      </c>
      <c r="J14" s="13">
        <v>171</v>
      </c>
      <c r="K14" s="13">
        <v>351</v>
      </c>
      <c r="L14" s="13">
        <v>230</v>
      </c>
      <c r="M14" s="13">
        <v>285</v>
      </c>
      <c r="N14" s="13">
        <v>231</v>
      </c>
    </row>
    <row r="15" spans="2:14" x14ac:dyDescent="0.3">
      <c r="B15" t="s">
        <v>96</v>
      </c>
      <c r="C15" s="13">
        <v>73</v>
      </c>
      <c r="D15" s="13">
        <v>-429</v>
      </c>
      <c r="E15" s="13">
        <v>-5461</v>
      </c>
      <c r="F15" s="13">
        <v>-4728</v>
      </c>
      <c r="G15" s="13">
        <v>-6</v>
      </c>
      <c r="H15" s="13">
        <v>-329</v>
      </c>
      <c r="I15" s="13">
        <v>-130</v>
      </c>
      <c r="J15" s="13">
        <v>-1439</v>
      </c>
      <c r="K15" s="13">
        <v>-7530</v>
      </c>
      <c r="L15" s="13">
        <v>-3008</v>
      </c>
      <c r="M15" s="13">
        <v>-50</v>
      </c>
      <c r="N15" s="13">
        <v>-5567</v>
      </c>
    </row>
    <row r="16" spans="2:14" x14ac:dyDescent="0.3">
      <c r="B16" t="s">
        <v>97</v>
      </c>
      <c r="C16" s="13">
        <v>34</v>
      </c>
      <c r="D16" s="13">
        <v>4</v>
      </c>
      <c r="E16" s="13">
        <v>42</v>
      </c>
      <c r="F16" s="13">
        <v>89</v>
      </c>
      <c r="G16" s="13">
        <v>1965</v>
      </c>
      <c r="H16" s="13">
        <v>2381</v>
      </c>
      <c r="I16" s="13">
        <v>5644</v>
      </c>
      <c r="J16" s="13">
        <v>21</v>
      </c>
      <c r="K16" s="13">
        <v>226</v>
      </c>
      <c r="L16" s="13">
        <v>104</v>
      </c>
      <c r="M16" s="13">
        <v>6895</v>
      </c>
      <c r="N16" s="13">
        <v>10820</v>
      </c>
    </row>
    <row r="17" spans="2:14" x14ac:dyDescent="0.3">
      <c r="B17" t="s">
        <v>98</v>
      </c>
      <c r="C17" s="13">
        <v>713</v>
      </c>
      <c r="D17" s="13">
        <v>653</v>
      </c>
      <c r="E17" s="13">
        <v>698</v>
      </c>
      <c r="F17" s="13">
        <v>731</v>
      </c>
      <c r="G17" s="13">
        <v>638</v>
      </c>
      <c r="H17" s="13">
        <v>690</v>
      </c>
      <c r="I17" s="13">
        <v>761</v>
      </c>
      <c r="J17" s="13">
        <v>1104</v>
      </c>
      <c r="K17" s="13">
        <v>428</v>
      </c>
      <c r="L17" s="13">
        <v>653</v>
      </c>
      <c r="M17" s="13">
        <v>973</v>
      </c>
      <c r="N17" s="13">
        <v>2493</v>
      </c>
    </row>
    <row r="18" spans="2:14" x14ac:dyDescent="0.3">
      <c r="B18" t="s">
        <v>99</v>
      </c>
      <c r="C18" s="13">
        <v>95</v>
      </c>
      <c r="D18" s="13">
        <v>40</v>
      </c>
      <c r="E18" s="13">
        <v>80</v>
      </c>
      <c r="F18" s="13">
        <v>58</v>
      </c>
      <c r="G18" s="13">
        <v>620</v>
      </c>
      <c r="H18" s="13">
        <v>1797</v>
      </c>
      <c r="I18" s="13">
        <v>232</v>
      </c>
      <c r="J18" s="13">
        <v>21</v>
      </c>
      <c r="K18" s="13">
        <v>18</v>
      </c>
      <c r="L18" s="13">
        <v>32</v>
      </c>
      <c r="M18" s="13">
        <v>46</v>
      </c>
      <c r="N18" s="13">
        <v>96</v>
      </c>
    </row>
    <row r="19" spans="2:14" x14ac:dyDescent="0.3">
      <c r="B19" t="s">
        <v>100</v>
      </c>
      <c r="C19" s="13">
        <v>0</v>
      </c>
      <c r="D19" s="13">
        <v>0</v>
      </c>
      <c r="E19" s="13">
        <v>-160</v>
      </c>
      <c r="F19" s="13">
        <v>0</v>
      </c>
      <c r="G19" s="13">
        <v>-107</v>
      </c>
      <c r="H19" s="13">
        <v>-4</v>
      </c>
      <c r="I19" s="13">
        <v>-9</v>
      </c>
      <c r="J19" s="13">
        <v>-606</v>
      </c>
      <c r="K19" s="13">
        <v>-10</v>
      </c>
      <c r="L19" s="13">
        <v>0</v>
      </c>
      <c r="M19" s="13">
        <v>0</v>
      </c>
      <c r="N19" s="13">
        <v>0</v>
      </c>
    </row>
    <row r="20" spans="2:14" x14ac:dyDescent="0.3">
      <c r="B20" t="s">
        <v>101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14</v>
      </c>
      <c r="I20" s="13">
        <v>533</v>
      </c>
      <c r="J20" s="13">
        <v>0</v>
      </c>
      <c r="K20" s="13">
        <v>0</v>
      </c>
      <c r="L20" s="13">
        <v>0</v>
      </c>
      <c r="M20" s="13">
        <v>19</v>
      </c>
      <c r="N20" s="13">
        <v>108</v>
      </c>
    </row>
    <row r="21" spans="2:14" x14ac:dyDescent="0.3">
      <c r="B21" t="s">
        <v>102</v>
      </c>
      <c r="C21" s="13">
        <v>0</v>
      </c>
      <c r="D21" s="13">
        <v>-185</v>
      </c>
      <c r="E21" s="13">
        <v>0</v>
      </c>
      <c r="F21" s="13">
        <v>-111</v>
      </c>
      <c r="G21" s="13">
        <v>0</v>
      </c>
      <c r="H21" s="13">
        <v>0</v>
      </c>
      <c r="I21" s="13">
        <v>-8</v>
      </c>
      <c r="J21" s="13">
        <v>-27</v>
      </c>
      <c r="K21" s="13">
        <v>0</v>
      </c>
      <c r="L21" s="13">
        <v>-98</v>
      </c>
      <c r="M21" s="13">
        <v>0</v>
      </c>
      <c r="N21" s="13">
        <v>0</v>
      </c>
    </row>
    <row r="22" spans="2:14" x14ac:dyDescent="0.3">
      <c r="B22" t="s">
        <v>103</v>
      </c>
      <c r="C22" s="13">
        <v>45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-24</v>
      </c>
    </row>
    <row r="23" spans="2:14" x14ac:dyDescent="0.3">
      <c r="B23" t="s">
        <v>104</v>
      </c>
      <c r="C23" s="13">
        <v>-5103</v>
      </c>
      <c r="D23" s="13">
        <v>-1149</v>
      </c>
      <c r="E23" s="13">
        <v>456</v>
      </c>
      <c r="F23" s="13">
        <v>-1289</v>
      </c>
      <c r="G23" s="13">
        <v>-26663</v>
      </c>
      <c r="H23" s="13">
        <v>5360</v>
      </c>
      <c r="I23" s="13">
        <v>7335</v>
      </c>
      <c r="J23" s="13">
        <v>-2659</v>
      </c>
      <c r="K23" s="13">
        <v>1051</v>
      </c>
      <c r="L23" s="13">
        <v>12813</v>
      </c>
      <c r="M23" s="13">
        <v>-4357</v>
      </c>
      <c r="N23" s="13">
        <v>429</v>
      </c>
    </row>
    <row r="24" spans="2:14" x14ac:dyDescent="0.3">
      <c r="B24" t="s">
        <v>105</v>
      </c>
      <c r="C24" s="13">
        <v>-1692</v>
      </c>
      <c r="D24" s="13">
        <v>-3883</v>
      </c>
      <c r="E24" s="13">
        <v>5201</v>
      </c>
      <c r="F24" s="13">
        <v>-3795</v>
      </c>
      <c r="G24" s="13">
        <v>6205</v>
      </c>
      <c r="H24" s="13">
        <v>2012</v>
      </c>
      <c r="I24" s="13">
        <v>8830</v>
      </c>
      <c r="J24" s="13">
        <v>3390</v>
      </c>
      <c r="K24" s="13">
        <v>9904</v>
      </c>
      <c r="L24" s="13">
        <v>-3380</v>
      </c>
      <c r="M24" s="13">
        <v>-26243</v>
      </c>
      <c r="N24" s="13">
        <v>-37006</v>
      </c>
    </row>
    <row r="25" spans="2:14" x14ac:dyDescent="0.3">
      <c r="B25" t="s">
        <v>106</v>
      </c>
      <c r="C25" s="13">
        <v>1</v>
      </c>
      <c r="D25" s="13">
        <v>0</v>
      </c>
      <c r="E25" s="13">
        <v>0</v>
      </c>
      <c r="F25" s="13">
        <v>7433</v>
      </c>
      <c r="G25" s="13">
        <v>5</v>
      </c>
      <c r="H25" s="13">
        <v>0</v>
      </c>
      <c r="I25" s="13">
        <v>0</v>
      </c>
      <c r="J25" s="13">
        <v>3889</v>
      </c>
      <c r="K25" s="13">
        <v>2603</v>
      </c>
      <c r="L25" s="13">
        <v>19</v>
      </c>
      <c r="M25" s="13">
        <v>20</v>
      </c>
      <c r="N25" s="13">
        <v>82</v>
      </c>
    </row>
    <row r="26" spans="2:14" x14ac:dyDescent="0.3">
      <c r="B26" t="s">
        <v>107</v>
      </c>
      <c r="C26" s="13">
        <v>-97</v>
      </c>
      <c r="D26" s="13">
        <v>-658</v>
      </c>
      <c r="E26" s="13">
        <v>-744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</row>
    <row r="27" spans="2:14" x14ac:dyDescent="0.3">
      <c r="B27" t="s">
        <v>108</v>
      </c>
      <c r="C27" s="13">
        <v>27863</v>
      </c>
      <c r="D27" s="13">
        <v>33258</v>
      </c>
      <c r="E27" s="13">
        <v>36363</v>
      </c>
      <c r="F27" s="13">
        <v>19519</v>
      </c>
      <c r="G27" s="13">
        <v>33390</v>
      </c>
      <c r="H27" s="13">
        <v>37482</v>
      </c>
      <c r="I27" s="13">
        <v>51128</v>
      </c>
      <c r="J27" s="13">
        <v>38297</v>
      </c>
      <c r="K27" s="13">
        <v>46641</v>
      </c>
      <c r="L27" s="13">
        <v>46578</v>
      </c>
      <c r="M27" s="13">
        <v>43934</v>
      </c>
      <c r="N27" s="13">
        <v>21824</v>
      </c>
    </row>
    <row r="28" spans="2:14" x14ac:dyDescent="0.3">
      <c r="B28" t="s">
        <v>109</v>
      </c>
      <c r="C28" s="13">
        <v>-20395</v>
      </c>
      <c r="D28" s="13">
        <v>-29141</v>
      </c>
      <c r="E28" s="13">
        <v>-23332</v>
      </c>
      <c r="F28" s="13">
        <v>-24924</v>
      </c>
      <c r="G28" s="13">
        <v>-21732</v>
      </c>
      <c r="H28" s="13">
        <v>-29964</v>
      </c>
      <c r="I28" s="13">
        <v>-35198</v>
      </c>
      <c r="J28" s="13">
        <v>-29847</v>
      </c>
      <c r="K28" s="13">
        <v>-29709</v>
      </c>
      <c r="L28" s="13">
        <v>-42816</v>
      </c>
      <c r="M28" s="13">
        <v>-62557</v>
      </c>
      <c r="N28" s="13">
        <v>-50325</v>
      </c>
    </row>
    <row r="29" spans="2:14" x14ac:dyDescent="0.3">
      <c r="B29" t="s">
        <v>110</v>
      </c>
      <c r="C29" s="13">
        <v>-4666</v>
      </c>
      <c r="D29" s="13">
        <v>-6171</v>
      </c>
      <c r="E29" s="13">
        <v>-6307</v>
      </c>
      <c r="F29" s="13">
        <v>-5716</v>
      </c>
      <c r="G29" s="13">
        <v>-5336</v>
      </c>
      <c r="H29" s="13">
        <v>-5411</v>
      </c>
      <c r="I29" s="13">
        <v>-7005</v>
      </c>
      <c r="J29" s="13">
        <v>-7518</v>
      </c>
      <c r="K29" s="13">
        <v>-8123</v>
      </c>
      <c r="L29" s="13">
        <v>-9251</v>
      </c>
      <c r="M29" s="13">
        <v>-9336</v>
      </c>
      <c r="N29" s="13">
        <v>-9332</v>
      </c>
    </row>
    <row r="30" spans="2:14" x14ac:dyDescent="0.3">
      <c r="B30" t="s">
        <v>111</v>
      </c>
      <c r="C30" s="13">
        <v>-1551</v>
      </c>
      <c r="D30" s="13">
        <v>-722</v>
      </c>
      <c r="E30" s="13">
        <v>-720</v>
      </c>
      <c r="F30" s="13">
        <v>-108</v>
      </c>
      <c r="G30" s="13">
        <v>-121</v>
      </c>
      <c r="H30" s="13">
        <v>-96</v>
      </c>
      <c r="I30" s="13">
        <v>-95</v>
      </c>
      <c r="J30" s="13">
        <v>-57</v>
      </c>
      <c r="K30" s="13">
        <v>-30</v>
      </c>
      <c r="L30" s="13">
        <v>-100</v>
      </c>
      <c r="M30" s="13">
        <v>-141</v>
      </c>
      <c r="N30" s="13">
        <v>-289</v>
      </c>
    </row>
    <row r="31" spans="2:14" x14ac:dyDescent="0.3">
      <c r="B31" t="s">
        <v>112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-1346</v>
      </c>
      <c r="K31" s="13">
        <v>-1477</v>
      </c>
      <c r="L31" s="13">
        <v>-1559</v>
      </c>
      <c r="M31" s="13">
        <v>-1517</v>
      </c>
      <c r="N31" s="13">
        <v>-3848</v>
      </c>
    </row>
    <row r="32" spans="2:14" x14ac:dyDescent="0.3">
      <c r="B32" t="s">
        <v>113</v>
      </c>
      <c r="C32" s="13">
        <v>-2849</v>
      </c>
      <c r="D32" s="13">
        <v>-450</v>
      </c>
      <c r="E32" s="13">
        <v>-57</v>
      </c>
      <c r="F32" s="13">
        <v>0</v>
      </c>
      <c r="G32" s="13">
        <v>0</v>
      </c>
      <c r="H32" s="13">
        <v>0</v>
      </c>
      <c r="I32" s="13">
        <v>0</v>
      </c>
      <c r="J32" s="13">
        <v>-29</v>
      </c>
      <c r="K32" s="13">
        <v>0</v>
      </c>
      <c r="L32" s="13">
        <v>3750</v>
      </c>
      <c r="M32" s="13">
        <v>3355</v>
      </c>
      <c r="N32" s="13">
        <v>4884</v>
      </c>
    </row>
    <row r="33" spans="2:14" x14ac:dyDescent="0.3">
      <c r="B33" t="s">
        <v>24</v>
      </c>
      <c r="C33" s="13">
        <v>-2499</v>
      </c>
      <c r="D33" s="13">
        <v>4277</v>
      </c>
      <c r="E33" s="13">
        <v>4500</v>
      </c>
      <c r="F33" s="13">
        <v>-2589</v>
      </c>
      <c r="G33" s="13">
        <v>-3167</v>
      </c>
      <c r="H33" s="13">
        <v>730</v>
      </c>
      <c r="I33" s="13">
        <v>6843</v>
      </c>
      <c r="J33" s="13">
        <v>-3092</v>
      </c>
      <c r="K33" s="13">
        <v>13232</v>
      </c>
      <c r="L33" s="13">
        <v>6459</v>
      </c>
      <c r="M33" s="13">
        <v>-6272</v>
      </c>
      <c r="N33" s="13">
        <v>8081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/>
  </sheetPr>
  <dimension ref="A1:K93"/>
  <sheetViews>
    <sheetView zoomScale="120" zoomScaleNormal="120" zoomScalePageLayoutView="120" workbookViewId="0">
      <pane xSplit="1" ySplit="1" topLeftCell="B74" activePane="bottomRight" state="frozen"/>
      <selection activeCell="C4" sqref="C4"/>
      <selection pane="topRight" activeCell="C4" sqref="C4"/>
      <selection pane="bottomLeft" activeCell="C4" sqref="C4"/>
      <selection pane="bottomRight" activeCell="C81" sqref="C81"/>
    </sheetView>
  </sheetViews>
  <sheetFormatPr defaultColWidth="8.77734375" defaultRowHeight="14.4" x14ac:dyDescent="0.3"/>
  <cols>
    <col min="1" max="1" width="27.6640625" style="3" bestFit="1" customWidth="1"/>
    <col min="2" max="11" width="13.44140625" style="3" bestFit="1" customWidth="1"/>
    <col min="12" max="16384" width="8.77734375" style="3"/>
  </cols>
  <sheetData>
    <row r="1" spans="1:11" s="1" customFormat="1" x14ac:dyDescent="0.3">
      <c r="A1" s="1" t="s">
        <v>0</v>
      </c>
      <c r="B1" s="1" t="s">
        <v>42</v>
      </c>
      <c r="E1" s="28" t="str">
        <f>IF(B2&lt;&gt;B3, "A NEW VERSION OF THE WORKSHEET IS AVAILABLE", "")</f>
        <v/>
      </c>
      <c r="F1" s="28"/>
      <c r="G1" s="28"/>
      <c r="H1" s="28"/>
      <c r="I1" s="28"/>
      <c r="J1" s="28"/>
      <c r="K1" s="28"/>
    </row>
    <row r="2" spans="1:11" x14ac:dyDescent="0.3">
      <c r="A2" s="1" t="s">
        <v>40</v>
      </c>
      <c r="B2" s="3">
        <v>2.1</v>
      </c>
      <c r="E2" s="29" t="s">
        <v>25</v>
      </c>
      <c r="F2" s="29"/>
      <c r="G2" s="29"/>
      <c r="H2" s="29"/>
      <c r="I2" s="29"/>
      <c r="J2" s="29"/>
      <c r="K2" s="29"/>
    </row>
    <row r="3" spans="1:11" x14ac:dyDescent="0.3">
      <c r="A3" s="1" t="s">
        <v>41</v>
      </c>
      <c r="B3" s="3">
        <v>2.1</v>
      </c>
    </row>
    <row r="4" spans="1:11" x14ac:dyDescent="0.3">
      <c r="A4" s="1"/>
    </row>
    <row r="5" spans="1:11" x14ac:dyDescent="0.3">
      <c r="A5" s="1" t="s">
        <v>43</v>
      </c>
    </row>
    <row r="6" spans="1:11" x14ac:dyDescent="0.3">
      <c r="A6" s="3" t="s">
        <v>31</v>
      </c>
      <c r="B6" s="3">
        <f>IF(B9&gt;0, B9/B8, 0)</f>
        <v>366.75420580474935</v>
      </c>
    </row>
    <row r="7" spans="1:11" x14ac:dyDescent="0.3">
      <c r="A7" s="3" t="s">
        <v>20</v>
      </c>
      <c r="B7">
        <v>2</v>
      </c>
    </row>
    <row r="8" spans="1:11" x14ac:dyDescent="0.3">
      <c r="A8" s="3" t="s">
        <v>32</v>
      </c>
      <c r="B8">
        <v>947.5</v>
      </c>
    </row>
    <row r="9" spans="1:11" x14ac:dyDescent="0.3">
      <c r="A9" s="3" t="s">
        <v>53</v>
      </c>
      <c r="B9">
        <v>347499.61</v>
      </c>
    </row>
    <row r="15" spans="1:11" x14ac:dyDescent="0.3">
      <c r="A15" s="1" t="s">
        <v>26</v>
      </c>
    </row>
    <row r="16" spans="1:11" s="11" customFormat="1" x14ac:dyDescent="0.3">
      <c r="A16" s="10" t="s">
        <v>27</v>
      </c>
      <c r="B16" s="7">
        <v>42094</v>
      </c>
      <c r="C16" s="7">
        <v>42460</v>
      </c>
      <c r="D16" s="7">
        <v>42825</v>
      </c>
      <c r="E16" s="7">
        <v>43190</v>
      </c>
      <c r="F16" s="7">
        <v>43555</v>
      </c>
      <c r="G16" s="7">
        <v>43921</v>
      </c>
      <c r="H16" s="7">
        <v>44286</v>
      </c>
      <c r="I16" s="7">
        <v>44651</v>
      </c>
      <c r="J16" s="7">
        <v>45016</v>
      </c>
      <c r="K16" s="7">
        <v>45382</v>
      </c>
    </row>
    <row r="17" spans="1:11" s="4" customFormat="1" x14ac:dyDescent="0.3">
      <c r="A17" s="4" t="s">
        <v>3</v>
      </c>
      <c r="B17">
        <v>263158.98</v>
      </c>
      <c r="C17">
        <v>273045.59999999998</v>
      </c>
      <c r="D17">
        <v>269692.51</v>
      </c>
      <c r="E17">
        <v>291550.48</v>
      </c>
      <c r="F17">
        <v>301938.40000000002</v>
      </c>
      <c r="G17">
        <v>261067.97</v>
      </c>
      <c r="H17">
        <v>249794.75</v>
      </c>
      <c r="I17">
        <v>278453.62</v>
      </c>
      <c r="J17">
        <v>345966.97</v>
      </c>
      <c r="K17">
        <v>437927.77</v>
      </c>
    </row>
    <row r="18" spans="1:11" s="4" customFormat="1" x14ac:dyDescent="0.3">
      <c r="A18" s="3" t="s">
        <v>54</v>
      </c>
      <c r="B18">
        <v>163250.35999999999</v>
      </c>
      <c r="C18">
        <v>166134.01</v>
      </c>
      <c r="D18">
        <v>173294.07999999999</v>
      </c>
      <c r="E18">
        <v>187896.58</v>
      </c>
      <c r="F18">
        <v>194267.91</v>
      </c>
      <c r="G18">
        <v>164899.82</v>
      </c>
      <c r="H18">
        <v>153607.35999999999</v>
      </c>
      <c r="I18">
        <v>179295.33</v>
      </c>
      <c r="J18">
        <v>231251.26</v>
      </c>
      <c r="K18">
        <v>274321.23</v>
      </c>
    </row>
    <row r="19" spans="1:11" s="4" customFormat="1" x14ac:dyDescent="0.3">
      <c r="A19" s="3" t="s">
        <v>55</v>
      </c>
      <c r="B19">
        <v>3330.35</v>
      </c>
      <c r="C19">
        <v>2750.99</v>
      </c>
      <c r="D19">
        <v>7399.92</v>
      </c>
      <c r="E19">
        <v>2046.58</v>
      </c>
      <c r="F19">
        <v>-2053.2800000000002</v>
      </c>
      <c r="G19">
        <v>-2231.19</v>
      </c>
      <c r="H19">
        <v>-4684.16</v>
      </c>
      <c r="I19">
        <v>-1590.49</v>
      </c>
      <c r="J19">
        <v>4781.62</v>
      </c>
      <c r="K19">
        <v>1565.53</v>
      </c>
    </row>
    <row r="20" spans="1:11" s="4" customFormat="1" x14ac:dyDescent="0.3">
      <c r="A20" s="3" t="s">
        <v>56</v>
      </c>
      <c r="B20">
        <v>1121.75</v>
      </c>
      <c r="C20">
        <v>1143.6300000000001</v>
      </c>
      <c r="D20">
        <v>1159.82</v>
      </c>
      <c r="E20">
        <v>1308.08</v>
      </c>
      <c r="F20">
        <v>1585.93</v>
      </c>
      <c r="G20">
        <v>1264.95</v>
      </c>
      <c r="H20">
        <v>1112.8699999999999</v>
      </c>
      <c r="I20">
        <v>2178.29</v>
      </c>
      <c r="J20">
        <v>2513.33</v>
      </c>
    </row>
    <row r="21" spans="1:11" s="4" customFormat="1" x14ac:dyDescent="0.3">
      <c r="A21" s="3" t="s">
        <v>57</v>
      </c>
      <c r="B21">
        <v>16173.17</v>
      </c>
      <c r="C21">
        <v>12101.53</v>
      </c>
      <c r="D21">
        <v>10067.370000000001</v>
      </c>
      <c r="E21">
        <v>10971.66</v>
      </c>
      <c r="F21">
        <v>11694.54</v>
      </c>
      <c r="G21">
        <v>11541.51</v>
      </c>
      <c r="H21">
        <v>8273.17</v>
      </c>
      <c r="I21">
        <v>9427.3799999999992</v>
      </c>
      <c r="J21">
        <v>11765.97</v>
      </c>
    </row>
    <row r="22" spans="1:11" s="4" customFormat="1" x14ac:dyDescent="0.3">
      <c r="A22" s="3" t="s">
        <v>58</v>
      </c>
      <c r="B22">
        <v>25641.95</v>
      </c>
      <c r="C22">
        <v>28880.89</v>
      </c>
      <c r="D22">
        <v>28332.89</v>
      </c>
      <c r="E22">
        <v>30300.09</v>
      </c>
      <c r="F22">
        <v>33243.870000000003</v>
      </c>
      <c r="G22">
        <v>30438.6</v>
      </c>
      <c r="H22">
        <v>27648.48</v>
      </c>
      <c r="I22">
        <v>30808.52</v>
      </c>
      <c r="J22">
        <v>33654.699999999997</v>
      </c>
      <c r="K22">
        <v>42486.64</v>
      </c>
    </row>
    <row r="23" spans="1:11" s="4" customFormat="1" x14ac:dyDescent="0.3">
      <c r="A23" s="3" t="s">
        <v>59</v>
      </c>
      <c r="B23">
        <v>23603.01</v>
      </c>
      <c r="C23">
        <v>21991.9</v>
      </c>
      <c r="D23">
        <v>30039.38</v>
      </c>
      <c r="E23">
        <v>31004.58</v>
      </c>
      <c r="F23">
        <v>32719.8</v>
      </c>
      <c r="G23">
        <v>29248.32</v>
      </c>
      <c r="H23">
        <v>23015.79</v>
      </c>
      <c r="I23">
        <v>29205.4</v>
      </c>
      <c r="J23">
        <v>34839.19</v>
      </c>
    </row>
    <row r="24" spans="1:11" s="4" customFormat="1" x14ac:dyDescent="0.3">
      <c r="A24" s="3" t="s">
        <v>60</v>
      </c>
      <c r="B24">
        <v>-2539.56</v>
      </c>
      <c r="C24">
        <v>7149.38</v>
      </c>
      <c r="D24">
        <v>4610.2</v>
      </c>
      <c r="E24">
        <v>658.39</v>
      </c>
      <c r="F24">
        <v>1708.74</v>
      </c>
      <c r="G24">
        <v>3456.51</v>
      </c>
      <c r="H24">
        <v>-834.51</v>
      </c>
      <c r="I24">
        <v>1228.1199999999999</v>
      </c>
      <c r="J24">
        <v>4908.34</v>
      </c>
      <c r="K24">
        <v>63147.09</v>
      </c>
    </row>
    <row r="25" spans="1:11" s="4" customFormat="1" x14ac:dyDescent="0.3">
      <c r="A25" s="4" t="s">
        <v>6</v>
      </c>
      <c r="B25">
        <v>714.03</v>
      </c>
      <c r="C25">
        <v>-2669.62</v>
      </c>
      <c r="D25">
        <v>1869.1</v>
      </c>
      <c r="E25">
        <v>5932.73</v>
      </c>
      <c r="F25">
        <v>-26686.25</v>
      </c>
      <c r="G25">
        <v>101.71</v>
      </c>
      <c r="H25">
        <v>-11117.83</v>
      </c>
      <c r="I25">
        <v>2424.0500000000002</v>
      </c>
      <c r="J25">
        <v>6327.59</v>
      </c>
      <c r="K25">
        <v>5672.66</v>
      </c>
    </row>
    <row r="26" spans="1:11" s="4" customFormat="1" x14ac:dyDescent="0.3">
      <c r="A26" s="4" t="s">
        <v>7</v>
      </c>
      <c r="B26">
        <v>13388.63</v>
      </c>
      <c r="C26">
        <v>16710.78</v>
      </c>
      <c r="D26">
        <v>17904.990000000002</v>
      </c>
      <c r="E26">
        <v>21553.59</v>
      </c>
      <c r="F26">
        <v>23590.63</v>
      </c>
      <c r="G26">
        <v>21425.43</v>
      </c>
      <c r="H26">
        <v>23546.71</v>
      </c>
      <c r="I26">
        <v>24835.69</v>
      </c>
      <c r="J26">
        <v>24860.36</v>
      </c>
      <c r="K26">
        <v>27270.13</v>
      </c>
    </row>
    <row r="27" spans="1:11" s="4" customFormat="1" x14ac:dyDescent="0.3">
      <c r="A27" s="4" t="s">
        <v>8</v>
      </c>
      <c r="B27">
        <v>4861.49</v>
      </c>
      <c r="C27">
        <v>4889.08</v>
      </c>
      <c r="D27">
        <v>4238.01</v>
      </c>
      <c r="E27">
        <v>4681.79</v>
      </c>
      <c r="F27">
        <v>5758.6</v>
      </c>
      <c r="G27">
        <v>7243.33</v>
      </c>
      <c r="H27">
        <v>8097.17</v>
      </c>
      <c r="I27">
        <v>9311.86</v>
      </c>
      <c r="J27">
        <v>10225.48</v>
      </c>
      <c r="K27">
        <v>9985.76</v>
      </c>
    </row>
    <row r="28" spans="1:11" s="4" customFormat="1" x14ac:dyDescent="0.3">
      <c r="A28" s="4" t="s">
        <v>9</v>
      </c>
      <c r="B28">
        <v>21702.560000000001</v>
      </c>
      <c r="C28">
        <v>14125.77</v>
      </c>
      <c r="D28">
        <v>9314.7900000000009</v>
      </c>
      <c r="E28">
        <v>11155.03</v>
      </c>
      <c r="F28">
        <v>-31371.15</v>
      </c>
      <c r="G28">
        <v>-10579.98</v>
      </c>
      <c r="H28">
        <v>-10474.280000000001</v>
      </c>
      <c r="I28">
        <v>-7003.41</v>
      </c>
      <c r="J28">
        <v>3057.55</v>
      </c>
      <c r="K28">
        <v>27955.11</v>
      </c>
    </row>
    <row r="29" spans="1:11" s="4" customFormat="1" x14ac:dyDescent="0.3">
      <c r="A29" s="4" t="s">
        <v>10</v>
      </c>
      <c r="B29">
        <v>7642.91</v>
      </c>
      <c r="C29">
        <v>3025.05</v>
      </c>
      <c r="D29">
        <v>3251.23</v>
      </c>
      <c r="E29">
        <v>4341.93</v>
      </c>
      <c r="F29">
        <v>-2437.4499999999998</v>
      </c>
      <c r="G29">
        <v>395.25</v>
      </c>
      <c r="H29">
        <v>2541.86</v>
      </c>
      <c r="I29">
        <v>4231.29</v>
      </c>
      <c r="J29">
        <v>704.06</v>
      </c>
      <c r="K29">
        <v>-3851.64</v>
      </c>
    </row>
    <row r="30" spans="1:11" s="4" customFormat="1" x14ac:dyDescent="0.3">
      <c r="A30" s="4" t="s">
        <v>11</v>
      </c>
      <c r="B30">
        <v>13986.29</v>
      </c>
      <c r="C30">
        <v>11579.31</v>
      </c>
      <c r="D30">
        <v>7454.36</v>
      </c>
      <c r="E30">
        <v>8988.91</v>
      </c>
      <c r="F30">
        <v>-28826.23</v>
      </c>
      <c r="G30">
        <v>-12070.85</v>
      </c>
      <c r="H30">
        <v>-13451.39</v>
      </c>
      <c r="I30">
        <v>-11441.47</v>
      </c>
      <c r="J30">
        <v>2414.29</v>
      </c>
      <c r="K30">
        <v>31399.09</v>
      </c>
    </row>
    <row r="31" spans="1:11" s="4" customFormat="1" x14ac:dyDescent="0.3">
      <c r="A31" s="4" t="s">
        <v>44</v>
      </c>
      <c r="C31">
        <v>67.92</v>
      </c>
      <c r="J31">
        <v>766.02</v>
      </c>
      <c r="K31">
        <v>1149.75</v>
      </c>
    </row>
    <row r="32" spans="1:11" s="4" customFormat="1" x14ac:dyDescent="0.3"/>
    <row r="33" spans="1:11" x14ac:dyDescent="0.3">
      <c r="A33" s="4"/>
    </row>
    <row r="34" spans="1:11" x14ac:dyDescent="0.3">
      <c r="A34" s="4"/>
    </row>
    <row r="35" spans="1:11" x14ac:dyDescent="0.3">
      <c r="A35" s="4"/>
    </row>
    <row r="36" spans="1:11" x14ac:dyDescent="0.3">
      <c r="A36" s="4"/>
    </row>
    <row r="37" spans="1:11" x14ac:dyDescent="0.3">
      <c r="A37" s="4"/>
    </row>
    <row r="38" spans="1:11" x14ac:dyDescent="0.3">
      <c r="A38" s="4"/>
    </row>
    <row r="39" spans="1:11" x14ac:dyDescent="0.3">
      <c r="A39" s="4"/>
    </row>
    <row r="40" spans="1:11" x14ac:dyDescent="0.3">
      <c r="A40" s="1" t="s">
        <v>28</v>
      </c>
    </row>
    <row r="41" spans="1:11" s="11" customFormat="1" x14ac:dyDescent="0.3">
      <c r="A41" s="10" t="s">
        <v>27</v>
      </c>
      <c r="B41" s="7">
        <v>44561</v>
      </c>
      <c r="C41" s="7">
        <v>44651</v>
      </c>
      <c r="D41" s="7">
        <v>44742</v>
      </c>
      <c r="E41" s="7">
        <v>44834</v>
      </c>
      <c r="F41" s="7">
        <v>44926</v>
      </c>
      <c r="G41" s="7">
        <v>45016</v>
      </c>
      <c r="H41" s="7">
        <v>45107</v>
      </c>
      <c r="I41" s="7">
        <v>45199</v>
      </c>
      <c r="J41" s="7">
        <v>45291</v>
      </c>
      <c r="K41" s="7">
        <v>45382</v>
      </c>
    </row>
    <row r="42" spans="1:11" s="4" customFormat="1" x14ac:dyDescent="0.3">
      <c r="A42" s="4" t="s">
        <v>3</v>
      </c>
      <c r="B42">
        <v>72229.289999999994</v>
      </c>
      <c r="C42">
        <v>78439.06</v>
      </c>
      <c r="D42">
        <v>71934.66</v>
      </c>
      <c r="E42">
        <v>79611.37</v>
      </c>
      <c r="F42">
        <v>88488.59</v>
      </c>
      <c r="G42">
        <v>105932.35</v>
      </c>
      <c r="H42">
        <v>102236.08</v>
      </c>
      <c r="I42">
        <v>105128.24</v>
      </c>
      <c r="J42">
        <v>110577.14</v>
      </c>
      <c r="K42">
        <v>119986.31</v>
      </c>
    </row>
    <row r="43" spans="1:11" s="4" customFormat="1" x14ac:dyDescent="0.3">
      <c r="A43" s="4" t="s">
        <v>4</v>
      </c>
      <c r="B43">
        <v>65151.27</v>
      </c>
      <c r="C43">
        <v>70156.27</v>
      </c>
      <c r="D43">
        <v>69521.929999999993</v>
      </c>
      <c r="E43">
        <v>74039.06</v>
      </c>
      <c r="F43">
        <v>77668.350000000006</v>
      </c>
      <c r="G43">
        <v>92817.95</v>
      </c>
      <c r="H43">
        <v>89018.36</v>
      </c>
      <c r="I43">
        <v>91361.3</v>
      </c>
      <c r="J43">
        <v>95158.77</v>
      </c>
      <c r="K43">
        <v>102851</v>
      </c>
    </row>
    <row r="44" spans="1:11" s="4" customFormat="1" x14ac:dyDescent="0.3">
      <c r="A44" s="4" t="s">
        <v>6</v>
      </c>
      <c r="B44">
        <v>788.73</v>
      </c>
      <c r="C44">
        <v>188.74</v>
      </c>
      <c r="D44">
        <v>2380.98</v>
      </c>
      <c r="E44">
        <v>1351.14</v>
      </c>
      <c r="F44">
        <v>1129.98</v>
      </c>
      <c r="G44">
        <v>1452.86</v>
      </c>
      <c r="H44">
        <v>683.56</v>
      </c>
      <c r="I44">
        <v>1507.05</v>
      </c>
      <c r="J44">
        <v>1603.76</v>
      </c>
      <c r="K44">
        <v>1618.3</v>
      </c>
    </row>
    <row r="45" spans="1:11" s="4" customFormat="1" x14ac:dyDescent="0.3">
      <c r="A45" s="4" t="s">
        <v>7</v>
      </c>
      <c r="B45">
        <v>6078.13</v>
      </c>
      <c r="C45">
        <v>6432.11</v>
      </c>
      <c r="D45">
        <v>5841.04</v>
      </c>
      <c r="E45">
        <v>5897.34</v>
      </c>
      <c r="F45">
        <v>6071.78</v>
      </c>
      <c r="G45">
        <v>7050.2</v>
      </c>
      <c r="H45">
        <v>6633.18</v>
      </c>
      <c r="I45">
        <v>6636.42</v>
      </c>
      <c r="J45">
        <v>6850</v>
      </c>
      <c r="K45">
        <v>7150.53</v>
      </c>
    </row>
    <row r="46" spans="1:11" s="4" customFormat="1" x14ac:dyDescent="0.3">
      <c r="A46" s="4" t="s">
        <v>8</v>
      </c>
      <c r="B46">
        <v>2400.7399999999998</v>
      </c>
      <c r="C46">
        <v>2380.52</v>
      </c>
      <c r="D46">
        <v>2420.7199999999998</v>
      </c>
      <c r="E46">
        <v>2487.2600000000002</v>
      </c>
      <c r="F46">
        <v>2675.83</v>
      </c>
      <c r="G46">
        <v>2641.67</v>
      </c>
      <c r="H46">
        <v>2615.39</v>
      </c>
      <c r="I46">
        <v>2651.69</v>
      </c>
      <c r="J46">
        <v>2484.91</v>
      </c>
      <c r="K46">
        <v>2233.77</v>
      </c>
    </row>
    <row r="47" spans="1:11" s="4" customFormat="1" x14ac:dyDescent="0.3">
      <c r="A47" s="4" t="s">
        <v>9</v>
      </c>
      <c r="B47">
        <v>-612.12</v>
      </c>
      <c r="C47">
        <v>-341.1</v>
      </c>
      <c r="D47">
        <v>-3468.05</v>
      </c>
      <c r="E47">
        <v>-1461.15</v>
      </c>
      <c r="F47">
        <v>3202.61</v>
      </c>
      <c r="G47">
        <v>4875.3900000000003</v>
      </c>
      <c r="H47">
        <v>4652.71</v>
      </c>
      <c r="I47">
        <v>5985.88</v>
      </c>
      <c r="J47">
        <v>7687.22</v>
      </c>
      <c r="K47">
        <v>9369.31</v>
      </c>
    </row>
    <row r="48" spans="1:11" s="4" customFormat="1" x14ac:dyDescent="0.3">
      <c r="A48" s="4" t="s">
        <v>10</v>
      </c>
      <c r="B48">
        <v>726.05</v>
      </c>
      <c r="C48">
        <v>758.22</v>
      </c>
      <c r="D48">
        <v>1518.96</v>
      </c>
      <c r="E48">
        <v>-457.08</v>
      </c>
      <c r="F48">
        <v>262.83</v>
      </c>
      <c r="G48">
        <v>-620.65</v>
      </c>
      <c r="H48">
        <v>1563.01</v>
      </c>
      <c r="I48">
        <v>2202.84</v>
      </c>
      <c r="J48">
        <v>541.79</v>
      </c>
      <c r="K48">
        <v>-8159.28</v>
      </c>
    </row>
    <row r="49" spans="1:11" s="4" customFormat="1" x14ac:dyDescent="0.3">
      <c r="A49" s="4" t="s">
        <v>11</v>
      </c>
      <c r="B49">
        <v>-1516.14</v>
      </c>
      <c r="C49">
        <v>-1032.8399999999999</v>
      </c>
      <c r="D49">
        <v>-5006.6000000000004</v>
      </c>
      <c r="E49">
        <v>-944.61</v>
      </c>
      <c r="F49">
        <v>2957.71</v>
      </c>
      <c r="G49">
        <v>5407.79</v>
      </c>
      <c r="H49">
        <v>3202.8</v>
      </c>
      <c r="I49">
        <v>3764</v>
      </c>
      <c r="J49">
        <v>7025.11</v>
      </c>
      <c r="K49">
        <v>17407.18</v>
      </c>
    </row>
    <row r="50" spans="1:11" x14ac:dyDescent="0.3">
      <c r="A50" s="4" t="s">
        <v>5</v>
      </c>
      <c r="B50">
        <v>7078.02</v>
      </c>
      <c r="C50">
        <v>8282.7900000000009</v>
      </c>
      <c r="D50">
        <v>2412.73</v>
      </c>
      <c r="E50">
        <v>5572.31</v>
      </c>
      <c r="F50">
        <v>10820.24</v>
      </c>
      <c r="G50">
        <v>13114.4</v>
      </c>
      <c r="H50">
        <v>13217.72</v>
      </c>
      <c r="I50">
        <v>13766.94</v>
      </c>
      <c r="J50">
        <v>15418.37</v>
      </c>
      <c r="K50">
        <v>17135.310000000001</v>
      </c>
    </row>
    <row r="51" spans="1:11" x14ac:dyDescent="0.3">
      <c r="A51" s="4"/>
    </row>
    <row r="52" spans="1:11" x14ac:dyDescent="0.3">
      <c r="A52" s="4"/>
    </row>
    <row r="53" spans="1:11" x14ac:dyDescent="0.3">
      <c r="A53" s="4"/>
    </row>
    <row r="54" spans="1:11" x14ac:dyDescent="0.3">
      <c r="A54" s="4"/>
    </row>
    <row r="55" spans="1:11" x14ac:dyDescent="0.3">
      <c r="A55" s="1" t="s">
        <v>29</v>
      </c>
    </row>
    <row r="56" spans="1:11" s="11" customFormat="1" x14ac:dyDescent="0.3">
      <c r="A56" s="10" t="s">
        <v>27</v>
      </c>
      <c r="B56" s="7">
        <v>42094</v>
      </c>
      <c r="C56" s="7">
        <v>42460</v>
      </c>
      <c r="D56" s="7">
        <v>42825</v>
      </c>
      <c r="E56" s="7">
        <v>43190</v>
      </c>
      <c r="F56" s="7">
        <v>43555</v>
      </c>
      <c r="G56" s="7">
        <v>43921</v>
      </c>
      <c r="H56" s="7">
        <v>44286</v>
      </c>
      <c r="I56" s="7">
        <v>44651</v>
      </c>
      <c r="J56" s="7">
        <v>45016</v>
      </c>
      <c r="K56" s="7">
        <v>45382</v>
      </c>
    </row>
    <row r="57" spans="1:11" x14ac:dyDescent="0.3">
      <c r="A57" s="4" t="s">
        <v>13</v>
      </c>
      <c r="B57">
        <v>643.78</v>
      </c>
      <c r="C57">
        <v>679.18</v>
      </c>
      <c r="D57">
        <v>679.22</v>
      </c>
      <c r="E57">
        <v>679.22</v>
      </c>
      <c r="F57">
        <v>679.22</v>
      </c>
      <c r="G57">
        <v>719.54</v>
      </c>
      <c r="H57">
        <v>765.81</v>
      </c>
      <c r="I57">
        <v>765.88</v>
      </c>
      <c r="J57">
        <v>766.02</v>
      </c>
      <c r="K57">
        <v>766.5</v>
      </c>
    </row>
    <row r="58" spans="1:11" x14ac:dyDescent="0.3">
      <c r="A58" s="4" t="s">
        <v>14</v>
      </c>
      <c r="B58">
        <v>55618.14</v>
      </c>
      <c r="C58">
        <v>78273.23</v>
      </c>
      <c r="D58">
        <v>57382.67</v>
      </c>
      <c r="E58">
        <v>94748.69</v>
      </c>
      <c r="F58">
        <v>59500.34</v>
      </c>
      <c r="G58">
        <v>61491.49</v>
      </c>
      <c r="H58">
        <v>54480.91</v>
      </c>
      <c r="I58">
        <v>43795.360000000001</v>
      </c>
      <c r="J58">
        <v>44555.77</v>
      </c>
      <c r="K58">
        <v>84151.52</v>
      </c>
    </row>
    <row r="59" spans="1:11" x14ac:dyDescent="0.3">
      <c r="A59" s="4" t="s">
        <v>45</v>
      </c>
      <c r="B59">
        <v>73610.39</v>
      </c>
      <c r="C59">
        <v>69359.960000000006</v>
      </c>
      <c r="D59">
        <v>78603.98</v>
      </c>
      <c r="E59">
        <v>88950.47</v>
      </c>
      <c r="F59">
        <v>106175.34</v>
      </c>
      <c r="G59">
        <v>124787.64</v>
      </c>
      <c r="H59">
        <v>142130.57</v>
      </c>
      <c r="I59">
        <v>146449.03</v>
      </c>
      <c r="J59">
        <v>134113.44</v>
      </c>
      <c r="K59">
        <v>107262.5</v>
      </c>
    </row>
    <row r="60" spans="1:11" x14ac:dyDescent="0.3">
      <c r="A60" s="4" t="s">
        <v>46</v>
      </c>
      <c r="B60">
        <v>107442.48</v>
      </c>
      <c r="C60">
        <v>114871.75</v>
      </c>
      <c r="D60">
        <v>135914.49</v>
      </c>
      <c r="E60">
        <v>142813.43</v>
      </c>
      <c r="F60">
        <v>139348.59</v>
      </c>
      <c r="G60">
        <v>133180.72</v>
      </c>
      <c r="H60">
        <v>144192.62</v>
      </c>
      <c r="I60">
        <v>138051.22</v>
      </c>
      <c r="J60">
        <v>155239.20000000001</v>
      </c>
      <c r="K60">
        <v>178483.44</v>
      </c>
    </row>
    <row r="61" spans="1:11" s="1" customFormat="1" x14ac:dyDescent="0.3">
      <c r="A61" s="1" t="s">
        <v>15</v>
      </c>
      <c r="B61">
        <v>237314.79</v>
      </c>
      <c r="C61">
        <v>263184.12</v>
      </c>
      <c r="D61">
        <v>272580.36</v>
      </c>
      <c r="E61">
        <v>327191.81</v>
      </c>
      <c r="F61">
        <v>305703.49</v>
      </c>
      <c r="G61">
        <v>320179.39</v>
      </c>
      <c r="H61">
        <v>341569.91</v>
      </c>
      <c r="I61">
        <v>329061.49</v>
      </c>
      <c r="J61">
        <v>334674.43</v>
      </c>
      <c r="K61">
        <v>370663.96</v>
      </c>
    </row>
    <row r="62" spans="1:11" x14ac:dyDescent="0.3">
      <c r="A62" s="4" t="s">
        <v>16</v>
      </c>
      <c r="B62">
        <v>88479.49</v>
      </c>
      <c r="C62">
        <v>107231.76</v>
      </c>
      <c r="D62">
        <v>95944.08</v>
      </c>
      <c r="E62">
        <v>121413.86</v>
      </c>
      <c r="F62">
        <v>111234.47</v>
      </c>
      <c r="G62">
        <v>127107.14</v>
      </c>
      <c r="H62">
        <v>138707.60999999999</v>
      </c>
      <c r="I62">
        <v>138855.45000000001</v>
      </c>
      <c r="J62">
        <v>132079.76</v>
      </c>
      <c r="K62">
        <v>146046.56</v>
      </c>
    </row>
    <row r="63" spans="1:11" x14ac:dyDescent="0.3">
      <c r="A63" s="4" t="s">
        <v>17</v>
      </c>
      <c r="B63">
        <v>28640.09</v>
      </c>
      <c r="C63">
        <v>25918.94</v>
      </c>
      <c r="D63">
        <v>33698.839999999997</v>
      </c>
      <c r="E63">
        <v>40033.5</v>
      </c>
      <c r="F63">
        <v>31883.84</v>
      </c>
      <c r="G63">
        <v>35622.29</v>
      </c>
      <c r="H63">
        <v>20963.93</v>
      </c>
      <c r="I63">
        <v>10251.09</v>
      </c>
      <c r="J63">
        <v>14274.5</v>
      </c>
      <c r="K63">
        <v>10937.33</v>
      </c>
    </row>
    <row r="64" spans="1:11" x14ac:dyDescent="0.3">
      <c r="A64" s="4" t="s">
        <v>18</v>
      </c>
      <c r="B64">
        <v>15336.74</v>
      </c>
      <c r="C64">
        <v>23767.02</v>
      </c>
      <c r="D64">
        <v>20337.919999999998</v>
      </c>
      <c r="E64">
        <v>20812.75</v>
      </c>
      <c r="F64">
        <v>15770.72</v>
      </c>
      <c r="G64">
        <v>16308.48</v>
      </c>
      <c r="H64">
        <v>24620.28</v>
      </c>
      <c r="I64">
        <v>29379.53</v>
      </c>
      <c r="J64">
        <v>26379.16</v>
      </c>
      <c r="K64">
        <v>22971.07</v>
      </c>
    </row>
    <row r="65" spans="1:11" x14ac:dyDescent="0.3">
      <c r="A65" s="4" t="s">
        <v>47</v>
      </c>
      <c r="B65">
        <v>104858.47</v>
      </c>
      <c r="C65">
        <v>106266.4</v>
      </c>
      <c r="D65">
        <v>122599.52</v>
      </c>
      <c r="E65">
        <v>144931.70000000001</v>
      </c>
      <c r="F65">
        <v>146814.46</v>
      </c>
      <c r="G65">
        <v>141141.48000000001</v>
      </c>
      <c r="H65">
        <v>157278.09</v>
      </c>
      <c r="I65">
        <v>150575.42000000001</v>
      </c>
      <c r="J65">
        <v>161941.01</v>
      </c>
      <c r="K65">
        <v>190709</v>
      </c>
    </row>
    <row r="66" spans="1:11" s="1" customFormat="1" x14ac:dyDescent="0.3">
      <c r="A66" s="1" t="s">
        <v>15</v>
      </c>
      <c r="B66">
        <v>237314.79</v>
      </c>
      <c r="C66">
        <v>263184.12</v>
      </c>
      <c r="D66">
        <v>272580.36</v>
      </c>
      <c r="E66">
        <v>327191.81</v>
      </c>
      <c r="F66">
        <v>305703.49</v>
      </c>
      <c r="G66">
        <v>320179.39</v>
      </c>
      <c r="H66">
        <v>341569.91</v>
      </c>
      <c r="I66">
        <v>329061.49</v>
      </c>
      <c r="J66">
        <v>334674.43</v>
      </c>
      <c r="K66">
        <v>370663.96</v>
      </c>
    </row>
    <row r="67" spans="1:11" s="4" customFormat="1" x14ac:dyDescent="0.3">
      <c r="A67" s="4" t="s">
        <v>52</v>
      </c>
      <c r="B67">
        <v>12579.2</v>
      </c>
      <c r="C67">
        <v>13570.91</v>
      </c>
      <c r="D67">
        <v>14075.55</v>
      </c>
      <c r="E67">
        <v>19893.3</v>
      </c>
      <c r="F67">
        <v>18996.169999999998</v>
      </c>
      <c r="G67">
        <v>11172.69</v>
      </c>
      <c r="H67">
        <v>12679.08</v>
      </c>
      <c r="I67">
        <v>12442.12</v>
      </c>
      <c r="J67">
        <v>15737.97</v>
      </c>
      <c r="K67">
        <v>16951.810000000001</v>
      </c>
    </row>
    <row r="68" spans="1:11" x14ac:dyDescent="0.3">
      <c r="A68" s="4" t="s">
        <v>34</v>
      </c>
      <c r="B68">
        <v>29272.34</v>
      </c>
      <c r="C68">
        <v>32655.73</v>
      </c>
      <c r="D68">
        <v>35085.31</v>
      </c>
      <c r="E68">
        <v>42137.63</v>
      </c>
      <c r="F68">
        <v>39013.730000000003</v>
      </c>
      <c r="G68">
        <v>37456.879999999997</v>
      </c>
      <c r="H68">
        <v>36088.589999999997</v>
      </c>
      <c r="I68">
        <v>35240.339999999997</v>
      </c>
      <c r="J68">
        <v>40755.39</v>
      </c>
      <c r="K68">
        <v>47788.29</v>
      </c>
    </row>
    <row r="69" spans="1:11" x14ac:dyDescent="0.3">
      <c r="A69" s="3" t="s">
        <v>61</v>
      </c>
      <c r="B69">
        <v>32115.759999999998</v>
      </c>
      <c r="C69">
        <v>30460.400000000001</v>
      </c>
      <c r="D69">
        <v>36077.879999999997</v>
      </c>
      <c r="E69">
        <v>34613.910000000003</v>
      </c>
      <c r="F69">
        <v>32648.82</v>
      </c>
      <c r="G69">
        <v>33726.97</v>
      </c>
      <c r="H69">
        <v>46792.46</v>
      </c>
      <c r="I69">
        <v>40669.19</v>
      </c>
      <c r="J69">
        <v>37015.56</v>
      </c>
      <c r="K69">
        <v>45806.69</v>
      </c>
    </row>
    <row r="70" spans="1:11" x14ac:dyDescent="0.3">
      <c r="A70" s="3" t="s">
        <v>48</v>
      </c>
      <c r="B70">
        <v>3218930067</v>
      </c>
      <c r="C70">
        <v>3395930306</v>
      </c>
      <c r="D70">
        <v>3396100719</v>
      </c>
      <c r="E70">
        <v>3396100719</v>
      </c>
      <c r="F70">
        <v>3396100719</v>
      </c>
      <c r="G70">
        <v>3597726185</v>
      </c>
      <c r="H70">
        <v>3829060661</v>
      </c>
      <c r="I70">
        <v>3829414903</v>
      </c>
      <c r="J70">
        <v>3830097221</v>
      </c>
    </row>
    <row r="71" spans="1:11" x14ac:dyDescent="0.3">
      <c r="A71" s="3" t="s">
        <v>49</v>
      </c>
    </row>
    <row r="72" spans="1:11" x14ac:dyDescent="0.3">
      <c r="A72" s="3" t="s">
        <v>62</v>
      </c>
      <c r="B72">
        <v>2</v>
      </c>
      <c r="C72">
        <v>2</v>
      </c>
      <c r="D72">
        <v>2</v>
      </c>
      <c r="E72">
        <v>2</v>
      </c>
      <c r="F72">
        <v>2</v>
      </c>
      <c r="G72">
        <v>2</v>
      </c>
      <c r="H72">
        <v>2</v>
      </c>
      <c r="I72">
        <v>2</v>
      </c>
      <c r="J72">
        <v>2</v>
      </c>
      <c r="K72">
        <v>2</v>
      </c>
    </row>
    <row r="74" spans="1:11" x14ac:dyDescent="0.3">
      <c r="A74" s="4"/>
    </row>
    <row r="75" spans="1:11" x14ac:dyDescent="0.3">
      <c r="A75" s="4"/>
    </row>
    <row r="76" spans="1:11" x14ac:dyDescent="0.3">
      <c r="A76" s="4"/>
    </row>
    <row r="77" spans="1:11" x14ac:dyDescent="0.3">
      <c r="A77" s="4"/>
    </row>
    <row r="78" spans="1:11" x14ac:dyDescent="0.3">
      <c r="A78" s="4"/>
    </row>
    <row r="79" spans="1:11" x14ac:dyDescent="0.3">
      <c r="A79" s="4"/>
    </row>
    <row r="80" spans="1:11" x14ac:dyDescent="0.3">
      <c r="A80" s="1" t="s">
        <v>30</v>
      </c>
    </row>
    <row r="81" spans="1:11" s="11" customFormat="1" x14ac:dyDescent="0.3">
      <c r="A81" s="10" t="s">
        <v>27</v>
      </c>
      <c r="B81" s="7">
        <v>42094</v>
      </c>
      <c r="C81" s="7">
        <v>42460</v>
      </c>
      <c r="D81" s="7">
        <v>42825</v>
      </c>
      <c r="E81" s="7">
        <v>43190</v>
      </c>
      <c r="F81" s="7">
        <v>43555</v>
      </c>
      <c r="G81" s="7">
        <v>43921</v>
      </c>
      <c r="H81" s="7">
        <v>44286</v>
      </c>
      <c r="I81" s="7">
        <v>44651</v>
      </c>
      <c r="J81" s="7">
        <v>45016</v>
      </c>
      <c r="K81" s="7">
        <v>45382</v>
      </c>
    </row>
    <row r="82" spans="1:11" s="1" customFormat="1" x14ac:dyDescent="0.3">
      <c r="A82" s="4" t="s">
        <v>21</v>
      </c>
      <c r="B82">
        <v>35531.26</v>
      </c>
      <c r="C82">
        <v>37899.54</v>
      </c>
      <c r="D82">
        <v>30199.25</v>
      </c>
      <c r="E82">
        <v>23857.42</v>
      </c>
      <c r="F82">
        <v>18890.75</v>
      </c>
      <c r="G82">
        <v>26632.94</v>
      </c>
      <c r="H82">
        <v>29000.51</v>
      </c>
      <c r="I82">
        <v>14282.83</v>
      </c>
      <c r="J82">
        <v>35388.01</v>
      </c>
      <c r="K82">
        <v>67915.360000000001</v>
      </c>
    </row>
    <row r="83" spans="1:11" s="4" customFormat="1" x14ac:dyDescent="0.3">
      <c r="A83" s="4" t="s">
        <v>22</v>
      </c>
      <c r="B83">
        <v>-36232.35</v>
      </c>
      <c r="C83">
        <v>-36693.9</v>
      </c>
      <c r="D83">
        <v>-39571.4</v>
      </c>
      <c r="E83">
        <v>-25139.14</v>
      </c>
      <c r="F83">
        <v>-20878.07</v>
      </c>
      <c r="G83">
        <v>-33114.550000000003</v>
      </c>
      <c r="H83">
        <v>-25672.5</v>
      </c>
      <c r="I83">
        <v>-4443.66</v>
      </c>
      <c r="J83">
        <v>-15417.17</v>
      </c>
      <c r="K83">
        <v>-22828.09</v>
      </c>
    </row>
    <row r="84" spans="1:11" s="4" customFormat="1" x14ac:dyDescent="0.3">
      <c r="A84" s="4" t="s">
        <v>23</v>
      </c>
      <c r="B84">
        <v>5201.4399999999996</v>
      </c>
      <c r="C84">
        <v>-3795.12</v>
      </c>
      <c r="D84">
        <v>6205.3</v>
      </c>
      <c r="E84">
        <v>2011.71</v>
      </c>
      <c r="F84">
        <v>8830.3700000000008</v>
      </c>
      <c r="G84">
        <v>3389.61</v>
      </c>
      <c r="H84">
        <v>9904.2000000000007</v>
      </c>
      <c r="I84">
        <v>-3380.17</v>
      </c>
      <c r="J84">
        <v>-26242.9</v>
      </c>
      <c r="K84">
        <v>-37005.99</v>
      </c>
    </row>
    <row r="85" spans="1:11" s="1" customFormat="1" x14ac:dyDescent="0.3">
      <c r="A85" s="4" t="s">
        <v>24</v>
      </c>
      <c r="B85">
        <v>4500.3500000000004</v>
      </c>
      <c r="C85">
        <v>-2589.48</v>
      </c>
      <c r="D85">
        <v>-3166.85</v>
      </c>
      <c r="E85">
        <v>729.99</v>
      </c>
      <c r="F85">
        <v>6843.05</v>
      </c>
      <c r="G85">
        <v>-3092</v>
      </c>
      <c r="H85">
        <v>13232.21</v>
      </c>
      <c r="I85">
        <v>6459</v>
      </c>
      <c r="J85">
        <v>-6272.06</v>
      </c>
      <c r="K85">
        <v>8081.28</v>
      </c>
    </row>
    <row r="86" spans="1:11" x14ac:dyDescent="0.3">
      <c r="A86" s="4"/>
    </row>
    <row r="87" spans="1:11" x14ac:dyDescent="0.3">
      <c r="A87" s="4"/>
    </row>
    <row r="88" spans="1:11" x14ac:dyDescent="0.3">
      <c r="A88" s="4"/>
    </row>
    <row r="89" spans="1:11" x14ac:dyDescent="0.3">
      <c r="A89" s="4"/>
    </row>
    <row r="90" spans="1:11" s="1" customFormat="1" x14ac:dyDescent="0.3">
      <c r="A90" s="1" t="s">
        <v>51</v>
      </c>
      <c r="B90">
        <v>544.37</v>
      </c>
      <c r="C90">
        <v>386.6</v>
      </c>
      <c r="D90">
        <v>465.85</v>
      </c>
      <c r="E90">
        <v>326.85000000000002</v>
      </c>
      <c r="F90">
        <v>174.25</v>
      </c>
      <c r="G90">
        <v>71.05</v>
      </c>
      <c r="H90">
        <v>301.8</v>
      </c>
      <c r="I90">
        <v>433.75</v>
      </c>
      <c r="J90">
        <v>420.8</v>
      </c>
      <c r="K90">
        <v>992.8</v>
      </c>
    </row>
    <row r="92" spans="1:11" s="1" customFormat="1" x14ac:dyDescent="0.3">
      <c r="A92" s="1" t="s">
        <v>50</v>
      </c>
    </row>
    <row r="93" spans="1:11" x14ac:dyDescent="0.3">
      <c r="A93" s="3" t="s">
        <v>63</v>
      </c>
      <c r="B93" s="12">
        <v>288.74</v>
      </c>
      <c r="C93" s="12">
        <v>288.72000000000003</v>
      </c>
      <c r="D93" s="12">
        <v>288.73</v>
      </c>
      <c r="E93" s="12">
        <v>288.73</v>
      </c>
      <c r="F93" s="12">
        <v>288.73</v>
      </c>
      <c r="G93" s="12">
        <v>308.89999999999998</v>
      </c>
      <c r="H93" s="12">
        <v>332.03</v>
      </c>
      <c r="I93" s="12">
        <v>332.07</v>
      </c>
      <c r="J93" s="12">
        <v>332.13</v>
      </c>
      <c r="K93" s="12">
        <v>332.37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defaultColWidth="8.77734375" defaultRowHeight="14.4" x14ac:dyDescent="0.3"/>
  <cols>
    <col min="1" max="1" width="22.77734375" bestFit="1" customWidth="1"/>
    <col min="2" max="2" width="13.44140625" customWidth="1"/>
    <col min="3" max="11" width="15.44140625" customWidth="1"/>
  </cols>
  <sheetData>
    <row r="1" spans="1:11" s="2" customFormat="1" x14ac:dyDescent="0.3">
      <c r="A1" s="2" t="e">
        <f>#REF!</f>
        <v>#REF!</v>
      </c>
      <c r="E1" t="str">
        <f>UPDATE</f>
        <v/>
      </c>
      <c r="G1"/>
      <c r="J1" s="2" t="s">
        <v>1</v>
      </c>
    </row>
    <row r="2" spans="1:11" x14ac:dyDescent="0.3">
      <c r="G2" s="2"/>
      <c r="H2" s="2"/>
    </row>
    <row r="3" spans="1:11" x14ac:dyDescent="0.3">
      <c r="A3" s="6" t="s">
        <v>2</v>
      </c>
      <c r="B3" s="7">
        <f>'Data Sheet'!B56</f>
        <v>42094</v>
      </c>
      <c r="C3" s="7">
        <f>'Data Sheet'!C56</f>
        <v>42460</v>
      </c>
      <c r="D3" s="7">
        <f>'Data Sheet'!D56</f>
        <v>42825</v>
      </c>
      <c r="E3" s="7">
        <f>'Data Sheet'!E56</f>
        <v>43190</v>
      </c>
      <c r="F3" s="7">
        <f>'Data Sheet'!F56</f>
        <v>43555</v>
      </c>
      <c r="G3" s="7">
        <f>'Data Sheet'!G56</f>
        <v>43921</v>
      </c>
      <c r="H3" s="7">
        <f>'Data Sheet'!H56</f>
        <v>44286</v>
      </c>
      <c r="I3" s="7">
        <f>'Data Sheet'!I56</f>
        <v>44651</v>
      </c>
      <c r="J3" s="7">
        <f>'Data Sheet'!J56</f>
        <v>45016</v>
      </c>
      <c r="K3" s="7">
        <f>'Data Sheet'!K56</f>
        <v>45382</v>
      </c>
    </row>
    <row r="4" spans="1:11" x14ac:dyDescent="0.3">
      <c r="A4" t="s">
        <v>13</v>
      </c>
      <c r="B4" s="8">
        <f>'Data Sheet'!B57</f>
        <v>643.78</v>
      </c>
      <c r="C4" s="8">
        <f>'Data Sheet'!C57</f>
        <v>679.18</v>
      </c>
      <c r="D4" s="8">
        <f>'Data Sheet'!D57</f>
        <v>679.22</v>
      </c>
      <c r="E4" s="8">
        <f>'Data Sheet'!E57</f>
        <v>679.22</v>
      </c>
      <c r="F4" s="8">
        <f>'Data Sheet'!F57</f>
        <v>679.22</v>
      </c>
      <c r="G4" s="8">
        <f>'Data Sheet'!G57</f>
        <v>719.54</v>
      </c>
      <c r="H4" s="8">
        <f>'Data Sheet'!H57</f>
        <v>765.81</v>
      </c>
      <c r="I4" s="8">
        <f>'Data Sheet'!I57</f>
        <v>765.88</v>
      </c>
      <c r="J4" s="8">
        <f>'Data Sheet'!J57</f>
        <v>766.02</v>
      </c>
      <c r="K4" s="8">
        <f>'Data Sheet'!K57</f>
        <v>766.5</v>
      </c>
    </row>
    <row r="5" spans="1:11" x14ac:dyDescent="0.3">
      <c r="A5" t="s">
        <v>14</v>
      </c>
      <c r="B5" s="8">
        <f>'Data Sheet'!B58</f>
        <v>55618.14</v>
      </c>
      <c r="C5" s="8">
        <f>'Data Sheet'!C58</f>
        <v>78273.23</v>
      </c>
      <c r="D5" s="8">
        <f>'Data Sheet'!D58</f>
        <v>57382.67</v>
      </c>
      <c r="E5" s="8">
        <f>'Data Sheet'!E58</f>
        <v>94748.69</v>
      </c>
      <c r="F5" s="8">
        <f>'Data Sheet'!F58</f>
        <v>59500.34</v>
      </c>
      <c r="G5" s="8">
        <f>'Data Sheet'!G58</f>
        <v>61491.49</v>
      </c>
      <c r="H5" s="8">
        <f>'Data Sheet'!H58</f>
        <v>54480.91</v>
      </c>
      <c r="I5" s="8">
        <f>'Data Sheet'!I58</f>
        <v>43795.360000000001</v>
      </c>
      <c r="J5" s="8">
        <f>'Data Sheet'!J58</f>
        <v>44555.77</v>
      </c>
      <c r="K5" s="8">
        <f>'Data Sheet'!K58</f>
        <v>84151.52</v>
      </c>
    </row>
    <row r="6" spans="1:11" x14ac:dyDescent="0.3">
      <c r="A6" t="s">
        <v>45</v>
      </c>
      <c r="B6" s="8">
        <f>'Data Sheet'!B59</f>
        <v>73610.39</v>
      </c>
      <c r="C6" s="8">
        <f>'Data Sheet'!C59</f>
        <v>69359.960000000006</v>
      </c>
      <c r="D6" s="8">
        <f>'Data Sheet'!D59</f>
        <v>78603.98</v>
      </c>
      <c r="E6" s="8">
        <f>'Data Sheet'!E59</f>
        <v>88950.47</v>
      </c>
      <c r="F6" s="8">
        <f>'Data Sheet'!F59</f>
        <v>106175.34</v>
      </c>
      <c r="G6" s="8">
        <f>'Data Sheet'!G59</f>
        <v>124787.64</v>
      </c>
      <c r="H6" s="8">
        <f>'Data Sheet'!H59</f>
        <v>142130.57</v>
      </c>
      <c r="I6" s="8">
        <f>'Data Sheet'!I59</f>
        <v>146449.03</v>
      </c>
      <c r="J6" s="8">
        <f>'Data Sheet'!J59</f>
        <v>134113.44</v>
      </c>
      <c r="K6" s="8">
        <f>'Data Sheet'!K59</f>
        <v>107262.5</v>
      </c>
    </row>
    <row r="7" spans="1:11" x14ac:dyDescent="0.3">
      <c r="A7" t="s">
        <v>46</v>
      </c>
      <c r="B7" s="8">
        <f>'Data Sheet'!B60</f>
        <v>107442.48</v>
      </c>
      <c r="C7" s="8">
        <f>'Data Sheet'!C60</f>
        <v>114871.75</v>
      </c>
      <c r="D7" s="8">
        <f>'Data Sheet'!D60</f>
        <v>135914.49</v>
      </c>
      <c r="E7" s="8">
        <f>'Data Sheet'!E60</f>
        <v>142813.43</v>
      </c>
      <c r="F7" s="8">
        <f>'Data Sheet'!F60</f>
        <v>139348.59</v>
      </c>
      <c r="G7" s="8">
        <f>'Data Sheet'!G60</f>
        <v>133180.72</v>
      </c>
      <c r="H7" s="8">
        <f>'Data Sheet'!H60</f>
        <v>144192.62</v>
      </c>
      <c r="I7" s="8">
        <f>'Data Sheet'!I60</f>
        <v>138051.22</v>
      </c>
      <c r="J7" s="8">
        <f>'Data Sheet'!J60</f>
        <v>155239.20000000001</v>
      </c>
      <c r="K7" s="8">
        <f>'Data Sheet'!K60</f>
        <v>178483.44</v>
      </c>
    </row>
    <row r="8" spans="1:11" s="2" customFormat="1" x14ac:dyDescent="0.3">
      <c r="A8" s="2" t="s">
        <v>15</v>
      </c>
      <c r="B8" s="9">
        <f>'Data Sheet'!B61</f>
        <v>237314.79</v>
      </c>
      <c r="C8" s="9">
        <f>'Data Sheet'!C61</f>
        <v>263184.12</v>
      </c>
      <c r="D8" s="9">
        <f>'Data Sheet'!D61</f>
        <v>272580.36</v>
      </c>
      <c r="E8" s="9">
        <f>'Data Sheet'!E61</f>
        <v>327191.81</v>
      </c>
      <c r="F8" s="9">
        <f>'Data Sheet'!F61</f>
        <v>305703.49</v>
      </c>
      <c r="G8" s="9">
        <f>'Data Sheet'!G61</f>
        <v>320179.39</v>
      </c>
      <c r="H8" s="9">
        <f>'Data Sheet'!H61</f>
        <v>341569.91</v>
      </c>
      <c r="I8" s="9">
        <f>'Data Sheet'!I61</f>
        <v>329061.49</v>
      </c>
      <c r="J8" s="9">
        <f>'Data Sheet'!J61</f>
        <v>334674.43</v>
      </c>
      <c r="K8" s="9">
        <f>'Data Sheet'!K61</f>
        <v>370663.96</v>
      </c>
    </row>
    <row r="9" spans="1:11" s="2" customFormat="1" x14ac:dyDescent="0.3">
      <c r="B9" s="9"/>
      <c r="C9" s="9"/>
      <c r="D9" s="9"/>
      <c r="E9" s="9"/>
      <c r="F9" s="9"/>
      <c r="G9" s="9"/>
      <c r="H9" s="9"/>
      <c r="I9" s="9"/>
      <c r="J9" s="9"/>
      <c r="K9" s="9"/>
    </row>
    <row r="10" spans="1:11" x14ac:dyDescent="0.3">
      <c r="A10" t="s">
        <v>16</v>
      </c>
      <c r="B10" s="8">
        <f>'Data Sheet'!B62</f>
        <v>88479.49</v>
      </c>
      <c r="C10" s="8">
        <f>'Data Sheet'!C62</f>
        <v>107231.76</v>
      </c>
      <c r="D10" s="8">
        <f>'Data Sheet'!D62</f>
        <v>95944.08</v>
      </c>
      <c r="E10" s="8">
        <f>'Data Sheet'!E62</f>
        <v>121413.86</v>
      </c>
      <c r="F10" s="8">
        <f>'Data Sheet'!F62</f>
        <v>111234.47</v>
      </c>
      <c r="G10" s="8">
        <f>'Data Sheet'!G62</f>
        <v>127107.14</v>
      </c>
      <c r="H10" s="8">
        <f>'Data Sheet'!H62</f>
        <v>138707.60999999999</v>
      </c>
      <c r="I10" s="8">
        <f>'Data Sheet'!I62</f>
        <v>138855.45000000001</v>
      </c>
      <c r="J10" s="8">
        <f>'Data Sheet'!J62</f>
        <v>132079.76</v>
      </c>
      <c r="K10" s="8">
        <f>'Data Sheet'!K62</f>
        <v>146046.56</v>
      </c>
    </row>
    <row r="11" spans="1:11" x14ac:dyDescent="0.3">
      <c r="A11" t="s">
        <v>17</v>
      </c>
      <c r="B11" s="8">
        <f>'Data Sheet'!B63</f>
        <v>28640.09</v>
      </c>
      <c r="C11" s="8">
        <f>'Data Sheet'!C63</f>
        <v>25918.94</v>
      </c>
      <c r="D11" s="8">
        <f>'Data Sheet'!D63</f>
        <v>33698.839999999997</v>
      </c>
      <c r="E11" s="8">
        <f>'Data Sheet'!E63</f>
        <v>40033.5</v>
      </c>
      <c r="F11" s="8">
        <f>'Data Sheet'!F63</f>
        <v>31883.84</v>
      </c>
      <c r="G11" s="8">
        <f>'Data Sheet'!G63</f>
        <v>35622.29</v>
      </c>
      <c r="H11" s="8">
        <f>'Data Sheet'!H63</f>
        <v>20963.93</v>
      </c>
      <c r="I11" s="8">
        <f>'Data Sheet'!I63</f>
        <v>10251.09</v>
      </c>
      <c r="J11" s="8">
        <f>'Data Sheet'!J63</f>
        <v>14274.5</v>
      </c>
      <c r="K11" s="8">
        <f>'Data Sheet'!K63</f>
        <v>10937.33</v>
      </c>
    </row>
    <row r="12" spans="1:11" x14ac:dyDescent="0.3">
      <c r="A12" t="s">
        <v>18</v>
      </c>
      <c r="B12" s="8">
        <f>'Data Sheet'!B64</f>
        <v>15336.74</v>
      </c>
      <c r="C12" s="8">
        <f>'Data Sheet'!C64</f>
        <v>23767.02</v>
      </c>
      <c r="D12" s="8">
        <f>'Data Sheet'!D64</f>
        <v>20337.919999999998</v>
      </c>
      <c r="E12" s="8">
        <f>'Data Sheet'!E64</f>
        <v>20812.75</v>
      </c>
      <c r="F12" s="8">
        <f>'Data Sheet'!F64</f>
        <v>15770.72</v>
      </c>
      <c r="G12" s="8">
        <f>'Data Sheet'!G64</f>
        <v>16308.48</v>
      </c>
      <c r="H12" s="8">
        <f>'Data Sheet'!H64</f>
        <v>24620.28</v>
      </c>
      <c r="I12" s="8">
        <f>'Data Sheet'!I64</f>
        <v>29379.53</v>
      </c>
      <c r="J12" s="8">
        <f>'Data Sheet'!J64</f>
        <v>26379.16</v>
      </c>
      <c r="K12" s="8">
        <f>'Data Sheet'!K64</f>
        <v>22971.07</v>
      </c>
    </row>
    <row r="13" spans="1:11" x14ac:dyDescent="0.3">
      <c r="A13" t="s">
        <v>47</v>
      </c>
      <c r="B13" s="8">
        <f>'Data Sheet'!B65</f>
        <v>104858.47</v>
      </c>
      <c r="C13" s="8">
        <f>'Data Sheet'!C65</f>
        <v>106266.4</v>
      </c>
      <c r="D13" s="8">
        <f>'Data Sheet'!D65</f>
        <v>122599.52</v>
      </c>
      <c r="E13" s="8">
        <f>'Data Sheet'!E65</f>
        <v>144931.70000000001</v>
      </c>
      <c r="F13" s="8">
        <f>'Data Sheet'!F65</f>
        <v>146814.46</v>
      </c>
      <c r="G13" s="8">
        <f>'Data Sheet'!G65</f>
        <v>141141.48000000001</v>
      </c>
      <c r="H13" s="8">
        <f>'Data Sheet'!H65</f>
        <v>157278.09</v>
      </c>
      <c r="I13" s="8">
        <f>'Data Sheet'!I65</f>
        <v>150575.42000000001</v>
      </c>
      <c r="J13" s="8">
        <f>'Data Sheet'!J65</f>
        <v>161941.01</v>
      </c>
      <c r="K13" s="8">
        <f>'Data Sheet'!K65</f>
        <v>190709</v>
      </c>
    </row>
    <row r="14" spans="1:11" s="2" customFormat="1" x14ac:dyDescent="0.3">
      <c r="A14" s="2" t="s">
        <v>15</v>
      </c>
      <c r="B14" s="8">
        <f>'Data Sheet'!B66</f>
        <v>237314.79</v>
      </c>
      <c r="C14" s="8">
        <f>'Data Sheet'!C66</f>
        <v>263184.12</v>
      </c>
      <c r="D14" s="8">
        <f>'Data Sheet'!D66</f>
        <v>272580.36</v>
      </c>
      <c r="E14" s="8">
        <f>'Data Sheet'!E66</f>
        <v>327191.81</v>
      </c>
      <c r="F14" s="8">
        <f>'Data Sheet'!F66</f>
        <v>305703.49</v>
      </c>
      <c r="G14" s="8">
        <f>'Data Sheet'!G66</f>
        <v>320179.39</v>
      </c>
      <c r="H14" s="8">
        <f>'Data Sheet'!H66</f>
        <v>341569.91</v>
      </c>
      <c r="I14" s="8">
        <f>'Data Sheet'!I66</f>
        <v>329061.49</v>
      </c>
      <c r="J14" s="8">
        <f>'Data Sheet'!J66</f>
        <v>334674.43</v>
      </c>
      <c r="K14" s="8">
        <f>'Data Sheet'!K66</f>
        <v>370663.96</v>
      </c>
    </row>
    <row r="15" spans="1:11" x14ac:dyDescent="0.3"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3">
      <c r="A16" t="s">
        <v>19</v>
      </c>
      <c r="B16" s="3">
        <f>B13-B7</f>
        <v>-2584.0099999999948</v>
      </c>
      <c r="C16" s="3">
        <f t="shared" ref="C16:K16" si="0">C13-C7</f>
        <v>-8605.3500000000058</v>
      </c>
      <c r="D16" s="3">
        <f t="shared" si="0"/>
        <v>-13314.969999999987</v>
      </c>
      <c r="E16" s="3">
        <f t="shared" si="0"/>
        <v>2118.2700000000186</v>
      </c>
      <c r="F16" s="3">
        <f t="shared" si="0"/>
        <v>7465.8699999999953</v>
      </c>
      <c r="G16" s="3">
        <f t="shared" si="0"/>
        <v>7960.7600000000093</v>
      </c>
      <c r="H16" s="3">
        <f t="shared" si="0"/>
        <v>13085.470000000001</v>
      </c>
      <c r="I16" s="3">
        <f t="shared" si="0"/>
        <v>12524.200000000012</v>
      </c>
      <c r="J16" s="3">
        <f t="shared" si="0"/>
        <v>6701.8099999999977</v>
      </c>
      <c r="K16" s="3">
        <f t="shared" si="0"/>
        <v>12225.559999999998</v>
      </c>
    </row>
    <row r="17" spans="1:11" x14ac:dyDescent="0.3">
      <c r="A17" t="s">
        <v>33</v>
      </c>
      <c r="B17" s="3">
        <f>'Data Sheet'!B67</f>
        <v>12579.2</v>
      </c>
      <c r="C17" s="3">
        <f>'Data Sheet'!C67</f>
        <v>13570.91</v>
      </c>
      <c r="D17" s="3">
        <f>'Data Sheet'!D67</f>
        <v>14075.55</v>
      </c>
      <c r="E17" s="3">
        <f>'Data Sheet'!E67</f>
        <v>19893.3</v>
      </c>
      <c r="F17" s="3">
        <f>'Data Sheet'!F67</f>
        <v>18996.169999999998</v>
      </c>
      <c r="G17" s="3">
        <f>'Data Sheet'!G67</f>
        <v>11172.69</v>
      </c>
      <c r="H17" s="3">
        <f>'Data Sheet'!H67</f>
        <v>12679.08</v>
      </c>
      <c r="I17" s="3">
        <f>'Data Sheet'!I67</f>
        <v>12442.12</v>
      </c>
      <c r="J17" s="3">
        <f>'Data Sheet'!J67</f>
        <v>15737.97</v>
      </c>
      <c r="K17" s="3">
        <f>'Data Sheet'!K67</f>
        <v>16951.810000000001</v>
      </c>
    </row>
    <row r="18" spans="1:11" x14ac:dyDescent="0.3">
      <c r="A18" t="s">
        <v>34</v>
      </c>
      <c r="B18" s="3">
        <f>'Data Sheet'!B68</f>
        <v>29272.34</v>
      </c>
      <c r="C18" s="3">
        <f>'Data Sheet'!C68</f>
        <v>32655.73</v>
      </c>
      <c r="D18" s="3">
        <f>'Data Sheet'!D68</f>
        <v>35085.31</v>
      </c>
      <c r="E18" s="3">
        <f>'Data Sheet'!E68</f>
        <v>42137.63</v>
      </c>
      <c r="F18" s="3">
        <f>'Data Sheet'!F68</f>
        <v>39013.730000000003</v>
      </c>
      <c r="G18" s="3">
        <f>'Data Sheet'!G68</f>
        <v>37456.879999999997</v>
      </c>
      <c r="H18" s="3">
        <f>'Data Sheet'!H68</f>
        <v>36088.589999999997</v>
      </c>
      <c r="I18" s="3">
        <f>'Data Sheet'!I68</f>
        <v>35240.339999999997</v>
      </c>
      <c r="J18" s="3">
        <f>'Data Sheet'!J68</f>
        <v>40755.39</v>
      </c>
      <c r="K18" s="3">
        <f>'Data Sheet'!K68</f>
        <v>47788.29</v>
      </c>
    </row>
    <row r="20" spans="1:11" x14ac:dyDescent="0.3">
      <c r="A20" t="s">
        <v>35</v>
      </c>
      <c r="B20" s="3" t="e">
        <f>IF(#REF!&gt;0,'Balance Sheet'!B17/(#REF!/365),0)</f>
        <v>#REF!</v>
      </c>
      <c r="C20" s="3" t="e">
        <f>IF(#REF!&gt;0,'Balance Sheet'!C17/(#REF!/365),0)</f>
        <v>#REF!</v>
      </c>
      <c r="D20" s="3" t="e">
        <f>IF(#REF!&gt;0,'Balance Sheet'!D17/(#REF!/365),0)</f>
        <v>#REF!</v>
      </c>
      <c r="E20" s="3" t="e">
        <f>IF(#REF!&gt;0,'Balance Sheet'!E17/(#REF!/365),0)</f>
        <v>#REF!</v>
      </c>
      <c r="F20" s="3" t="e">
        <f>IF(#REF!&gt;0,'Balance Sheet'!F17/(#REF!/365),0)</f>
        <v>#REF!</v>
      </c>
      <c r="G20" s="3" t="e">
        <f>IF(#REF!&gt;0,'Balance Sheet'!G17/(#REF!/365),0)</f>
        <v>#REF!</v>
      </c>
      <c r="H20" s="3" t="e">
        <f>IF(#REF!&gt;0,'Balance Sheet'!H17/(#REF!/365),0)</f>
        <v>#REF!</v>
      </c>
      <c r="I20" s="3" t="e">
        <f>IF(#REF!&gt;0,'Balance Sheet'!I17/(#REF!/365),0)</f>
        <v>#REF!</v>
      </c>
      <c r="J20" s="3" t="e">
        <f>IF(#REF!&gt;0,'Balance Sheet'!J17/(#REF!/365),0)</f>
        <v>#REF!</v>
      </c>
      <c r="K20" s="3" t="e">
        <f>IF(#REF!&gt;0,'Balance Sheet'!K17/(#REF!/365),0)</f>
        <v>#REF!</v>
      </c>
    </row>
    <row r="21" spans="1:11" x14ac:dyDescent="0.3">
      <c r="A21" t="s">
        <v>36</v>
      </c>
      <c r="B21" s="3" t="e">
        <f>IF('Balance Sheet'!B18&gt;0,#REF!/'Balance Sheet'!B18,0)</f>
        <v>#REF!</v>
      </c>
      <c r="C21" s="3" t="e">
        <f>IF('Balance Sheet'!C18&gt;0,#REF!/'Balance Sheet'!C18,0)</f>
        <v>#REF!</v>
      </c>
      <c r="D21" s="3" t="e">
        <f>IF('Balance Sheet'!D18&gt;0,#REF!/'Balance Sheet'!D18,0)</f>
        <v>#REF!</v>
      </c>
      <c r="E21" s="3" t="e">
        <f>IF('Balance Sheet'!E18&gt;0,#REF!/'Balance Sheet'!E18,0)</f>
        <v>#REF!</v>
      </c>
      <c r="F21" s="3" t="e">
        <f>IF('Balance Sheet'!F18&gt;0,#REF!/'Balance Sheet'!F18,0)</f>
        <v>#REF!</v>
      </c>
      <c r="G21" s="3" t="e">
        <f>IF('Balance Sheet'!G18&gt;0,#REF!/'Balance Sheet'!G18,0)</f>
        <v>#REF!</v>
      </c>
      <c r="H21" s="3" t="e">
        <f>IF('Balance Sheet'!H18&gt;0,#REF!/'Balance Sheet'!H18,0)</f>
        <v>#REF!</v>
      </c>
      <c r="I21" s="3" t="e">
        <f>IF('Balance Sheet'!I18&gt;0,#REF!/'Balance Sheet'!I18,0)</f>
        <v>#REF!</v>
      </c>
      <c r="J21" s="3" t="e">
        <f>IF('Balance Sheet'!J18&gt;0,#REF!/'Balance Sheet'!J18,0)</f>
        <v>#REF!</v>
      </c>
      <c r="K21" s="3" t="e">
        <f>IF('Balance Sheet'!K18&gt;0,#REF!/'Balance Sheet'!K18,0)</f>
        <v>#REF!</v>
      </c>
    </row>
    <row r="23" spans="1:11" s="2" customFormat="1" x14ac:dyDescent="0.3">
      <c r="A23" s="2" t="s">
        <v>38</v>
      </c>
      <c r="B23" s="5" t="e">
        <f>IF(SUM('Balance Sheet'!B4:B5)&gt;0,#REF!/SUM('Balance Sheet'!B4:B5),"")</f>
        <v>#REF!</v>
      </c>
      <c r="C23" s="5" t="e">
        <f>IF(SUM('Balance Sheet'!C4:C5)&gt;0,#REF!/SUM('Balance Sheet'!C4:C5),"")</f>
        <v>#REF!</v>
      </c>
      <c r="D23" s="5" t="e">
        <f>IF(SUM('Balance Sheet'!D4:D5)&gt;0,#REF!/SUM('Balance Sheet'!D4:D5),"")</f>
        <v>#REF!</v>
      </c>
      <c r="E23" s="5" t="e">
        <f>IF(SUM('Balance Sheet'!E4:E5)&gt;0,#REF!/SUM('Balance Sheet'!E4:E5),"")</f>
        <v>#REF!</v>
      </c>
      <c r="F23" s="5" t="e">
        <f>IF(SUM('Balance Sheet'!F4:F5)&gt;0,#REF!/SUM('Balance Sheet'!F4:F5),"")</f>
        <v>#REF!</v>
      </c>
      <c r="G23" s="5" t="e">
        <f>IF(SUM('Balance Sheet'!G4:G5)&gt;0,#REF!/SUM('Balance Sheet'!G4:G5),"")</f>
        <v>#REF!</v>
      </c>
      <c r="H23" s="5" t="e">
        <f>IF(SUM('Balance Sheet'!H4:H5)&gt;0,#REF!/SUM('Balance Sheet'!H4:H5),"")</f>
        <v>#REF!</v>
      </c>
      <c r="I23" s="5" t="e">
        <f>IF(SUM('Balance Sheet'!I4:I5)&gt;0,#REF!/SUM('Balance Sheet'!I4:I5),"")</f>
        <v>#REF!</v>
      </c>
      <c r="J23" s="5" t="e">
        <f>IF(SUM('Balance Sheet'!J4:J5)&gt;0,#REF!/SUM('Balance Sheet'!J4:J5),"")</f>
        <v>#REF!</v>
      </c>
      <c r="K23" s="5" t="e">
        <f>IF(SUM('Balance Sheet'!K4:K5)&gt;0,#REF!/SUM('Balance Sheet'!K4:K5),"")</f>
        <v>#REF!</v>
      </c>
    </row>
    <row r="24" spans="1:11" s="2" customFormat="1" x14ac:dyDescent="0.3">
      <c r="A24" s="2" t="s">
        <v>39</v>
      </c>
      <c r="B24" s="5"/>
      <c r="C24" s="5" t="e">
        <f>IF((B4+B5+B6+C4+C5+C6)&gt;0,(#REF!+#REF!)*2/(B4+B5+B6+C4+C5+C6),"")</f>
        <v>#REF!</v>
      </c>
      <c r="D24" s="5" t="e">
        <f>IF((C4+C5+C6+D4+D5+D6)&gt;0,(#REF!+#REF!)*2/(C4+C5+C6+D4+D5+D6),"")</f>
        <v>#REF!</v>
      </c>
      <c r="E24" s="5" t="e">
        <f>IF((D4+D5+D6+E4+E5+E6)&gt;0,(#REF!+#REF!)*2/(D4+D5+D6+E4+E5+E6),"")</f>
        <v>#REF!</v>
      </c>
      <c r="F24" s="5" t="e">
        <f>IF((E4+E5+E6+F4+F5+F6)&gt;0,(#REF!+#REF!)*2/(E4+E5+E6+F4+F5+F6),"")</f>
        <v>#REF!</v>
      </c>
      <c r="G24" s="5" t="e">
        <f>IF((F4+F5+F6+G4+G5+G6)&gt;0,(#REF!+#REF!)*2/(F4+F5+F6+G4+G5+G6),"")</f>
        <v>#REF!</v>
      </c>
      <c r="H24" s="5" t="e">
        <f>IF((G4+G5+G6+H4+H5+H6)&gt;0,(#REF!+#REF!)*2/(G4+G5+G6+H4+H5+H6),"")</f>
        <v>#REF!</v>
      </c>
      <c r="I24" s="5" t="e">
        <f>IF((H4+H5+H6+I4+I5+I6)&gt;0,(#REF!+#REF!)*2/(H4+H5+H6+I4+I5+I6),"")</f>
        <v>#REF!</v>
      </c>
      <c r="J24" s="5" t="e">
        <f>IF((I4+I5+I6+J4+J5+J6)&gt;0,(#REF!+#REF!)*2/(I4+I5+I6+J4+J5+J6),"")</f>
        <v>#REF!</v>
      </c>
      <c r="K24" s="5" t="e">
        <f>IF((J4+J5+J6+K4+K5+K6)&gt;0,(#REF!+#REF!)*2/(J4+J5+J6+K4+K5+K6),"")</f>
        <v>#REF!</v>
      </c>
    </row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Financial </vt:lpstr>
      <vt:lpstr>Historical Fs</vt:lpstr>
      <vt:lpstr>Cash Flow</vt:lpstr>
      <vt:lpstr>Data Sheet</vt:lpstr>
      <vt:lpstr>Balance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5203749_ Abhijit Prasad</cp:lastModifiedBy>
  <cp:lastPrinted>2012-12-06T18:14:13Z</cp:lastPrinted>
  <dcterms:created xsi:type="dcterms:W3CDTF">2012-08-17T09:55:37Z</dcterms:created>
  <dcterms:modified xsi:type="dcterms:W3CDTF">2024-05-24T08:07:39Z</dcterms:modified>
</cp:coreProperties>
</file>