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\Desktop\excel\chandoo\"/>
    </mc:Choice>
  </mc:AlternateContent>
  <xr:revisionPtr revIDLastSave="0" documentId="8_{56B1FC78-3D23-45CA-B721-1E4072C403B7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Data" sheetId="1" r:id="rId1"/>
    <sheet name="India Staff" sheetId="2" r:id="rId2"/>
    <sheet name="Staff" sheetId="3" r:id="rId3"/>
    <sheet name="Info Finder 2.0" sheetId="4" r:id="rId4"/>
    <sheet name="Male Vs. Female" sheetId="5" r:id="rId5"/>
    <sheet name="Salary Spread" sheetId="6" r:id="rId6"/>
    <sheet name="Salary Vs Rating" sheetId="7" r:id="rId7"/>
    <sheet name="Mapping" sheetId="8" r:id="rId8"/>
    <sheet name="NZ Vs IND" sheetId="9" r:id="rId9"/>
    <sheet name="Sheet1" sheetId="10" r:id="rId10"/>
  </sheets>
  <definedNames>
    <definedName name="_xlnm._FilterDatabase" localSheetId="0" hidden="1">Data!$C$5:$I$105</definedName>
    <definedName name="_xlnm._FilterDatabase" localSheetId="1" hidden="1">'India Staff'!$B$2:$H$114</definedName>
    <definedName name="_xlchart.v1.0" hidden="1">Staff!$G$1</definedName>
    <definedName name="_xlchart.v1.1" hidden="1">Staff!$G$2:$G$184</definedName>
    <definedName name="_xlchart.v1.2" hidden="1">Staff!$G$1</definedName>
    <definedName name="_xlchart.v1.3" hidden="1">Staff!$G$2:$G$184</definedName>
    <definedName name="ExternalData_1" localSheetId="2" hidden="1">Staff!$A$1:$G$184</definedName>
    <definedName name="Slicer_Country">#N/A</definedName>
  </definedNames>
  <calcPr calcId="191028"/>
  <pivotCaches>
    <pivotCache cacheId="1676" r:id="rId11"/>
  </pivotCaches>
  <extLst>
    <ext xmlns:x14="http://schemas.microsoft.com/office/spreadsheetml/2009/9/main" uri="{BBE1A952-AA13-448e-AADC-164F8A28A991}">
      <x14:slicerCaches>
        <x14:slicerCache r:id="rId1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9" l="1"/>
  <c r="J5" i="9"/>
  <c r="L5" i="9" s="1"/>
  <c r="G5" i="9"/>
  <c r="C5" i="9"/>
  <c r="E5" i="9" s="1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Q15" i="3"/>
  <c r="S7" i="3" l="1"/>
  <c r="S6" i="3"/>
  <c r="P9" i="3"/>
  <c r="P7" i="3"/>
  <c r="P6" i="3"/>
  <c r="I162" i="3"/>
  <c r="J162" i="3" s="1"/>
  <c r="I18" i="3"/>
  <c r="J18" i="3" s="1"/>
  <c r="I142" i="3"/>
  <c r="J142" i="3" s="1"/>
  <c r="I20" i="3"/>
  <c r="J20" i="3" s="1"/>
  <c r="I175" i="3"/>
  <c r="J175" i="3" s="1"/>
  <c r="I46" i="3"/>
  <c r="J46" i="3" s="1"/>
  <c r="I130" i="3"/>
  <c r="J130" i="3" s="1"/>
  <c r="I124" i="3"/>
  <c r="J124" i="3" s="1"/>
  <c r="I90" i="3"/>
  <c r="J90" i="3" s="1"/>
  <c r="I156" i="3"/>
  <c r="J156" i="3" s="1"/>
  <c r="I146" i="3"/>
  <c r="J146" i="3" s="1"/>
  <c r="I134" i="3"/>
  <c r="J134" i="3" s="1"/>
  <c r="I24" i="3"/>
  <c r="J24" i="3" s="1"/>
  <c r="I8" i="3"/>
  <c r="J8" i="3" s="1"/>
  <c r="I163" i="3"/>
  <c r="J163" i="3" s="1"/>
  <c r="I32" i="3"/>
  <c r="J32" i="3" s="1"/>
  <c r="I181" i="3"/>
  <c r="J181" i="3" s="1"/>
  <c r="I82" i="3"/>
  <c r="J82" i="3" s="1"/>
  <c r="I108" i="3"/>
  <c r="J108" i="3" s="1"/>
  <c r="I102" i="3"/>
  <c r="J102" i="3" s="1"/>
  <c r="I44" i="3"/>
  <c r="J44" i="3" s="1"/>
  <c r="I120" i="3"/>
  <c r="J120" i="3" s="1"/>
  <c r="I6" i="3"/>
  <c r="J6" i="3" s="1"/>
  <c r="I92" i="3"/>
  <c r="J92" i="3" s="1"/>
  <c r="I10" i="3"/>
  <c r="J10" i="3" s="1"/>
  <c r="I140" i="3"/>
  <c r="J140" i="3" s="1"/>
  <c r="I50" i="3"/>
  <c r="J50" i="3" s="1"/>
  <c r="I171" i="3"/>
  <c r="J171" i="3" s="1"/>
  <c r="I12" i="3"/>
  <c r="J12" i="3" s="1"/>
  <c r="I160" i="3"/>
  <c r="J160" i="3" s="1"/>
  <c r="I22" i="3"/>
  <c r="J22" i="3" s="1"/>
  <c r="I70" i="3"/>
  <c r="J70" i="3" s="1"/>
  <c r="I138" i="3"/>
  <c r="J138" i="3" s="1"/>
  <c r="I110" i="3"/>
  <c r="J110" i="3" s="1"/>
  <c r="I34" i="3"/>
  <c r="J34" i="3" s="1"/>
  <c r="I158" i="3"/>
  <c r="J158" i="3" s="1"/>
  <c r="I183" i="3"/>
  <c r="J183" i="3" s="1"/>
  <c r="I165" i="3"/>
  <c r="J165" i="3" s="1"/>
  <c r="I173" i="3"/>
  <c r="J173" i="3" s="1"/>
  <c r="I30" i="3"/>
  <c r="J30" i="3" s="1"/>
  <c r="I98" i="3"/>
  <c r="J98" i="3" s="1"/>
  <c r="I36" i="3"/>
  <c r="J36" i="3" s="1"/>
  <c r="I114" i="3"/>
  <c r="J114" i="3" s="1"/>
  <c r="I2" i="3"/>
  <c r="J2" i="3" s="1"/>
  <c r="I94" i="3"/>
  <c r="J94" i="3" s="1"/>
  <c r="I52" i="3"/>
  <c r="J52" i="3" s="1"/>
  <c r="I148" i="3"/>
  <c r="J148" i="3" s="1"/>
  <c r="I48" i="3"/>
  <c r="J48" i="3" s="1"/>
  <c r="I126" i="3"/>
  <c r="J126" i="3" s="1"/>
  <c r="I84" i="3"/>
  <c r="J84" i="3" s="1"/>
  <c r="I100" i="3"/>
  <c r="J100" i="3" s="1"/>
  <c r="I122" i="3"/>
  <c r="J122" i="3" s="1"/>
  <c r="I60" i="3"/>
  <c r="J60" i="3" s="1"/>
  <c r="I177" i="3"/>
  <c r="J177" i="3" s="1"/>
  <c r="I66" i="3"/>
  <c r="J66" i="3" s="1"/>
  <c r="I64" i="3"/>
  <c r="J64" i="3" s="1"/>
  <c r="I128" i="3"/>
  <c r="J128" i="3" s="1"/>
  <c r="I28" i="3"/>
  <c r="J28" i="3" s="1"/>
  <c r="I112" i="3"/>
  <c r="J112" i="3" s="1"/>
  <c r="I118" i="3"/>
  <c r="J118" i="3" s="1"/>
  <c r="I76" i="3"/>
  <c r="J76" i="3" s="1"/>
  <c r="I38" i="3"/>
  <c r="J38" i="3" s="1"/>
  <c r="I16" i="3"/>
  <c r="J16" i="3" s="1"/>
  <c r="I154" i="3"/>
  <c r="J154" i="3" s="1"/>
  <c r="I136" i="3"/>
  <c r="J136" i="3" s="1"/>
  <c r="I14" i="3"/>
  <c r="J14" i="3" s="1"/>
  <c r="I88" i="3"/>
  <c r="J88" i="3" s="1"/>
  <c r="I167" i="3"/>
  <c r="J167" i="3" s="1"/>
  <c r="I116" i="3"/>
  <c r="J116" i="3" s="1"/>
  <c r="I39" i="3"/>
  <c r="J39" i="3" s="1"/>
  <c r="I78" i="3"/>
  <c r="J78" i="3" s="1"/>
  <c r="I72" i="3"/>
  <c r="J72" i="3" s="1"/>
  <c r="I80" i="3"/>
  <c r="J80" i="3" s="1"/>
  <c r="I58" i="3"/>
  <c r="J58" i="3" s="1"/>
  <c r="I150" i="3"/>
  <c r="J150" i="3" s="1"/>
  <c r="I179" i="3"/>
  <c r="J179" i="3" s="1"/>
  <c r="I104" i="3"/>
  <c r="J104" i="3" s="1"/>
  <c r="I169" i="3"/>
  <c r="J169" i="3" s="1"/>
  <c r="I144" i="3"/>
  <c r="J144" i="3" s="1"/>
  <c r="I74" i="3"/>
  <c r="J74" i="3" s="1"/>
  <c r="I4" i="3"/>
  <c r="J4" i="3" s="1"/>
  <c r="I62" i="3"/>
  <c r="J62" i="3" s="1"/>
  <c r="I152" i="3"/>
  <c r="J152" i="3" s="1"/>
  <c r="I68" i="3"/>
  <c r="J68" i="3" s="1"/>
  <c r="I96" i="3"/>
  <c r="J96" i="3" s="1"/>
  <c r="I42" i="3"/>
  <c r="J42" i="3" s="1"/>
  <c r="I106" i="3"/>
  <c r="J106" i="3" s="1"/>
  <c r="I54" i="3"/>
  <c r="J54" i="3" s="1"/>
  <c r="I86" i="3"/>
  <c r="J86" i="3" s="1"/>
  <c r="I56" i="3"/>
  <c r="J56" i="3" s="1"/>
  <c r="I26" i="3"/>
  <c r="J26" i="3" s="1"/>
  <c r="I132" i="3"/>
  <c r="J132" i="3" s="1"/>
  <c r="I166" i="3"/>
  <c r="J166" i="3" s="1"/>
  <c r="I87" i="3"/>
  <c r="J87" i="3" s="1"/>
  <c r="I37" i="3"/>
  <c r="J37" i="3" s="1"/>
  <c r="I176" i="3"/>
  <c r="J176" i="3" s="1"/>
  <c r="I40" i="3"/>
  <c r="J40" i="3" s="1"/>
  <c r="I161" i="3"/>
  <c r="J161" i="3" s="1"/>
  <c r="I27" i="3"/>
  <c r="J27" i="3" s="1"/>
  <c r="I63" i="3"/>
  <c r="J63" i="3" s="1"/>
  <c r="I43" i="3"/>
  <c r="J43" i="3" s="1"/>
  <c r="I184" i="3"/>
  <c r="J184" i="3" s="1"/>
  <c r="I159" i="3"/>
  <c r="J159" i="3" s="1"/>
  <c r="I69" i="3"/>
  <c r="J69" i="3" s="1"/>
  <c r="I79" i="3"/>
  <c r="J79" i="3" s="1"/>
  <c r="I153" i="3"/>
  <c r="J153" i="3" s="1"/>
  <c r="I19" i="3"/>
  <c r="J19" i="3" s="1"/>
  <c r="I137" i="3"/>
  <c r="J137" i="3" s="1"/>
  <c r="I9" i="3"/>
  <c r="J9" i="3" s="1"/>
  <c r="I49" i="3"/>
  <c r="J49" i="3" s="1"/>
  <c r="I15" i="3"/>
  <c r="J15" i="3" s="1"/>
  <c r="I99" i="3"/>
  <c r="J99" i="3" s="1"/>
  <c r="I53" i="3"/>
  <c r="J53" i="3" s="1"/>
  <c r="I73" i="3"/>
  <c r="J73" i="3" s="1"/>
  <c r="I51" i="3"/>
  <c r="J51" i="3" s="1"/>
  <c r="I31" i="3"/>
  <c r="J31" i="3" s="1"/>
  <c r="I65" i="3"/>
  <c r="O21" i="3" s="1" a="1"/>
  <c r="O21" i="3" s="1"/>
  <c r="I93" i="3"/>
  <c r="J93" i="3" s="1"/>
  <c r="I119" i="3"/>
  <c r="J119" i="3" s="1"/>
  <c r="I5" i="3"/>
  <c r="J5" i="3" s="1"/>
  <c r="I101" i="3"/>
  <c r="J101" i="3" s="1"/>
  <c r="I59" i="3"/>
  <c r="J59" i="3" s="1"/>
  <c r="I97" i="3"/>
  <c r="J97" i="3" s="1"/>
  <c r="I178" i="3"/>
  <c r="J178" i="3" s="1"/>
  <c r="I107" i="3"/>
  <c r="J107" i="3" s="1"/>
  <c r="I157" i="3"/>
  <c r="J157" i="3" s="1"/>
  <c r="I33" i="3"/>
  <c r="J33" i="3" s="1"/>
  <c r="I139" i="3"/>
  <c r="J139" i="3" s="1"/>
  <c r="I133" i="3"/>
  <c r="J133" i="3" s="1"/>
  <c r="I143" i="3"/>
  <c r="J143" i="3" s="1"/>
  <c r="I29" i="3"/>
  <c r="J29" i="3" s="1"/>
  <c r="I35" i="3"/>
  <c r="J35" i="3" s="1"/>
  <c r="I105" i="3"/>
  <c r="J105" i="3" s="1"/>
  <c r="I117" i="3"/>
  <c r="J117" i="3" s="1"/>
  <c r="I113" i="3"/>
  <c r="J113" i="3" s="1"/>
  <c r="I129" i="3"/>
  <c r="J129" i="3" s="1"/>
  <c r="I164" i="3"/>
  <c r="J164" i="3" s="1"/>
  <c r="I109" i="3"/>
  <c r="J109" i="3" s="1"/>
  <c r="I77" i="3"/>
  <c r="J77" i="3" s="1"/>
  <c r="I111" i="3"/>
  <c r="J111" i="3" s="1"/>
  <c r="I55" i="3"/>
  <c r="J55" i="3" s="1"/>
  <c r="I182" i="3"/>
  <c r="J182" i="3" s="1"/>
  <c r="I25" i="3"/>
  <c r="J25" i="3" s="1"/>
  <c r="I21" i="3"/>
  <c r="J21" i="3" s="1"/>
  <c r="I174" i="3"/>
  <c r="J174" i="3" s="1"/>
  <c r="I83" i="3"/>
  <c r="J83" i="3" s="1"/>
  <c r="I89" i="3"/>
  <c r="J89" i="3" s="1"/>
  <c r="I155" i="3"/>
  <c r="J155" i="3" s="1"/>
  <c r="I168" i="3"/>
  <c r="J168" i="3" s="1"/>
  <c r="I81" i="3"/>
  <c r="J81" i="3" s="1"/>
  <c r="I180" i="3"/>
  <c r="J180" i="3" s="1"/>
  <c r="I103" i="3"/>
  <c r="J103" i="3" s="1"/>
  <c r="I172" i="3"/>
  <c r="J172" i="3" s="1"/>
  <c r="I125" i="3"/>
  <c r="J125" i="3" s="1"/>
  <c r="I149" i="3"/>
  <c r="J149" i="3" s="1"/>
  <c r="I45" i="3"/>
  <c r="J45" i="3" s="1"/>
  <c r="I123" i="3"/>
  <c r="J123" i="3" s="1"/>
  <c r="I47" i="3"/>
  <c r="J47" i="3" s="1"/>
  <c r="I131" i="3"/>
  <c r="J131" i="3" s="1"/>
  <c r="I71" i="3"/>
  <c r="J71" i="3" s="1"/>
  <c r="I23" i="3"/>
  <c r="J23" i="3" s="1"/>
  <c r="I61" i="3"/>
  <c r="J61" i="3" s="1"/>
  <c r="I145" i="3"/>
  <c r="J145" i="3" s="1"/>
  <c r="I121" i="3"/>
  <c r="J121" i="3" s="1"/>
  <c r="I141" i="3"/>
  <c r="J141" i="3" s="1"/>
  <c r="I170" i="3"/>
  <c r="J170" i="3" s="1"/>
  <c r="I3" i="3"/>
  <c r="J3" i="3" s="1"/>
  <c r="I151" i="3"/>
  <c r="J151" i="3" s="1"/>
  <c r="I11" i="3"/>
  <c r="J11" i="3" s="1"/>
  <c r="I127" i="3"/>
  <c r="J127" i="3" s="1"/>
  <c r="I7" i="3"/>
  <c r="J7" i="3" s="1"/>
  <c r="I147" i="3"/>
  <c r="J147" i="3" s="1"/>
  <c r="I135" i="3"/>
  <c r="J135" i="3" s="1"/>
  <c r="I115" i="3"/>
  <c r="J115" i="3" s="1"/>
  <c r="I17" i="3"/>
  <c r="J17" i="3" s="1"/>
  <c r="I57" i="3"/>
  <c r="J57" i="3" s="1"/>
  <c r="I67" i="3"/>
  <c r="J67" i="3" s="1"/>
  <c r="I13" i="3"/>
  <c r="J13" i="3" s="1"/>
  <c r="I95" i="3"/>
  <c r="J95" i="3" s="1"/>
  <c r="I91" i="3"/>
  <c r="J91" i="3" s="1"/>
  <c r="I75" i="3"/>
  <c r="J75" i="3" s="1"/>
  <c r="I85" i="3"/>
  <c r="J85" i="3" s="1"/>
  <c r="I41" i="3"/>
  <c r="J41" i="3" s="1"/>
  <c r="P5" i="3"/>
  <c r="P11" i="3" s="1"/>
  <c r="J65" i="3" l="1"/>
  <c r="B9" i="4" a="1"/>
  <c r="B9" i="4" s="1"/>
  <c r="C6" i="4"/>
  <c r="O24" i="3" a="1"/>
  <c r="O24" i="3" s="1"/>
  <c r="P10" i="3"/>
  <c r="P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ppend1" description="Connection to the 'Append1' query in the workbook." type="5" refreshedVersion="6" background="1" saveData="1">
    <dbPr connection="Provider=Microsoft.Mashup.OleDb.1;Data Source=$Workbook$;Location=Append1;Extended Properties=&quot;&quot;" command="SELECT * FROM [Append1]"/>
  </connection>
  <connection id="2" xr16:uid="{00000000-0015-0000-FFFF-FFFF01000000}" keepAlive="1" name="Query - Nz_Staff" description="Connection to the 'Nz_Staff' query in the workbook." type="5" refreshedVersion="0" background="1">
    <dbPr connection="Provider=Microsoft.Mashup.OleDb.1;Data Source=$Workbook$;Location=Nz_Staff;Extended Properties=&quot;&quot;" command="SELECT * FROM [Nz_Staff]"/>
  </connection>
  <connection id="3" xr16:uid="{00000000-0015-0000-FFFF-FFFF02000000}" keepAlive="1" name="Query - Nz_Staff (2)" description="Connection to the 'Nz_Staff (2)' query in the workbook." type="5" refreshedVersion="0" background="1">
    <dbPr connection="Provider=Microsoft.Mashup.OleDb.1;Data Source=$Workbook$;Location=&quot;Nz_Staff (2)&quot;;Extended Properties=&quot;&quot;" command="SELECT * FROM [Nz_Staff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<sst xmlns="http://schemas.openxmlformats.org/spreadsheetml/2006/main" count="1842" uniqueCount="235">
  <si>
    <t>Employee Data</t>
  </si>
  <si>
    <t>Name</t>
  </si>
  <si>
    <t>Gender</t>
  </si>
  <si>
    <t>Department</t>
  </si>
  <si>
    <t>Age</t>
  </si>
  <si>
    <t>Date Joined</t>
  </si>
  <si>
    <t>Salary</t>
  </si>
  <si>
    <t>Rating</t>
  </si>
  <si>
    <t>Lindy Guillet</t>
  </si>
  <si>
    <t>Male</t>
  </si>
  <si>
    <t>Sales</t>
  </si>
  <si>
    <t>Above average</t>
  </si>
  <si>
    <t>Ambros Murthwaite</t>
  </si>
  <si>
    <t>Procurement</t>
  </si>
  <si>
    <t>Average</t>
  </si>
  <si>
    <t>Tatum Hush</t>
  </si>
  <si>
    <t>Female</t>
  </si>
  <si>
    <t>Benny Karolovsky</t>
  </si>
  <si>
    <t>Finance</t>
  </si>
  <si>
    <t>Poor</t>
  </si>
  <si>
    <t>Hoyt D'Alesco</t>
  </si>
  <si>
    <t>Halimeda Kuscha</t>
  </si>
  <si>
    <t>Erin Androsik</t>
  </si>
  <si>
    <t>Vic Radolf</t>
  </si>
  <si>
    <t>Website</t>
  </si>
  <si>
    <t>William Reeveley</t>
  </si>
  <si>
    <t>Ewart Laphorn</t>
  </si>
  <si>
    <t>HR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</si>
  <si>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</si>
  <si>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</si>
  <si>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</si>
  <si>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</si>
  <si>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</si>
  <si>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</si>
  <si>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</si>
  <si>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</si>
  <si>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</si>
  <si>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</si>
  <si>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</si>
  <si>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</si>
  <si>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</si>
  <si>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</si>
  <si>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</si>
  <si>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</si>
  <si>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Exceptional</t>
  </si>
  <si>
    <t>Merrilee Plenty</t>
  </si>
  <si>
    <t>Niall Selesnick</t>
  </si>
  <si>
    <t>Beverie Moffet</t>
  </si>
  <si>
    <t>Jehu Rudeforth</t>
  </si>
  <si>
    <t>Camilla Castle</t>
  </si>
  <si>
    <t>Very poor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</si>
  <si>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</si>
  <si>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</si>
  <si>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</si>
  <si>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</si>
  <si>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</si>
  <si>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</si>
  <si>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</si>
  <si>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</si>
  <si>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</si>
  <si>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</si>
  <si>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</si>
  <si>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</si>
  <si>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</si>
  <si>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</si>
  <si>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</si>
  <si>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</si>
  <si>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</si>
  <si>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</si>
  <si>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</si>
  <si>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</si>
  <si>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</si>
  <si>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</si>
  <si>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</si>
  <si>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</si>
  <si>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</si>
  <si>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</si>
  <si>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</si>
  <si>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</si>
  <si>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</si>
  <si>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</si>
  <si>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</si>
  <si>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</si>
  <si>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</si>
  <si>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</si>
  <si>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</si>
  <si>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</si>
  <si>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</si>
  <si>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</si>
  <si>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</si>
  <si>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</si>
  <si>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</si>
  <si>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</si>
  <si>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</si>
  <si>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</si>
  <si>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</si>
  <si>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</si>
  <si>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</si>
  <si>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</si>
  <si>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</si>
  <si>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</si>
  <si>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</si>
  <si>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</si>
  <si>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</si>
  <si>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</si>
  <si>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</si>
  <si>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</si>
  <si>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</si>
  <si>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</si>
  <si>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</si>
  <si>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</si>
  <si>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Deepali Charan</t>
  </si>
  <si>
    <t>Yagna Sujeev</t>
  </si>
  <si>
    <t>Satyendra Venkatadri</t>
  </si>
  <si>
    <t>Madhavdas Buhpathi</t>
  </si>
  <si>
    <t>Sahila Chandrasekhar</t>
  </si>
  <si>
    <t>Mirium Seemantini Shivakumar</t>
  </si>
  <si>
    <t>Purnendu Vijayarangan</t>
  </si>
  <si>
    <t>Rukma Vinita</t>
  </si>
  <si>
    <t>Yauvani Tarpa</t>
  </si>
  <si>
    <t>Damayanti Thangavadivelu</t>
  </si>
  <si>
    <t>Manjusri Ruchi</t>
  </si>
  <si>
    <t>Mithil Nadkarni</t>
  </si>
  <si>
    <t>Ardhendu Abhichandra Jayakar</t>
  </si>
  <si>
    <t>Akbar Sorabhjee</t>
  </si>
  <si>
    <t>Bandhula Sathyanna</t>
  </si>
  <si>
    <t>Daruka Ghazali</t>
  </si>
  <si>
    <t>Heer Pennathur</t>
  </si>
  <si>
    <t>Shekhar Eswara</t>
  </si>
  <si>
    <t>Udyan Lanka</t>
  </si>
  <si>
    <t>Shreela Ramasubraman</t>
  </si>
  <si>
    <t>Sanchali Shirish</t>
  </si>
  <si>
    <t>Gangadutt Ragha</t>
  </si>
  <si>
    <t>Waheeda Vasuman</t>
  </si>
  <si>
    <t>Nanak Sapna</t>
  </si>
  <si>
    <t>Shobhana Samuel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</si>
  <si>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</si>
  <si>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</si>
  <si>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</si>
  <si>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</si>
  <si>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</si>
  <si>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</si>
  <si>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</si>
  <si>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</si>
  <si>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</si>
  <si>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</si>
  <si>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</si>
  <si>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</si>
  <si>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</si>
  <si>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</si>
  <si>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</si>
  <si>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</si>
  <si>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</si>
  <si>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</si>
  <si>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</si>
  <si>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</si>
  <si>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</si>
  <si>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</si>
  <si>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</si>
  <si>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</si>
  <si>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</si>
  <si>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</si>
  <si>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</si>
  <si>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</si>
  <si>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</si>
  <si>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</si>
  <si>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</si>
  <si>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</si>
  <si>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</si>
  <si>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</si>
  <si>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</si>
  <si>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</si>
  <si>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</si>
  <si>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</si>
  <si>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</si>
  <si>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</si>
  <si>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</si>
  <si>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</si>
  <si>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</si>
  <si>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</si>
  <si>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</si>
  <si>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</si>
  <si>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</si>
  <si>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</si>
  <si>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</si>
  <si>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</si>
  <si>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</si>
  <si>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</si>
  <si>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</si>
  <si>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</si>
  <si>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</si>
  <si>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</si>
  <si>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</si>
  <si>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</si>
  <si>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</si>
  <si>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</si>
  <si>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</si>
  <si>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</si>
  <si>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</si>
  <si>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</si>
  <si>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</si>
  <si>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</si>
  <si>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</si>
  <si>
    <t>Country</t>
  </si>
  <si>
    <t>Tenure</t>
  </si>
  <si>
    <t>Bonus</t>
  </si>
  <si>
    <t>Rating As Number</t>
  </si>
  <si>
    <t>IND</t>
  </si>
  <si>
    <t>NZ</t>
  </si>
  <si>
    <t>Count of Employees</t>
  </si>
  <si>
    <t>Average Salary</t>
  </si>
  <si>
    <t>Median Salary</t>
  </si>
  <si>
    <t>Average Age</t>
  </si>
  <si>
    <t>Median Age</t>
  </si>
  <si>
    <t>Average Tenure</t>
  </si>
  <si>
    <t>Female Count</t>
  </si>
  <si>
    <t>Female Ratio</t>
  </si>
  <si>
    <t>Ratio of salary &gt; $90000</t>
  </si>
  <si>
    <t>VlookUp</t>
  </si>
  <si>
    <t>(Salary)</t>
  </si>
  <si>
    <t>Xlookup</t>
  </si>
  <si>
    <t>other</t>
  </si>
  <si>
    <t>website</t>
  </si>
  <si>
    <t>Number of people</t>
  </si>
  <si>
    <t>Male Vs. Female</t>
  </si>
  <si>
    <t>Values</t>
  </si>
  <si>
    <t>Average of Salary</t>
  </si>
  <si>
    <t>Count of Name</t>
  </si>
  <si>
    <t>Average of Age</t>
  </si>
  <si>
    <t>Average of Tenure</t>
  </si>
  <si>
    <t>Grand Total</t>
  </si>
  <si>
    <t>New Zealand</t>
  </si>
  <si>
    <t>India</t>
  </si>
  <si>
    <t>Headcount By Department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</si>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</sst>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[$$-409]#,##0.00"/>
    <numFmt numFmtId="167" formatCode="0.0"/>
  </numFmts>
  <fonts count="1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i/>
      <sz val="11"/>
      <color theme="0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rgb="FF000000"/>
      <name val="Calibri"/>
    </font>
    <font>
      <b/>
      <sz val="48"/>
      <color rgb="FFFFFFFF"/>
      <name val="Calibri"/>
    </font>
    <font>
      <b/>
      <sz val="18"/>
      <color rgb="FFFFFFFF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14" fontId="0" fillId="0" borderId="0" xfId="0" applyNumberFormat="1"/>
    <xf numFmtId="0" fontId="0" fillId="5" borderId="0" xfId="0" applyFill="1"/>
    <xf numFmtId="2" fontId="0" fillId="0" borderId="0" xfId="0" applyNumberFormat="1"/>
    <xf numFmtId="0" fontId="2" fillId="4" borderId="0" xfId="0" applyFont="1" applyFill="1"/>
    <xf numFmtId="9" fontId="0" fillId="5" borderId="0" xfId="0" applyNumberFormat="1" applyFill="1"/>
    <xf numFmtId="0" fontId="3" fillId="6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1" xfId="0" applyFill="1" applyBorder="1"/>
    <xf numFmtId="0" fontId="0" fillId="0" borderId="0" xfId="0" pivotButton="1"/>
    <xf numFmtId="0" fontId="2" fillId="9" borderId="0" xfId="0" applyFont="1" applyFill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0" fontId="7" fillId="10" borderId="0" xfId="0" applyFont="1" applyFill="1" applyAlignment="1">
      <alignment horizontal="center" vertical="center"/>
    </xf>
    <xf numFmtId="9" fontId="7" fillId="10" borderId="0" xfId="0" applyNumberFormat="1" applyFont="1" applyFill="1" applyAlignment="1">
      <alignment horizontal="center" vertical="center"/>
    </xf>
    <xf numFmtId="166" fontId="8" fillId="10" borderId="0" xfId="0" applyNumberFormat="1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9" fontId="5" fillId="11" borderId="0" xfId="0" applyNumberFormat="1" applyFont="1" applyFill="1" applyAlignment="1">
      <alignment horizontal="center" vertical="center"/>
    </xf>
    <xf numFmtId="166" fontId="4" fillId="11" borderId="0" xfId="0" applyNumberFormat="1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2" formatCode="0.00"/>
    </dxf>
    <dxf>
      <numFmt numFmtId="166" formatCode="[$$-409]#,##0.00"/>
    </dxf>
    <dxf>
      <numFmt numFmtId="19" formatCode="dd/mm/yyyy"/>
    </dxf>
    <dxf>
      <numFmt numFmtId="20" formatCode="dd/mmm/yy"/>
    </dxf>
    <dxf>
      <numFmt numFmtId="164" formatCode="_-[$$-409]* #,##0.00_ ;_-[$$-409]* \-#,##0.00\ ;_-[$$-409]* &quot;-&quot;??_ ;_-@_ "/>
    </dxf>
    <dxf>
      <numFmt numFmtId="166" formatCode="[$$-409]#,##0.00"/>
    </dxf>
    <dxf>
      <numFmt numFmtId="167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Rating Vs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Staff!$K$1</c:f>
              <c:strCache>
                <c:ptCount val="1"/>
                <c:pt idx="0">
                  <c:v> Rating As Number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Staff!$G$2:$G$184</c:f>
              <c:numCache>
                <c:formatCode>[$$-409]#,##0.00</c:formatCode>
                <c:ptCount val="183"/>
                <c:pt idx="0">
                  <c:v>33920</c:v>
                </c:pt>
                <c:pt idx="1">
                  <c:v>33920</c:v>
                </c:pt>
                <c:pt idx="2">
                  <c:v>34980</c:v>
                </c:pt>
                <c:pt idx="3">
                  <c:v>34980</c:v>
                </c:pt>
                <c:pt idx="4">
                  <c:v>36040</c:v>
                </c:pt>
                <c:pt idx="5">
                  <c:v>36040</c:v>
                </c:pt>
                <c:pt idx="6">
                  <c:v>37920</c:v>
                </c:pt>
                <c:pt idx="7">
                  <c:v>37920</c:v>
                </c:pt>
                <c:pt idx="8">
                  <c:v>40400</c:v>
                </c:pt>
                <c:pt idx="9">
                  <c:v>40400</c:v>
                </c:pt>
                <c:pt idx="10">
                  <c:v>41570</c:v>
                </c:pt>
                <c:pt idx="11">
                  <c:v>41570</c:v>
                </c:pt>
                <c:pt idx="12">
                  <c:v>41980</c:v>
                </c:pt>
                <c:pt idx="13">
                  <c:v>41980</c:v>
                </c:pt>
                <c:pt idx="14">
                  <c:v>43510</c:v>
                </c:pt>
                <c:pt idx="15">
                  <c:v>43510</c:v>
                </c:pt>
                <c:pt idx="16">
                  <c:v>43840</c:v>
                </c:pt>
                <c:pt idx="17">
                  <c:v>43840</c:v>
                </c:pt>
                <c:pt idx="18">
                  <c:v>45510</c:v>
                </c:pt>
                <c:pt idx="19">
                  <c:v>45510</c:v>
                </c:pt>
                <c:pt idx="20">
                  <c:v>47360</c:v>
                </c:pt>
                <c:pt idx="21">
                  <c:v>47360</c:v>
                </c:pt>
                <c:pt idx="22">
                  <c:v>48170</c:v>
                </c:pt>
                <c:pt idx="23">
                  <c:v>48170</c:v>
                </c:pt>
                <c:pt idx="24">
                  <c:v>48530</c:v>
                </c:pt>
                <c:pt idx="25">
                  <c:v>48530</c:v>
                </c:pt>
                <c:pt idx="26">
                  <c:v>48950</c:v>
                </c:pt>
                <c:pt idx="27">
                  <c:v>48950</c:v>
                </c:pt>
                <c:pt idx="28">
                  <c:v>48980</c:v>
                </c:pt>
                <c:pt idx="29">
                  <c:v>48980</c:v>
                </c:pt>
                <c:pt idx="30">
                  <c:v>49630</c:v>
                </c:pt>
                <c:pt idx="31">
                  <c:v>49630</c:v>
                </c:pt>
                <c:pt idx="32">
                  <c:v>52610</c:v>
                </c:pt>
                <c:pt idx="33">
                  <c:v>52610</c:v>
                </c:pt>
                <c:pt idx="34">
                  <c:v>53240</c:v>
                </c:pt>
                <c:pt idx="35">
                  <c:v>53240</c:v>
                </c:pt>
                <c:pt idx="36">
                  <c:v>53540</c:v>
                </c:pt>
                <c:pt idx="37">
                  <c:v>53540</c:v>
                </c:pt>
                <c:pt idx="38">
                  <c:v>53540</c:v>
                </c:pt>
                <c:pt idx="39">
                  <c:v>53540</c:v>
                </c:pt>
                <c:pt idx="40">
                  <c:v>53870</c:v>
                </c:pt>
                <c:pt idx="41">
                  <c:v>53870</c:v>
                </c:pt>
                <c:pt idx="42">
                  <c:v>54970</c:v>
                </c:pt>
                <c:pt idx="43">
                  <c:v>54970</c:v>
                </c:pt>
                <c:pt idx="44">
                  <c:v>56870</c:v>
                </c:pt>
                <c:pt idx="45">
                  <c:v>56870</c:v>
                </c:pt>
                <c:pt idx="46">
                  <c:v>57090</c:v>
                </c:pt>
                <c:pt idx="47">
                  <c:v>57090</c:v>
                </c:pt>
                <c:pt idx="48">
                  <c:v>58100</c:v>
                </c:pt>
                <c:pt idx="49">
                  <c:v>58100</c:v>
                </c:pt>
                <c:pt idx="50">
                  <c:v>58940</c:v>
                </c:pt>
                <c:pt idx="51">
                  <c:v>58940</c:v>
                </c:pt>
                <c:pt idx="52">
                  <c:v>58960</c:v>
                </c:pt>
                <c:pt idx="53">
                  <c:v>58960</c:v>
                </c:pt>
                <c:pt idx="54">
                  <c:v>59430</c:v>
                </c:pt>
                <c:pt idx="55">
                  <c:v>59430</c:v>
                </c:pt>
                <c:pt idx="56">
                  <c:v>60130</c:v>
                </c:pt>
                <c:pt idx="57">
                  <c:v>60130</c:v>
                </c:pt>
                <c:pt idx="58">
                  <c:v>60570</c:v>
                </c:pt>
                <c:pt idx="59">
                  <c:v>60570</c:v>
                </c:pt>
                <c:pt idx="60">
                  <c:v>62780</c:v>
                </c:pt>
                <c:pt idx="61">
                  <c:v>62780</c:v>
                </c:pt>
                <c:pt idx="62">
                  <c:v>64000</c:v>
                </c:pt>
                <c:pt idx="63">
                  <c:v>64000</c:v>
                </c:pt>
                <c:pt idx="64">
                  <c:v>65360</c:v>
                </c:pt>
                <c:pt idx="65">
                  <c:v>65360</c:v>
                </c:pt>
                <c:pt idx="66">
                  <c:v>65700</c:v>
                </c:pt>
                <c:pt idx="67">
                  <c:v>65700</c:v>
                </c:pt>
                <c:pt idx="68">
                  <c:v>65920</c:v>
                </c:pt>
                <c:pt idx="69">
                  <c:v>65920</c:v>
                </c:pt>
                <c:pt idx="70">
                  <c:v>67910</c:v>
                </c:pt>
                <c:pt idx="71">
                  <c:v>67910</c:v>
                </c:pt>
                <c:pt idx="72">
                  <c:v>67950</c:v>
                </c:pt>
                <c:pt idx="73">
                  <c:v>67950</c:v>
                </c:pt>
                <c:pt idx="74">
                  <c:v>68900</c:v>
                </c:pt>
                <c:pt idx="75">
                  <c:v>68900</c:v>
                </c:pt>
                <c:pt idx="76">
                  <c:v>69070</c:v>
                </c:pt>
                <c:pt idx="77">
                  <c:v>69070</c:v>
                </c:pt>
                <c:pt idx="78">
                  <c:v>69120</c:v>
                </c:pt>
                <c:pt idx="79">
                  <c:v>69120</c:v>
                </c:pt>
                <c:pt idx="80">
                  <c:v>69710</c:v>
                </c:pt>
                <c:pt idx="81">
                  <c:v>69710</c:v>
                </c:pt>
                <c:pt idx="82">
                  <c:v>70270</c:v>
                </c:pt>
                <c:pt idx="83">
                  <c:v>70270</c:v>
                </c:pt>
                <c:pt idx="84">
                  <c:v>70610</c:v>
                </c:pt>
                <c:pt idx="85">
                  <c:v>70610</c:v>
                </c:pt>
                <c:pt idx="86">
                  <c:v>71380</c:v>
                </c:pt>
                <c:pt idx="87">
                  <c:v>71380</c:v>
                </c:pt>
                <c:pt idx="88">
                  <c:v>74550</c:v>
                </c:pt>
                <c:pt idx="89">
                  <c:v>74550</c:v>
                </c:pt>
                <c:pt idx="90">
                  <c:v>75000</c:v>
                </c:pt>
                <c:pt idx="91">
                  <c:v>75000</c:v>
                </c:pt>
                <c:pt idx="92">
                  <c:v>75280</c:v>
                </c:pt>
                <c:pt idx="93">
                  <c:v>75280</c:v>
                </c:pt>
                <c:pt idx="94">
                  <c:v>75480</c:v>
                </c:pt>
                <c:pt idx="95">
                  <c:v>75480</c:v>
                </c:pt>
                <c:pt idx="96">
                  <c:v>75880</c:v>
                </c:pt>
                <c:pt idx="97">
                  <c:v>75880</c:v>
                </c:pt>
                <c:pt idx="98">
                  <c:v>75970</c:v>
                </c:pt>
                <c:pt idx="99">
                  <c:v>75970</c:v>
                </c:pt>
                <c:pt idx="100">
                  <c:v>76900</c:v>
                </c:pt>
                <c:pt idx="101">
                  <c:v>76900</c:v>
                </c:pt>
                <c:pt idx="102">
                  <c:v>78390</c:v>
                </c:pt>
                <c:pt idx="103">
                  <c:v>78390</c:v>
                </c:pt>
                <c:pt idx="104">
                  <c:v>78540</c:v>
                </c:pt>
                <c:pt idx="105">
                  <c:v>78540</c:v>
                </c:pt>
                <c:pt idx="106">
                  <c:v>79570</c:v>
                </c:pt>
                <c:pt idx="107">
                  <c:v>79570</c:v>
                </c:pt>
                <c:pt idx="108">
                  <c:v>80700</c:v>
                </c:pt>
                <c:pt idx="109">
                  <c:v>80700</c:v>
                </c:pt>
                <c:pt idx="110">
                  <c:v>83750</c:v>
                </c:pt>
                <c:pt idx="111">
                  <c:v>83750</c:v>
                </c:pt>
                <c:pt idx="112">
                  <c:v>85000</c:v>
                </c:pt>
                <c:pt idx="113">
                  <c:v>85000</c:v>
                </c:pt>
                <c:pt idx="114">
                  <c:v>86570</c:v>
                </c:pt>
                <c:pt idx="115">
                  <c:v>86570</c:v>
                </c:pt>
                <c:pt idx="116">
                  <c:v>87620</c:v>
                </c:pt>
                <c:pt idx="117">
                  <c:v>87620</c:v>
                </c:pt>
                <c:pt idx="118">
                  <c:v>88050</c:v>
                </c:pt>
                <c:pt idx="119">
                  <c:v>88050</c:v>
                </c:pt>
                <c:pt idx="120">
                  <c:v>90700</c:v>
                </c:pt>
                <c:pt idx="121">
                  <c:v>90700</c:v>
                </c:pt>
                <c:pt idx="122">
                  <c:v>91310</c:v>
                </c:pt>
                <c:pt idx="123">
                  <c:v>91310</c:v>
                </c:pt>
                <c:pt idx="124">
                  <c:v>91650</c:v>
                </c:pt>
                <c:pt idx="125">
                  <c:v>91650</c:v>
                </c:pt>
                <c:pt idx="126">
                  <c:v>92450</c:v>
                </c:pt>
                <c:pt idx="127">
                  <c:v>92450</c:v>
                </c:pt>
                <c:pt idx="128">
                  <c:v>92700</c:v>
                </c:pt>
                <c:pt idx="129">
                  <c:v>92700</c:v>
                </c:pt>
                <c:pt idx="130">
                  <c:v>96140</c:v>
                </c:pt>
                <c:pt idx="131">
                  <c:v>96140</c:v>
                </c:pt>
                <c:pt idx="132">
                  <c:v>96800</c:v>
                </c:pt>
                <c:pt idx="133">
                  <c:v>96800</c:v>
                </c:pt>
                <c:pt idx="134">
                  <c:v>99750</c:v>
                </c:pt>
                <c:pt idx="135">
                  <c:v>99750</c:v>
                </c:pt>
                <c:pt idx="136">
                  <c:v>99970</c:v>
                </c:pt>
                <c:pt idx="137">
                  <c:v>99970</c:v>
                </c:pt>
                <c:pt idx="138">
                  <c:v>100420</c:v>
                </c:pt>
                <c:pt idx="139">
                  <c:v>100420</c:v>
                </c:pt>
                <c:pt idx="140">
                  <c:v>103550</c:v>
                </c:pt>
                <c:pt idx="141">
                  <c:v>103550</c:v>
                </c:pt>
                <c:pt idx="142">
                  <c:v>104120</c:v>
                </c:pt>
                <c:pt idx="143">
                  <c:v>104120</c:v>
                </c:pt>
                <c:pt idx="144">
                  <c:v>104410</c:v>
                </c:pt>
                <c:pt idx="145">
                  <c:v>104410</c:v>
                </c:pt>
                <c:pt idx="146">
                  <c:v>104770</c:v>
                </c:pt>
                <c:pt idx="147">
                  <c:v>104770</c:v>
                </c:pt>
                <c:pt idx="148">
                  <c:v>106460</c:v>
                </c:pt>
                <c:pt idx="149">
                  <c:v>106460</c:v>
                </c:pt>
                <c:pt idx="150">
                  <c:v>107700</c:v>
                </c:pt>
                <c:pt idx="151">
                  <c:v>107700</c:v>
                </c:pt>
                <c:pt idx="152">
                  <c:v>109160</c:v>
                </c:pt>
                <c:pt idx="153">
                  <c:v>109160</c:v>
                </c:pt>
                <c:pt idx="154">
                  <c:v>109190</c:v>
                </c:pt>
                <c:pt idx="155">
                  <c:v>109190</c:v>
                </c:pt>
                <c:pt idx="156">
                  <c:v>112110</c:v>
                </c:pt>
                <c:pt idx="157">
                  <c:v>112110</c:v>
                </c:pt>
                <c:pt idx="158">
                  <c:v>112570</c:v>
                </c:pt>
                <c:pt idx="159">
                  <c:v>112570</c:v>
                </c:pt>
                <c:pt idx="160">
                  <c:v>112650</c:v>
                </c:pt>
                <c:pt idx="161">
                  <c:v>112650</c:v>
                </c:pt>
                <c:pt idx="162">
                  <c:v>112650</c:v>
                </c:pt>
                <c:pt idx="163">
                  <c:v>112780</c:v>
                </c:pt>
                <c:pt idx="164">
                  <c:v>112780</c:v>
                </c:pt>
                <c:pt idx="165">
                  <c:v>113280</c:v>
                </c:pt>
                <c:pt idx="166">
                  <c:v>113280</c:v>
                </c:pt>
                <c:pt idx="167">
                  <c:v>114180</c:v>
                </c:pt>
                <c:pt idx="168">
                  <c:v>114180</c:v>
                </c:pt>
                <c:pt idx="169">
                  <c:v>114870</c:v>
                </c:pt>
                <c:pt idx="170">
                  <c:v>114870</c:v>
                </c:pt>
                <c:pt idx="171">
                  <c:v>114890</c:v>
                </c:pt>
                <c:pt idx="172">
                  <c:v>114890</c:v>
                </c:pt>
                <c:pt idx="173">
                  <c:v>115440</c:v>
                </c:pt>
                <c:pt idx="174">
                  <c:v>115440</c:v>
                </c:pt>
                <c:pt idx="175">
                  <c:v>115920</c:v>
                </c:pt>
                <c:pt idx="176">
                  <c:v>115920</c:v>
                </c:pt>
                <c:pt idx="177">
                  <c:v>118100</c:v>
                </c:pt>
                <c:pt idx="178">
                  <c:v>118100</c:v>
                </c:pt>
                <c:pt idx="179">
                  <c:v>118840</c:v>
                </c:pt>
                <c:pt idx="180">
                  <c:v>118840</c:v>
                </c:pt>
                <c:pt idx="181">
                  <c:v>119110</c:v>
                </c:pt>
                <c:pt idx="182">
                  <c:v>119110</c:v>
                </c:pt>
              </c:numCache>
            </c:numRef>
          </c:xVal>
          <c:yVal>
            <c:numRef>
              <c:f>Staff!$K$2:$K$184</c:f>
              <c:numCache>
                <c:formatCode>0</c:formatCode>
                <c:ptCount val="18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4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3</c:v>
                </c:pt>
                <c:pt idx="73">
                  <c:v>3</c:v>
                </c:pt>
                <c:pt idx="74">
                  <c:v>2</c:v>
                </c:pt>
                <c:pt idx="75">
                  <c:v>2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2</c:v>
                </c:pt>
                <c:pt idx="83">
                  <c:v>2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5</c:v>
                </c:pt>
                <c:pt idx="91">
                  <c:v>5</c:v>
                </c:pt>
                <c:pt idx="92">
                  <c:v>3</c:v>
                </c:pt>
                <c:pt idx="93">
                  <c:v>3</c:v>
                </c:pt>
                <c:pt idx="94">
                  <c:v>1</c:v>
                </c:pt>
                <c:pt idx="95">
                  <c:v>1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4</c:v>
                </c:pt>
                <c:pt idx="101">
                  <c:v>4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4</c:v>
                </c:pt>
                <c:pt idx="109">
                  <c:v>4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2</c:v>
                </c:pt>
                <c:pt idx="119">
                  <c:v>2</c:v>
                </c:pt>
                <c:pt idx="120">
                  <c:v>4</c:v>
                </c:pt>
                <c:pt idx="121">
                  <c:v>4</c:v>
                </c:pt>
                <c:pt idx="122">
                  <c:v>3</c:v>
                </c:pt>
                <c:pt idx="123">
                  <c:v>3</c:v>
                </c:pt>
                <c:pt idx="124">
                  <c:v>4</c:v>
                </c:pt>
                <c:pt idx="125">
                  <c:v>4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3</c:v>
                </c:pt>
                <c:pt idx="137">
                  <c:v>3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5</c:v>
                </c:pt>
                <c:pt idx="153">
                  <c:v>5</c:v>
                </c:pt>
                <c:pt idx="154">
                  <c:v>4</c:v>
                </c:pt>
                <c:pt idx="155">
                  <c:v>4</c:v>
                </c:pt>
                <c:pt idx="156">
                  <c:v>2</c:v>
                </c:pt>
                <c:pt idx="157">
                  <c:v>2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4</c:v>
                </c:pt>
                <c:pt idx="164">
                  <c:v>4</c:v>
                </c:pt>
                <c:pt idx="165">
                  <c:v>1</c:v>
                </c:pt>
                <c:pt idx="166">
                  <c:v>1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F2-4E28-9889-24ABD70C3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19847"/>
        <c:axId val="176524647"/>
      </c:scatterChart>
      <c:valAx>
        <c:axId val="176519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24647"/>
        <c:crosses val="autoZero"/>
        <c:crossBetween val="midCat"/>
      </c:valAx>
      <c:valAx>
        <c:axId val="176524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198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[blank-data-file 1.xlsx]Sheet1!PivotTable2</c:name>
    <c:fmtId val="1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Sheet1!$H$5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Sheet1!$G$6:$G$11</c:f>
              <c:strCache>
                <c:ptCount val="5"/>
                <c:pt idx="0">
                  <c:v>HR</c:v>
                </c:pt>
                <c:pt idx="1">
                  <c:v>Sales</c:v>
                </c:pt>
                <c:pt idx="2">
                  <c:v>Finance</c:v>
                </c:pt>
                <c:pt idx="3">
                  <c:v>Website</c:v>
                </c:pt>
                <c:pt idx="4">
                  <c:v>Procurement</c:v>
                </c:pt>
              </c:strCache>
            </c:strRef>
          </c:cat>
          <c:val>
            <c:numRef>
              <c:f>Sheet1!$H$6:$H$11</c:f>
              <c:numCache>
                <c:formatCode>General</c:formatCode>
                <c:ptCount val="5"/>
                <c:pt idx="0">
                  <c:v>4</c:v>
                </c:pt>
                <c:pt idx="1">
                  <c:v>14</c:v>
                </c:pt>
                <c:pt idx="2">
                  <c:v>19</c:v>
                </c:pt>
                <c:pt idx="3">
                  <c:v>27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4C-4814-80A2-66C5588C7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"/>
        <c:axId val="1725446055"/>
        <c:axId val="1725435495"/>
      </c:barChart>
      <c:catAx>
        <c:axId val="1725446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435495"/>
        <c:crosses val="autoZero"/>
        <c:auto val="1"/>
        <c:lblAlgn val="ctr"/>
        <c:lblOffset val="100"/>
        <c:noMultiLvlLbl val="0"/>
      </c:catAx>
      <c:valAx>
        <c:axId val="1725435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446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[blank-data-file 1.xlsx]Sheet1!PivotTable1</c:name>
    <c:fmtId val="1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cat>
            <c:strRef>
              <c:f>Sheet1!$B$6:$B$11</c:f>
              <c:strCache>
                <c:ptCount val="5"/>
                <c:pt idx="0">
                  <c:v>HR</c:v>
                </c:pt>
                <c:pt idx="1">
                  <c:v>Sales</c:v>
                </c:pt>
                <c:pt idx="2">
                  <c:v>Finance</c:v>
                </c:pt>
                <c:pt idx="3">
                  <c:v>Procurement</c:v>
                </c:pt>
                <c:pt idx="4">
                  <c:v>Website</c:v>
                </c:pt>
              </c:strCache>
            </c:strRef>
          </c:cat>
          <c:val>
            <c:numRef>
              <c:f>Sheet1!$C$6:$C$11</c:f>
              <c:numCache>
                <c:formatCode>General</c:formatCode>
                <c:ptCount val="5"/>
                <c:pt idx="0">
                  <c:v>4</c:v>
                </c:pt>
                <c:pt idx="1">
                  <c:v>14</c:v>
                </c:pt>
                <c:pt idx="2">
                  <c:v>19</c:v>
                </c:pt>
                <c:pt idx="3">
                  <c:v>27</c:v>
                </c:pt>
                <c:pt idx="4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32-4E60-9828-CB998F9A7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3"/>
        <c:axId val="1670614439"/>
        <c:axId val="1670605799"/>
      </c:barChart>
      <c:catAx>
        <c:axId val="1670614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605799"/>
        <c:crosses val="autoZero"/>
        <c:auto val="1"/>
        <c:lblAlgn val="ctr"/>
        <c:lblOffset val="100"/>
        <c:noMultiLvlLbl val="0"/>
      </c:catAx>
      <c:valAx>
        <c:axId val="1670605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614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Salary Spread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Salary Spread</a:t>
          </a:r>
        </a:p>
      </cx:txPr>
    </cx:title>
    <cx:plotArea>
      <cx:plotAreaRegion>
        <cx:series layoutId="clusteredColumn" uniqueId="{C4E9F384-1F04-4328-8218-2BBC8C7B61A3}">
          <cx:tx>
            <cx:txData>
              <cx:f>_xlchart.v1.0</cx:f>
              <cx:v>Salary</cx:v>
            </cx:txData>
          </cx:tx>
          <cx:dataLabels/>
          <cx:dataId val="0"/>
          <cx:layoutPr>
            <cx:binning intervalClosed="r" underflow="40000">
              <cx:binSize val="10000"/>
            </cx:binning>
          </cx:layoutPr>
        </cx:series>
      </cx:plotAreaRegion>
      <cx:axis id="0">
        <cx:catScaling gapWidth="0.349999994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Salary Spread</cx:v>
        </cx:txData>
      </cx:tx>
    </cx:title>
    <cx:plotArea>
      <cx:plotAreaRegion>
        <cx:series layoutId="boxWhisker" uniqueId="{4EA476A4-D24D-47C3-942B-14B15A675B63}">
          <cx:tx>
            <cx:txData>
              <cx:f>_xlchart.v1.2</cx:f>
              <cx:v>Salary</cx:v>
            </cx:txData>
          </cx:tx>
          <cx:spPr>
            <a:solidFill>
              <a:srgbClr val="4472C4"/>
            </a:solidFill>
          </cx:spPr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>
              <a:solidFill>
                <a:srgbClr val="000000"/>
              </a:solidFill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6k28jhclwI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chandoo.org/wp/excel-school-program/" TargetMode="Externa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149958</xdr:rowOff>
    </xdr:from>
    <xdr:to>
      <xdr:col>16</xdr:col>
      <xdr:colOff>47625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2F0C86-81F4-8FF2-79D4-1A937B092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149958"/>
          <a:ext cx="2486025" cy="70729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16</xdr:col>
      <xdr:colOff>6350</xdr:colOff>
      <xdr:row>11</xdr:row>
      <xdr:rowOff>41055</xdr:rowOff>
    </xdr:to>
    <xdr:pic>
      <xdr:nvPicPr>
        <xdr:cNvPr id="2" name="Pictur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E6FE93-84F3-45D7-B277-295969E51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625" y="1238250"/>
          <a:ext cx="2444750" cy="137455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12</xdr:col>
      <xdr:colOff>548508</xdr:colOff>
      <xdr:row>10</xdr:row>
      <xdr:rowOff>124811</xdr:rowOff>
    </xdr:from>
    <xdr:to>
      <xdr:col>15</xdr:col>
      <xdr:colOff>67167</xdr:colOff>
      <xdr:row>12</xdr:row>
      <xdr:rowOff>19707</xdr:rowOff>
    </xdr:to>
    <xdr:sp macro="" textlink="">
      <xdr:nvSpPr>
        <xdr:cNvPr id="3" name="Rectangle: Rounded Corner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0C10A5-873E-49A5-819F-85042883FE66}"/>
            </a:ext>
          </a:extLst>
        </xdr:cNvPr>
        <xdr:cNvSpPr/>
      </xdr:nvSpPr>
      <xdr:spPr>
        <a:xfrm>
          <a:off x="7073133" y="2506061"/>
          <a:ext cx="1347459" cy="275896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Roboto" panose="02000000000000000000" pitchFamily="2" charset="0"/>
              <a:ea typeface="Roboto" panose="02000000000000000000" pitchFamily="2" charset="0"/>
            </a:rPr>
            <a:t>Watch the video</a:t>
          </a:r>
        </a:p>
      </xdr:txBody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16</xdr:col>
      <xdr:colOff>19488</xdr:colOff>
      <xdr:row>25</xdr:row>
      <xdr:rowOff>170793</xdr:rowOff>
    </xdr:to>
    <xdr:pic>
      <xdr:nvPicPr>
        <xdr:cNvPr id="5" name="Picture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36909BE-7360-4913-9D8E-2CCF60298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625" y="2952750"/>
          <a:ext cx="2457888" cy="245679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2</xdr:row>
      <xdr:rowOff>123825</xdr:rowOff>
    </xdr:from>
    <xdr:to>
      <xdr:col>7</xdr:col>
      <xdr:colOff>428625</xdr:colOff>
      <xdr:row>10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ountry">
              <a:extLst>
                <a:ext uri="{FF2B5EF4-FFF2-40B4-BE49-F238E27FC236}">
                  <a16:creationId xmlns:a16="http://schemas.microsoft.com/office/drawing/2014/main" id="{7A61CA6D-9642-F8C0-FB8D-90E343D160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500" y="504825"/>
              <a:ext cx="1828800" cy="1514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</xdr:row>
      <xdr:rowOff>104775</xdr:rowOff>
    </xdr:from>
    <xdr:to>
      <xdr:col>13</xdr:col>
      <xdr:colOff>209550</xdr:colOff>
      <xdr:row>28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BAEE00B-2638-4CE4-8BC4-E680FB26A8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523875</xdr:colOff>
      <xdr:row>0</xdr:row>
      <xdr:rowOff>66675</xdr:rowOff>
    </xdr:from>
    <xdr:to>
      <xdr:col>23</xdr:col>
      <xdr:colOff>409575</xdr:colOff>
      <xdr:row>28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2C4BD9D-DAA1-4868-AD40-F04866BF60A6}"/>
                </a:ext>
                <a:ext uri="{147F2762-F138-4A5C-976F-8EAC2B608ADB}">
                  <a16:predDERef xmlns:a16="http://schemas.microsoft.com/office/drawing/2014/main" pred="{CBAEE00B-2638-4CE4-8BC4-E680FB26A8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0</xdr:row>
      <xdr:rowOff>47625</xdr:rowOff>
    </xdr:from>
    <xdr:to>
      <xdr:col>13</xdr:col>
      <xdr:colOff>390525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7BE677-5174-4050-A13E-E550F9404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619125</xdr:colOff>
      <xdr:row>10</xdr:row>
      <xdr:rowOff>57150</xdr:rowOff>
    </xdr:from>
    <xdr:to>
      <xdr:col>14</xdr:col>
      <xdr:colOff>0</xdr:colOff>
      <xdr:row>24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68116C-DC6E-4ACD-A0A4-2458EE1B65A3}"/>
            </a:ext>
            <a:ext uri="{147F2762-F138-4A5C-976F-8EAC2B608ADB}">
              <a16:predDERef xmlns:a16="http://schemas.microsoft.com/office/drawing/2014/main" pred="{D022EE05-86BE-ADB6-CAE2-7A98C5377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600075</xdr:colOff>
      <xdr:row>10</xdr:row>
      <xdr:rowOff>66675</xdr:rowOff>
    </xdr:from>
    <xdr:to>
      <xdr:col>6</xdr:col>
      <xdr:colOff>1143000</xdr:colOff>
      <xdr:row>23</xdr:row>
      <xdr:rowOff>180975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B7F6100-5260-450D-9C03-B2343E272275}"/>
            </a:ext>
            <a:ext uri="{147F2762-F138-4A5C-976F-8EAC2B608ADB}">
              <a16:predDERef xmlns:a16="http://schemas.microsoft.com/office/drawing/2014/main" pred="{D268116C-DC6E-4ACD-A0A4-2458EE1B65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0</xdr:row>
      <xdr:rowOff>85725</xdr:rowOff>
    </xdr:from>
    <xdr:to>
      <xdr:col>8</xdr:col>
      <xdr:colOff>0</xdr:colOff>
      <xdr:row>24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A7E3C2C-5470-AB1D-6BB0-ACCE9849BDC0}"/>
            </a:ext>
            <a:ext uri="{147F2762-F138-4A5C-976F-8EAC2B608ADB}">
              <a16:predDERef xmlns:a16="http://schemas.microsoft.com/office/drawing/2014/main" pred="{BB7F6100-5260-450D-9C03-B2343E272275}"/>
            </a:ext>
          </a:extLst>
        </xdr:cNvPr>
        <xdr:cNvCxnSpPr>
          <a:cxnSpLocks/>
        </xdr:cNvCxnSpPr>
      </xdr:nvCxnSpPr>
      <xdr:spPr>
        <a:xfrm>
          <a:off x="5419725" y="85725"/>
          <a:ext cx="0" cy="5410200"/>
        </a:xfrm>
        <a:prstGeom prst="line">
          <a:avLst/>
        </a:prstGeom>
        <a:ln>
          <a:solidFill>
            <a:srgbClr val="D0CECE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11.738075578702" createdVersion="8" refreshedVersion="8" minRefreshableVersion="3" recordCount="183" xr:uid="{E205B3FF-BA7A-48CA-BAE1-841B04B0EC63}">
  <cacheSource type="worksheet">
    <worksheetSource name="Staff"/>
  </cacheSource>
  <cacheFields count="10">
    <cacheField name="Name" numFmtId="0">
      <sharedItems count="183">
        <s v="Shubhra Potla"/>
        <s v="Gretchen Callow"/>
        <s v="Suchira Bhanupriya Tapti"/>
        <s v="Niall Selesnick"/>
        <s v="Waheeda Vasuman"/>
        <s v="Bili Sizey"/>
        <s v="Akbar Sorabhjee"/>
        <s v="Orton Livick"/>
        <s v="Shobhana Samuel"/>
        <s v="Archibald Filliskirk"/>
        <s v="Prerana Nishita"/>
        <s v="Crissie Cordel"/>
        <s v="Jagajeet Viraj"/>
        <s v="Dotty Strutley"/>
        <s v="Rupak Mehra"/>
        <s v="Drusy MacCombe"/>
        <s v="Yagna Sujeev"/>
        <s v="Kassi Jonson"/>
        <s v="Madhavdas Buhpathi"/>
        <s v="Florinda Crace"/>
        <s v="Shiuli Sapna"/>
        <s v="Dell Molloy"/>
        <s v="Ardhendu Abhichandra Jayakar"/>
        <s v="Jan Morforth"/>
        <s v="Piyali Mahanthapa"/>
        <s v="Erin Androsik"/>
        <s v="Amal Nimesh"/>
        <s v="Gunar Cockshoot"/>
        <s v="Vanmala Shriharsha"/>
        <s v="Esmaria Denecamp"/>
        <s v="Daruka Ghazali"/>
        <s v="Violante Courtonne"/>
        <s v="Gumwant Veera"/>
        <s v="Kaye Crocroft"/>
        <s v="Anumati Shyamari Meherhomji"/>
        <s v="Tatum Hush"/>
        <s v="Geena Raghavanpillai"/>
        <s v="Chitrasen Laul"/>
        <s v="Hoyt D'Alesco"/>
        <s v="Zach Polon"/>
        <s v="Pragya Nilufar"/>
        <s v="William Reeveley"/>
        <s v="Sanchali Shirish"/>
        <s v="Alta Kaszper"/>
        <s v="Mirium Seemantini Shivakumar"/>
        <s v="Oran Buxcy"/>
        <s v="Shattesh Utpat"/>
        <s v="Kelci Walkden"/>
        <s v="Pratigya Rema"/>
        <s v="Brien Boise"/>
        <s v="Krittika Gaekwad"/>
        <s v="Oby Sorrel"/>
        <s v="Vinanti Choudhari"/>
        <s v="Lilyan Klimpt"/>
        <s v="Asija Pothireddy"/>
        <s v="My Hanscome"/>
        <s v="Lalit Kothari"/>
        <s v="Jehu Rudeforth"/>
        <s v="Mardav Ramaswami"/>
        <s v="Mallorie Waber"/>
        <s v="Fullara Sushanti Mokate"/>
        <s v="Vic Radolf"/>
        <s v="Upendra Swati"/>
        <s v="Curtice Advani"/>
        <s v="Kevalkumar Solanki"/>
        <s v="Teressa Udden"/>
        <s v="Abhaya Priyavardhan"/>
        <s v="Kath Bletsoe"/>
        <s v="Agrata Rajarama"/>
        <s v="Marney O'Breen"/>
        <s v="Kantimoy Pritish"/>
        <s v="Husein Augar"/>
        <s v="Mahindra Sreedharan"/>
        <s v="Ebonee Roxburgh"/>
        <s v="Devasree Fullara Saurin"/>
        <s v="Hyacinthie Braybrooke"/>
        <s v="Jaishree Atasi Yavatkar"/>
        <s v="Murry Dryburgh"/>
        <s v="Rameshwari Chikodi"/>
        <s v="Andria Kimpton"/>
        <s v="Shekhar Eswara"/>
        <s v="Myer McCory"/>
        <s v="Chandana Sannidhi Surnilla"/>
        <s v="Shayne Stegel"/>
        <s v="Ranajay Kailashnath Richa"/>
        <s v="Ambros Murthwaite"/>
        <s v="Kulbhushan Moorthy"/>
        <s v="Bennie Pepis"/>
        <s v="Yauvani Tarpa"/>
        <s v="Gigi Bohling"/>
        <s v="Nanak Sapna"/>
        <s v="Barr Faughny"/>
        <s v="Hemavati Muthiah"/>
        <s v="Elia Cockton"/>
        <s v="Ayog Chakrabarti"/>
        <s v="Camilla Castle"/>
        <s v="Sameer Shashank Sapra"/>
        <s v="Shari McNee"/>
        <s v="Indu Varada Sumedh"/>
        <s v="Beverie Moffet"/>
        <s v="Shreela Ramasubraman"/>
        <s v="Virginia McConville"/>
        <s v="Rushil Kripa"/>
        <s v="Allene Gobbet"/>
        <s v="Shulabh Qutub Sundaramoorthy"/>
        <s v="Gray Seamon"/>
        <s v="Udyan Lanka"/>
        <s v="Kellsie Waby"/>
        <s v="Bhuvan Pals"/>
        <s v="Van Tuxwell"/>
        <s v="Kunja Prashanta Vibha"/>
        <s v="Agnes Collicott"/>
        <s v="Tarala Vishaal"/>
        <s v="Karlen McCaffrey"/>
        <s v="Madhumati Gazala Soumitra"/>
        <s v="Sibyl Dunkirk"/>
        <s v="Godavari Veena"/>
        <s v="Merrilee Plenty"/>
        <s v="Gangadutt Ragha"/>
        <s v="Ches Bonnell"/>
        <s v="Karuna Pashupathy"/>
        <s v="Dennison Crosswaite"/>
        <s v="Rukma Vinita"/>
        <s v="Madge McCloughen"/>
        <s v="Kamalakshi Mukundan"/>
        <s v="Enoch Dowrey"/>
        <s v="Deepit Ranjana"/>
        <s v="Leilah Yesinin"/>
        <s v="Purnendu Vijayarangan"/>
        <s v="Hinda Label"/>
        <s v="Sukhdev Nageshwar"/>
        <s v="Torrance Collier"/>
        <s v="Mithil Nadkarni"/>
        <s v="Constantino Espley"/>
        <s v="Baruna Ogale"/>
        <s v="Simon Kembery"/>
        <s v="Vasu Nandin"/>
        <s v="Bernie Gorges"/>
        <s v="Amlankusum Rajabhushan"/>
        <s v="Collin Jagson"/>
        <s v="Satyendra Venkatadri"/>
        <s v="Dyna Doucette"/>
        <s v="Sartaj Probal"/>
        <s v="Cherlyn Barter"/>
        <s v="Manjusri Ruchi"/>
        <s v="Caro Chappel"/>
        <s v="Shevantilal Muppala"/>
        <s v="Janene Hairsine"/>
        <s v="Sahas Sanabhi Shrikant"/>
        <s v="Kissiah Maydway"/>
        <s v="Hridaynath Tendulkar"/>
        <s v="Kaine Padly"/>
        <s v="Sawini Chandan"/>
        <s v="Rafaelita Blaksland"/>
        <s v="Damayanti Thangavadivelu"/>
        <s v="Madelene Upcott"/>
        <s v="Narois Motiwala"/>
        <s v="Bev Lashley"/>
        <s v="Makshi Vinutha"/>
        <s v="Halimeda Kuscha"/>
        <s v="Deepali Charan"/>
        <s v="Bandhula Sathyanna"/>
        <s v="Mollie Hanway"/>
        <s v="Krishnakanta Vellanki"/>
        <s v="Lindy Guillet"/>
        <s v="Ilesh Dasgupta"/>
        <s v="Mahalia Larcher"/>
        <s v="Sarojini Naueshwara"/>
        <s v="Hogan Iles"/>
        <s v="Ramnath Ravuri"/>
        <s v="Wilone O'Kielt"/>
        <s v="Dhruv Manjunath"/>
        <s v="Tracy Renad"/>
        <s v="Sahila Chandrasekhar"/>
        <s v="Benny Karolovsky"/>
        <s v="Sarayu Ragunathan"/>
        <s v="Roddy Speechley"/>
        <s v="Kaishori Harathi Kateel"/>
        <s v="Valentia Etteridge"/>
        <s v="Heer Pennathur"/>
        <s v="Tawnya Tickel"/>
        <s v="Anjushri Chandiramani"/>
        <s v="Ewart Laphorn"/>
      </sharedItems>
    </cacheField>
    <cacheField name="Gender" numFmtId="0">
      <sharedItems count="3">
        <s v="Female"/>
        <s v="Male"/>
        <s v="other"/>
      </sharedItems>
    </cacheField>
    <cacheField name="Age" numFmtId="0">
      <sharedItems containsSemiMixedTypes="0" containsString="0" containsNumber="1" containsInteger="1" minValue="19" maxValue="46"/>
    </cacheField>
    <cacheField name="Rating" numFmtId="0">
      <sharedItems count="5">
        <s v="Average"/>
        <s v="Very poor"/>
        <s v="Above average"/>
        <s v="Poor"/>
        <s v="Exceptional"/>
      </sharedItems>
    </cacheField>
    <cacheField name="Date Joined" numFmtId="14">
      <sharedItems containsSemiMixedTypes="0" containsNonDate="0" containsDate="1" containsString="0" minDate="2020-05-07T00:00:00" maxDate="2023-04-30T00:00:00"/>
    </cacheField>
    <cacheField name="Department" numFmtId="0">
      <sharedItems count="5">
        <s v="Website"/>
        <s v="Sales"/>
        <s v="Procurement"/>
        <s v="HR"/>
        <s v="Finance"/>
      </sharedItems>
    </cacheField>
    <cacheField name="Salary" numFmtId="164">
      <sharedItems containsSemiMixedTypes="0" containsString="0" containsNumber="1" containsInteger="1" minValue="33920" maxValue="119110" count="90">
        <n v="33920"/>
        <n v="34980"/>
        <n v="36040"/>
        <n v="37920"/>
        <n v="40400"/>
        <n v="41570"/>
        <n v="41980"/>
        <n v="43510"/>
        <n v="43840"/>
        <n v="45510"/>
        <n v="47360"/>
        <n v="48170"/>
        <n v="48530"/>
        <n v="48950"/>
        <n v="48980"/>
        <n v="49630"/>
        <n v="52610"/>
        <n v="53240"/>
        <n v="53540"/>
        <n v="53870"/>
        <n v="54970"/>
        <n v="56870"/>
        <n v="57090"/>
        <n v="58100"/>
        <n v="58940"/>
        <n v="58960"/>
        <n v="59430"/>
        <n v="60130"/>
        <n v="60570"/>
        <n v="62780"/>
        <n v="64000"/>
        <n v="65360"/>
        <n v="65700"/>
        <n v="65920"/>
        <n v="67910"/>
        <n v="67950"/>
        <n v="68900"/>
        <n v="69070"/>
        <n v="69120"/>
        <n v="69710"/>
        <n v="70270"/>
        <n v="70610"/>
        <n v="71380"/>
        <n v="74550"/>
        <n v="75000"/>
        <n v="75280"/>
        <n v="75480"/>
        <n v="75880"/>
        <n v="75970"/>
        <n v="76900"/>
        <n v="78390"/>
        <n v="78540"/>
        <n v="79570"/>
        <n v="80700"/>
        <n v="83750"/>
        <n v="85000"/>
        <n v="86570"/>
        <n v="87620"/>
        <n v="88050"/>
        <n v="90700"/>
        <n v="91310"/>
        <n v="91650"/>
        <n v="92450"/>
        <n v="92700"/>
        <n v="96140"/>
        <n v="96800"/>
        <n v="99750"/>
        <n v="99970"/>
        <n v="100420"/>
        <n v="103550"/>
        <n v="104120"/>
        <n v="104410"/>
        <n v="104770"/>
        <n v="106460"/>
        <n v="107700"/>
        <n v="109160"/>
        <n v="109190"/>
        <n v="112110"/>
        <n v="112570"/>
        <n v="112650"/>
        <n v="112780"/>
        <n v="113280"/>
        <n v="114180"/>
        <n v="114870"/>
        <n v="114890"/>
        <n v="115440"/>
        <n v="115920"/>
        <n v="118100"/>
        <n v="118840"/>
        <n v="119110"/>
      </sharedItems>
    </cacheField>
    <cacheField name="Country" numFmtId="0">
      <sharedItems count="2">
        <s v="IND"/>
        <s v="NZ"/>
      </sharedItems>
    </cacheField>
    <cacheField name="Tenure" numFmtId="2">
      <sharedItems containsSemiMixedTypes="0" containsString="0" containsNumber="1" minValue="0.18082191780821918" maxValue="3.1589041095890411"/>
    </cacheField>
    <cacheField name="Bonus" numFmtId="165">
      <sharedItems containsSemiMixedTypes="0" containsString="0" containsNumber="1" containsInteger="1" minValue="679" maxValue="3574"/>
    </cacheField>
  </cacheFields>
  <extLst>
    <ext xmlns:x14="http://schemas.microsoft.com/office/spreadsheetml/2009/9/main" uri="{725AE2AE-9491-48be-B2B4-4EB974FC3084}">
      <x14:pivotCacheDefinition pivotCacheId="41526929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x v="0"/>
    <x v="0"/>
    <n v="21"/>
    <x v="0"/>
    <d v="2022-02-27T00:00:00"/>
    <x v="0"/>
    <x v="0"/>
    <x v="0"/>
    <n v="1.3479452054794521"/>
    <n v="679"/>
  </r>
  <r>
    <x v="1"/>
    <x v="0"/>
    <n v="21"/>
    <x v="0"/>
    <d v="2022-04-27T00:00:00"/>
    <x v="0"/>
    <x v="0"/>
    <x v="1"/>
    <n v="1.1863013698630136"/>
    <n v="679"/>
  </r>
  <r>
    <x v="2"/>
    <x v="0"/>
    <n v="29"/>
    <x v="0"/>
    <d v="2020-05-11T00:00:00"/>
    <x v="0"/>
    <x v="1"/>
    <x v="0"/>
    <n v="3.1479452054794521"/>
    <n v="1050"/>
  </r>
  <r>
    <x v="3"/>
    <x v="0"/>
    <n v="29"/>
    <x v="0"/>
    <d v="2020-07-11T00:00:00"/>
    <x v="0"/>
    <x v="1"/>
    <x v="1"/>
    <n v="2.9808219178082194"/>
    <n v="1050"/>
  </r>
  <r>
    <x v="4"/>
    <x v="1"/>
    <n v="43"/>
    <x v="0"/>
    <d v="2021-12-28T00:00:00"/>
    <x v="1"/>
    <x v="2"/>
    <x v="0"/>
    <n v="1.515068493150685"/>
    <n v="721"/>
  </r>
  <r>
    <x v="5"/>
    <x v="1"/>
    <n v="43"/>
    <x v="0"/>
    <d v="2022-02-28T00:00:00"/>
    <x v="1"/>
    <x v="2"/>
    <x v="1"/>
    <n v="1.3452054794520547"/>
    <n v="721"/>
  </r>
  <r>
    <x v="6"/>
    <x v="1"/>
    <n v="21"/>
    <x v="0"/>
    <d v="2020-07-30T00:00:00"/>
    <x v="2"/>
    <x v="3"/>
    <x v="0"/>
    <n v="2.9287671232876713"/>
    <n v="1138"/>
  </r>
  <r>
    <x v="7"/>
    <x v="1"/>
    <n v="21"/>
    <x v="0"/>
    <d v="2020-09-30T00:00:00"/>
    <x v="2"/>
    <x v="3"/>
    <x v="1"/>
    <n v="2.7589041095890412"/>
    <n v="1138"/>
  </r>
  <r>
    <x v="8"/>
    <x v="1"/>
    <n v="35"/>
    <x v="0"/>
    <d v="2022-04-15T00:00:00"/>
    <x v="2"/>
    <x v="4"/>
    <x v="0"/>
    <n v="1.2191780821917808"/>
    <n v="808"/>
  </r>
  <r>
    <x v="9"/>
    <x v="1"/>
    <n v="35"/>
    <x v="0"/>
    <d v="2022-06-15T00:00:00"/>
    <x v="2"/>
    <x v="4"/>
    <x v="1"/>
    <n v="1.0520547945205478"/>
    <n v="808"/>
  </r>
  <r>
    <x v="10"/>
    <x v="0"/>
    <n v="32"/>
    <x v="0"/>
    <d v="2021-12-19T00:00:00"/>
    <x v="2"/>
    <x v="5"/>
    <x v="0"/>
    <n v="1.5397260273972602"/>
    <n v="832"/>
  </r>
  <r>
    <x v="11"/>
    <x v="0"/>
    <n v="32"/>
    <x v="0"/>
    <d v="2022-02-19T00:00:00"/>
    <x v="2"/>
    <x v="5"/>
    <x v="1"/>
    <n v="1.3698630136986301"/>
    <n v="832"/>
  </r>
  <r>
    <x v="12"/>
    <x v="0"/>
    <n v="31"/>
    <x v="0"/>
    <d v="2020-09-10T00:00:00"/>
    <x v="0"/>
    <x v="6"/>
    <x v="0"/>
    <n v="2.8136986301369862"/>
    <n v="1260"/>
  </r>
  <r>
    <x v="13"/>
    <x v="0"/>
    <n v="31"/>
    <x v="0"/>
    <d v="2020-11-10T00:00:00"/>
    <x v="0"/>
    <x v="6"/>
    <x v="1"/>
    <n v="2.6465753424657534"/>
    <n v="1260"/>
  </r>
  <r>
    <x v="14"/>
    <x v="1"/>
    <n v="28"/>
    <x v="1"/>
    <d v="2022-07-16T00:00:00"/>
    <x v="1"/>
    <x v="7"/>
    <x v="0"/>
    <n v="0.9671232876712329"/>
    <n v="871"/>
  </r>
  <r>
    <x v="15"/>
    <x v="1"/>
    <n v="28"/>
    <x v="1"/>
    <d v="2022-09-16T00:00:00"/>
    <x v="1"/>
    <x v="7"/>
    <x v="1"/>
    <n v="0.79726027397260268"/>
    <n v="871"/>
  </r>
  <r>
    <x v="16"/>
    <x v="0"/>
    <n v="32"/>
    <x v="2"/>
    <d v="2021-04-07T00:00:00"/>
    <x v="0"/>
    <x v="8"/>
    <x v="0"/>
    <n v="2.2410958904109588"/>
    <n v="1316"/>
  </r>
  <r>
    <x v="17"/>
    <x v="0"/>
    <n v="32"/>
    <x v="2"/>
    <d v="2021-06-07T00:00:00"/>
    <x v="0"/>
    <x v="8"/>
    <x v="1"/>
    <n v="2.0739726027397261"/>
    <n v="1316"/>
  </r>
  <r>
    <x v="18"/>
    <x v="0"/>
    <n v="32"/>
    <x v="0"/>
    <d v="2021-05-23T00:00:00"/>
    <x v="3"/>
    <x v="9"/>
    <x v="0"/>
    <n v="2.1150684931506851"/>
    <n v="1366"/>
  </r>
  <r>
    <x v="19"/>
    <x v="0"/>
    <n v="32"/>
    <x v="0"/>
    <d v="2021-07-23T00:00:00"/>
    <x v="3"/>
    <x v="9"/>
    <x v="1"/>
    <n v="1.9479452054794522"/>
    <n v="911"/>
  </r>
  <r>
    <x v="20"/>
    <x v="1"/>
    <n v="26"/>
    <x v="0"/>
    <d v="2020-11-29T00:00:00"/>
    <x v="2"/>
    <x v="10"/>
    <x v="0"/>
    <n v="2.5945205479452054"/>
    <n v="1421"/>
  </r>
  <r>
    <x v="21"/>
    <x v="1"/>
    <n v="26"/>
    <x v="0"/>
    <d v="2021-01-29T00:00:00"/>
    <x v="2"/>
    <x v="10"/>
    <x v="1"/>
    <n v="2.4273972602739726"/>
    <n v="1421"/>
  </r>
  <r>
    <x v="22"/>
    <x v="1"/>
    <n v="28"/>
    <x v="2"/>
    <d v="2020-05-29T00:00:00"/>
    <x v="4"/>
    <x v="11"/>
    <x v="0"/>
    <n v="3.0986301369863014"/>
    <n v="1446"/>
  </r>
  <r>
    <x v="23"/>
    <x v="1"/>
    <n v="28"/>
    <x v="2"/>
    <d v="2020-07-29T00:00:00"/>
    <x v="4"/>
    <x v="11"/>
    <x v="1"/>
    <n v="2.9315068493150687"/>
    <n v="1446"/>
  </r>
  <r>
    <x v="24"/>
    <x v="1"/>
    <n v="33"/>
    <x v="2"/>
    <d v="2022-03-20T00:00:00"/>
    <x v="2"/>
    <x v="12"/>
    <x v="0"/>
    <n v="1.2904109589041095"/>
    <n v="971"/>
  </r>
  <r>
    <x v="25"/>
    <x v="1"/>
    <n v="33"/>
    <x v="2"/>
    <d v="2022-05-20T00:00:00"/>
    <x v="2"/>
    <x v="12"/>
    <x v="1"/>
    <n v="1.1232876712328768"/>
    <n v="971"/>
  </r>
  <r>
    <x v="26"/>
    <x v="1"/>
    <n v="31"/>
    <x v="0"/>
    <d v="2021-09-11T00:00:00"/>
    <x v="0"/>
    <x v="13"/>
    <x v="0"/>
    <n v="1.810958904109589"/>
    <n v="979"/>
  </r>
  <r>
    <x v="27"/>
    <x v="1"/>
    <n v="31"/>
    <x v="0"/>
    <d v="2021-11-11T00:00:00"/>
    <x v="0"/>
    <x v="13"/>
    <x v="1"/>
    <n v="1.6438356164383561"/>
    <n v="979"/>
  </r>
  <r>
    <x v="28"/>
    <x v="1"/>
    <n v="27"/>
    <x v="0"/>
    <d v="2021-11-06T00:00:00"/>
    <x v="4"/>
    <x v="14"/>
    <x v="0"/>
    <n v="1.6575342465753424"/>
    <n v="980"/>
  </r>
  <r>
    <x v="29"/>
    <x v="1"/>
    <n v="27"/>
    <x v="0"/>
    <d v="2022-01-06T00:00:00"/>
    <x v="4"/>
    <x v="14"/>
    <x v="1"/>
    <n v="1.4904109589041097"/>
    <n v="980"/>
  </r>
  <r>
    <x v="30"/>
    <x v="0"/>
    <n v="34"/>
    <x v="3"/>
    <d v="2022-04-09T00:00:00"/>
    <x v="1"/>
    <x v="15"/>
    <x v="0"/>
    <n v="1.2356164383561643"/>
    <n v="993"/>
  </r>
  <r>
    <x v="31"/>
    <x v="0"/>
    <n v="34"/>
    <x v="3"/>
    <d v="2022-06-09T00:00:00"/>
    <x v="1"/>
    <x v="15"/>
    <x v="1"/>
    <n v="1.0684931506849316"/>
    <n v="993"/>
  </r>
  <r>
    <x v="32"/>
    <x v="1"/>
    <n v="24"/>
    <x v="3"/>
    <d v="2021-06-28T00:00:00"/>
    <x v="4"/>
    <x v="16"/>
    <x v="0"/>
    <n v="2.0164383561643837"/>
    <n v="1579"/>
  </r>
  <r>
    <x v="33"/>
    <x v="1"/>
    <n v="24"/>
    <x v="3"/>
    <d v="2021-08-28T00:00:00"/>
    <x v="4"/>
    <x v="16"/>
    <x v="1"/>
    <n v="1.8493150684931507"/>
    <n v="1053"/>
  </r>
  <r>
    <x v="34"/>
    <x v="0"/>
    <n v="28"/>
    <x v="0"/>
    <d v="2021-04-10T00:00:00"/>
    <x v="1"/>
    <x v="17"/>
    <x v="0"/>
    <n v="2.2328767123287672"/>
    <n v="1598"/>
  </r>
  <r>
    <x v="35"/>
    <x v="0"/>
    <n v="28"/>
    <x v="0"/>
    <d v="2021-06-10T00:00:00"/>
    <x v="1"/>
    <x v="17"/>
    <x v="1"/>
    <n v="2.0657534246575344"/>
    <n v="1598"/>
  </r>
  <r>
    <x v="36"/>
    <x v="1"/>
    <n v="32"/>
    <x v="0"/>
    <d v="2021-07-26T00:00:00"/>
    <x v="1"/>
    <x v="18"/>
    <x v="0"/>
    <n v="1.9397260273972603"/>
    <n v="1071"/>
  </r>
  <r>
    <x v="37"/>
    <x v="1"/>
    <n v="26"/>
    <x v="0"/>
    <d v="2021-06-03T00:00:00"/>
    <x v="2"/>
    <x v="18"/>
    <x v="0"/>
    <n v="2.0849315068493151"/>
    <n v="1607"/>
  </r>
  <r>
    <x v="38"/>
    <x v="1"/>
    <n v="32"/>
    <x v="0"/>
    <d v="2021-09-26T00:00:00"/>
    <x v="1"/>
    <x v="18"/>
    <x v="1"/>
    <n v="1.7698630136986302"/>
    <n v="1071"/>
  </r>
  <r>
    <x v="39"/>
    <x v="1"/>
    <n v="26"/>
    <x v="0"/>
    <d v="2021-08-03T00:00:00"/>
    <x v="2"/>
    <x v="18"/>
    <x v="1"/>
    <n v="1.9178082191780821"/>
    <n v="1071"/>
  </r>
  <r>
    <x v="40"/>
    <x v="1"/>
    <n v="33"/>
    <x v="0"/>
    <d v="2021-09-09T00:00:00"/>
    <x v="0"/>
    <x v="19"/>
    <x v="0"/>
    <n v="1.8164383561643835"/>
    <n v="1078"/>
  </r>
  <r>
    <x v="41"/>
    <x v="1"/>
    <n v="33"/>
    <x v="0"/>
    <d v="2021-11-09T00:00:00"/>
    <x v="0"/>
    <x v="19"/>
    <x v="1"/>
    <n v="1.6493150684931508"/>
    <n v="1078"/>
  </r>
  <r>
    <x v="42"/>
    <x v="1"/>
    <n v="27"/>
    <x v="0"/>
    <d v="2020-08-30T00:00:00"/>
    <x v="1"/>
    <x v="20"/>
    <x v="0"/>
    <n v="2.8438356164383563"/>
    <n v="1650"/>
  </r>
  <r>
    <x v="43"/>
    <x v="1"/>
    <n v="27"/>
    <x v="0"/>
    <d v="2020-10-30T00:00:00"/>
    <x v="1"/>
    <x v="20"/>
    <x v="1"/>
    <n v="2.6767123287671235"/>
    <n v="1650"/>
  </r>
  <r>
    <x v="44"/>
    <x v="0"/>
    <n v="38"/>
    <x v="2"/>
    <d v="2021-03-13T00:00:00"/>
    <x v="1"/>
    <x v="21"/>
    <x v="0"/>
    <n v="2.3095890410958906"/>
    <n v="1707"/>
  </r>
  <r>
    <x v="45"/>
    <x v="0"/>
    <n v="38"/>
    <x v="2"/>
    <d v="2021-05-13T00:00:00"/>
    <x v="1"/>
    <x v="21"/>
    <x v="1"/>
    <n v="2.1424657534246574"/>
    <n v="1707"/>
  </r>
  <r>
    <x v="46"/>
    <x v="1"/>
    <n v="21"/>
    <x v="0"/>
    <d v="2022-05-20T00:00:00"/>
    <x v="2"/>
    <x v="22"/>
    <x v="0"/>
    <n v="1.1232876712328768"/>
    <n v="1142"/>
  </r>
  <r>
    <x v="47"/>
    <x v="1"/>
    <n v="21"/>
    <x v="0"/>
    <d v="2022-07-20T00:00:00"/>
    <x v="2"/>
    <x v="22"/>
    <x v="1"/>
    <n v="0.95616438356164379"/>
    <n v="1142"/>
  </r>
  <r>
    <x v="48"/>
    <x v="0"/>
    <n v="31"/>
    <x v="0"/>
    <d v="2022-02-12T00:00:00"/>
    <x v="0"/>
    <x v="23"/>
    <x v="0"/>
    <n v="1.3890410958904109"/>
    <n v="1162"/>
  </r>
  <r>
    <x v="49"/>
    <x v="0"/>
    <n v="31"/>
    <x v="0"/>
    <d v="2022-04-12T00:00:00"/>
    <x v="0"/>
    <x v="23"/>
    <x v="1"/>
    <n v="1.2273972602739727"/>
    <n v="1162"/>
  </r>
  <r>
    <x v="50"/>
    <x v="0"/>
    <n v="34"/>
    <x v="0"/>
    <d v="2022-02-02T00:00:00"/>
    <x v="4"/>
    <x v="24"/>
    <x v="0"/>
    <n v="1.4164383561643836"/>
    <n v="1179"/>
  </r>
  <r>
    <x v="51"/>
    <x v="0"/>
    <n v="34"/>
    <x v="0"/>
    <d v="2022-04-02T00:00:00"/>
    <x v="4"/>
    <x v="24"/>
    <x v="1"/>
    <n v="1.2547945205479452"/>
    <n v="1179"/>
  </r>
  <r>
    <x v="52"/>
    <x v="1"/>
    <n v="19"/>
    <x v="0"/>
    <d v="2021-01-22T00:00:00"/>
    <x v="2"/>
    <x v="25"/>
    <x v="0"/>
    <n v="2.4465753424657533"/>
    <n v="1769"/>
  </r>
  <r>
    <x v="53"/>
    <x v="1"/>
    <n v="19"/>
    <x v="0"/>
    <d v="2021-03-22T00:00:00"/>
    <x v="2"/>
    <x v="25"/>
    <x v="1"/>
    <n v="2.2849315068493152"/>
    <n v="1769"/>
  </r>
  <r>
    <x v="54"/>
    <x v="1"/>
    <n v="33"/>
    <x v="0"/>
    <d v="2020-12-16T00:00:00"/>
    <x v="4"/>
    <x v="26"/>
    <x v="0"/>
    <n v="2.547945205479452"/>
    <n v="1783"/>
  </r>
  <r>
    <x v="55"/>
    <x v="1"/>
    <n v="33"/>
    <x v="0"/>
    <d v="2021-02-16T00:00:00"/>
    <x v="4"/>
    <x v="26"/>
    <x v="1"/>
    <n v="2.3780821917808219"/>
    <n v="1783"/>
  </r>
  <r>
    <x v="56"/>
    <x v="0"/>
    <n v="34"/>
    <x v="0"/>
    <d v="2021-12-20T00:00:00"/>
    <x v="4"/>
    <x v="27"/>
    <x v="0"/>
    <n v="1.536986301369863"/>
    <n v="1203"/>
  </r>
  <r>
    <x v="57"/>
    <x v="0"/>
    <n v="34"/>
    <x v="0"/>
    <d v="2022-02-20T00:00:00"/>
    <x v="4"/>
    <x v="27"/>
    <x v="1"/>
    <n v="1.3671232876712329"/>
    <n v="1203"/>
  </r>
  <r>
    <x v="58"/>
    <x v="1"/>
    <n v="30"/>
    <x v="0"/>
    <d v="2022-02-15T00:00:00"/>
    <x v="2"/>
    <x v="28"/>
    <x v="0"/>
    <n v="1.3808219178082193"/>
    <n v="1212"/>
  </r>
  <r>
    <x v="59"/>
    <x v="1"/>
    <n v="30"/>
    <x v="0"/>
    <d v="2022-04-15T00:00:00"/>
    <x v="2"/>
    <x v="28"/>
    <x v="1"/>
    <n v="1.2191780821917808"/>
    <n v="1212"/>
  </r>
  <r>
    <x v="60"/>
    <x v="0"/>
    <n v="24"/>
    <x v="0"/>
    <d v="2020-09-13T00:00:00"/>
    <x v="0"/>
    <x v="29"/>
    <x v="0"/>
    <n v="2.8054794520547945"/>
    <n v="1884"/>
  </r>
  <r>
    <x v="61"/>
    <x v="0"/>
    <n v="24"/>
    <x v="0"/>
    <d v="2020-11-13T00:00:00"/>
    <x v="0"/>
    <x v="29"/>
    <x v="1"/>
    <n v="2.6383561643835618"/>
    <n v="1884"/>
  </r>
  <r>
    <x v="62"/>
    <x v="2"/>
    <n v="30"/>
    <x v="0"/>
    <d v="2021-12-05T00:00:00"/>
    <x v="4"/>
    <x v="30"/>
    <x v="0"/>
    <n v="1.5780821917808219"/>
    <n v="1280"/>
  </r>
  <r>
    <x v="63"/>
    <x v="2"/>
    <n v="30"/>
    <x v="0"/>
    <d v="2022-02-05T00:00:00"/>
    <x v="4"/>
    <x v="30"/>
    <x v="1"/>
    <n v="1.4082191780821918"/>
    <n v="1280"/>
  </r>
  <r>
    <x v="64"/>
    <x v="0"/>
    <n v="33"/>
    <x v="0"/>
    <d v="2020-06-24T00:00:00"/>
    <x v="4"/>
    <x v="31"/>
    <x v="0"/>
    <n v="3.0273972602739727"/>
    <n v="1961"/>
  </r>
  <r>
    <x v="65"/>
    <x v="0"/>
    <n v="33"/>
    <x v="0"/>
    <d v="2020-08-24T00:00:00"/>
    <x v="4"/>
    <x v="31"/>
    <x v="1"/>
    <n v="2.8602739726027395"/>
    <n v="1961"/>
  </r>
  <r>
    <x v="66"/>
    <x v="1"/>
    <n v="25"/>
    <x v="0"/>
    <d v="2021-05-06T00:00:00"/>
    <x v="1"/>
    <x v="32"/>
    <x v="0"/>
    <n v="2.1616438356164385"/>
    <n v="1971"/>
  </r>
  <r>
    <x v="67"/>
    <x v="1"/>
    <n v="25"/>
    <x v="0"/>
    <d v="2021-07-06T00:00:00"/>
    <x v="1"/>
    <x v="32"/>
    <x v="1"/>
    <n v="1.9945205479452055"/>
    <n v="1314"/>
  </r>
  <r>
    <x v="68"/>
    <x v="0"/>
    <n v="21"/>
    <x v="0"/>
    <d v="2021-03-01T00:00:00"/>
    <x v="4"/>
    <x v="33"/>
    <x v="0"/>
    <n v="2.3424657534246576"/>
    <n v="1978"/>
  </r>
  <r>
    <x v="69"/>
    <x v="0"/>
    <n v="21"/>
    <x v="0"/>
    <d v="2021-05-01T00:00:00"/>
    <x v="4"/>
    <x v="33"/>
    <x v="1"/>
    <n v="2.1753424657534248"/>
    <n v="1978"/>
  </r>
  <r>
    <x v="70"/>
    <x v="0"/>
    <n v="30"/>
    <x v="3"/>
    <d v="2021-05-12T00:00:00"/>
    <x v="4"/>
    <x v="34"/>
    <x v="0"/>
    <n v="2.1452054794520548"/>
    <n v="2038"/>
  </r>
  <r>
    <x v="71"/>
    <x v="0"/>
    <n v="30"/>
    <x v="3"/>
    <d v="2021-07-12T00:00:00"/>
    <x v="4"/>
    <x v="34"/>
    <x v="1"/>
    <n v="1.978082191780822"/>
    <n v="1359"/>
  </r>
  <r>
    <x v="72"/>
    <x v="1"/>
    <n v="30"/>
    <x v="0"/>
    <d v="2022-03-20T00:00:00"/>
    <x v="2"/>
    <x v="35"/>
    <x v="0"/>
    <n v="1.2904109589041095"/>
    <n v="1359"/>
  </r>
  <r>
    <x v="73"/>
    <x v="1"/>
    <n v="30"/>
    <x v="0"/>
    <d v="2022-05-20T00:00:00"/>
    <x v="2"/>
    <x v="35"/>
    <x v="1"/>
    <n v="1.1232876712328768"/>
    <n v="1359"/>
  </r>
  <r>
    <x v="74"/>
    <x v="0"/>
    <n v="20"/>
    <x v="3"/>
    <d v="2021-10-07T00:00:00"/>
    <x v="1"/>
    <x v="36"/>
    <x v="0"/>
    <n v="1.7397260273972603"/>
    <n v="1378"/>
  </r>
  <r>
    <x v="75"/>
    <x v="0"/>
    <n v="20"/>
    <x v="3"/>
    <d v="2021-12-07T00:00:00"/>
    <x v="1"/>
    <x v="36"/>
    <x v="1"/>
    <n v="1.5726027397260274"/>
    <n v="1378"/>
  </r>
  <r>
    <x v="76"/>
    <x v="1"/>
    <n v="37"/>
    <x v="0"/>
    <d v="2022-03-20T00:00:00"/>
    <x v="0"/>
    <x v="37"/>
    <x v="0"/>
    <n v="1.2904109589041095"/>
    <n v="1382"/>
  </r>
  <r>
    <x v="77"/>
    <x v="1"/>
    <n v="37"/>
    <x v="0"/>
    <d v="2022-05-20T00:00:00"/>
    <x v="0"/>
    <x v="37"/>
    <x v="1"/>
    <n v="1.1232876712328768"/>
    <n v="1382"/>
  </r>
  <r>
    <x v="78"/>
    <x v="1"/>
    <n v="30"/>
    <x v="0"/>
    <d v="2021-01-18T00:00:00"/>
    <x v="0"/>
    <x v="38"/>
    <x v="0"/>
    <n v="2.4575342465753423"/>
    <n v="2074"/>
  </r>
  <r>
    <x v="79"/>
    <x v="1"/>
    <n v="30"/>
    <x v="0"/>
    <d v="2021-03-18T00:00:00"/>
    <x v="0"/>
    <x v="38"/>
    <x v="1"/>
    <n v="2.2958904109589042"/>
    <n v="2074"/>
  </r>
  <r>
    <x v="80"/>
    <x v="1"/>
    <n v="30"/>
    <x v="0"/>
    <d v="2022-08-16T00:00:00"/>
    <x v="0"/>
    <x v="39"/>
    <x v="0"/>
    <n v="0.88219178082191785"/>
    <n v="1395"/>
  </r>
  <r>
    <x v="81"/>
    <x v="1"/>
    <n v="30"/>
    <x v="0"/>
    <d v="2022-10-16T00:00:00"/>
    <x v="0"/>
    <x v="39"/>
    <x v="1"/>
    <n v="0.71506849315068488"/>
    <n v="1395"/>
  </r>
  <r>
    <x v="82"/>
    <x v="1"/>
    <n v="42"/>
    <x v="3"/>
    <d v="2022-04-19T00:00:00"/>
    <x v="4"/>
    <x v="40"/>
    <x v="0"/>
    <n v="1.2082191780821918"/>
    <n v="1406"/>
  </r>
  <r>
    <x v="83"/>
    <x v="1"/>
    <n v="42"/>
    <x v="3"/>
    <d v="2022-06-19T00:00:00"/>
    <x v="4"/>
    <x v="40"/>
    <x v="1"/>
    <n v="1.0410958904109588"/>
    <n v="1406"/>
  </r>
  <r>
    <x v="84"/>
    <x v="1"/>
    <n v="46"/>
    <x v="0"/>
    <d v="2022-05-16T00:00:00"/>
    <x v="2"/>
    <x v="41"/>
    <x v="0"/>
    <n v="1.1342465753424658"/>
    <n v="1413"/>
  </r>
  <r>
    <x v="85"/>
    <x v="1"/>
    <n v="46"/>
    <x v="0"/>
    <d v="2022-07-16T00:00:00"/>
    <x v="2"/>
    <x v="41"/>
    <x v="1"/>
    <n v="0.9671232876712329"/>
    <n v="1413"/>
  </r>
  <r>
    <x v="86"/>
    <x v="1"/>
    <n v="36"/>
    <x v="0"/>
    <d v="2021-03-17T00:00:00"/>
    <x v="4"/>
    <x v="42"/>
    <x v="0"/>
    <n v="2.2986301369863016"/>
    <n v="2142"/>
  </r>
  <r>
    <x v="87"/>
    <x v="1"/>
    <n v="36"/>
    <x v="0"/>
    <d v="2021-05-17T00:00:00"/>
    <x v="4"/>
    <x v="42"/>
    <x v="1"/>
    <n v="2.1315068493150684"/>
    <n v="2142"/>
  </r>
  <r>
    <x v="88"/>
    <x v="1"/>
    <n v="33"/>
    <x v="0"/>
    <d v="2021-05-08T00:00:00"/>
    <x v="1"/>
    <x v="43"/>
    <x v="0"/>
    <n v="2.1561643835616437"/>
    <n v="2237"/>
  </r>
  <r>
    <x v="89"/>
    <x v="1"/>
    <n v="33"/>
    <x v="0"/>
    <d v="2021-07-08T00:00:00"/>
    <x v="1"/>
    <x v="43"/>
    <x v="1"/>
    <n v="1.989041095890411"/>
    <n v="1491"/>
  </r>
  <r>
    <x v="90"/>
    <x v="0"/>
    <n v="42"/>
    <x v="4"/>
    <d v="2022-06-06T00:00:00"/>
    <x v="2"/>
    <x v="44"/>
    <x v="0"/>
    <n v="1.0767123287671232"/>
    <n v="1500"/>
  </r>
  <r>
    <x v="91"/>
    <x v="0"/>
    <n v="42"/>
    <x v="4"/>
    <d v="2022-08-06T00:00:00"/>
    <x v="2"/>
    <x v="44"/>
    <x v="1"/>
    <n v="0.90958904109589045"/>
    <n v="1500"/>
  </r>
  <r>
    <x v="92"/>
    <x v="0"/>
    <n v="33"/>
    <x v="0"/>
    <d v="2021-02-26T00:00:00"/>
    <x v="0"/>
    <x v="45"/>
    <x v="0"/>
    <n v="2.3506849315068492"/>
    <n v="2259"/>
  </r>
  <r>
    <x v="93"/>
    <x v="0"/>
    <n v="33"/>
    <x v="0"/>
    <d v="2021-04-26T00:00:00"/>
    <x v="0"/>
    <x v="45"/>
    <x v="1"/>
    <n v="2.1890410958904107"/>
    <n v="2259"/>
  </r>
  <r>
    <x v="94"/>
    <x v="0"/>
    <n v="33"/>
    <x v="1"/>
    <d v="2021-04-27T00:00:00"/>
    <x v="0"/>
    <x v="46"/>
    <x v="0"/>
    <n v="2.1863013698630138"/>
    <n v="2265"/>
  </r>
  <r>
    <x v="95"/>
    <x v="0"/>
    <n v="33"/>
    <x v="1"/>
    <d v="2021-06-27T00:00:00"/>
    <x v="0"/>
    <x v="46"/>
    <x v="1"/>
    <n v="2.0191780821917806"/>
    <n v="2265"/>
  </r>
  <r>
    <x v="96"/>
    <x v="1"/>
    <n v="21"/>
    <x v="0"/>
    <d v="2020-12-15T00:00:00"/>
    <x v="3"/>
    <x v="47"/>
    <x v="0"/>
    <n v="2.5506849315068494"/>
    <n v="2277"/>
  </r>
  <r>
    <x v="97"/>
    <x v="1"/>
    <n v="21"/>
    <x v="0"/>
    <d v="2021-02-15T00:00:00"/>
    <x v="3"/>
    <x v="47"/>
    <x v="1"/>
    <n v="2.3808219178082193"/>
    <n v="2277"/>
  </r>
  <r>
    <x v="98"/>
    <x v="0"/>
    <n v="28"/>
    <x v="0"/>
    <d v="2020-10-20T00:00:00"/>
    <x v="4"/>
    <x v="48"/>
    <x v="0"/>
    <n v="2.7041095890410958"/>
    <n v="2280"/>
  </r>
  <r>
    <x v="99"/>
    <x v="0"/>
    <n v="28"/>
    <x v="0"/>
    <d v="2020-12-20T00:00:00"/>
    <x v="4"/>
    <x v="48"/>
    <x v="1"/>
    <n v="2.536986301369863"/>
    <n v="2280"/>
  </r>
  <r>
    <x v="100"/>
    <x v="0"/>
    <n v="22"/>
    <x v="2"/>
    <d v="2021-07-11T00:00:00"/>
    <x v="2"/>
    <x v="49"/>
    <x v="0"/>
    <n v="1.9808219178082191"/>
    <n v="1538"/>
  </r>
  <r>
    <x v="101"/>
    <x v="0"/>
    <n v="22"/>
    <x v="2"/>
    <d v="2021-09-11T00:00:00"/>
    <x v="2"/>
    <x v="49"/>
    <x v="1"/>
    <n v="1.810958904109589"/>
    <n v="1538"/>
  </r>
  <r>
    <x v="102"/>
    <x v="0"/>
    <n v="36"/>
    <x v="0"/>
    <d v="2021-09-29T00:00:00"/>
    <x v="2"/>
    <x v="50"/>
    <x v="0"/>
    <n v="1.7616438356164383"/>
    <n v="1568"/>
  </r>
  <r>
    <x v="103"/>
    <x v="0"/>
    <n v="36"/>
    <x v="0"/>
    <d v="2021-11-29T00:00:00"/>
    <x v="2"/>
    <x v="50"/>
    <x v="1"/>
    <n v="1.5945205479452054"/>
    <n v="1568"/>
  </r>
  <r>
    <x v="104"/>
    <x v="0"/>
    <n v="36"/>
    <x v="0"/>
    <d v="2021-08-25T00:00:00"/>
    <x v="1"/>
    <x v="51"/>
    <x v="0"/>
    <n v="1.8575342465753424"/>
    <n v="1571"/>
  </r>
  <r>
    <x v="105"/>
    <x v="0"/>
    <n v="36"/>
    <x v="0"/>
    <d v="2021-10-25T00:00:00"/>
    <x v="1"/>
    <x v="51"/>
    <x v="1"/>
    <n v="1.6904109589041096"/>
    <n v="1571"/>
  </r>
  <r>
    <x v="106"/>
    <x v="1"/>
    <n v="20"/>
    <x v="0"/>
    <d v="2022-05-02T00:00:00"/>
    <x v="2"/>
    <x v="52"/>
    <x v="0"/>
    <n v="1.1726027397260275"/>
    <n v="1592"/>
  </r>
  <r>
    <x v="107"/>
    <x v="1"/>
    <n v="20"/>
    <x v="0"/>
    <d v="2022-07-02T00:00:00"/>
    <x v="2"/>
    <x v="52"/>
    <x v="1"/>
    <n v="1.0054794520547945"/>
    <n v="1592"/>
  </r>
  <r>
    <x v="108"/>
    <x v="0"/>
    <n v="25"/>
    <x v="2"/>
    <d v="2022-03-13T00:00:00"/>
    <x v="0"/>
    <x v="53"/>
    <x v="0"/>
    <n v="1.3095890410958904"/>
    <n v="1614"/>
  </r>
  <r>
    <x v="109"/>
    <x v="0"/>
    <n v="25"/>
    <x v="2"/>
    <d v="2022-05-13T00:00:00"/>
    <x v="0"/>
    <x v="53"/>
    <x v="1"/>
    <n v="1.1424657534246576"/>
    <n v="1614"/>
  </r>
  <r>
    <x v="110"/>
    <x v="0"/>
    <n v="27"/>
    <x v="0"/>
    <d v="2022-03-05T00:00:00"/>
    <x v="0"/>
    <x v="54"/>
    <x v="0"/>
    <n v="1.3315068493150686"/>
    <n v="1675"/>
  </r>
  <r>
    <x v="111"/>
    <x v="0"/>
    <n v="27"/>
    <x v="0"/>
    <d v="2022-05-05T00:00:00"/>
    <x v="0"/>
    <x v="54"/>
    <x v="1"/>
    <n v="1.1643835616438356"/>
    <n v="1675"/>
  </r>
  <r>
    <x v="112"/>
    <x v="0"/>
    <n v="34"/>
    <x v="0"/>
    <d v="2021-07-20T00:00:00"/>
    <x v="4"/>
    <x v="55"/>
    <x v="0"/>
    <n v="1.9561643835616438"/>
    <n v="1700"/>
  </r>
  <r>
    <x v="113"/>
    <x v="0"/>
    <n v="34"/>
    <x v="0"/>
    <d v="2021-09-20T00:00:00"/>
    <x v="4"/>
    <x v="55"/>
    <x v="1"/>
    <n v="1.7863013698630137"/>
    <n v="1700"/>
  </r>
  <r>
    <x v="114"/>
    <x v="0"/>
    <n v="33"/>
    <x v="0"/>
    <d v="2022-07-05T00:00:00"/>
    <x v="4"/>
    <x v="56"/>
    <x v="0"/>
    <n v="0.99726027397260275"/>
    <n v="1732"/>
  </r>
  <r>
    <x v="115"/>
    <x v="0"/>
    <n v="33"/>
    <x v="0"/>
    <d v="2022-09-05T00:00:00"/>
    <x v="4"/>
    <x v="56"/>
    <x v="1"/>
    <n v="0.82739726027397265"/>
    <n v="1732"/>
  </r>
  <r>
    <x v="116"/>
    <x v="0"/>
    <n v="40"/>
    <x v="0"/>
    <d v="2021-03-21T00:00:00"/>
    <x v="0"/>
    <x v="57"/>
    <x v="0"/>
    <n v="2.2876712328767121"/>
    <n v="2629"/>
  </r>
  <r>
    <x v="117"/>
    <x v="0"/>
    <n v="40"/>
    <x v="0"/>
    <d v="2021-05-21T00:00:00"/>
    <x v="0"/>
    <x v="57"/>
    <x v="1"/>
    <n v="2.1205479452054794"/>
    <n v="2629"/>
  </r>
  <r>
    <x v="118"/>
    <x v="1"/>
    <n v="37"/>
    <x v="3"/>
    <d v="2021-03-22T00:00:00"/>
    <x v="0"/>
    <x v="58"/>
    <x v="0"/>
    <n v="2.2849315068493152"/>
    <n v="2642"/>
  </r>
  <r>
    <x v="119"/>
    <x v="1"/>
    <n v="37"/>
    <x v="3"/>
    <d v="2021-05-22T00:00:00"/>
    <x v="0"/>
    <x v="58"/>
    <x v="1"/>
    <n v="2.117808219178082"/>
    <n v="2642"/>
  </r>
  <r>
    <x v="120"/>
    <x v="2"/>
    <n v="27"/>
    <x v="2"/>
    <d v="2021-01-16T00:00:00"/>
    <x v="0"/>
    <x v="59"/>
    <x v="0"/>
    <n v="2.463013698630137"/>
    <n v="2721"/>
  </r>
  <r>
    <x v="121"/>
    <x v="2"/>
    <n v="26"/>
    <x v="2"/>
    <d v="2021-03-16T00:00:00"/>
    <x v="0"/>
    <x v="59"/>
    <x v="1"/>
    <n v="2.3013698630136985"/>
    <n v="2721"/>
  </r>
  <r>
    <x v="122"/>
    <x v="2"/>
    <n v="32"/>
    <x v="0"/>
    <d v="2022-06-01T00:00:00"/>
    <x v="0"/>
    <x v="60"/>
    <x v="0"/>
    <n v="1.0904109589041096"/>
    <n v="1827"/>
  </r>
  <r>
    <x v="123"/>
    <x v="2"/>
    <n v="32"/>
    <x v="0"/>
    <d v="2022-08-01T00:00:00"/>
    <x v="0"/>
    <x v="60"/>
    <x v="1"/>
    <n v="0.92328767123287669"/>
    <n v="1827"/>
  </r>
  <r>
    <x v="124"/>
    <x v="1"/>
    <n v="27"/>
    <x v="2"/>
    <d v="2020-12-09T00:00:00"/>
    <x v="4"/>
    <x v="61"/>
    <x v="0"/>
    <n v="2.5671232876712327"/>
    <n v="2750"/>
  </r>
  <r>
    <x v="125"/>
    <x v="1"/>
    <n v="27"/>
    <x v="2"/>
    <d v="2021-02-09T00:00:00"/>
    <x v="4"/>
    <x v="61"/>
    <x v="1"/>
    <n v="2.3972602739726026"/>
    <n v="2750"/>
  </r>
  <r>
    <x v="126"/>
    <x v="0"/>
    <n v="34"/>
    <x v="0"/>
    <d v="2021-07-06T00:00:00"/>
    <x v="4"/>
    <x v="62"/>
    <x v="0"/>
    <n v="1.9945205479452055"/>
    <n v="1849"/>
  </r>
  <r>
    <x v="127"/>
    <x v="0"/>
    <n v="34"/>
    <x v="0"/>
    <d v="2021-09-06T00:00:00"/>
    <x v="4"/>
    <x v="62"/>
    <x v="1"/>
    <n v="1.8246575342465754"/>
    <n v="1849"/>
  </r>
  <r>
    <x v="128"/>
    <x v="0"/>
    <n v="25"/>
    <x v="0"/>
    <d v="2020-11-09T00:00:00"/>
    <x v="1"/>
    <x v="63"/>
    <x v="0"/>
    <n v="2.6493150684931508"/>
    <n v="2781"/>
  </r>
  <r>
    <x v="129"/>
    <x v="0"/>
    <n v="25"/>
    <x v="0"/>
    <d v="2021-01-09T00:00:00"/>
    <x v="1"/>
    <x v="63"/>
    <x v="1"/>
    <n v="2.4821917808219176"/>
    <n v="2781"/>
  </r>
  <r>
    <x v="130"/>
    <x v="0"/>
    <n v="33"/>
    <x v="0"/>
    <d v="2020-10-25T00:00:00"/>
    <x v="0"/>
    <x v="64"/>
    <x v="0"/>
    <n v="2.6904109589041094"/>
    <n v="2885"/>
  </r>
  <r>
    <x v="131"/>
    <x v="0"/>
    <n v="33"/>
    <x v="0"/>
    <d v="2020-12-25T00:00:00"/>
    <x v="0"/>
    <x v="64"/>
    <x v="1"/>
    <n v="2.5232876712328767"/>
    <n v="2885"/>
  </r>
  <r>
    <x v="132"/>
    <x v="1"/>
    <n v="30"/>
    <x v="0"/>
    <d v="2021-12-14T00:00:00"/>
    <x v="4"/>
    <x v="65"/>
    <x v="0"/>
    <n v="1.5534246575342465"/>
    <n v="1936"/>
  </r>
  <r>
    <x v="133"/>
    <x v="1"/>
    <n v="30"/>
    <x v="0"/>
    <d v="2022-02-14T00:00:00"/>
    <x v="4"/>
    <x v="65"/>
    <x v="1"/>
    <n v="1.3835616438356164"/>
    <n v="1936"/>
  </r>
  <r>
    <x v="134"/>
    <x v="1"/>
    <n v="40"/>
    <x v="0"/>
    <d v="2021-01-08T00:00:00"/>
    <x v="2"/>
    <x v="66"/>
    <x v="0"/>
    <n v="2.484931506849315"/>
    <n v="2993"/>
  </r>
  <r>
    <x v="135"/>
    <x v="1"/>
    <n v="40"/>
    <x v="0"/>
    <d v="2021-03-08T00:00:00"/>
    <x v="2"/>
    <x v="66"/>
    <x v="1"/>
    <n v="2.3232876712328765"/>
    <n v="2993"/>
  </r>
  <r>
    <x v="136"/>
    <x v="0"/>
    <n v="28"/>
    <x v="0"/>
    <d v="2022-01-10T00:00:00"/>
    <x v="2"/>
    <x v="67"/>
    <x v="0"/>
    <n v="1.4794520547945205"/>
    <n v="2000"/>
  </r>
  <r>
    <x v="137"/>
    <x v="0"/>
    <n v="28"/>
    <x v="0"/>
    <d v="2022-03-10T00:00:00"/>
    <x v="2"/>
    <x v="67"/>
    <x v="1"/>
    <n v="1.3178082191780822"/>
    <n v="2000"/>
  </r>
  <r>
    <x v="138"/>
    <x v="1"/>
    <n v="24"/>
    <x v="0"/>
    <d v="2022-03-05T00:00:00"/>
    <x v="0"/>
    <x v="68"/>
    <x v="0"/>
    <n v="1.3315068493150686"/>
    <n v="2009"/>
  </r>
  <r>
    <x v="139"/>
    <x v="1"/>
    <n v="24"/>
    <x v="0"/>
    <d v="2022-05-05T00:00:00"/>
    <x v="0"/>
    <x v="68"/>
    <x v="1"/>
    <n v="1.1643835616438356"/>
    <n v="2009"/>
  </r>
  <r>
    <x v="140"/>
    <x v="1"/>
    <n v="31"/>
    <x v="0"/>
    <d v="2022-04-12T00:00:00"/>
    <x v="2"/>
    <x v="69"/>
    <x v="0"/>
    <n v="1.2273972602739727"/>
    <n v="2071"/>
  </r>
  <r>
    <x v="141"/>
    <x v="1"/>
    <n v="31"/>
    <x v="0"/>
    <d v="2022-06-12T00:00:00"/>
    <x v="2"/>
    <x v="69"/>
    <x v="1"/>
    <n v="1.0602739726027397"/>
    <n v="2071"/>
  </r>
  <r>
    <x v="142"/>
    <x v="0"/>
    <n v="28"/>
    <x v="0"/>
    <d v="2022-01-29T00:00:00"/>
    <x v="2"/>
    <x v="70"/>
    <x v="0"/>
    <n v="1.4273972602739726"/>
    <n v="2083"/>
  </r>
  <r>
    <x v="143"/>
    <x v="0"/>
    <n v="28"/>
    <x v="0"/>
    <d v="2022-03-29T00:00:00"/>
    <x v="2"/>
    <x v="70"/>
    <x v="1"/>
    <n v="1.2657534246575342"/>
    <n v="2083"/>
  </r>
  <r>
    <x v="144"/>
    <x v="0"/>
    <n v="40"/>
    <x v="0"/>
    <d v="2021-05-04T00:00:00"/>
    <x v="0"/>
    <x v="71"/>
    <x v="0"/>
    <n v="2.1671232876712327"/>
    <n v="3133"/>
  </r>
  <r>
    <x v="145"/>
    <x v="0"/>
    <n v="40"/>
    <x v="0"/>
    <d v="2021-07-04T00:00:00"/>
    <x v="0"/>
    <x v="71"/>
    <x v="1"/>
    <n v="2"/>
    <n v="2089"/>
  </r>
  <r>
    <x v="146"/>
    <x v="0"/>
    <n v="28"/>
    <x v="0"/>
    <d v="2021-08-17T00:00:00"/>
    <x v="2"/>
    <x v="72"/>
    <x v="0"/>
    <n v="1.8794520547945206"/>
    <n v="2096"/>
  </r>
  <r>
    <x v="147"/>
    <x v="0"/>
    <n v="28"/>
    <x v="0"/>
    <d v="2021-10-17T00:00:00"/>
    <x v="2"/>
    <x v="72"/>
    <x v="1"/>
    <n v="1.7123287671232876"/>
    <n v="2096"/>
  </r>
  <r>
    <x v="148"/>
    <x v="1"/>
    <n v="23"/>
    <x v="0"/>
    <d v="2021-07-01T00:00:00"/>
    <x v="2"/>
    <x v="73"/>
    <x v="0"/>
    <n v="2.0082191780821916"/>
    <n v="3194"/>
  </r>
  <r>
    <x v="149"/>
    <x v="1"/>
    <n v="23"/>
    <x v="0"/>
    <d v="2021-09-01T00:00:00"/>
    <x v="2"/>
    <x v="73"/>
    <x v="1"/>
    <n v="1.8383561643835618"/>
    <n v="2130"/>
  </r>
  <r>
    <x v="150"/>
    <x v="1"/>
    <n v="20"/>
    <x v="0"/>
    <d v="2021-07-20T00:00:00"/>
    <x v="0"/>
    <x v="74"/>
    <x v="0"/>
    <n v="1.9561643835616438"/>
    <n v="2154"/>
  </r>
  <r>
    <x v="151"/>
    <x v="1"/>
    <n v="20"/>
    <x v="0"/>
    <d v="2021-09-20T00:00:00"/>
    <x v="0"/>
    <x v="74"/>
    <x v="1"/>
    <n v="1.7863013698630137"/>
    <n v="2154"/>
  </r>
  <r>
    <x v="152"/>
    <x v="0"/>
    <n v="38"/>
    <x v="4"/>
    <d v="2021-04-30T00:00:00"/>
    <x v="1"/>
    <x v="75"/>
    <x v="0"/>
    <n v="2.1780821917808217"/>
    <n v="3275"/>
  </r>
  <r>
    <x v="153"/>
    <x v="0"/>
    <n v="38"/>
    <x v="4"/>
    <d v="2021-06-30T00:00:00"/>
    <x v="1"/>
    <x v="75"/>
    <x v="1"/>
    <n v="2.010958904109589"/>
    <n v="3275"/>
  </r>
  <r>
    <x v="154"/>
    <x v="1"/>
    <n v="25"/>
    <x v="2"/>
    <d v="2022-04-14T00:00:00"/>
    <x v="2"/>
    <x v="76"/>
    <x v="0"/>
    <n v="1.2219178082191782"/>
    <n v="2184"/>
  </r>
  <r>
    <x v="155"/>
    <x v="1"/>
    <n v="25"/>
    <x v="2"/>
    <d v="2022-06-14T00:00:00"/>
    <x v="2"/>
    <x v="76"/>
    <x v="1"/>
    <n v="1.0547945205479452"/>
    <n v="2184"/>
  </r>
  <r>
    <x v="156"/>
    <x v="1"/>
    <n v="29"/>
    <x v="3"/>
    <d v="2020-10-15T00:00:00"/>
    <x v="0"/>
    <x v="77"/>
    <x v="0"/>
    <n v="2.7178082191780821"/>
    <n v="3364"/>
  </r>
  <r>
    <x v="157"/>
    <x v="1"/>
    <n v="29"/>
    <x v="3"/>
    <d v="2020-12-15T00:00:00"/>
    <x v="0"/>
    <x v="77"/>
    <x v="1"/>
    <n v="2.5506849315068494"/>
    <n v="3364"/>
  </r>
  <r>
    <x v="158"/>
    <x v="0"/>
    <n v="30"/>
    <x v="0"/>
    <d v="2022-08-27T00:00:00"/>
    <x v="2"/>
    <x v="78"/>
    <x v="0"/>
    <n v="0.852054794520548"/>
    <n v="2252"/>
  </r>
  <r>
    <x v="159"/>
    <x v="0"/>
    <n v="30"/>
    <x v="0"/>
    <d v="2022-10-27T00:00:00"/>
    <x v="2"/>
    <x v="78"/>
    <x v="1"/>
    <n v="0.68493150684931503"/>
    <n v="2252"/>
  </r>
  <r>
    <x v="160"/>
    <x v="1"/>
    <n v="20"/>
    <x v="0"/>
    <d v="2020-10-18T00:00:00"/>
    <x v="0"/>
    <x v="79"/>
    <x v="0"/>
    <n v="2.7095890410958905"/>
    <n v="3380"/>
  </r>
  <r>
    <x v="161"/>
    <x v="1"/>
    <n v="34"/>
    <x v="0"/>
    <d v="2022-03-22T00:00:00"/>
    <x v="2"/>
    <x v="79"/>
    <x v="0"/>
    <n v="1.284931506849315"/>
    <n v="2253"/>
  </r>
  <r>
    <x v="162"/>
    <x v="1"/>
    <n v="20"/>
    <x v="0"/>
    <d v="2020-12-18T00:00:00"/>
    <x v="0"/>
    <x v="79"/>
    <x v="1"/>
    <n v="2.5424657534246577"/>
    <n v="3380"/>
  </r>
  <r>
    <x v="163"/>
    <x v="1"/>
    <n v="22"/>
    <x v="2"/>
    <d v="2021-07-07T00:00:00"/>
    <x v="1"/>
    <x v="80"/>
    <x v="0"/>
    <n v="1.9917808219178081"/>
    <n v="2256"/>
  </r>
  <r>
    <x v="164"/>
    <x v="1"/>
    <n v="22"/>
    <x v="2"/>
    <d v="2021-09-07T00:00:00"/>
    <x v="1"/>
    <x v="80"/>
    <x v="1"/>
    <n v="1.821917808219178"/>
    <n v="2256"/>
  </r>
  <r>
    <x v="165"/>
    <x v="1"/>
    <n v="27"/>
    <x v="1"/>
    <d v="2021-12-17T00:00:00"/>
    <x v="2"/>
    <x v="81"/>
    <x v="0"/>
    <n v="1.5452054794520549"/>
    <n v="2266"/>
  </r>
  <r>
    <x v="166"/>
    <x v="1"/>
    <n v="27"/>
    <x v="1"/>
    <d v="2022-02-17T00:00:00"/>
    <x v="2"/>
    <x v="81"/>
    <x v="1"/>
    <n v="1.3753424657534246"/>
    <n v="2266"/>
  </r>
  <r>
    <x v="167"/>
    <x v="0"/>
    <n v="30"/>
    <x v="0"/>
    <d v="2022-08-16T00:00:00"/>
    <x v="2"/>
    <x v="82"/>
    <x v="0"/>
    <n v="0.88219178082191785"/>
    <n v="2284"/>
  </r>
  <r>
    <x v="168"/>
    <x v="0"/>
    <n v="30"/>
    <x v="0"/>
    <d v="2022-10-16T00:00:00"/>
    <x v="2"/>
    <x v="82"/>
    <x v="1"/>
    <n v="0.71506849315068488"/>
    <n v="2284"/>
  </r>
  <r>
    <x v="169"/>
    <x v="0"/>
    <n v="44"/>
    <x v="0"/>
    <d v="2023-02-28T00:00:00"/>
    <x v="0"/>
    <x v="83"/>
    <x v="0"/>
    <n v="0.34520547945205482"/>
    <n v="2298"/>
  </r>
  <r>
    <x v="170"/>
    <x v="0"/>
    <n v="43"/>
    <x v="0"/>
    <d v="2023-04-29T00:00:00"/>
    <x v="0"/>
    <x v="83"/>
    <x v="1"/>
    <n v="0.18082191780821918"/>
    <n v="2298"/>
  </r>
  <r>
    <x v="171"/>
    <x v="0"/>
    <n v="36"/>
    <x v="0"/>
    <d v="2020-07-11T00:00:00"/>
    <x v="2"/>
    <x v="84"/>
    <x v="0"/>
    <n v="2.9808219178082194"/>
    <n v="3447"/>
  </r>
  <r>
    <x v="172"/>
    <x v="0"/>
    <n v="36"/>
    <x v="0"/>
    <d v="2020-09-11T00:00:00"/>
    <x v="2"/>
    <x v="84"/>
    <x v="1"/>
    <n v="2.8109589041095893"/>
    <n v="3447"/>
  </r>
  <r>
    <x v="173"/>
    <x v="2"/>
    <n v="37"/>
    <x v="3"/>
    <d v="2020-09-11T00:00:00"/>
    <x v="4"/>
    <x v="85"/>
    <x v="0"/>
    <n v="2.8109589041095893"/>
    <n v="3464"/>
  </r>
  <r>
    <x v="174"/>
    <x v="2"/>
    <n v="37"/>
    <x v="3"/>
    <d v="2020-11-11T00:00:00"/>
    <x v="4"/>
    <x v="85"/>
    <x v="1"/>
    <n v="2.6438356164383561"/>
    <n v="3464"/>
  </r>
  <r>
    <x v="175"/>
    <x v="1"/>
    <n v="33"/>
    <x v="0"/>
    <d v="2020-09-29T00:00:00"/>
    <x v="2"/>
    <x v="86"/>
    <x v="0"/>
    <n v="2.7616438356164386"/>
    <n v="3478"/>
  </r>
  <r>
    <x v="176"/>
    <x v="1"/>
    <n v="33"/>
    <x v="0"/>
    <d v="2020-11-29T00:00:00"/>
    <x v="2"/>
    <x v="86"/>
    <x v="1"/>
    <n v="2.5945205479452054"/>
    <n v="3478"/>
  </r>
  <r>
    <x v="177"/>
    <x v="0"/>
    <n v="37"/>
    <x v="0"/>
    <d v="2021-07-12T00:00:00"/>
    <x v="3"/>
    <x v="87"/>
    <x v="0"/>
    <n v="1.978082191780822"/>
    <n v="2362"/>
  </r>
  <r>
    <x v="178"/>
    <x v="0"/>
    <n v="37"/>
    <x v="0"/>
    <d v="2021-09-12T00:00:00"/>
    <x v="3"/>
    <x v="87"/>
    <x v="1"/>
    <n v="1.8082191780821917"/>
    <n v="2362"/>
  </r>
  <r>
    <x v="179"/>
    <x v="1"/>
    <n v="36"/>
    <x v="0"/>
    <d v="2020-05-07T00:00:00"/>
    <x v="0"/>
    <x v="88"/>
    <x v="0"/>
    <n v="3.1589041095890411"/>
    <n v="3566"/>
  </r>
  <r>
    <x v="180"/>
    <x v="1"/>
    <n v="36"/>
    <x v="0"/>
    <d v="2020-07-07T00:00:00"/>
    <x v="0"/>
    <x v="88"/>
    <x v="1"/>
    <n v="2.9917808219178084"/>
    <n v="3566"/>
  </r>
  <r>
    <x v="181"/>
    <x v="0"/>
    <n v="27"/>
    <x v="0"/>
    <d v="2020-08-18T00:00:00"/>
    <x v="3"/>
    <x v="89"/>
    <x v="0"/>
    <n v="2.8767123287671232"/>
    <n v="3574"/>
  </r>
  <r>
    <x v="182"/>
    <x v="0"/>
    <n v="27"/>
    <x v="0"/>
    <d v="2020-10-18T00:00:00"/>
    <x v="3"/>
    <x v="89"/>
    <x v="1"/>
    <n v="2.7095890410958905"/>
    <n v="35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AAA5B4-1AA1-4C0A-9C0C-7E59C6A79428}" name="PivotTable1" cacheId="1676" dataOnRows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C5:E10" firstHeaderRow="1" firstDataRow="2" firstDataCol="1"/>
  <pivotFields count="10">
    <pivotField dataField="1" compact="0" outline="0" showAll="0"/>
    <pivotField axis="axisCol" compact="0" outline="0" showAll="0">
      <items count="4">
        <item x="0"/>
        <item x="1"/>
        <item h="1" x="2"/>
        <item t="default"/>
      </items>
    </pivotField>
    <pivotField dataField="1" compact="0" outline="0" showAll="0"/>
    <pivotField compact="0" outline="0" showAll="0"/>
    <pivotField compact="0" numFmtId="14" outline="0" showAll="0"/>
    <pivotField compact="0" outline="0" showAll="0"/>
    <pivotField dataField="1" compact="0" numFmtId="164" outline="0" showAll="0">
      <items count="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compact="0" outline="0" showAll="0">
      <items count="3">
        <item x="0"/>
        <item x="1"/>
        <item t="default"/>
      </items>
    </pivotField>
    <pivotField dataField="1" compact="0" numFmtId="2" outline="0" showAll="0"/>
    <pivotField compact="0" numFmtId="165" outline="0" showAll="0"/>
  </pivotFields>
  <rowFields count="1">
    <field x="-2"/>
  </rowFields>
  <rowItems count="4">
    <i>
      <x/>
    </i>
    <i i="1">
      <x v="1"/>
    </i>
    <i i="2">
      <x v="2"/>
    </i>
    <i i="3">
      <x v="3"/>
    </i>
  </rowItems>
  <colFields count="1">
    <field x="1"/>
  </colFields>
  <colItems count="2">
    <i>
      <x/>
    </i>
    <i>
      <x v="1"/>
    </i>
  </colItems>
  <dataFields count="4">
    <dataField name="Average of Salary" fld="6" subtotal="average" baseField="0" baseItem="0" numFmtId="166"/>
    <dataField name="Count of Name" fld="0" subtotal="count" baseField="0" baseItem="0"/>
    <dataField name="Average of Age" fld="2" subtotal="average" baseField="0" baseItem="0" numFmtId="167"/>
    <dataField name="Average of Tenure" fld="8" subtotal="average" baseField="0" baseItem="0"/>
  </dataFields>
  <formats count="3">
    <format dxfId="6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7">
      <pivotArea outline="0" fieldPosition="0">
        <references count="1">
          <reference field="4294967294" count="1">
            <x v="0"/>
          </reference>
        </references>
      </pivotArea>
    </format>
    <format dxfId="8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D64343-627E-4401-A1F4-E65F62DF0669}" name="PivotTable1" cacheId="16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3:E9" firstHeaderRow="0" firstDataRow="1" firstDataCol="1"/>
  <pivotFields count="10">
    <pivotField dataField="1" compact="0" outline="0" showAll="0"/>
    <pivotField compact="0" outline="0" showAll="0"/>
    <pivotField compact="0" outline="0" showAll="0"/>
    <pivotField axis="axisRow" compact="0" outline="0" showAll="0">
      <items count="6">
        <item x="4"/>
        <item x="2"/>
        <item x="0"/>
        <item x="3"/>
        <item x="1"/>
        <item t="default"/>
      </items>
    </pivotField>
    <pivotField compact="0" numFmtId="14" outline="0" showAll="0"/>
    <pivotField compact="0" outline="0" showAll="0"/>
    <pivotField dataField="1" compact="0" numFmtId="164" outline="0" showAll="0">
      <items count="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compact="0" outline="0" showAll="0"/>
    <pivotField compact="0" numFmtId="2" outline="0" showAll="0"/>
    <pivotField compact="0" numFmtId="165" outline="0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" fld="0" subtotal="count" baseField="0" baseItem="0"/>
    <dataField name="Average of Salary" fld="6" subtotal="average" baseField="0" baseItem="0" numFmtId="166"/>
  </dataFields>
  <conditionalFormats count="2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3" count="1" selected="0">
              <x v="0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3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CC1D40-2407-467C-BB11-A02AACF69294}" name="PivotTable2" cacheId="16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2">
  <location ref="G5:H11" firstHeaderRow="1" firstDataRow="1" firstDataCol="1" rowPageCount="1" colPageCount="1"/>
  <pivotFields count="10">
    <pivotField dataField="1" compact="0" outline="0" showAll="0">
      <items count="184">
        <item x="66"/>
        <item x="111"/>
        <item x="68"/>
        <item x="6"/>
        <item x="103"/>
        <item x="43"/>
        <item x="26"/>
        <item x="85"/>
        <item x="138"/>
        <item x="79"/>
        <item x="181"/>
        <item x="34"/>
        <item x="9"/>
        <item x="22"/>
        <item x="54"/>
        <item x="94"/>
        <item x="161"/>
        <item x="91"/>
        <item x="134"/>
        <item x="87"/>
        <item x="174"/>
        <item x="137"/>
        <item x="157"/>
        <item x="99"/>
        <item x="108"/>
        <item x="5"/>
        <item x="49"/>
        <item x="95"/>
        <item x="145"/>
        <item x="82"/>
        <item x="143"/>
        <item x="119"/>
        <item x="37"/>
        <item x="139"/>
        <item x="133"/>
        <item x="11"/>
        <item x="63"/>
        <item x="154"/>
        <item x="30"/>
        <item x="160"/>
        <item x="126"/>
        <item x="21"/>
        <item x="121"/>
        <item x="74"/>
        <item x="171"/>
        <item x="13"/>
        <item x="15"/>
        <item x="141"/>
        <item x="73"/>
        <item x="93"/>
        <item x="125"/>
        <item x="25"/>
        <item x="29"/>
        <item x="182"/>
        <item x="19"/>
        <item x="60"/>
        <item x="118"/>
        <item x="36"/>
        <item x="89"/>
        <item x="116"/>
        <item x="105"/>
        <item x="1"/>
        <item x="32"/>
        <item x="27"/>
        <item x="159"/>
        <item x="179"/>
        <item x="92"/>
        <item x="129"/>
        <item x="168"/>
        <item x="38"/>
        <item x="150"/>
        <item x="71"/>
        <item x="75"/>
        <item x="165"/>
        <item x="98"/>
        <item x="12"/>
        <item x="76"/>
        <item x="23"/>
        <item x="147"/>
        <item x="57"/>
        <item x="151"/>
        <item x="177"/>
        <item x="124"/>
        <item x="70"/>
        <item x="113"/>
        <item x="120"/>
        <item x="17"/>
        <item x="67"/>
        <item x="33"/>
        <item x="47"/>
        <item x="107"/>
        <item x="64"/>
        <item x="149"/>
        <item x="163"/>
        <item x="50"/>
        <item x="86"/>
        <item x="110"/>
        <item x="56"/>
        <item x="127"/>
        <item x="53"/>
        <item x="164"/>
        <item x="155"/>
        <item x="123"/>
        <item x="18"/>
        <item x="114"/>
        <item x="166"/>
        <item x="72"/>
        <item x="158"/>
        <item x="59"/>
        <item x="144"/>
        <item x="58"/>
        <item x="69"/>
        <item x="117"/>
        <item x="44"/>
        <item x="132"/>
        <item x="162"/>
        <item x="77"/>
        <item x="55"/>
        <item x="81"/>
        <item x="90"/>
        <item x="156"/>
        <item x="3"/>
        <item x="51"/>
        <item x="45"/>
        <item x="7"/>
        <item x="24"/>
        <item x="40"/>
        <item x="48"/>
        <item x="10"/>
        <item x="128"/>
        <item x="153"/>
        <item x="78"/>
        <item x="169"/>
        <item x="84"/>
        <item x="176"/>
        <item x="122"/>
        <item x="14"/>
        <item x="102"/>
        <item x="148"/>
        <item x="173"/>
        <item x="96"/>
        <item x="42"/>
        <item x="175"/>
        <item x="167"/>
        <item x="142"/>
        <item x="140"/>
        <item x="152"/>
        <item x="97"/>
        <item x="46"/>
        <item x="83"/>
        <item x="80"/>
        <item x="146"/>
        <item x="20"/>
        <item x="8"/>
        <item x="100"/>
        <item x="0"/>
        <item x="104"/>
        <item x="115"/>
        <item x="135"/>
        <item x="2"/>
        <item x="130"/>
        <item x="112"/>
        <item x="35"/>
        <item x="180"/>
        <item x="65"/>
        <item x="131"/>
        <item x="172"/>
        <item x="106"/>
        <item x="62"/>
        <item x="178"/>
        <item x="109"/>
        <item x="28"/>
        <item x="136"/>
        <item x="61"/>
        <item x="52"/>
        <item x="31"/>
        <item x="101"/>
        <item x="4"/>
        <item x="41"/>
        <item x="170"/>
        <item x="16"/>
        <item x="88"/>
        <item x="39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/>
    <pivotField name="+" axis="axisRow" compact="0" outline="0" showAll="0" sortType="ascending">
      <items count="6"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64" outline="0" showAll="0"/>
    <pivotField axis="axisPage" compact="0" outline="0" showAll="0">
      <items count="3">
        <item x="0"/>
        <item h="1" x="1"/>
        <item t="default"/>
      </items>
    </pivotField>
    <pivotField compact="0" numFmtId="2" outline="0" showAll="0"/>
    <pivotField compact="0" numFmtId="165" outline="0" showAll="0"/>
  </pivotFields>
  <rowFields count="1">
    <field x="5"/>
  </rowFields>
  <rowItems count="6">
    <i>
      <x v="1"/>
    </i>
    <i>
      <x v="3"/>
    </i>
    <i>
      <x/>
    </i>
    <i>
      <x v="4"/>
    </i>
    <i>
      <x v="2"/>
    </i>
    <i t="grand">
      <x/>
    </i>
  </rowItems>
  <colItems count="1">
    <i/>
  </colItems>
  <pageFields count="1">
    <pageField fld="7" item="0" hier="-1"/>
  </pageFields>
  <dataFields count="1">
    <dataField name="Count of Name" fld="0" subtotal="count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4A60EC-3596-4E6E-AF43-86F0E3715F0C}" name="PivotTable1" cacheId="167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0">
  <location ref="B5:C11" firstHeaderRow="1" firstDataRow="1" firstDataCol="1" rowPageCount="1" colPageCount="1"/>
  <pivotFields count="10">
    <pivotField dataField="1" compact="0" outline="0" showAll="0">
      <items count="184">
        <item x="66"/>
        <item x="111"/>
        <item x="68"/>
        <item x="6"/>
        <item x="103"/>
        <item x="43"/>
        <item x="26"/>
        <item x="85"/>
        <item x="138"/>
        <item x="79"/>
        <item x="181"/>
        <item x="34"/>
        <item x="9"/>
        <item x="22"/>
        <item x="54"/>
        <item x="94"/>
        <item x="161"/>
        <item x="91"/>
        <item x="134"/>
        <item x="87"/>
        <item x="174"/>
        <item x="137"/>
        <item x="157"/>
        <item x="99"/>
        <item x="108"/>
        <item x="5"/>
        <item x="49"/>
        <item x="95"/>
        <item x="145"/>
        <item x="82"/>
        <item x="143"/>
        <item x="119"/>
        <item x="37"/>
        <item x="139"/>
        <item x="133"/>
        <item x="11"/>
        <item x="63"/>
        <item x="154"/>
        <item x="30"/>
        <item x="160"/>
        <item x="126"/>
        <item x="21"/>
        <item x="121"/>
        <item x="74"/>
        <item x="171"/>
        <item x="13"/>
        <item x="15"/>
        <item x="141"/>
        <item x="73"/>
        <item x="93"/>
        <item x="125"/>
        <item x="25"/>
        <item x="29"/>
        <item x="182"/>
        <item x="19"/>
        <item x="60"/>
        <item x="118"/>
        <item x="36"/>
        <item x="89"/>
        <item x="116"/>
        <item x="105"/>
        <item x="1"/>
        <item x="32"/>
        <item x="27"/>
        <item x="159"/>
        <item x="179"/>
        <item x="92"/>
        <item x="129"/>
        <item x="168"/>
        <item x="38"/>
        <item x="150"/>
        <item x="71"/>
        <item x="75"/>
        <item x="165"/>
        <item x="98"/>
        <item x="12"/>
        <item x="76"/>
        <item x="23"/>
        <item x="147"/>
        <item x="57"/>
        <item x="151"/>
        <item x="177"/>
        <item x="124"/>
        <item x="70"/>
        <item x="113"/>
        <item x="120"/>
        <item x="17"/>
        <item x="67"/>
        <item x="33"/>
        <item x="47"/>
        <item x="107"/>
        <item x="64"/>
        <item x="149"/>
        <item x="163"/>
        <item x="50"/>
        <item x="86"/>
        <item x="110"/>
        <item x="56"/>
        <item x="127"/>
        <item x="53"/>
        <item x="164"/>
        <item x="155"/>
        <item x="123"/>
        <item x="18"/>
        <item x="114"/>
        <item x="166"/>
        <item x="72"/>
        <item x="158"/>
        <item x="59"/>
        <item x="144"/>
        <item x="58"/>
        <item x="69"/>
        <item x="117"/>
        <item x="44"/>
        <item x="132"/>
        <item x="162"/>
        <item x="77"/>
        <item x="55"/>
        <item x="81"/>
        <item x="90"/>
        <item x="156"/>
        <item x="3"/>
        <item x="51"/>
        <item x="45"/>
        <item x="7"/>
        <item x="24"/>
        <item x="40"/>
        <item x="48"/>
        <item x="10"/>
        <item x="128"/>
        <item x="153"/>
        <item x="78"/>
        <item x="169"/>
        <item x="84"/>
        <item x="176"/>
        <item x="122"/>
        <item x="14"/>
        <item x="102"/>
        <item x="148"/>
        <item x="173"/>
        <item x="96"/>
        <item x="42"/>
        <item x="175"/>
        <item x="167"/>
        <item x="142"/>
        <item x="140"/>
        <item x="152"/>
        <item x="97"/>
        <item x="46"/>
        <item x="83"/>
        <item x="80"/>
        <item x="146"/>
        <item x="20"/>
        <item x="8"/>
        <item x="100"/>
        <item x="0"/>
        <item x="104"/>
        <item x="115"/>
        <item x="135"/>
        <item x="2"/>
        <item x="130"/>
        <item x="112"/>
        <item x="35"/>
        <item x="180"/>
        <item x="65"/>
        <item x="131"/>
        <item x="172"/>
        <item x="106"/>
        <item x="62"/>
        <item x="178"/>
        <item x="109"/>
        <item x="28"/>
        <item x="136"/>
        <item x="61"/>
        <item x="52"/>
        <item x="31"/>
        <item x="101"/>
        <item x="4"/>
        <item x="41"/>
        <item x="170"/>
        <item x="16"/>
        <item x="88"/>
        <item x="39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/>
    <pivotField name="+" axis="axisRow" compact="0" outline="0" showAll="0" sortType="ascending">
      <items count="6"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64" outline="0" showAll="0"/>
    <pivotField axis="axisPage" compact="0" outline="0" showAll="0">
      <items count="3">
        <item h="1" x="0"/>
        <item x="1"/>
        <item t="default"/>
      </items>
    </pivotField>
    <pivotField compact="0" numFmtId="2" outline="0" showAll="0"/>
    <pivotField compact="0" numFmtId="165" outline="0" showAll="0"/>
  </pivotFields>
  <rowFields count="1">
    <field x="5"/>
  </rowFields>
  <rowItems count="6">
    <i>
      <x v="1"/>
    </i>
    <i>
      <x v="3"/>
    </i>
    <i>
      <x/>
    </i>
    <i>
      <x v="2"/>
    </i>
    <i>
      <x v="4"/>
    </i>
    <i t="grand">
      <x/>
    </i>
  </rowItems>
  <colItems count="1">
    <i/>
  </colItems>
  <pageFields count="1">
    <pageField fld="7" item="1" hier="-1"/>
  </pageFields>
  <dataFields count="1">
    <dataField name="Count of Name" fld="0" subtotal="count" baseField="0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0000000}" autoFormatId="0" applyNumberFormats="0" applyBorderFormats="0" applyFontFormats="1" applyPatternFormats="1" applyAlignmentFormats="0" applyWidthHeightFormats="0">
  <queryTableRefresh preserveSortFilterLayout="0" nextId="12" unboundColumnsRight="4">
    <queryTableFields count="11">
      <queryTableField id="1" name="Name" tableColumnId="15"/>
      <queryTableField id="2" name="Gender" tableColumnId="16"/>
      <queryTableField id="3" name="Age" tableColumnId="17"/>
      <queryTableField id="4" name="Rating" tableColumnId="18"/>
      <queryTableField id="5" name="Date Joined" tableColumnId="19"/>
      <queryTableField id="6" name="Department" tableColumnId="20"/>
      <queryTableField id="7" name="Salary" tableColumnId="21"/>
      <queryTableField id="8" dataBound="0" tableColumnId="22"/>
      <queryTableField id="9" dataBound="0" tableColumnId="1"/>
      <queryTableField id="10" dataBound="0" tableColumnId="2"/>
      <queryTableField id="11" dataBound="0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untry" xr10:uid="{AAB39D7C-2D26-4DE6-9FFD-11EA24F2E51B}" sourceName="Country">
  <pivotTables>
    <pivotTable tabId="5" name="PivotTable1"/>
  </pivotTables>
  <data>
    <tabular pivotCacheId="415269294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" xr10:uid="{54D24804-646E-484A-A942-07A8797AD402}" cache="Slicer_Country" caption="Country" rowHeight="22860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z_Staff" displayName="Nz_Staff" ref="C5:I105" totalsRowShown="0">
  <autoFilter ref="C5:I105" xr:uid="{00000000-0009-0000-0100-000001000000}"/>
  <tableColumns count="7">
    <tableColumn id="1" xr3:uid="{00000000-0010-0000-0000-000001000000}" name="Name"/>
    <tableColumn id="2" xr3:uid="{00000000-0010-0000-0000-000002000000}" name="Gender"/>
    <tableColumn id="3" xr3:uid="{00000000-0010-0000-0000-000003000000}" name="Department"/>
    <tableColumn id="4" xr3:uid="{00000000-0010-0000-0000-000004000000}" name="Age"/>
    <tableColumn id="5" xr3:uid="{00000000-0010-0000-0000-000005000000}" name="Date Joined"/>
    <tableColumn id="6" xr3:uid="{00000000-0010-0000-0000-000006000000}" name="Salary"/>
    <tableColumn id="7" xr3:uid="{00000000-0010-0000-0000-000007000000}" name="Ra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ndian_Staff" displayName="Indian_Staff" ref="B2:H114" totalsRowShown="0">
  <autoFilter ref="B2:H114" xr:uid="{00000000-0009-0000-0100-000002000000}"/>
  <tableColumns count="7">
    <tableColumn id="1" xr3:uid="{00000000-0010-0000-0100-000001000000}" name="Name"/>
    <tableColumn id="2" xr3:uid="{00000000-0010-0000-0100-000002000000}" name="Gender"/>
    <tableColumn id="3" xr3:uid="{00000000-0010-0000-0100-000003000000}" name="Age"/>
    <tableColumn id="4" xr3:uid="{00000000-0010-0000-0100-000004000000}" name="Rating"/>
    <tableColumn id="5" xr3:uid="{00000000-0010-0000-0100-000005000000}" name="Date Joined" dataDxfId="5"/>
    <tableColumn id="6" xr3:uid="{00000000-0010-0000-0100-000006000000}" name="Department"/>
    <tableColumn id="7" xr3:uid="{00000000-0010-0000-0100-000007000000}" name="Salary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Staff" displayName="Staff" ref="A1:K184" tableType="queryTable" totalsRowShown="0">
  <autoFilter ref="A1:K184" xr:uid="{00000000-0009-0000-0100-000004000000}"/>
  <sortState xmlns:xlrd2="http://schemas.microsoft.com/office/spreadsheetml/2017/richdata2" ref="A2:I184">
    <sortCondition ref="G1:G184"/>
  </sortState>
  <tableColumns count="11">
    <tableColumn id="15" xr3:uid="{00000000-0010-0000-0200-00000F000000}" uniqueName="15" name="Name" queryTableFieldId="1"/>
    <tableColumn id="16" xr3:uid="{00000000-0010-0000-0200-000010000000}" uniqueName="16" name="Gender" queryTableFieldId="2"/>
    <tableColumn id="17" xr3:uid="{00000000-0010-0000-0200-000011000000}" uniqueName="17" name="Age" queryTableFieldId="3"/>
    <tableColumn id="18" xr3:uid="{00000000-0010-0000-0200-000012000000}" uniqueName="18" name="Rating" queryTableFieldId="4"/>
    <tableColumn id="19" xr3:uid="{00000000-0010-0000-0200-000013000000}" uniqueName="19" name="Date Joined" queryTableFieldId="5" dataDxfId="4"/>
    <tableColumn id="20" xr3:uid="{00000000-0010-0000-0200-000014000000}" uniqueName="20" name="Department" queryTableFieldId="6"/>
    <tableColumn id="21" xr3:uid="{00000000-0010-0000-0200-000015000000}" uniqueName="21" name="Salary" queryTableFieldId="7" dataDxfId="3"/>
    <tableColumn id="22" xr3:uid="{00000000-0010-0000-0200-000016000000}" uniqueName="22" name="Country" queryTableFieldId="8"/>
    <tableColumn id="1" xr3:uid="{00000000-0010-0000-0200-000001000000}" uniqueName="1" name="Tenure" queryTableFieldId="9" dataDxfId="2">
      <calculatedColumnFormula>(TODAY()-Staff[[#This Row],[Date Joined]])/365</calculatedColumnFormula>
    </tableColumn>
    <tableColumn id="2" xr3:uid="{B2095AE1-D2D3-400E-A2B2-3C2CD1E6F6F0}" uniqueName="2" name="Bonus" queryTableFieldId="10" dataDxfId="1">
      <calculatedColumnFormula>ROUNDUP(IF(Staff[[#This Row],[Tenure]]&gt;2,3%,2%)*Staff[[#This Row],[Salary]],0)</calculatedColumnFormula>
    </tableColumn>
    <tableColumn id="3" xr3:uid="{CBC61CD5-9DCA-42E7-A210-BC310D27BE50}" uniqueName="3" name="Rating As Number" queryTableFieldId="11" dataDxfId="0">
      <calculatedColumnFormula>_xlfn.XLOOKUP(Staff[[#This Row],[Rating]],Mapping!$C$6:$C$10,Mapping!$D$6:$D$10)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showGridLines="0" workbookViewId="0">
      <selection activeCell="C5" sqref="C5"/>
    </sheetView>
  </sheetViews>
  <sheetFormatPr defaultRowHeight="14.45"/>
  <cols>
    <col min="1" max="1" width="1.7109375" customWidth="1"/>
    <col min="2" max="2" width="3.7109375" customWidth="1"/>
    <col min="3" max="3" width="33.7109375" customWidth="1"/>
    <col min="4" max="4" width="9.28515625" bestFit="1" customWidth="1"/>
    <col min="5" max="5" width="13.42578125" bestFit="1" customWidth="1"/>
    <col min="6" max="6" width="6.140625" bestFit="1" customWidth="1"/>
    <col min="7" max="7" width="12.85546875" bestFit="1" customWidth="1"/>
    <col min="8" max="8" width="8.140625" bestFit="1" customWidth="1"/>
    <col min="9" max="9" width="13.140625" bestFit="1" customWidth="1"/>
    <col min="11" max="11" width="10.28515625" customWidth="1"/>
  </cols>
  <sheetData>
    <row r="1" spans="1:9" s="2" customFormat="1" ht="52.5" customHeight="1">
      <c r="A1" s="1"/>
      <c r="C1" s="3" t="s">
        <v>0</v>
      </c>
    </row>
    <row r="5" spans="1:9">
      <c r="C5" t="s">
        <v>1</v>
      </c>
      <c r="D5" t="s">
        <v>2</v>
      </c>
      <c r="E5" t="s">
        <v>3</v>
      </c>
      <c r="F5" t="s">
        <v>4</v>
      </c>
      <c r="G5" s="4" t="s">
        <v>5</v>
      </c>
      <c r="H5" t="s">
        <v>6</v>
      </c>
      <c r="I5" t="s">
        <v>7</v>
      </c>
    </row>
    <row r="6" spans="1:9">
      <c r="C6" t="s">
        <v>8</v>
      </c>
      <c r="D6" t="s">
        <v>9</v>
      </c>
      <c r="E6" t="s">
        <v>10</v>
      </c>
      <c r="F6">
        <v>22</v>
      </c>
      <c r="G6" s="4">
        <v>44446</v>
      </c>
      <c r="H6">
        <v>112780</v>
      </c>
      <c r="I6" t="s">
        <v>11</v>
      </c>
    </row>
    <row r="7" spans="1:9">
      <c r="C7" t="s">
        <v>12</v>
      </c>
      <c r="D7" t="s">
        <v>9</v>
      </c>
      <c r="E7" t="s">
        <v>13</v>
      </c>
      <c r="F7">
        <v>46</v>
      </c>
      <c r="G7" s="4">
        <v>44758</v>
      </c>
      <c r="H7">
        <v>70610</v>
      </c>
      <c r="I7" t="s">
        <v>14</v>
      </c>
    </row>
    <row r="8" spans="1:9">
      <c r="C8" t="s">
        <v>15</v>
      </c>
      <c r="D8" t="s">
        <v>16</v>
      </c>
      <c r="E8" t="s">
        <v>10</v>
      </c>
      <c r="F8">
        <v>28</v>
      </c>
      <c r="G8" s="4">
        <v>44357</v>
      </c>
      <c r="H8">
        <v>53240</v>
      </c>
      <c r="I8" t="s">
        <v>14</v>
      </c>
    </row>
    <row r="9" spans="1:9">
      <c r="C9" t="s">
        <v>17</v>
      </c>
      <c r="E9" t="s">
        <v>18</v>
      </c>
      <c r="F9">
        <v>37</v>
      </c>
      <c r="G9" s="4">
        <v>44146</v>
      </c>
      <c r="H9">
        <v>115440</v>
      </c>
      <c r="I9" t="s">
        <v>19</v>
      </c>
    </row>
    <row r="10" spans="1:9">
      <c r="C10" t="s">
        <v>20</v>
      </c>
      <c r="D10" t="s">
        <v>9</v>
      </c>
      <c r="E10" t="s">
        <v>10</v>
      </c>
      <c r="F10">
        <v>32</v>
      </c>
      <c r="G10" s="4">
        <v>44465</v>
      </c>
      <c r="H10">
        <v>53540</v>
      </c>
      <c r="I10" t="s">
        <v>14</v>
      </c>
    </row>
    <row r="11" spans="1:9">
      <c r="C11" t="s">
        <v>21</v>
      </c>
      <c r="D11" t="s">
        <v>16</v>
      </c>
      <c r="E11" t="s">
        <v>13</v>
      </c>
      <c r="F11">
        <v>30</v>
      </c>
      <c r="G11" s="4">
        <v>44861</v>
      </c>
      <c r="H11">
        <v>112570</v>
      </c>
      <c r="I11" t="s">
        <v>14</v>
      </c>
    </row>
    <row r="12" spans="1:9">
      <c r="C12" t="s">
        <v>22</v>
      </c>
      <c r="D12" t="s">
        <v>9</v>
      </c>
      <c r="E12" t="s">
        <v>13</v>
      </c>
      <c r="F12">
        <v>33</v>
      </c>
      <c r="G12" s="4">
        <v>44701</v>
      </c>
      <c r="H12">
        <v>48530</v>
      </c>
      <c r="I12" t="s">
        <v>11</v>
      </c>
    </row>
    <row r="13" spans="1:9">
      <c r="C13" t="s">
        <v>23</v>
      </c>
      <c r="D13" t="s">
        <v>16</v>
      </c>
      <c r="E13" t="s">
        <v>24</v>
      </c>
      <c r="F13">
        <v>24</v>
      </c>
      <c r="G13" s="4">
        <v>44148</v>
      </c>
      <c r="H13">
        <v>62780</v>
      </c>
      <c r="I13" t="s">
        <v>14</v>
      </c>
    </row>
    <row r="14" spans="1:9">
      <c r="C14" t="s">
        <v>25</v>
      </c>
      <c r="D14" t="s">
        <v>9</v>
      </c>
      <c r="E14" t="s">
        <v>24</v>
      </c>
      <c r="F14">
        <v>33</v>
      </c>
      <c r="G14" s="4">
        <v>44509</v>
      </c>
      <c r="H14">
        <v>53870</v>
      </c>
      <c r="I14" t="s">
        <v>14</v>
      </c>
    </row>
    <row r="15" spans="1:9">
      <c r="C15" t="s">
        <v>26</v>
      </c>
      <c r="D15" t="s">
        <v>16</v>
      </c>
      <c r="E15" t="s">
        <v>27</v>
      </c>
      <c r="F15">
        <v>27</v>
      </c>
      <c r="G15" s="4">
        <v>44122</v>
      </c>
      <c r="H15">
        <v>119110</v>
      </c>
      <c r="I15" t="s">
        <v>14</v>
      </c>
    </row>
    <row r="16" spans="1:9">
      <c r="C16" t="s">
        <v>28</v>
      </c>
      <c r="D16" t="s">
        <v>9</v>
      </c>
      <c r="E16" t="s">
        <v>24</v>
      </c>
      <c r="F16">
        <v>29</v>
      </c>
      <c r="G16" s="4">
        <v>44180</v>
      </c>
      <c r="H16">
        <v>112110</v>
      </c>
      <c r="I16" t="s">
        <v>19</v>
      </c>
    </row>
    <row r="17" spans="3:9">
      <c r="C17" t="s">
        <v>29</v>
      </c>
      <c r="D17" t="s">
        <v>9</v>
      </c>
      <c r="E17" t="s">
        <v>10</v>
      </c>
      <c r="F17">
        <v>25</v>
      </c>
      <c r="G17" s="4">
        <v>44383</v>
      </c>
      <c r="H17">
        <v>65700</v>
      </c>
      <c r="I17" t="s">
        <v>14</v>
      </c>
    </row>
    <row r="18" spans="3:9">
      <c r="C18" t="s">
        <v>30</v>
      </c>
      <c r="D18" t="s">
        <v>9</v>
      </c>
      <c r="E18" t="s">
        <v>24</v>
      </c>
      <c r="F18">
        <v>37</v>
      </c>
      <c r="G18" s="4">
        <v>44701</v>
      </c>
      <c r="H18">
        <v>69070</v>
      </c>
      <c r="I18" t="s">
        <v>14</v>
      </c>
    </row>
    <row r="19" spans="3:9">
      <c r="C19" t="s">
        <v>31</v>
      </c>
      <c r="D19" t="s">
        <v>9</v>
      </c>
      <c r="E19" t="s">
        <v>24</v>
      </c>
      <c r="F19">
        <v>20</v>
      </c>
      <c r="G19" s="4">
        <v>44459</v>
      </c>
      <c r="H19">
        <v>107700</v>
      </c>
      <c r="I19" t="s">
        <v>14</v>
      </c>
    </row>
    <row r="20" spans="3:9">
      <c r="C20" t="s">
        <v>32</v>
      </c>
      <c r="D20" t="s">
        <v>16</v>
      </c>
      <c r="E20" t="s">
        <v>24</v>
      </c>
      <c r="F20">
        <v>32</v>
      </c>
      <c r="G20" s="4">
        <v>44354</v>
      </c>
      <c r="H20">
        <v>43840</v>
      </c>
      <c r="I20" t="s">
        <v>11</v>
      </c>
    </row>
    <row r="21" spans="3:9">
      <c r="C21" t="s">
        <v>33</v>
      </c>
      <c r="D21" t="s">
        <v>9</v>
      </c>
      <c r="E21" t="s">
        <v>13</v>
      </c>
      <c r="F21">
        <v>40</v>
      </c>
      <c r="G21" s="4">
        <v>44263</v>
      </c>
      <c r="H21">
        <v>99750</v>
      </c>
      <c r="I21" t="s">
        <v>14</v>
      </c>
    </row>
    <row r="22" spans="3:9">
      <c r="C22" t="s">
        <v>34</v>
      </c>
      <c r="D22" t="s">
        <v>9</v>
      </c>
      <c r="E22" t="s">
        <v>13</v>
      </c>
      <c r="F22">
        <v>21</v>
      </c>
      <c r="G22" s="4">
        <v>44104</v>
      </c>
      <c r="H22">
        <v>37920</v>
      </c>
      <c r="I22" t="s">
        <v>14</v>
      </c>
    </row>
    <row r="23" spans="3:9">
      <c r="C23" t="s">
        <v>35</v>
      </c>
      <c r="D23" t="s">
        <v>9</v>
      </c>
      <c r="E23" t="s">
        <v>13</v>
      </c>
      <c r="F23">
        <v>21</v>
      </c>
      <c r="G23" s="4">
        <v>44762</v>
      </c>
      <c r="H23">
        <v>57090</v>
      </c>
      <c r="I23" t="s">
        <v>14</v>
      </c>
    </row>
    <row r="24" spans="3:9">
      <c r="C24" t="s">
        <v>36</v>
      </c>
      <c r="D24" t="s">
        <v>16</v>
      </c>
      <c r="E24" t="s">
        <v>24</v>
      </c>
      <c r="F24">
        <v>31</v>
      </c>
      <c r="G24" s="4">
        <v>44145</v>
      </c>
      <c r="H24">
        <v>41980</v>
      </c>
      <c r="I24" t="s">
        <v>14</v>
      </c>
    </row>
    <row r="25" spans="3:9">
      <c r="C25" t="s">
        <v>37</v>
      </c>
      <c r="D25" t="s">
        <v>9</v>
      </c>
      <c r="E25" t="s">
        <v>27</v>
      </c>
      <c r="F25">
        <v>21</v>
      </c>
      <c r="G25" s="4">
        <v>44242</v>
      </c>
      <c r="H25">
        <v>75880</v>
      </c>
      <c r="I25" t="s">
        <v>14</v>
      </c>
    </row>
    <row r="26" spans="3:9">
      <c r="C26" t="s">
        <v>38</v>
      </c>
      <c r="D26" t="s">
        <v>16</v>
      </c>
      <c r="E26" t="s">
        <v>18</v>
      </c>
      <c r="F26">
        <v>34</v>
      </c>
      <c r="G26" s="4">
        <v>44653</v>
      </c>
      <c r="H26">
        <v>58940</v>
      </c>
      <c r="I26" t="s">
        <v>14</v>
      </c>
    </row>
    <row r="27" spans="3:9">
      <c r="C27" t="s">
        <v>39</v>
      </c>
      <c r="D27" t="s">
        <v>16</v>
      </c>
      <c r="E27" t="s">
        <v>18</v>
      </c>
      <c r="F27">
        <v>30</v>
      </c>
      <c r="G27" s="4">
        <v>44389</v>
      </c>
      <c r="H27">
        <v>67910</v>
      </c>
      <c r="I27" t="s">
        <v>19</v>
      </c>
    </row>
    <row r="28" spans="3:9">
      <c r="C28" t="s">
        <v>40</v>
      </c>
      <c r="D28" t="s">
        <v>16</v>
      </c>
      <c r="E28" t="s">
        <v>24</v>
      </c>
      <c r="F28">
        <v>31</v>
      </c>
      <c r="G28" s="4">
        <v>44663</v>
      </c>
      <c r="H28">
        <v>58100</v>
      </c>
      <c r="I28" t="s">
        <v>14</v>
      </c>
    </row>
    <row r="29" spans="3:9">
      <c r="C29" t="s">
        <v>41</v>
      </c>
      <c r="D29" t="s">
        <v>9</v>
      </c>
      <c r="E29" t="s">
        <v>18</v>
      </c>
      <c r="F29">
        <v>27</v>
      </c>
      <c r="G29" s="4">
        <v>44567</v>
      </c>
      <c r="H29">
        <v>48980</v>
      </c>
      <c r="I29" t="s">
        <v>14</v>
      </c>
    </row>
    <row r="30" spans="3:9">
      <c r="C30" t="s">
        <v>42</v>
      </c>
      <c r="E30" t="s">
        <v>18</v>
      </c>
      <c r="F30">
        <v>30</v>
      </c>
      <c r="G30" s="4">
        <v>44597</v>
      </c>
      <c r="H30">
        <v>64000</v>
      </c>
      <c r="I30" t="s">
        <v>14</v>
      </c>
    </row>
    <row r="31" spans="3:9">
      <c r="C31" t="s">
        <v>43</v>
      </c>
      <c r="D31" t="s">
        <v>16</v>
      </c>
      <c r="E31" t="s">
        <v>13</v>
      </c>
      <c r="F31">
        <v>42</v>
      </c>
      <c r="G31" s="4">
        <v>44779</v>
      </c>
      <c r="H31">
        <v>75000</v>
      </c>
      <c r="I31" t="s">
        <v>44</v>
      </c>
    </row>
    <row r="32" spans="3:9">
      <c r="C32" t="s">
        <v>45</v>
      </c>
      <c r="D32" t="s">
        <v>16</v>
      </c>
      <c r="E32" t="s">
        <v>24</v>
      </c>
      <c r="F32">
        <v>40</v>
      </c>
      <c r="G32" s="4">
        <v>44337</v>
      </c>
      <c r="H32">
        <v>87620</v>
      </c>
      <c r="I32" t="s">
        <v>14</v>
      </c>
    </row>
    <row r="33" spans="3:9">
      <c r="C33" t="s">
        <v>46</v>
      </c>
      <c r="D33" t="s">
        <v>16</v>
      </c>
      <c r="E33" t="s">
        <v>24</v>
      </c>
      <c r="F33">
        <v>29</v>
      </c>
      <c r="G33" s="4">
        <v>44023</v>
      </c>
      <c r="H33">
        <v>34980</v>
      </c>
      <c r="I33" t="s">
        <v>14</v>
      </c>
    </row>
    <row r="34" spans="3:9">
      <c r="C34" t="s">
        <v>47</v>
      </c>
      <c r="D34" t="s">
        <v>16</v>
      </c>
      <c r="E34" t="s">
        <v>18</v>
      </c>
      <c r="F34">
        <v>28</v>
      </c>
      <c r="G34" s="4">
        <v>44185</v>
      </c>
      <c r="H34">
        <v>75970</v>
      </c>
      <c r="I34" t="s">
        <v>14</v>
      </c>
    </row>
    <row r="35" spans="3:9">
      <c r="C35" t="s">
        <v>48</v>
      </c>
      <c r="D35" t="s">
        <v>16</v>
      </c>
      <c r="E35" t="s">
        <v>18</v>
      </c>
      <c r="F35">
        <v>34</v>
      </c>
      <c r="G35" s="4">
        <v>44612</v>
      </c>
      <c r="H35">
        <v>60130</v>
      </c>
      <c r="I35" t="s">
        <v>14</v>
      </c>
    </row>
    <row r="36" spans="3:9">
      <c r="C36" t="s">
        <v>49</v>
      </c>
      <c r="D36" t="s">
        <v>16</v>
      </c>
      <c r="E36" t="s">
        <v>24</v>
      </c>
      <c r="F36">
        <v>33</v>
      </c>
      <c r="G36" s="4">
        <v>44374</v>
      </c>
      <c r="H36">
        <v>75480</v>
      </c>
      <c r="I36" t="s">
        <v>50</v>
      </c>
    </row>
    <row r="37" spans="3:9">
      <c r="C37" t="s">
        <v>51</v>
      </c>
      <c r="D37" t="s">
        <v>9</v>
      </c>
      <c r="E37" t="s">
        <v>13</v>
      </c>
      <c r="F37">
        <v>33</v>
      </c>
      <c r="G37" s="4">
        <v>44164</v>
      </c>
      <c r="H37">
        <v>115920</v>
      </c>
      <c r="I37" t="s">
        <v>14</v>
      </c>
    </row>
    <row r="38" spans="3:9">
      <c r="C38" t="s">
        <v>52</v>
      </c>
      <c r="D38" t="s">
        <v>16</v>
      </c>
      <c r="E38" t="s">
        <v>10</v>
      </c>
      <c r="F38">
        <v>36</v>
      </c>
      <c r="G38" s="4">
        <v>44494</v>
      </c>
      <c r="H38">
        <v>78540</v>
      </c>
      <c r="I38" t="s">
        <v>14</v>
      </c>
    </row>
    <row r="39" spans="3:9">
      <c r="C39" t="s">
        <v>53</v>
      </c>
      <c r="D39" t="s">
        <v>9</v>
      </c>
      <c r="E39" t="s">
        <v>13</v>
      </c>
      <c r="F39">
        <v>25</v>
      </c>
      <c r="G39" s="4">
        <v>44726</v>
      </c>
      <c r="H39">
        <v>109190</v>
      </c>
      <c r="I39" t="s">
        <v>11</v>
      </c>
    </row>
    <row r="40" spans="3:9">
      <c r="C40" t="s">
        <v>54</v>
      </c>
      <c r="D40" t="s">
        <v>16</v>
      </c>
      <c r="E40" t="s">
        <v>10</v>
      </c>
      <c r="F40">
        <v>34</v>
      </c>
      <c r="G40" s="4">
        <v>44721</v>
      </c>
      <c r="H40">
        <v>49630</v>
      </c>
      <c r="I40" t="s">
        <v>19</v>
      </c>
    </row>
    <row r="41" spans="3:9">
      <c r="C41" t="s">
        <v>55</v>
      </c>
      <c r="D41" t="s">
        <v>16</v>
      </c>
      <c r="E41" t="s">
        <v>13</v>
      </c>
      <c r="F41">
        <v>28</v>
      </c>
      <c r="G41" s="4">
        <v>44630</v>
      </c>
      <c r="H41">
        <v>99970</v>
      </c>
      <c r="I41" t="s">
        <v>14</v>
      </c>
    </row>
    <row r="42" spans="3:9">
      <c r="C42" t="s">
        <v>56</v>
      </c>
      <c r="D42" t="s">
        <v>16</v>
      </c>
      <c r="E42" t="s">
        <v>24</v>
      </c>
      <c r="F42">
        <v>33</v>
      </c>
      <c r="G42" s="4">
        <v>44190</v>
      </c>
      <c r="H42">
        <v>96140</v>
      </c>
      <c r="I42" t="s">
        <v>14</v>
      </c>
    </row>
    <row r="43" spans="3:9">
      <c r="C43" t="s">
        <v>57</v>
      </c>
      <c r="D43" t="s">
        <v>9</v>
      </c>
      <c r="E43" t="s">
        <v>13</v>
      </c>
      <c r="F43">
        <v>31</v>
      </c>
      <c r="G43" s="4">
        <v>44724</v>
      </c>
      <c r="H43">
        <v>103550</v>
      </c>
      <c r="I43" t="s">
        <v>14</v>
      </c>
    </row>
    <row r="44" spans="3:9">
      <c r="C44" t="s">
        <v>58</v>
      </c>
      <c r="D44" t="s">
        <v>9</v>
      </c>
      <c r="E44" t="s">
        <v>24</v>
      </c>
      <c r="F44">
        <v>31</v>
      </c>
      <c r="G44" s="4">
        <v>44511</v>
      </c>
      <c r="H44">
        <v>48950</v>
      </c>
      <c r="I44" t="s">
        <v>14</v>
      </c>
    </row>
    <row r="45" spans="3:9">
      <c r="C45" t="s">
        <v>59</v>
      </c>
      <c r="D45" t="s">
        <v>9</v>
      </c>
      <c r="E45" t="s">
        <v>18</v>
      </c>
      <c r="F45">
        <v>24</v>
      </c>
      <c r="G45" s="4">
        <v>44436</v>
      </c>
      <c r="H45">
        <v>52610</v>
      </c>
      <c r="I45" t="s">
        <v>19</v>
      </c>
    </row>
    <row r="46" spans="3:9">
      <c r="C46" t="s">
        <v>60</v>
      </c>
      <c r="D46" t="s">
        <v>16</v>
      </c>
      <c r="E46" t="s">
        <v>13</v>
      </c>
      <c r="F46">
        <v>36</v>
      </c>
      <c r="G46" s="4">
        <v>44529</v>
      </c>
      <c r="H46">
        <v>78390</v>
      </c>
      <c r="I46" t="s">
        <v>14</v>
      </c>
    </row>
    <row r="47" spans="3:9">
      <c r="C47" t="s">
        <v>61</v>
      </c>
      <c r="D47" t="s">
        <v>16</v>
      </c>
      <c r="E47" t="s">
        <v>18</v>
      </c>
      <c r="F47">
        <v>33</v>
      </c>
      <c r="G47" s="4">
        <v>44809</v>
      </c>
      <c r="H47">
        <v>86570</v>
      </c>
      <c r="I47" t="s">
        <v>14</v>
      </c>
    </row>
    <row r="48" spans="3:9">
      <c r="C48" t="s">
        <v>62</v>
      </c>
      <c r="D48" t="s">
        <v>16</v>
      </c>
      <c r="E48" t="s">
        <v>24</v>
      </c>
      <c r="F48">
        <v>27</v>
      </c>
      <c r="G48" s="4">
        <v>44686</v>
      </c>
      <c r="H48">
        <v>83750</v>
      </c>
      <c r="I48" t="s">
        <v>14</v>
      </c>
    </row>
    <row r="49" spans="3:9">
      <c r="C49" t="s">
        <v>63</v>
      </c>
      <c r="D49" t="s">
        <v>16</v>
      </c>
      <c r="E49" t="s">
        <v>18</v>
      </c>
      <c r="F49">
        <v>34</v>
      </c>
      <c r="G49" s="4">
        <v>44445</v>
      </c>
      <c r="H49">
        <v>92450</v>
      </c>
      <c r="I49" t="s">
        <v>14</v>
      </c>
    </row>
    <row r="50" spans="3:9">
      <c r="C50" t="s">
        <v>64</v>
      </c>
      <c r="D50" t="s">
        <v>9</v>
      </c>
      <c r="E50" t="s">
        <v>24</v>
      </c>
      <c r="F50">
        <v>20</v>
      </c>
      <c r="G50" s="4">
        <v>44183</v>
      </c>
      <c r="H50">
        <v>112650</v>
      </c>
      <c r="I50" t="s">
        <v>14</v>
      </c>
    </row>
    <row r="51" spans="3:9">
      <c r="C51" t="s">
        <v>65</v>
      </c>
      <c r="D51" t="s">
        <v>9</v>
      </c>
      <c r="E51" t="s">
        <v>13</v>
      </c>
      <c r="F51">
        <v>20</v>
      </c>
      <c r="G51" s="4">
        <v>44744</v>
      </c>
      <c r="H51">
        <v>79570</v>
      </c>
      <c r="I51" t="s">
        <v>14</v>
      </c>
    </row>
    <row r="52" spans="3:9">
      <c r="C52" t="s">
        <v>66</v>
      </c>
      <c r="D52" t="s">
        <v>16</v>
      </c>
      <c r="E52" t="s">
        <v>10</v>
      </c>
      <c r="F52">
        <v>20</v>
      </c>
      <c r="G52" s="4">
        <v>44537</v>
      </c>
      <c r="H52">
        <v>68900</v>
      </c>
      <c r="I52" t="s">
        <v>19</v>
      </c>
    </row>
    <row r="53" spans="3:9">
      <c r="C53" t="s">
        <v>67</v>
      </c>
      <c r="D53" t="s">
        <v>16</v>
      </c>
      <c r="E53" t="s">
        <v>24</v>
      </c>
      <c r="F53">
        <v>25</v>
      </c>
      <c r="G53" s="4">
        <v>44694</v>
      </c>
      <c r="H53">
        <v>80700</v>
      </c>
      <c r="I53" t="s">
        <v>11</v>
      </c>
    </row>
    <row r="54" spans="3:9">
      <c r="C54" t="s">
        <v>68</v>
      </c>
      <c r="D54" t="s">
        <v>9</v>
      </c>
      <c r="E54" t="s">
        <v>13</v>
      </c>
      <c r="F54">
        <v>19</v>
      </c>
      <c r="G54" s="4">
        <v>44277</v>
      </c>
      <c r="H54">
        <v>58960</v>
      </c>
      <c r="I54" t="s">
        <v>14</v>
      </c>
    </row>
    <row r="55" spans="3:9">
      <c r="C55" t="s">
        <v>69</v>
      </c>
      <c r="D55" t="s">
        <v>9</v>
      </c>
      <c r="E55" t="s">
        <v>24</v>
      </c>
      <c r="F55">
        <v>36</v>
      </c>
      <c r="G55" s="4">
        <v>44019</v>
      </c>
      <c r="H55">
        <v>118840</v>
      </c>
      <c r="I55" t="s">
        <v>14</v>
      </c>
    </row>
    <row r="56" spans="3:9">
      <c r="C56" t="s">
        <v>70</v>
      </c>
      <c r="D56" t="s">
        <v>9</v>
      </c>
      <c r="E56" t="s">
        <v>18</v>
      </c>
      <c r="F56">
        <v>28</v>
      </c>
      <c r="G56" s="4">
        <v>44041</v>
      </c>
      <c r="H56">
        <v>48170</v>
      </c>
      <c r="I56" t="s">
        <v>11</v>
      </c>
    </row>
    <row r="57" spans="3:9">
      <c r="C57" t="s">
        <v>71</v>
      </c>
      <c r="D57" t="s">
        <v>16</v>
      </c>
      <c r="E57" t="s">
        <v>27</v>
      </c>
      <c r="F57">
        <v>32</v>
      </c>
      <c r="G57" s="4">
        <v>44400</v>
      </c>
      <c r="H57">
        <v>45510</v>
      </c>
      <c r="I57" t="s">
        <v>14</v>
      </c>
    </row>
    <row r="58" spans="3:9">
      <c r="C58" t="s">
        <v>64</v>
      </c>
      <c r="D58" t="s">
        <v>9</v>
      </c>
      <c r="E58" t="s">
        <v>13</v>
      </c>
      <c r="F58">
        <v>34</v>
      </c>
      <c r="G58" s="4">
        <v>44703</v>
      </c>
      <c r="H58">
        <v>112650</v>
      </c>
      <c r="I58" t="s">
        <v>14</v>
      </c>
    </row>
    <row r="59" spans="3:9">
      <c r="C59" t="s">
        <v>72</v>
      </c>
      <c r="D59" t="s">
        <v>16</v>
      </c>
      <c r="E59" t="s">
        <v>13</v>
      </c>
      <c r="F59">
        <v>36</v>
      </c>
      <c r="G59" s="4">
        <v>44085</v>
      </c>
      <c r="H59">
        <v>114890</v>
      </c>
      <c r="I59" t="s">
        <v>14</v>
      </c>
    </row>
    <row r="60" spans="3:9">
      <c r="C60" t="s">
        <v>73</v>
      </c>
      <c r="D60" t="s">
        <v>9</v>
      </c>
      <c r="E60" t="s">
        <v>24</v>
      </c>
      <c r="F60">
        <v>30</v>
      </c>
      <c r="G60" s="4">
        <v>44850</v>
      </c>
      <c r="H60">
        <v>69710</v>
      </c>
      <c r="I60" t="s">
        <v>14</v>
      </c>
    </row>
    <row r="61" spans="3:9">
      <c r="C61" t="s">
        <v>74</v>
      </c>
      <c r="D61" t="s">
        <v>9</v>
      </c>
      <c r="E61" t="s">
        <v>18</v>
      </c>
      <c r="F61">
        <v>36</v>
      </c>
      <c r="G61" s="4">
        <v>44333</v>
      </c>
      <c r="H61">
        <v>71380</v>
      </c>
      <c r="I61" t="s">
        <v>14</v>
      </c>
    </row>
    <row r="62" spans="3:9">
      <c r="C62" t="s">
        <v>75</v>
      </c>
      <c r="D62" t="s">
        <v>16</v>
      </c>
      <c r="E62" t="s">
        <v>10</v>
      </c>
      <c r="F62">
        <v>38</v>
      </c>
      <c r="G62" s="4">
        <v>44377</v>
      </c>
      <c r="H62">
        <v>109160</v>
      </c>
      <c r="I62" t="s">
        <v>44</v>
      </c>
    </row>
    <row r="63" spans="3:9">
      <c r="C63" t="s">
        <v>76</v>
      </c>
      <c r="D63" t="s">
        <v>9</v>
      </c>
      <c r="E63" t="s">
        <v>13</v>
      </c>
      <c r="F63">
        <v>27</v>
      </c>
      <c r="G63" s="4">
        <v>44609</v>
      </c>
      <c r="H63">
        <v>113280</v>
      </c>
      <c r="I63" t="s">
        <v>50</v>
      </c>
    </row>
    <row r="64" spans="3:9">
      <c r="C64" t="s">
        <v>77</v>
      </c>
      <c r="D64" t="s">
        <v>9</v>
      </c>
      <c r="E64" t="s">
        <v>24</v>
      </c>
      <c r="F64">
        <v>30</v>
      </c>
      <c r="G64" s="4">
        <v>44273</v>
      </c>
      <c r="H64">
        <v>69120</v>
      </c>
      <c r="I64" t="s">
        <v>14</v>
      </c>
    </row>
    <row r="65" spans="3:9">
      <c r="C65" t="s">
        <v>78</v>
      </c>
      <c r="D65" t="s">
        <v>16</v>
      </c>
      <c r="E65" t="s">
        <v>27</v>
      </c>
      <c r="F65">
        <v>37</v>
      </c>
      <c r="G65" s="4">
        <v>44451</v>
      </c>
      <c r="H65">
        <v>118100</v>
      </c>
      <c r="I65" t="s">
        <v>14</v>
      </c>
    </row>
    <row r="66" spans="3:9">
      <c r="C66" t="s">
        <v>79</v>
      </c>
      <c r="D66" t="s">
        <v>16</v>
      </c>
      <c r="E66" t="s">
        <v>13</v>
      </c>
      <c r="F66">
        <v>22</v>
      </c>
      <c r="G66" s="4">
        <v>44450</v>
      </c>
      <c r="H66">
        <v>76900</v>
      </c>
      <c r="I66" t="s">
        <v>11</v>
      </c>
    </row>
    <row r="67" spans="3:9">
      <c r="C67" t="s">
        <v>80</v>
      </c>
      <c r="D67" t="s">
        <v>16</v>
      </c>
      <c r="E67" t="s">
        <v>24</v>
      </c>
      <c r="F67">
        <v>43</v>
      </c>
      <c r="G67" s="4">
        <v>45045</v>
      </c>
      <c r="H67">
        <v>114870</v>
      </c>
      <c r="I67" t="s">
        <v>14</v>
      </c>
    </row>
    <row r="68" spans="3:9">
      <c r="C68" t="s">
        <v>81</v>
      </c>
      <c r="E68" t="s">
        <v>24</v>
      </c>
      <c r="F68">
        <v>32</v>
      </c>
      <c r="G68" s="4">
        <v>44774</v>
      </c>
      <c r="H68">
        <v>91310</v>
      </c>
      <c r="I68" t="s">
        <v>14</v>
      </c>
    </row>
    <row r="69" spans="3:9">
      <c r="C69" t="s">
        <v>82</v>
      </c>
      <c r="D69" t="s">
        <v>16</v>
      </c>
      <c r="E69" t="s">
        <v>13</v>
      </c>
      <c r="F69">
        <v>28</v>
      </c>
      <c r="G69" s="4">
        <v>44486</v>
      </c>
      <c r="H69">
        <v>104770</v>
      </c>
      <c r="I69" t="s">
        <v>14</v>
      </c>
    </row>
    <row r="70" spans="3:9">
      <c r="C70" t="s">
        <v>83</v>
      </c>
      <c r="D70" t="s">
        <v>9</v>
      </c>
      <c r="E70" t="s">
        <v>10</v>
      </c>
      <c r="F70">
        <v>27</v>
      </c>
      <c r="G70" s="4">
        <v>44134</v>
      </c>
      <c r="H70">
        <v>54970</v>
      </c>
      <c r="I70" t="s">
        <v>14</v>
      </c>
    </row>
    <row r="71" spans="3:9">
      <c r="C71" t="s">
        <v>84</v>
      </c>
      <c r="E71" t="s">
        <v>24</v>
      </c>
      <c r="F71">
        <v>26</v>
      </c>
      <c r="G71" s="4">
        <v>44271</v>
      </c>
      <c r="H71">
        <v>90700</v>
      </c>
      <c r="I71" t="s">
        <v>11</v>
      </c>
    </row>
    <row r="72" spans="3:9">
      <c r="C72" t="s">
        <v>85</v>
      </c>
      <c r="D72" t="s">
        <v>16</v>
      </c>
      <c r="E72" t="s">
        <v>10</v>
      </c>
      <c r="F72">
        <v>38</v>
      </c>
      <c r="G72" s="4">
        <v>44329</v>
      </c>
      <c r="H72">
        <v>56870</v>
      </c>
      <c r="I72" t="s">
        <v>11</v>
      </c>
    </row>
    <row r="73" spans="3:9">
      <c r="C73" t="s">
        <v>86</v>
      </c>
      <c r="D73" t="s">
        <v>16</v>
      </c>
      <c r="E73" t="s">
        <v>10</v>
      </c>
      <c r="F73">
        <v>25</v>
      </c>
      <c r="G73" s="4">
        <v>44205</v>
      </c>
      <c r="H73">
        <v>92700</v>
      </c>
      <c r="I73" t="s">
        <v>14</v>
      </c>
    </row>
    <row r="74" spans="3:9">
      <c r="C74" t="s">
        <v>87</v>
      </c>
      <c r="D74" t="s">
        <v>16</v>
      </c>
      <c r="E74" t="s">
        <v>18</v>
      </c>
      <c r="F74">
        <v>21</v>
      </c>
      <c r="G74" s="4">
        <v>44317</v>
      </c>
      <c r="H74">
        <v>65920</v>
      </c>
      <c r="I74" t="s">
        <v>14</v>
      </c>
    </row>
    <row r="75" spans="3:9">
      <c r="C75" t="s">
        <v>88</v>
      </c>
      <c r="D75" t="s">
        <v>9</v>
      </c>
      <c r="E75" t="s">
        <v>13</v>
      </c>
      <c r="F75">
        <v>26</v>
      </c>
      <c r="G75" s="4">
        <v>44225</v>
      </c>
      <c r="H75">
        <v>47360</v>
      </c>
      <c r="I75" t="s">
        <v>14</v>
      </c>
    </row>
    <row r="76" spans="3:9">
      <c r="C76" t="s">
        <v>89</v>
      </c>
      <c r="D76" t="s">
        <v>9</v>
      </c>
      <c r="E76" t="s">
        <v>13</v>
      </c>
      <c r="F76">
        <v>30</v>
      </c>
      <c r="G76" s="4">
        <v>44666</v>
      </c>
      <c r="H76">
        <v>60570</v>
      </c>
      <c r="I76" t="s">
        <v>14</v>
      </c>
    </row>
    <row r="77" spans="3:9">
      <c r="C77" t="s">
        <v>90</v>
      </c>
      <c r="D77" t="s">
        <v>16</v>
      </c>
      <c r="E77" t="s">
        <v>13</v>
      </c>
      <c r="F77">
        <v>28</v>
      </c>
      <c r="G77" s="4">
        <v>44649</v>
      </c>
      <c r="H77">
        <v>104120</v>
      </c>
      <c r="I77" t="s">
        <v>14</v>
      </c>
    </row>
    <row r="78" spans="3:9">
      <c r="C78" t="s">
        <v>91</v>
      </c>
      <c r="D78" t="s">
        <v>9</v>
      </c>
      <c r="E78" t="s">
        <v>24</v>
      </c>
      <c r="F78">
        <v>37</v>
      </c>
      <c r="G78" s="4">
        <v>44338</v>
      </c>
      <c r="H78">
        <v>88050</v>
      </c>
      <c r="I78" t="s">
        <v>19</v>
      </c>
    </row>
    <row r="79" spans="3:9">
      <c r="C79" t="s">
        <v>92</v>
      </c>
      <c r="D79" t="s">
        <v>9</v>
      </c>
      <c r="E79" t="s">
        <v>24</v>
      </c>
      <c r="F79">
        <v>24</v>
      </c>
      <c r="G79" s="4">
        <v>44686</v>
      </c>
      <c r="H79">
        <v>100420</v>
      </c>
      <c r="I79" t="s">
        <v>14</v>
      </c>
    </row>
    <row r="80" spans="3:9">
      <c r="C80" t="s">
        <v>93</v>
      </c>
      <c r="D80" t="s">
        <v>16</v>
      </c>
      <c r="E80" t="s">
        <v>13</v>
      </c>
      <c r="F80">
        <v>30</v>
      </c>
      <c r="G80" s="4">
        <v>44850</v>
      </c>
      <c r="H80">
        <v>114180</v>
      </c>
      <c r="I80" t="s">
        <v>14</v>
      </c>
    </row>
    <row r="81" spans="3:9">
      <c r="C81" t="s">
        <v>94</v>
      </c>
      <c r="D81" t="s">
        <v>16</v>
      </c>
      <c r="E81" t="s">
        <v>24</v>
      </c>
      <c r="F81">
        <v>21</v>
      </c>
      <c r="G81" s="4">
        <v>44678</v>
      </c>
      <c r="H81">
        <v>33920</v>
      </c>
      <c r="I81" t="s">
        <v>14</v>
      </c>
    </row>
    <row r="82" spans="3:9">
      <c r="C82" t="s">
        <v>95</v>
      </c>
      <c r="D82" t="s">
        <v>9</v>
      </c>
      <c r="E82" t="s">
        <v>13</v>
      </c>
      <c r="F82">
        <v>23</v>
      </c>
      <c r="G82" s="4">
        <v>44440</v>
      </c>
      <c r="H82">
        <v>106460</v>
      </c>
      <c r="I82" t="s">
        <v>14</v>
      </c>
    </row>
    <row r="83" spans="3:9">
      <c r="C83" t="s">
        <v>96</v>
      </c>
      <c r="D83" t="s">
        <v>9</v>
      </c>
      <c r="E83" t="s">
        <v>13</v>
      </c>
      <c r="F83">
        <v>35</v>
      </c>
      <c r="G83" s="4">
        <v>44727</v>
      </c>
      <c r="H83">
        <v>40400</v>
      </c>
      <c r="I83" t="s">
        <v>14</v>
      </c>
    </row>
    <row r="84" spans="3:9">
      <c r="C84" t="s">
        <v>97</v>
      </c>
      <c r="D84" t="s">
        <v>9</v>
      </c>
      <c r="E84" t="s">
        <v>18</v>
      </c>
      <c r="F84">
        <v>27</v>
      </c>
      <c r="G84" s="4">
        <v>44236</v>
      </c>
      <c r="H84">
        <v>91650</v>
      </c>
      <c r="I84" t="s">
        <v>11</v>
      </c>
    </row>
    <row r="85" spans="3:9">
      <c r="C85" t="s">
        <v>98</v>
      </c>
      <c r="D85" t="s">
        <v>9</v>
      </c>
      <c r="E85" t="s">
        <v>10</v>
      </c>
      <c r="F85">
        <v>43</v>
      </c>
      <c r="G85" s="4">
        <v>44620</v>
      </c>
      <c r="H85">
        <v>36040</v>
      </c>
      <c r="I85" t="s">
        <v>14</v>
      </c>
    </row>
    <row r="86" spans="3:9">
      <c r="C86" t="s">
        <v>99</v>
      </c>
      <c r="D86" t="s">
        <v>16</v>
      </c>
      <c r="E86" t="s">
        <v>24</v>
      </c>
      <c r="F86">
        <v>40</v>
      </c>
      <c r="G86" s="4">
        <v>44381</v>
      </c>
      <c r="H86">
        <v>104410</v>
      </c>
      <c r="I86" t="s">
        <v>14</v>
      </c>
    </row>
    <row r="87" spans="3:9">
      <c r="C87" t="s">
        <v>100</v>
      </c>
      <c r="D87" t="s">
        <v>9</v>
      </c>
      <c r="E87" t="s">
        <v>18</v>
      </c>
      <c r="F87">
        <v>30</v>
      </c>
      <c r="G87" s="4">
        <v>44606</v>
      </c>
      <c r="H87">
        <v>96800</v>
      </c>
      <c r="I87" t="s">
        <v>14</v>
      </c>
    </row>
    <row r="88" spans="3:9">
      <c r="C88" t="s">
        <v>101</v>
      </c>
      <c r="D88" t="s">
        <v>16</v>
      </c>
      <c r="E88" t="s">
        <v>18</v>
      </c>
      <c r="F88">
        <v>34</v>
      </c>
      <c r="G88" s="4">
        <v>44459</v>
      </c>
      <c r="H88">
        <v>85000</v>
      </c>
      <c r="I88" t="s">
        <v>14</v>
      </c>
    </row>
    <row r="89" spans="3:9">
      <c r="C89" t="s">
        <v>102</v>
      </c>
      <c r="D89" t="s">
        <v>9</v>
      </c>
      <c r="E89" t="s">
        <v>10</v>
      </c>
      <c r="F89">
        <v>28</v>
      </c>
      <c r="G89" s="4">
        <v>44820</v>
      </c>
      <c r="H89">
        <v>43510</v>
      </c>
      <c r="I89" t="s">
        <v>50</v>
      </c>
    </row>
    <row r="90" spans="3:9">
      <c r="C90" t="s">
        <v>103</v>
      </c>
      <c r="D90" t="s">
        <v>9</v>
      </c>
      <c r="E90" t="s">
        <v>18</v>
      </c>
      <c r="F90">
        <v>33</v>
      </c>
      <c r="G90" s="4">
        <v>44243</v>
      </c>
      <c r="H90">
        <v>59430</v>
      </c>
      <c r="I90" t="s">
        <v>14</v>
      </c>
    </row>
    <row r="91" spans="3:9">
      <c r="C91" t="s">
        <v>104</v>
      </c>
      <c r="D91" t="s">
        <v>16</v>
      </c>
      <c r="E91" t="s">
        <v>18</v>
      </c>
      <c r="F91">
        <v>33</v>
      </c>
      <c r="G91" s="4">
        <v>44067</v>
      </c>
      <c r="H91">
        <v>65360</v>
      </c>
      <c r="I91" t="s">
        <v>14</v>
      </c>
    </row>
    <row r="92" spans="3:9">
      <c r="C92" t="s">
        <v>105</v>
      </c>
      <c r="D92" t="s">
        <v>16</v>
      </c>
      <c r="E92" t="s">
        <v>13</v>
      </c>
      <c r="F92">
        <v>32</v>
      </c>
      <c r="G92" s="4">
        <v>44611</v>
      </c>
      <c r="H92">
        <v>41570</v>
      </c>
      <c r="I92" t="s">
        <v>14</v>
      </c>
    </row>
    <row r="93" spans="3:9">
      <c r="C93" t="s">
        <v>106</v>
      </c>
      <c r="D93" t="s">
        <v>16</v>
      </c>
      <c r="E93" t="s">
        <v>24</v>
      </c>
      <c r="F93">
        <v>33</v>
      </c>
      <c r="G93" s="4">
        <v>44312</v>
      </c>
      <c r="H93">
        <v>75280</v>
      </c>
      <c r="I93" t="s">
        <v>14</v>
      </c>
    </row>
    <row r="94" spans="3:9">
      <c r="C94" t="s">
        <v>107</v>
      </c>
      <c r="D94" t="s">
        <v>9</v>
      </c>
      <c r="E94" t="s">
        <v>10</v>
      </c>
      <c r="F94">
        <v>33</v>
      </c>
      <c r="G94" s="4">
        <v>44385</v>
      </c>
      <c r="H94">
        <v>74550</v>
      </c>
      <c r="I94" t="s">
        <v>14</v>
      </c>
    </row>
    <row r="95" spans="3:9">
      <c r="C95" t="s">
        <v>108</v>
      </c>
      <c r="D95" t="s">
        <v>9</v>
      </c>
      <c r="E95" t="s">
        <v>13</v>
      </c>
      <c r="F95">
        <v>30</v>
      </c>
      <c r="G95" s="4">
        <v>44701</v>
      </c>
      <c r="H95">
        <v>67950</v>
      </c>
      <c r="I95" t="s">
        <v>14</v>
      </c>
    </row>
    <row r="96" spans="3:9">
      <c r="C96" t="s">
        <v>109</v>
      </c>
      <c r="D96" t="s">
        <v>9</v>
      </c>
      <c r="E96" t="s">
        <v>18</v>
      </c>
      <c r="F96">
        <v>42</v>
      </c>
      <c r="G96" s="4">
        <v>44731</v>
      </c>
      <c r="H96">
        <v>70270</v>
      </c>
      <c r="I96" t="s">
        <v>19</v>
      </c>
    </row>
    <row r="97" spans="3:9">
      <c r="C97" t="s">
        <v>110</v>
      </c>
      <c r="D97" t="s">
        <v>9</v>
      </c>
      <c r="E97" t="s">
        <v>13</v>
      </c>
      <c r="F97">
        <v>26</v>
      </c>
      <c r="G97" s="4">
        <v>44411</v>
      </c>
      <c r="H97">
        <v>53540</v>
      </c>
      <c r="I97" t="s">
        <v>14</v>
      </c>
    </row>
    <row r="98" spans="3:9">
      <c r="C98" t="s">
        <v>8</v>
      </c>
      <c r="D98" t="s">
        <v>9</v>
      </c>
      <c r="E98" t="s">
        <v>10</v>
      </c>
      <c r="F98">
        <v>22</v>
      </c>
      <c r="G98">
        <v>44446</v>
      </c>
      <c r="H98">
        <v>112780</v>
      </c>
      <c r="I98" t="s">
        <v>11</v>
      </c>
    </row>
    <row r="99" spans="3:9">
      <c r="C99" t="s">
        <v>12</v>
      </c>
      <c r="D99" t="s">
        <v>9</v>
      </c>
      <c r="E99" t="s">
        <v>13</v>
      </c>
      <c r="F99">
        <v>46</v>
      </c>
      <c r="G99">
        <v>44758</v>
      </c>
      <c r="H99">
        <v>70610</v>
      </c>
      <c r="I99" t="s">
        <v>14</v>
      </c>
    </row>
    <row r="100" spans="3:9">
      <c r="C100" t="s">
        <v>15</v>
      </c>
      <c r="D100" t="s">
        <v>16</v>
      </c>
      <c r="E100" t="s">
        <v>10</v>
      </c>
      <c r="F100">
        <v>28</v>
      </c>
      <c r="G100">
        <v>44357</v>
      </c>
      <c r="H100">
        <v>53240</v>
      </c>
      <c r="I100" t="s">
        <v>14</v>
      </c>
    </row>
    <row r="101" spans="3:9">
      <c r="C101" t="s">
        <v>17</v>
      </c>
      <c r="E101" t="s">
        <v>18</v>
      </c>
      <c r="F101">
        <v>37</v>
      </c>
      <c r="G101">
        <v>44146</v>
      </c>
      <c r="H101">
        <v>115440</v>
      </c>
      <c r="I101" t="s">
        <v>19</v>
      </c>
    </row>
    <row r="102" spans="3:9">
      <c r="C102" t="s">
        <v>20</v>
      </c>
      <c r="D102" t="s">
        <v>9</v>
      </c>
      <c r="E102" t="s">
        <v>10</v>
      </c>
      <c r="F102">
        <v>32</v>
      </c>
      <c r="G102">
        <v>44465</v>
      </c>
      <c r="H102">
        <v>53540</v>
      </c>
      <c r="I102" t="s">
        <v>14</v>
      </c>
    </row>
    <row r="103" spans="3:9">
      <c r="C103" t="s">
        <v>21</v>
      </c>
      <c r="D103" t="s">
        <v>16</v>
      </c>
      <c r="E103" t="s">
        <v>13</v>
      </c>
      <c r="F103">
        <v>30</v>
      </c>
      <c r="G103">
        <v>44861</v>
      </c>
      <c r="H103">
        <v>112570</v>
      </c>
      <c r="I103" t="s">
        <v>14</v>
      </c>
    </row>
    <row r="104" spans="3:9">
      <c r="C104" t="s">
        <v>22</v>
      </c>
      <c r="D104" t="s">
        <v>9</v>
      </c>
      <c r="E104" t="s">
        <v>13</v>
      </c>
      <c r="F104">
        <v>33</v>
      </c>
      <c r="G104">
        <v>44701</v>
      </c>
      <c r="H104">
        <v>48530</v>
      </c>
      <c r="I104" t="s">
        <v>11</v>
      </c>
    </row>
    <row r="105" spans="3:9">
      <c r="C105" t="s">
        <v>23</v>
      </c>
      <c r="D105" t="s">
        <v>16</v>
      </c>
      <c r="E105" t="s">
        <v>24</v>
      </c>
      <c r="F105">
        <v>24</v>
      </c>
      <c r="G105">
        <v>44148</v>
      </c>
      <c r="H105">
        <v>62780</v>
      </c>
      <c r="I105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14"/>
  <sheetViews>
    <sheetView workbookViewId="0">
      <selection activeCell="B2" sqref="B2"/>
    </sheetView>
  </sheetViews>
  <sheetFormatPr defaultRowHeight="14.45"/>
  <cols>
    <col min="2" max="2" width="28.140625" bestFit="1" customWidth="1"/>
    <col min="3" max="3" width="9.28515625" bestFit="1" customWidth="1"/>
    <col min="4" max="4" width="6.140625" bestFit="1" customWidth="1"/>
    <col min="5" max="5" width="13.140625" bestFit="1" customWidth="1"/>
    <col min="6" max="6" width="12.85546875" bestFit="1" customWidth="1"/>
    <col min="7" max="7" width="13.42578125" bestFit="1" customWidth="1"/>
    <col min="8" max="8" width="8.140625" bestFit="1" customWidth="1"/>
  </cols>
  <sheetData>
    <row r="2" spans="2:8">
      <c r="B2" t="s">
        <v>1</v>
      </c>
      <c r="C2" t="s">
        <v>2</v>
      </c>
      <c r="D2" t="s">
        <v>4</v>
      </c>
      <c r="E2" t="s">
        <v>7</v>
      </c>
      <c r="F2" t="s">
        <v>5</v>
      </c>
      <c r="G2" t="s">
        <v>3</v>
      </c>
      <c r="H2" t="s">
        <v>6</v>
      </c>
    </row>
    <row r="3" spans="2:8">
      <c r="B3" t="s">
        <v>111</v>
      </c>
      <c r="C3" t="s">
        <v>9</v>
      </c>
      <c r="D3">
        <v>20</v>
      </c>
      <c r="E3" t="s">
        <v>14</v>
      </c>
      <c r="F3" s="4">
        <v>44122</v>
      </c>
      <c r="G3" t="s">
        <v>24</v>
      </c>
      <c r="H3">
        <v>112650</v>
      </c>
    </row>
    <row r="4" spans="2:8">
      <c r="B4" t="s">
        <v>112</v>
      </c>
      <c r="C4" t="s">
        <v>16</v>
      </c>
      <c r="D4">
        <v>32</v>
      </c>
      <c r="E4" t="s">
        <v>11</v>
      </c>
      <c r="F4" s="4">
        <v>44293</v>
      </c>
      <c r="G4" t="s">
        <v>24</v>
      </c>
      <c r="H4">
        <v>43840</v>
      </c>
    </row>
    <row r="5" spans="2:8">
      <c r="B5" t="s">
        <v>113</v>
      </c>
      <c r="C5" t="s">
        <v>9</v>
      </c>
      <c r="D5">
        <v>31</v>
      </c>
      <c r="E5" t="s">
        <v>14</v>
      </c>
      <c r="F5" s="4">
        <v>44663</v>
      </c>
      <c r="G5" t="s">
        <v>13</v>
      </c>
      <c r="H5">
        <v>103550</v>
      </c>
    </row>
    <row r="6" spans="2:8">
      <c r="B6" t="s">
        <v>114</v>
      </c>
      <c r="C6" t="s">
        <v>16</v>
      </c>
      <c r="D6">
        <v>32</v>
      </c>
      <c r="E6" t="s">
        <v>14</v>
      </c>
      <c r="F6" s="4">
        <v>44339</v>
      </c>
      <c r="G6" t="s">
        <v>27</v>
      </c>
      <c r="H6">
        <v>45510</v>
      </c>
    </row>
    <row r="7" spans="2:8">
      <c r="B7" t="s">
        <v>115</v>
      </c>
      <c r="D7">
        <v>37</v>
      </c>
      <c r="E7" t="s">
        <v>19</v>
      </c>
      <c r="F7" s="4">
        <v>44085</v>
      </c>
      <c r="G7" t="s">
        <v>18</v>
      </c>
      <c r="H7">
        <v>115440</v>
      </c>
    </row>
    <row r="8" spans="2:8">
      <c r="B8" t="s">
        <v>116</v>
      </c>
      <c r="C8" t="s">
        <v>16</v>
      </c>
      <c r="D8">
        <v>38</v>
      </c>
      <c r="E8" t="s">
        <v>11</v>
      </c>
      <c r="F8" s="4">
        <v>44268</v>
      </c>
      <c r="G8" t="s">
        <v>10</v>
      </c>
      <c r="H8">
        <v>56870</v>
      </c>
    </row>
    <row r="9" spans="2:8">
      <c r="B9" t="s">
        <v>117</v>
      </c>
      <c r="C9" t="s">
        <v>16</v>
      </c>
      <c r="D9">
        <v>25</v>
      </c>
      <c r="E9" t="s">
        <v>14</v>
      </c>
      <c r="F9" s="4">
        <v>44144</v>
      </c>
      <c r="G9" t="s">
        <v>10</v>
      </c>
      <c r="H9">
        <v>92700</v>
      </c>
    </row>
    <row r="10" spans="2:8">
      <c r="B10" t="s">
        <v>118</v>
      </c>
      <c r="D10">
        <v>32</v>
      </c>
      <c r="E10" t="s">
        <v>14</v>
      </c>
      <c r="F10" s="4">
        <v>44713</v>
      </c>
      <c r="G10" t="s">
        <v>24</v>
      </c>
      <c r="H10">
        <v>91310</v>
      </c>
    </row>
    <row r="11" spans="2:8">
      <c r="B11" t="s">
        <v>119</v>
      </c>
      <c r="C11" t="s">
        <v>9</v>
      </c>
      <c r="D11">
        <v>33</v>
      </c>
      <c r="E11" t="s">
        <v>14</v>
      </c>
      <c r="F11" s="4">
        <v>44324</v>
      </c>
      <c r="G11" t="s">
        <v>10</v>
      </c>
      <c r="H11">
        <v>74550</v>
      </c>
    </row>
    <row r="12" spans="2:8">
      <c r="B12" t="s">
        <v>120</v>
      </c>
      <c r="C12" t="s">
        <v>9</v>
      </c>
      <c r="D12">
        <v>25</v>
      </c>
      <c r="E12" t="s">
        <v>11</v>
      </c>
      <c r="F12" s="4">
        <v>44665</v>
      </c>
      <c r="G12" t="s">
        <v>13</v>
      </c>
      <c r="H12">
        <v>109190</v>
      </c>
    </row>
    <row r="13" spans="2:8">
      <c r="B13" t="s">
        <v>121</v>
      </c>
      <c r="C13" t="s">
        <v>16</v>
      </c>
      <c r="D13">
        <v>40</v>
      </c>
      <c r="E13" t="s">
        <v>14</v>
      </c>
      <c r="F13" s="4">
        <v>44320</v>
      </c>
      <c r="G13" t="s">
        <v>24</v>
      </c>
      <c r="H13">
        <v>104410</v>
      </c>
    </row>
    <row r="14" spans="2:8">
      <c r="B14" t="s">
        <v>122</v>
      </c>
      <c r="C14" t="s">
        <v>9</v>
      </c>
      <c r="D14">
        <v>30</v>
      </c>
      <c r="E14" t="s">
        <v>14</v>
      </c>
      <c r="F14" s="4">
        <v>44544</v>
      </c>
      <c r="G14" t="s">
        <v>18</v>
      </c>
      <c r="H14">
        <v>96800</v>
      </c>
    </row>
    <row r="15" spans="2:8">
      <c r="B15" t="s">
        <v>123</v>
      </c>
      <c r="C15" t="s">
        <v>9</v>
      </c>
      <c r="D15">
        <v>28</v>
      </c>
      <c r="E15" t="s">
        <v>11</v>
      </c>
      <c r="F15" s="4">
        <v>43980</v>
      </c>
      <c r="G15" t="s">
        <v>18</v>
      </c>
      <c r="H15">
        <v>48170</v>
      </c>
    </row>
    <row r="16" spans="2:8">
      <c r="B16" t="s">
        <v>124</v>
      </c>
      <c r="C16" t="s">
        <v>9</v>
      </c>
      <c r="D16">
        <v>21</v>
      </c>
      <c r="E16" t="s">
        <v>14</v>
      </c>
      <c r="F16" s="4">
        <v>44042</v>
      </c>
      <c r="G16" t="s">
        <v>13</v>
      </c>
      <c r="H16">
        <v>37920</v>
      </c>
    </row>
    <row r="17" spans="2:8">
      <c r="B17" t="s">
        <v>125</v>
      </c>
      <c r="C17" t="s">
        <v>9</v>
      </c>
      <c r="D17">
        <v>34</v>
      </c>
      <c r="E17" t="s">
        <v>14</v>
      </c>
      <c r="F17" s="4">
        <v>44642</v>
      </c>
      <c r="G17" t="s">
        <v>13</v>
      </c>
      <c r="H17">
        <v>112650</v>
      </c>
    </row>
    <row r="18" spans="2:8">
      <c r="B18" t="s">
        <v>126</v>
      </c>
      <c r="C18" t="s">
        <v>16</v>
      </c>
      <c r="D18">
        <v>34</v>
      </c>
      <c r="E18" t="s">
        <v>19</v>
      </c>
      <c r="F18" s="4">
        <v>44660</v>
      </c>
      <c r="G18" t="s">
        <v>10</v>
      </c>
      <c r="H18">
        <v>49630</v>
      </c>
    </row>
    <row r="19" spans="2:8">
      <c r="B19" t="s">
        <v>127</v>
      </c>
      <c r="C19" t="s">
        <v>9</v>
      </c>
      <c r="D19">
        <v>36</v>
      </c>
      <c r="E19" t="s">
        <v>14</v>
      </c>
      <c r="F19" s="4">
        <v>43958</v>
      </c>
      <c r="G19" t="s">
        <v>24</v>
      </c>
      <c r="H19">
        <v>118840</v>
      </c>
    </row>
    <row r="20" spans="2:8">
      <c r="B20" t="s">
        <v>128</v>
      </c>
      <c r="C20" t="s">
        <v>9</v>
      </c>
      <c r="D20">
        <v>30</v>
      </c>
      <c r="E20" t="s">
        <v>14</v>
      </c>
      <c r="F20" s="4">
        <v>44789</v>
      </c>
      <c r="G20" t="s">
        <v>24</v>
      </c>
      <c r="H20">
        <v>69710</v>
      </c>
    </row>
    <row r="21" spans="2:8">
      <c r="B21" t="s">
        <v>129</v>
      </c>
      <c r="C21" t="s">
        <v>9</v>
      </c>
      <c r="D21">
        <v>20</v>
      </c>
      <c r="E21" t="s">
        <v>14</v>
      </c>
      <c r="F21" s="4">
        <v>44683</v>
      </c>
      <c r="G21" t="s">
        <v>13</v>
      </c>
      <c r="H21">
        <v>79570</v>
      </c>
    </row>
    <row r="22" spans="2:8">
      <c r="B22" t="s">
        <v>130</v>
      </c>
      <c r="C22" t="s">
        <v>16</v>
      </c>
      <c r="D22">
        <v>22</v>
      </c>
      <c r="E22" t="s">
        <v>11</v>
      </c>
      <c r="F22" s="4">
        <v>44388</v>
      </c>
      <c r="G22" t="s">
        <v>13</v>
      </c>
      <c r="H22">
        <v>76900</v>
      </c>
    </row>
    <row r="23" spans="2:8">
      <c r="B23" t="s">
        <v>131</v>
      </c>
      <c r="C23" t="s">
        <v>9</v>
      </c>
      <c r="D23">
        <v>27</v>
      </c>
      <c r="E23" t="s">
        <v>14</v>
      </c>
      <c r="F23" s="4">
        <v>44073</v>
      </c>
      <c r="G23" t="s">
        <v>10</v>
      </c>
      <c r="H23">
        <v>54970</v>
      </c>
    </row>
    <row r="24" spans="2:8">
      <c r="B24" t="s">
        <v>132</v>
      </c>
      <c r="C24" t="s">
        <v>9</v>
      </c>
      <c r="D24">
        <v>37</v>
      </c>
      <c r="E24" t="s">
        <v>19</v>
      </c>
      <c r="F24" s="4">
        <v>44277</v>
      </c>
      <c r="G24" t="s">
        <v>24</v>
      </c>
      <c r="H24">
        <v>88050</v>
      </c>
    </row>
    <row r="25" spans="2:8">
      <c r="B25" t="s">
        <v>133</v>
      </c>
      <c r="C25" t="s">
        <v>9</v>
      </c>
      <c r="D25">
        <v>43</v>
      </c>
      <c r="E25" t="s">
        <v>14</v>
      </c>
      <c r="F25" s="4">
        <v>44558</v>
      </c>
      <c r="G25" t="s">
        <v>10</v>
      </c>
      <c r="H25">
        <v>36040</v>
      </c>
    </row>
    <row r="26" spans="2:8">
      <c r="B26" t="s">
        <v>134</v>
      </c>
      <c r="C26" t="s">
        <v>16</v>
      </c>
      <c r="D26">
        <v>42</v>
      </c>
      <c r="E26" t="s">
        <v>44</v>
      </c>
      <c r="F26" s="4">
        <v>44718</v>
      </c>
      <c r="G26" t="s">
        <v>13</v>
      </c>
      <c r="H26">
        <v>75000</v>
      </c>
    </row>
    <row r="27" spans="2:8">
      <c r="B27" t="s">
        <v>135</v>
      </c>
      <c r="C27" t="s">
        <v>9</v>
      </c>
      <c r="D27">
        <v>35</v>
      </c>
      <c r="E27" t="s">
        <v>14</v>
      </c>
      <c r="F27" s="4">
        <v>44666</v>
      </c>
      <c r="G27" t="s">
        <v>13</v>
      </c>
      <c r="H27">
        <v>40400</v>
      </c>
    </row>
    <row r="28" spans="2:8">
      <c r="B28" t="s">
        <v>136</v>
      </c>
      <c r="C28" t="s">
        <v>9</v>
      </c>
      <c r="D28">
        <v>24</v>
      </c>
      <c r="E28" t="s">
        <v>14</v>
      </c>
      <c r="F28" s="4">
        <v>44625</v>
      </c>
      <c r="G28" t="s">
        <v>24</v>
      </c>
      <c r="H28">
        <v>100420</v>
      </c>
    </row>
    <row r="29" spans="2:8">
      <c r="B29" t="s">
        <v>137</v>
      </c>
      <c r="C29" t="s">
        <v>16</v>
      </c>
      <c r="D29">
        <v>31</v>
      </c>
      <c r="E29" t="s">
        <v>14</v>
      </c>
      <c r="F29" s="4">
        <v>44604</v>
      </c>
      <c r="G29" t="s">
        <v>24</v>
      </c>
      <c r="H29">
        <v>58100</v>
      </c>
    </row>
    <row r="30" spans="2:8">
      <c r="B30" t="s">
        <v>138</v>
      </c>
      <c r="C30" t="s">
        <v>16</v>
      </c>
      <c r="D30">
        <v>44</v>
      </c>
      <c r="E30" t="s">
        <v>14</v>
      </c>
      <c r="F30" s="4">
        <v>44985</v>
      </c>
      <c r="G30" t="s">
        <v>24</v>
      </c>
      <c r="H30">
        <v>114870</v>
      </c>
    </row>
    <row r="31" spans="2:8">
      <c r="B31" t="s">
        <v>139</v>
      </c>
      <c r="C31" t="s">
        <v>16</v>
      </c>
      <c r="D31">
        <v>32</v>
      </c>
      <c r="E31" t="s">
        <v>14</v>
      </c>
      <c r="F31" s="4">
        <v>44549</v>
      </c>
      <c r="G31" t="s">
        <v>13</v>
      </c>
      <c r="H31">
        <v>41570</v>
      </c>
    </row>
    <row r="32" spans="2:8">
      <c r="B32" t="s">
        <v>140</v>
      </c>
      <c r="C32" t="s">
        <v>16</v>
      </c>
      <c r="D32">
        <v>30</v>
      </c>
      <c r="E32" t="s">
        <v>14</v>
      </c>
      <c r="F32" s="4">
        <v>44800</v>
      </c>
      <c r="G32" t="s">
        <v>13</v>
      </c>
      <c r="H32">
        <v>112570</v>
      </c>
    </row>
    <row r="33" spans="2:8">
      <c r="B33" t="s">
        <v>141</v>
      </c>
      <c r="C33" t="s">
        <v>9</v>
      </c>
      <c r="D33">
        <v>26</v>
      </c>
      <c r="E33" t="s">
        <v>14</v>
      </c>
      <c r="F33" s="4">
        <v>44164</v>
      </c>
      <c r="G33" t="s">
        <v>13</v>
      </c>
      <c r="H33">
        <v>47360</v>
      </c>
    </row>
    <row r="34" spans="2:8">
      <c r="B34" t="s">
        <v>142</v>
      </c>
      <c r="C34" t="s">
        <v>16</v>
      </c>
      <c r="D34">
        <v>21</v>
      </c>
      <c r="E34" t="s">
        <v>14</v>
      </c>
      <c r="F34" s="4">
        <v>44256</v>
      </c>
      <c r="G34" t="s">
        <v>18</v>
      </c>
      <c r="H34">
        <v>65920</v>
      </c>
    </row>
    <row r="35" spans="2:8">
      <c r="B35" t="s">
        <v>143</v>
      </c>
      <c r="C35" t="s">
        <v>16</v>
      </c>
      <c r="D35">
        <v>28</v>
      </c>
      <c r="E35" t="s">
        <v>14</v>
      </c>
      <c r="F35" s="4">
        <v>44571</v>
      </c>
      <c r="G35" t="s">
        <v>13</v>
      </c>
      <c r="H35">
        <v>99970</v>
      </c>
    </row>
    <row r="36" spans="2:8">
      <c r="B36" t="s">
        <v>144</v>
      </c>
      <c r="C36" t="s">
        <v>16</v>
      </c>
      <c r="D36">
        <v>25</v>
      </c>
      <c r="E36" t="s">
        <v>11</v>
      </c>
      <c r="F36" s="4">
        <v>44633</v>
      </c>
      <c r="G36" t="s">
        <v>24</v>
      </c>
      <c r="H36">
        <v>80700</v>
      </c>
    </row>
    <row r="37" spans="2:8">
      <c r="B37" t="s">
        <v>145</v>
      </c>
      <c r="C37" t="s">
        <v>9</v>
      </c>
      <c r="D37">
        <v>24</v>
      </c>
      <c r="E37" t="s">
        <v>19</v>
      </c>
      <c r="F37" s="4">
        <v>44375</v>
      </c>
      <c r="G37" t="s">
        <v>18</v>
      </c>
      <c r="H37">
        <v>52610</v>
      </c>
    </row>
    <row r="38" spans="2:8">
      <c r="B38" t="s">
        <v>146</v>
      </c>
      <c r="C38" t="s">
        <v>9</v>
      </c>
      <c r="D38">
        <v>29</v>
      </c>
      <c r="E38" t="s">
        <v>19</v>
      </c>
      <c r="F38" s="4">
        <v>44119</v>
      </c>
      <c r="G38" t="s">
        <v>24</v>
      </c>
      <c r="H38">
        <v>112110</v>
      </c>
    </row>
    <row r="39" spans="2:8">
      <c r="B39" t="s">
        <v>147</v>
      </c>
      <c r="C39" t="s">
        <v>16</v>
      </c>
      <c r="D39">
        <v>27</v>
      </c>
      <c r="E39" t="s">
        <v>14</v>
      </c>
      <c r="F39" s="4">
        <v>44061</v>
      </c>
      <c r="G39" t="s">
        <v>27</v>
      </c>
      <c r="H39">
        <v>119110</v>
      </c>
    </row>
    <row r="40" spans="2:8">
      <c r="B40" t="s">
        <v>148</v>
      </c>
      <c r="C40" t="s">
        <v>9</v>
      </c>
      <c r="D40">
        <v>22</v>
      </c>
      <c r="E40" t="s">
        <v>11</v>
      </c>
      <c r="F40" s="4">
        <v>44384</v>
      </c>
      <c r="G40" t="s">
        <v>10</v>
      </c>
      <c r="H40">
        <v>112780</v>
      </c>
    </row>
    <row r="41" spans="2:8">
      <c r="B41" t="s">
        <v>149</v>
      </c>
      <c r="C41" t="s">
        <v>16</v>
      </c>
      <c r="D41">
        <v>36</v>
      </c>
      <c r="E41" t="s">
        <v>14</v>
      </c>
      <c r="F41" s="4">
        <v>44023</v>
      </c>
      <c r="G41" t="s">
        <v>13</v>
      </c>
      <c r="H41">
        <v>114890</v>
      </c>
    </row>
    <row r="42" spans="2:8">
      <c r="B42" t="s">
        <v>150</v>
      </c>
      <c r="C42" t="s">
        <v>9</v>
      </c>
      <c r="D42">
        <v>27</v>
      </c>
      <c r="E42" t="s">
        <v>14</v>
      </c>
      <c r="F42" s="4">
        <v>44506</v>
      </c>
      <c r="G42" t="s">
        <v>18</v>
      </c>
      <c r="H42">
        <v>48980</v>
      </c>
    </row>
    <row r="43" spans="2:8">
      <c r="B43" t="s">
        <v>151</v>
      </c>
      <c r="C43" t="s">
        <v>9</v>
      </c>
      <c r="D43">
        <v>21</v>
      </c>
      <c r="E43" t="s">
        <v>14</v>
      </c>
      <c r="F43" s="4">
        <v>44180</v>
      </c>
      <c r="G43" t="s">
        <v>27</v>
      </c>
      <c r="H43">
        <v>75880</v>
      </c>
    </row>
    <row r="44" spans="2:8">
      <c r="B44" t="s">
        <v>152</v>
      </c>
      <c r="C44" t="s">
        <v>16</v>
      </c>
      <c r="D44">
        <v>28</v>
      </c>
      <c r="E44" t="s">
        <v>14</v>
      </c>
      <c r="F44" s="4">
        <v>44296</v>
      </c>
      <c r="G44" t="s">
        <v>10</v>
      </c>
      <c r="H44">
        <v>53240</v>
      </c>
    </row>
    <row r="45" spans="2:8">
      <c r="B45" t="s">
        <v>153</v>
      </c>
      <c r="C45" t="s">
        <v>16</v>
      </c>
      <c r="D45">
        <v>34</v>
      </c>
      <c r="E45" t="s">
        <v>14</v>
      </c>
      <c r="F45" s="4">
        <v>44397</v>
      </c>
      <c r="G45" t="s">
        <v>18</v>
      </c>
      <c r="H45">
        <v>85000</v>
      </c>
    </row>
    <row r="46" spans="2:8">
      <c r="B46" t="s">
        <v>154</v>
      </c>
      <c r="C46" t="s">
        <v>16</v>
      </c>
      <c r="D46">
        <v>21</v>
      </c>
      <c r="E46" t="s">
        <v>14</v>
      </c>
      <c r="F46" s="4">
        <v>44619</v>
      </c>
      <c r="G46" t="s">
        <v>24</v>
      </c>
      <c r="H46">
        <v>33920</v>
      </c>
    </row>
    <row r="47" spans="2:8">
      <c r="B47" t="s">
        <v>155</v>
      </c>
      <c r="C47" t="s">
        <v>16</v>
      </c>
      <c r="D47">
        <v>33</v>
      </c>
      <c r="E47" t="s">
        <v>14</v>
      </c>
      <c r="F47" s="4">
        <v>44253</v>
      </c>
      <c r="G47" t="s">
        <v>24</v>
      </c>
      <c r="H47">
        <v>75280</v>
      </c>
    </row>
    <row r="48" spans="2:8">
      <c r="B48" t="s">
        <v>156</v>
      </c>
      <c r="C48" t="s">
        <v>16</v>
      </c>
      <c r="D48">
        <v>34</v>
      </c>
      <c r="E48" t="s">
        <v>14</v>
      </c>
      <c r="F48" s="4">
        <v>44594</v>
      </c>
      <c r="G48" t="s">
        <v>18</v>
      </c>
      <c r="H48">
        <v>58940</v>
      </c>
    </row>
    <row r="49" spans="2:8">
      <c r="B49" t="s">
        <v>157</v>
      </c>
      <c r="C49" t="s">
        <v>16</v>
      </c>
      <c r="D49">
        <v>28</v>
      </c>
      <c r="E49" t="s">
        <v>14</v>
      </c>
      <c r="F49" s="4">
        <v>44425</v>
      </c>
      <c r="G49" t="s">
        <v>13</v>
      </c>
      <c r="H49">
        <v>104770</v>
      </c>
    </row>
    <row r="50" spans="2:8">
      <c r="B50" t="s">
        <v>158</v>
      </c>
      <c r="C50" t="s">
        <v>9</v>
      </c>
      <c r="D50">
        <v>21</v>
      </c>
      <c r="E50" t="s">
        <v>14</v>
      </c>
      <c r="F50" s="4">
        <v>44701</v>
      </c>
      <c r="G50" t="s">
        <v>13</v>
      </c>
      <c r="H50">
        <v>57090</v>
      </c>
    </row>
    <row r="51" spans="2:8">
      <c r="B51" t="s">
        <v>159</v>
      </c>
      <c r="C51" t="s">
        <v>9</v>
      </c>
      <c r="D51">
        <v>27</v>
      </c>
      <c r="E51" t="s">
        <v>11</v>
      </c>
      <c r="F51" s="4">
        <v>44174</v>
      </c>
      <c r="G51" t="s">
        <v>18</v>
      </c>
      <c r="H51">
        <v>91650</v>
      </c>
    </row>
    <row r="52" spans="2:8">
      <c r="B52" t="s">
        <v>160</v>
      </c>
      <c r="C52" t="s">
        <v>9</v>
      </c>
      <c r="D52">
        <v>42</v>
      </c>
      <c r="E52" t="s">
        <v>19</v>
      </c>
      <c r="F52" s="4">
        <v>44670</v>
      </c>
      <c r="G52" t="s">
        <v>18</v>
      </c>
      <c r="H52">
        <v>70270</v>
      </c>
    </row>
    <row r="53" spans="2:8">
      <c r="B53" t="s">
        <v>161</v>
      </c>
      <c r="C53" t="s">
        <v>16</v>
      </c>
      <c r="D53">
        <v>28</v>
      </c>
      <c r="E53" t="s">
        <v>14</v>
      </c>
      <c r="F53" s="4">
        <v>44124</v>
      </c>
      <c r="G53" t="s">
        <v>18</v>
      </c>
      <c r="H53">
        <v>75970</v>
      </c>
    </row>
    <row r="54" spans="2:8">
      <c r="B54" t="s">
        <v>162</v>
      </c>
      <c r="D54">
        <v>27</v>
      </c>
      <c r="E54" t="s">
        <v>11</v>
      </c>
      <c r="F54" s="4">
        <v>44212</v>
      </c>
      <c r="G54" t="s">
        <v>24</v>
      </c>
      <c r="H54">
        <v>90700</v>
      </c>
    </row>
    <row r="55" spans="2:8">
      <c r="B55" t="s">
        <v>163</v>
      </c>
      <c r="C55" t="s">
        <v>9</v>
      </c>
      <c r="D55">
        <v>30</v>
      </c>
      <c r="E55" t="s">
        <v>14</v>
      </c>
      <c r="F55" s="4">
        <v>44607</v>
      </c>
      <c r="G55" t="s">
        <v>13</v>
      </c>
      <c r="H55">
        <v>60570</v>
      </c>
    </row>
    <row r="56" spans="2:8">
      <c r="B56" t="s">
        <v>164</v>
      </c>
      <c r="C56" t="s">
        <v>9</v>
      </c>
      <c r="D56">
        <v>33</v>
      </c>
      <c r="E56" t="s">
        <v>14</v>
      </c>
      <c r="F56" s="4">
        <v>44103</v>
      </c>
      <c r="G56" t="s">
        <v>13</v>
      </c>
      <c r="H56">
        <v>115920</v>
      </c>
    </row>
    <row r="57" spans="2:8">
      <c r="B57" t="s">
        <v>165</v>
      </c>
      <c r="C57" t="s">
        <v>16</v>
      </c>
      <c r="D57">
        <v>33</v>
      </c>
      <c r="E57" t="s">
        <v>14</v>
      </c>
      <c r="F57" s="4">
        <v>44006</v>
      </c>
      <c r="G57" t="s">
        <v>18</v>
      </c>
      <c r="H57">
        <v>65360</v>
      </c>
    </row>
    <row r="58" spans="2:8">
      <c r="B58" t="s">
        <v>166</v>
      </c>
      <c r="D58">
        <v>30</v>
      </c>
      <c r="E58" t="s">
        <v>14</v>
      </c>
      <c r="F58" s="4">
        <v>44535</v>
      </c>
      <c r="G58" t="s">
        <v>18</v>
      </c>
      <c r="H58">
        <v>64000</v>
      </c>
    </row>
    <row r="59" spans="2:8">
      <c r="B59" t="s">
        <v>167</v>
      </c>
      <c r="C59" t="s">
        <v>16</v>
      </c>
      <c r="D59">
        <v>34</v>
      </c>
      <c r="E59" t="s">
        <v>14</v>
      </c>
      <c r="F59" s="4">
        <v>44383</v>
      </c>
      <c r="G59" t="s">
        <v>18</v>
      </c>
      <c r="H59">
        <v>92450</v>
      </c>
    </row>
    <row r="60" spans="2:8">
      <c r="B60" t="s">
        <v>168</v>
      </c>
      <c r="C60" t="s">
        <v>9</v>
      </c>
      <c r="D60">
        <v>31</v>
      </c>
      <c r="E60" t="s">
        <v>14</v>
      </c>
      <c r="F60" s="4">
        <v>44450</v>
      </c>
      <c r="G60" t="s">
        <v>24</v>
      </c>
      <c r="H60">
        <v>48950</v>
      </c>
    </row>
    <row r="61" spans="2:8">
      <c r="B61" t="s">
        <v>169</v>
      </c>
      <c r="C61" t="s">
        <v>16</v>
      </c>
      <c r="D61">
        <v>27</v>
      </c>
      <c r="E61" t="s">
        <v>14</v>
      </c>
      <c r="F61" s="4">
        <v>44625</v>
      </c>
      <c r="G61" t="s">
        <v>24</v>
      </c>
      <c r="H61">
        <v>83750</v>
      </c>
    </row>
    <row r="62" spans="2:8">
      <c r="B62" t="s">
        <v>170</v>
      </c>
      <c r="C62" t="s">
        <v>16</v>
      </c>
      <c r="D62">
        <v>40</v>
      </c>
      <c r="E62" t="s">
        <v>14</v>
      </c>
      <c r="F62" s="4">
        <v>44276</v>
      </c>
      <c r="G62" t="s">
        <v>24</v>
      </c>
      <c r="H62">
        <v>87620</v>
      </c>
    </row>
    <row r="63" spans="2:8">
      <c r="B63" t="s">
        <v>171</v>
      </c>
      <c r="C63" t="s">
        <v>16</v>
      </c>
      <c r="D63">
        <v>20</v>
      </c>
      <c r="E63" t="s">
        <v>19</v>
      </c>
      <c r="F63" s="4">
        <v>44476</v>
      </c>
      <c r="G63" t="s">
        <v>10</v>
      </c>
      <c r="H63">
        <v>68900</v>
      </c>
    </row>
    <row r="64" spans="2:8">
      <c r="B64" t="s">
        <v>172</v>
      </c>
      <c r="C64" t="s">
        <v>9</v>
      </c>
      <c r="D64">
        <v>32</v>
      </c>
      <c r="E64" t="s">
        <v>14</v>
      </c>
      <c r="F64" s="4">
        <v>44403</v>
      </c>
      <c r="G64" t="s">
        <v>10</v>
      </c>
      <c r="H64">
        <v>53540</v>
      </c>
    </row>
    <row r="65" spans="2:8">
      <c r="B65" t="s">
        <v>173</v>
      </c>
      <c r="C65" t="s">
        <v>9</v>
      </c>
      <c r="D65">
        <v>28</v>
      </c>
      <c r="E65" t="s">
        <v>50</v>
      </c>
      <c r="F65" s="4">
        <v>44758</v>
      </c>
      <c r="G65" t="s">
        <v>10</v>
      </c>
      <c r="H65">
        <v>43510</v>
      </c>
    </row>
    <row r="66" spans="2:8">
      <c r="B66" t="s">
        <v>174</v>
      </c>
      <c r="C66" t="s">
        <v>16</v>
      </c>
      <c r="D66">
        <v>38</v>
      </c>
      <c r="E66" t="s">
        <v>44</v>
      </c>
      <c r="F66" s="4">
        <v>44316</v>
      </c>
      <c r="G66" t="s">
        <v>10</v>
      </c>
      <c r="H66">
        <v>109160</v>
      </c>
    </row>
    <row r="67" spans="2:8">
      <c r="B67" t="s">
        <v>175</v>
      </c>
      <c r="C67" t="s">
        <v>9</v>
      </c>
      <c r="D67">
        <v>40</v>
      </c>
      <c r="E67" t="s">
        <v>14</v>
      </c>
      <c r="F67" s="4">
        <v>44204</v>
      </c>
      <c r="G67" t="s">
        <v>13</v>
      </c>
      <c r="H67">
        <v>99750</v>
      </c>
    </row>
    <row r="68" spans="2:8">
      <c r="B68" t="s">
        <v>176</v>
      </c>
      <c r="C68" t="s">
        <v>16</v>
      </c>
      <c r="D68">
        <v>31</v>
      </c>
      <c r="E68" t="s">
        <v>14</v>
      </c>
      <c r="F68" s="4">
        <v>44084</v>
      </c>
      <c r="G68" t="s">
        <v>24</v>
      </c>
      <c r="H68">
        <v>41980</v>
      </c>
    </row>
    <row r="69" spans="2:8">
      <c r="B69" t="s">
        <v>177</v>
      </c>
      <c r="C69" t="s">
        <v>9</v>
      </c>
      <c r="D69">
        <v>36</v>
      </c>
      <c r="E69" t="s">
        <v>14</v>
      </c>
      <c r="F69" s="4">
        <v>44272</v>
      </c>
      <c r="G69" t="s">
        <v>18</v>
      </c>
      <c r="H69">
        <v>71380</v>
      </c>
    </row>
    <row r="70" spans="2:8">
      <c r="B70" t="s">
        <v>178</v>
      </c>
      <c r="C70" t="s">
        <v>9</v>
      </c>
      <c r="D70">
        <v>27</v>
      </c>
      <c r="E70" t="s">
        <v>50</v>
      </c>
      <c r="F70" s="4">
        <v>44547</v>
      </c>
      <c r="G70" t="s">
        <v>13</v>
      </c>
      <c r="H70">
        <v>113280</v>
      </c>
    </row>
    <row r="71" spans="2:8">
      <c r="B71" t="s">
        <v>179</v>
      </c>
      <c r="C71" t="s">
        <v>16</v>
      </c>
      <c r="D71">
        <v>33</v>
      </c>
      <c r="E71" t="s">
        <v>14</v>
      </c>
      <c r="F71" s="4">
        <v>44747</v>
      </c>
      <c r="G71" t="s">
        <v>18</v>
      </c>
      <c r="H71">
        <v>86570</v>
      </c>
    </row>
    <row r="72" spans="2:8">
      <c r="B72" t="s">
        <v>180</v>
      </c>
      <c r="C72" t="s">
        <v>9</v>
      </c>
      <c r="D72">
        <v>26</v>
      </c>
      <c r="E72" t="s">
        <v>14</v>
      </c>
      <c r="F72" s="4">
        <v>44350</v>
      </c>
      <c r="G72" t="s">
        <v>13</v>
      </c>
      <c r="H72">
        <v>53540</v>
      </c>
    </row>
    <row r="73" spans="2:8">
      <c r="B73" t="s">
        <v>181</v>
      </c>
      <c r="C73" t="s">
        <v>9</v>
      </c>
      <c r="D73">
        <v>37</v>
      </c>
      <c r="E73" t="s">
        <v>14</v>
      </c>
      <c r="F73" s="4">
        <v>44640</v>
      </c>
      <c r="G73" t="s">
        <v>24</v>
      </c>
      <c r="H73">
        <v>69070</v>
      </c>
    </row>
    <row r="74" spans="2:8">
      <c r="B74" t="s">
        <v>182</v>
      </c>
      <c r="C74" t="s">
        <v>16</v>
      </c>
      <c r="D74">
        <v>30</v>
      </c>
      <c r="E74" t="s">
        <v>19</v>
      </c>
      <c r="F74" s="4">
        <v>44328</v>
      </c>
      <c r="G74" t="s">
        <v>18</v>
      </c>
      <c r="H74">
        <v>67910</v>
      </c>
    </row>
    <row r="75" spans="2:8">
      <c r="B75" t="s">
        <v>183</v>
      </c>
      <c r="C75" t="s">
        <v>9</v>
      </c>
      <c r="D75">
        <v>30</v>
      </c>
      <c r="E75" t="s">
        <v>14</v>
      </c>
      <c r="F75" s="4">
        <v>44214</v>
      </c>
      <c r="G75" t="s">
        <v>24</v>
      </c>
      <c r="H75">
        <v>69120</v>
      </c>
    </row>
    <row r="76" spans="2:8">
      <c r="B76" t="s">
        <v>184</v>
      </c>
      <c r="C76" t="s">
        <v>16</v>
      </c>
      <c r="D76">
        <v>34</v>
      </c>
      <c r="E76" t="s">
        <v>14</v>
      </c>
      <c r="F76" s="4">
        <v>44550</v>
      </c>
      <c r="G76" t="s">
        <v>18</v>
      </c>
      <c r="H76">
        <v>60130</v>
      </c>
    </row>
    <row r="77" spans="2:8">
      <c r="B77" t="s">
        <v>185</v>
      </c>
      <c r="C77" t="s">
        <v>9</v>
      </c>
      <c r="D77">
        <v>23</v>
      </c>
      <c r="E77" t="s">
        <v>14</v>
      </c>
      <c r="F77" s="4">
        <v>44378</v>
      </c>
      <c r="G77" t="s">
        <v>13</v>
      </c>
      <c r="H77">
        <v>106460</v>
      </c>
    </row>
    <row r="78" spans="2:8">
      <c r="B78" t="s">
        <v>186</v>
      </c>
      <c r="C78" t="s">
        <v>16</v>
      </c>
      <c r="D78">
        <v>37</v>
      </c>
      <c r="E78" t="s">
        <v>14</v>
      </c>
      <c r="F78" s="4">
        <v>44389</v>
      </c>
      <c r="G78" t="s">
        <v>27</v>
      </c>
      <c r="H78">
        <v>118100</v>
      </c>
    </row>
    <row r="79" spans="2:8">
      <c r="B79" t="s">
        <v>187</v>
      </c>
      <c r="C79" t="s">
        <v>16</v>
      </c>
      <c r="D79">
        <v>36</v>
      </c>
      <c r="E79" t="s">
        <v>14</v>
      </c>
      <c r="F79" s="4">
        <v>44468</v>
      </c>
      <c r="G79" t="s">
        <v>13</v>
      </c>
      <c r="H79">
        <v>78390</v>
      </c>
    </row>
    <row r="80" spans="2:8">
      <c r="B80" t="s">
        <v>188</v>
      </c>
      <c r="C80" t="s">
        <v>16</v>
      </c>
      <c r="D80">
        <v>30</v>
      </c>
      <c r="E80" t="s">
        <v>14</v>
      </c>
      <c r="F80" s="4">
        <v>44789</v>
      </c>
      <c r="G80" t="s">
        <v>13</v>
      </c>
      <c r="H80">
        <v>114180</v>
      </c>
    </row>
    <row r="81" spans="2:8">
      <c r="B81" t="s">
        <v>189</v>
      </c>
      <c r="C81" t="s">
        <v>16</v>
      </c>
      <c r="D81">
        <v>28</v>
      </c>
      <c r="E81" t="s">
        <v>14</v>
      </c>
      <c r="F81" s="4">
        <v>44590</v>
      </c>
      <c r="G81" t="s">
        <v>13</v>
      </c>
      <c r="H81">
        <v>104120</v>
      </c>
    </row>
    <row r="82" spans="2:8">
      <c r="B82" t="s">
        <v>190</v>
      </c>
      <c r="C82" t="s">
        <v>9</v>
      </c>
      <c r="D82">
        <v>30</v>
      </c>
      <c r="E82" t="s">
        <v>14</v>
      </c>
      <c r="F82" s="4">
        <v>44640</v>
      </c>
      <c r="G82" t="s">
        <v>13</v>
      </c>
      <c r="H82">
        <v>67950</v>
      </c>
    </row>
    <row r="83" spans="2:8">
      <c r="B83" t="s">
        <v>191</v>
      </c>
      <c r="C83" t="s">
        <v>16</v>
      </c>
      <c r="D83">
        <v>29</v>
      </c>
      <c r="E83" t="s">
        <v>14</v>
      </c>
      <c r="F83" s="4">
        <v>43962</v>
      </c>
      <c r="G83" t="s">
        <v>24</v>
      </c>
      <c r="H83">
        <v>34980</v>
      </c>
    </row>
    <row r="84" spans="2:8">
      <c r="B84" t="s">
        <v>192</v>
      </c>
      <c r="C84" t="s">
        <v>16</v>
      </c>
      <c r="D84">
        <v>24</v>
      </c>
      <c r="E84" t="s">
        <v>14</v>
      </c>
      <c r="F84" s="4">
        <v>44087</v>
      </c>
      <c r="G84" t="s">
        <v>24</v>
      </c>
      <c r="H84">
        <v>62780</v>
      </c>
    </row>
    <row r="85" spans="2:8">
      <c r="B85" t="s">
        <v>193</v>
      </c>
      <c r="C85" t="s">
        <v>9</v>
      </c>
      <c r="D85">
        <v>20</v>
      </c>
      <c r="E85" t="s">
        <v>14</v>
      </c>
      <c r="F85" s="4">
        <v>44397</v>
      </c>
      <c r="G85" t="s">
        <v>24</v>
      </c>
      <c r="H85">
        <v>107700</v>
      </c>
    </row>
    <row r="86" spans="2:8">
      <c r="B86" t="s">
        <v>194</v>
      </c>
      <c r="C86" t="s">
        <v>9</v>
      </c>
      <c r="D86">
        <v>25</v>
      </c>
      <c r="E86" t="s">
        <v>14</v>
      </c>
      <c r="F86" s="4">
        <v>44322</v>
      </c>
      <c r="G86" t="s">
        <v>10</v>
      </c>
      <c r="H86">
        <v>65700</v>
      </c>
    </row>
    <row r="87" spans="2:8">
      <c r="B87" t="s">
        <v>195</v>
      </c>
      <c r="C87" t="s">
        <v>16</v>
      </c>
      <c r="D87">
        <v>33</v>
      </c>
      <c r="E87" t="s">
        <v>50</v>
      </c>
      <c r="F87" s="4">
        <v>44313</v>
      </c>
      <c r="G87" t="s">
        <v>24</v>
      </c>
      <c r="H87">
        <v>75480</v>
      </c>
    </row>
    <row r="88" spans="2:8">
      <c r="B88" t="s">
        <v>196</v>
      </c>
      <c r="C88" t="s">
        <v>9</v>
      </c>
      <c r="D88">
        <v>33</v>
      </c>
      <c r="E88" t="s">
        <v>14</v>
      </c>
      <c r="F88" s="4">
        <v>44448</v>
      </c>
      <c r="G88" t="s">
        <v>24</v>
      </c>
      <c r="H88">
        <v>53870</v>
      </c>
    </row>
    <row r="89" spans="2:8">
      <c r="B89" t="s">
        <v>197</v>
      </c>
      <c r="C89" t="s">
        <v>16</v>
      </c>
      <c r="D89">
        <v>36</v>
      </c>
      <c r="E89" t="s">
        <v>14</v>
      </c>
      <c r="F89" s="4">
        <v>44433</v>
      </c>
      <c r="G89" t="s">
        <v>10</v>
      </c>
      <c r="H89">
        <v>78540</v>
      </c>
    </row>
    <row r="90" spans="2:8">
      <c r="B90" t="s">
        <v>198</v>
      </c>
      <c r="C90" t="s">
        <v>9</v>
      </c>
      <c r="D90">
        <v>19</v>
      </c>
      <c r="E90" t="s">
        <v>14</v>
      </c>
      <c r="F90" s="4">
        <v>44218</v>
      </c>
      <c r="G90" t="s">
        <v>13</v>
      </c>
      <c r="H90">
        <v>58960</v>
      </c>
    </row>
    <row r="91" spans="2:8">
      <c r="B91" t="s">
        <v>199</v>
      </c>
      <c r="C91" t="s">
        <v>9</v>
      </c>
      <c r="D91">
        <v>46</v>
      </c>
      <c r="E91" t="s">
        <v>14</v>
      </c>
      <c r="F91" s="4">
        <v>44697</v>
      </c>
      <c r="G91" t="s">
        <v>13</v>
      </c>
      <c r="H91">
        <v>70610</v>
      </c>
    </row>
    <row r="92" spans="2:8">
      <c r="B92" t="s">
        <v>200</v>
      </c>
      <c r="C92" t="s">
        <v>9</v>
      </c>
      <c r="D92">
        <v>33</v>
      </c>
      <c r="E92" t="s">
        <v>14</v>
      </c>
      <c r="F92" s="4">
        <v>44181</v>
      </c>
      <c r="G92" t="s">
        <v>18</v>
      </c>
      <c r="H92">
        <v>59430</v>
      </c>
    </row>
    <row r="93" spans="2:8">
      <c r="B93" t="s">
        <v>201</v>
      </c>
      <c r="C93" t="s">
        <v>9</v>
      </c>
      <c r="D93">
        <v>33</v>
      </c>
      <c r="E93" t="s">
        <v>11</v>
      </c>
      <c r="F93" s="4">
        <v>44640</v>
      </c>
      <c r="G93" t="s">
        <v>13</v>
      </c>
      <c r="H93">
        <v>48530</v>
      </c>
    </row>
    <row r="94" spans="2:8">
      <c r="B94" t="s">
        <v>202</v>
      </c>
      <c r="C94" t="s">
        <v>16</v>
      </c>
      <c r="D94">
        <v>33</v>
      </c>
      <c r="E94" t="s">
        <v>14</v>
      </c>
      <c r="F94" s="4">
        <v>44129</v>
      </c>
      <c r="G94" t="s">
        <v>24</v>
      </c>
      <c r="H94">
        <v>96140</v>
      </c>
    </row>
    <row r="95" spans="2:8">
      <c r="B95" t="s">
        <v>111</v>
      </c>
      <c r="C95" t="s">
        <v>9</v>
      </c>
      <c r="D95">
        <v>20</v>
      </c>
      <c r="E95" t="s">
        <v>14</v>
      </c>
      <c r="F95" s="4">
        <v>44122</v>
      </c>
      <c r="G95" t="s">
        <v>24</v>
      </c>
      <c r="H95">
        <v>112650</v>
      </c>
    </row>
    <row r="96" spans="2:8">
      <c r="B96" t="s">
        <v>112</v>
      </c>
      <c r="C96" t="s">
        <v>16</v>
      </c>
      <c r="D96">
        <v>32</v>
      </c>
      <c r="E96" t="s">
        <v>11</v>
      </c>
      <c r="F96" s="4">
        <v>44293</v>
      </c>
      <c r="G96" t="s">
        <v>24</v>
      </c>
      <c r="H96">
        <v>43840</v>
      </c>
    </row>
    <row r="97" spans="2:8">
      <c r="B97" t="s">
        <v>113</v>
      </c>
      <c r="C97" t="s">
        <v>9</v>
      </c>
      <c r="D97">
        <v>31</v>
      </c>
      <c r="E97" t="s">
        <v>14</v>
      </c>
      <c r="F97" s="4">
        <v>44663</v>
      </c>
      <c r="G97" t="s">
        <v>13</v>
      </c>
      <c r="H97">
        <v>103550</v>
      </c>
    </row>
    <row r="98" spans="2:8">
      <c r="B98" t="s">
        <v>114</v>
      </c>
      <c r="C98" t="s">
        <v>16</v>
      </c>
      <c r="D98">
        <v>32</v>
      </c>
      <c r="E98" t="s">
        <v>14</v>
      </c>
      <c r="F98" s="4">
        <v>44339</v>
      </c>
      <c r="G98" t="s">
        <v>27</v>
      </c>
      <c r="H98">
        <v>45510</v>
      </c>
    </row>
    <row r="99" spans="2:8">
      <c r="B99" t="s">
        <v>115</v>
      </c>
      <c r="D99">
        <v>37</v>
      </c>
      <c r="E99" t="s">
        <v>19</v>
      </c>
      <c r="F99" s="4">
        <v>44085</v>
      </c>
      <c r="G99" t="s">
        <v>18</v>
      </c>
      <c r="H99">
        <v>115440</v>
      </c>
    </row>
    <row r="100" spans="2:8">
      <c r="B100" t="s">
        <v>116</v>
      </c>
      <c r="C100" t="s">
        <v>16</v>
      </c>
      <c r="D100">
        <v>38</v>
      </c>
      <c r="E100" t="s">
        <v>11</v>
      </c>
      <c r="F100" s="4">
        <v>44268</v>
      </c>
      <c r="G100" t="s">
        <v>10</v>
      </c>
      <c r="H100">
        <v>56870</v>
      </c>
    </row>
    <row r="101" spans="2:8">
      <c r="B101" t="s">
        <v>117</v>
      </c>
      <c r="C101" t="s">
        <v>16</v>
      </c>
      <c r="D101">
        <v>25</v>
      </c>
      <c r="E101" t="s">
        <v>14</v>
      </c>
      <c r="F101" s="4">
        <v>44144</v>
      </c>
      <c r="G101" t="s">
        <v>10</v>
      </c>
      <c r="H101">
        <v>92700</v>
      </c>
    </row>
    <row r="102" spans="2:8">
      <c r="B102" t="s">
        <v>118</v>
      </c>
      <c r="D102">
        <v>32</v>
      </c>
      <c r="E102" t="s">
        <v>14</v>
      </c>
      <c r="F102" s="4">
        <v>44713</v>
      </c>
      <c r="G102" t="s">
        <v>24</v>
      </c>
      <c r="H102">
        <v>91310</v>
      </c>
    </row>
    <row r="103" spans="2:8">
      <c r="B103" t="s">
        <v>119</v>
      </c>
      <c r="C103" t="s">
        <v>9</v>
      </c>
      <c r="D103">
        <v>33</v>
      </c>
      <c r="E103" t="s">
        <v>14</v>
      </c>
      <c r="F103" s="4">
        <v>44324</v>
      </c>
      <c r="G103" t="s">
        <v>10</v>
      </c>
      <c r="H103">
        <v>74550</v>
      </c>
    </row>
    <row r="104" spans="2:8">
      <c r="B104" t="s">
        <v>120</v>
      </c>
      <c r="C104" t="s">
        <v>9</v>
      </c>
      <c r="D104">
        <v>25</v>
      </c>
      <c r="E104" t="s">
        <v>11</v>
      </c>
      <c r="F104" s="4">
        <v>44665</v>
      </c>
      <c r="G104" t="s">
        <v>13</v>
      </c>
      <c r="H104">
        <v>109190</v>
      </c>
    </row>
    <row r="105" spans="2:8">
      <c r="B105" t="s">
        <v>121</v>
      </c>
      <c r="C105" t="s">
        <v>16</v>
      </c>
      <c r="D105">
        <v>40</v>
      </c>
      <c r="E105" t="s">
        <v>14</v>
      </c>
      <c r="F105" s="4">
        <v>44320</v>
      </c>
      <c r="G105" t="s">
        <v>24</v>
      </c>
      <c r="H105">
        <v>104410</v>
      </c>
    </row>
    <row r="106" spans="2:8">
      <c r="B106" t="s">
        <v>122</v>
      </c>
      <c r="C106" t="s">
        <v>9</v>
      </c>
      <c r="D106">
        <v>30</v>
      </c>
      <c r="E106" t="s">
        <v>14</v>
      </c>
      <c r="F106" s="4">
        <v>44544</v>
      </c>
      <c r="G106" t="s">
        <v>18</v>
      </c>
      <c r="H106">
        <v>96800</v>
      </c>
    </row>
    <row r="107" spans="2:8">
      <c r="B107" t="s">
        <v>123</v>
      </c>
      <c r="C107" t="s">
        <v>9</v>
      </c>
      <c r="D107">
        <v>28</v>
      </c>
      <c r="E107" t="s">
        <v>11</v>
      </c>
      <c r="F107" s="4">
        <v>43980</v>
      </c>
      <c r="G107" t="s">
        <v>18</v>
      </c>
      <c r="H107">
        <v>48170</v>
      </c>
    </row>
    <row r="108" spans="2:8">
      <c r="B108" t="s">
        <v>124</v>
      </c>
      <c r="C108" t="s">
        <v>9</v>
      </c>
      <c r="D108">
        <v>21</v>
      </c>
      <c r="E108" t="s">
        <v>14</v>
      </c>
      <c r="F108" s="4">
        <v>44042</v>
      </c>
      <c r="G108" t="s">
        <v>13</v>
      </c>
      <c r="H108">
        <v>37920</v>
      </c>
    </row>
    <row r="109" spans="2:8">
      <c r="B109" t="s">
        <v>125</v>
      </c>
      <c r="C109" t="s">
        <v>9</v>
      </c>
      <c r="D109">
        <v>34</v>
      </c>
      <c r="E109" t="s">
        <v>14</v>
      </c>
      <c r="F109" s="4">
        <v>44642</v>
      </c>
      <c r="G109" t="s">
        <v>13</v>
      </c>
      <c r="H109">
        <v>112650</v>
      </c>
    </row>
    <row r="110" spans="2:8">
      <c r="B110" t="s">
        <v>126</v>
      </c>
      <c r="C110" t="s">
        <v>16</v>
      </c>
      <c r="D110">
        <v>34</v>
      </c>
      <c r="E110" t="s">
        <v>19</v>
      </c>
      <c r="F110" s="4">
        <v>44660</v>
      </c>
      <c r="G110" t="s">
        <v>10</v>
      </c>
      <c r="H110">
        <v>49630</v>
      </c>
    </row>
    <row r="111" spans="2:8">
      <c r="B111" t="s">
        <v>127</v>
      </c>
      <c r="C111" t="s">
        <v>9</v>
      </c>
      <c r="D111">
        <v>36</v>
      </c>
      <c r="E111" t="s">
        <v>14</v>
      </c>
      <c r="F111" s="4">
        <v>43958</v>
      </c>
      <c r="G111" t="s">
        <v>24</v>
      </c>
      <c r="H111">
        <v>118840</v>
      </c>
    </row>
    <row r="112" spans="2:8">
      <c r="B112" t="s">
        <v>128</v>
      </c>
      <c r="C112" t="s">
        <v>9</v>
      </c>
      <c r="D112">
        <v>30</v>
      </c>
      <c r="E112" t="s">
        <v>14</v>
      </c>
      <c r="F112" s="4">
        <v>44789</v>
      </c>
      <c r="G112" t="s">
        <v>24</v>
      </c>
      <c r="H112">
        <v>69710</v>
      </c>
    </row>
    <row r="113" spans="2:8">
      <c r="B113" t="s">
        <v>129</v>
      </c>
      <c r="C113" t="s">
        <v>9</v>
      </c>
      <c r="D113">
        <v>20</v>
      </c>
      <c r="E113" t="s">
        <v>14</v>
      </c>
      <c r="F113" s="4">
        <v>44683</v>
      </c>
      <c r="G113" t="s">
        <v>13</v>
      </c>
      <c r="H113">
        <v>79570</v>
      </c>
    </row>
    <row r="114" spans="2:8">
      <c r="B114" t="s">
        <v>130</v>
      </c>
      <c r="C114" t="s">
        <v>16</v>
      </c>
      <c r="D114">
        <v>22</v>
      </c>
      <c r="E114" t="s">
        <v>11</v>
      </c>
      <c r="F114" s="4">
        <v>44388</v>
      </c>
      <c r="G114" t="s">
        <v>13</v>
      </c>
      <c r="H114">
        <v>76900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V184"/>
  <sheetViews>
    <sheetView tabSelected="1" topLeftCell="A11" zoomScale="85" zoomScaleNormal="85" workbookViewId="0">
      <selection activeCell="O22" sqref="O22"/>
    </sheetView>
  </sheetViews>
  <sheetFormatPr defaultRowHeight="15" customHeight="1"/>
  <cols>
    <col min="1" max="1" width="28.140625" bestFit="1" customWidth="1"/>
    <col min="2" max="2" width="9.85546875" bestFit="1" customWidth="1"/>
    <col min="3" max="3" width="6.85546875" bestFit="1" customWidth="1"/>
    <col min="4" max="4" width="13.140625" bestFit="1" customWidth="1"/>
    <col min="5" max="5" width="13.5703125" style="5" bestFit="1" customWidth="1"/>
    <col min="6" max="6" width="14" bestFit="1" customWidth="1"/>
    <col min="7" max="7" width="13.28515625" style="17" bestFit="1" customWidth="1"/>
    <col min="8" max="8" width="10.42578125" bestFit="1" customWidth="1"/>
    <col min="9" max="9" width="10.42578125" customWidth="1"/>
    <col min="10" max="10" width="10.42578125" style="16" customWidth="1"/>
    <col min="11" max="11" width="20.85546875" style="16" bestFit="1" customWidth="1"/>
    <col min="12" max="12" width="10.42578125" customWidth="1"/>
    <col min="15" max="15" width="22.42578125" bestFit="1" customWidth="1"/>
    <col min="16" max="16" width="12.7109375" bestFit="1" customWidth="1"/>
    <col min="18" max="18" width="13.85546875" bestFit="1" customWidth="1"/>
    <col min="19" max="19" width="6.28515625" bestFit="1" customWidth="1"/>
  </cols>
  <sheetData>
    <row r="1" spans="1:19">
      <c r="A1" t="s">
        <v>1</v>
      </c>
      <c r="B1" t="s">
        <v>2</v>
      </c>
      <c r="C1" t="s">
        <v>4</v>
      </c>
      <c r="D1" t="s">
        <v>7</v>
      </c>
      <c r="E1" s="5" t="s">
        <v>5</v>
      </c>
      <c r="F1" t="s">
        <v>3</v>
      </c>
      <c r="G1" s="17" t="s">
        <v>6</v>
      </c>
      <c r="H1" t="s">
        <v>203</v>
      </c>
      <c r="I1" t="s">
        <v>204</v>
      </c>
      <c r="J1" s="16" t="s">
        <v>205</v>
      </c>
      <c r="K1" s="16" t="s">
        <v>206</v>
      </c>
    </row>
    <row r="2" spans="1:19">
      <c r="A2" t="s">
        <v>154</v>
      </c>
      <c r="B2" t="s">
        <v>16</v>
      </c>
      <c r="C2">
        <v>21</v>
      </c>
      <c r="D2" t="s">
        <v>14</v>
      </c>
      <c r="E2" s="5">
        <v>44619</v>
      </c>
      <c r="F2" t="s">
        <v>24</v>
      </c>
      <c r="G2" s="17">
        <v>33920</v>
      </c>
      <c r="H2" t="s">
        <v>207</v>
      </c>
      <c r="I2" s="7">
        <f ca="1">(TODAY()-Staff[[#This Row],[Date Joined]])/365</f>
        <v>1.4904109589041097</v>
      </c>
      <c r="J2" s="16">
        <f ca="1">ROUNDUP(IF(Staff[[#This Row],[Tenure]]&gt;2,3%,2%)*Staff[[#This Row],[Salary]],0)</f>
        <v>679</v>
      </c>
      <c r="K2" s="19">
        <f>_xlfn.XLOOKUP(Staff[[#This Row],[Rating]],Mapping!$C$6:$C$10,Mapping!$D$6:$D$10)</f>
        <v>3</v>
      </c>
      <c r="L2" s="7"/>
    </row>
    <row r="3" spans="1:19">
      <c r="A3" t="s">
        <v>94</v>
      </c>
      <c r="B3" t="s">
        <v>16</v>
      </c>
      <c r="C3">
        <v>21</v>
      </c>
      <c r="D3" t="s">
        <v>14</v>
      </c>
      <c r="E3" s="5">
        <v>44678</v>
      </c>
      <c r="F3" t="s">
        <v>24</v>
      </c>
      <c r="G3" s="17">
        <v>33920</v>
      </c>
      <c r="H3" t="s">
        <v>208</v>
      </c>
      <c r="I3" s="7">
        <f ca="1">(TODAY()-Staff[[#This Row],[Date Joined]])/365</f>
        <v>1.3287671232876712</v>
      </c>
      <c r="J3" s="16">
        <f ca="1">ROUNDUP(IF(Staff[[#This Row],[Tenure]]&gt;2,3%,2%)*Staff[[#This Row],[Salary]],0)</f>
        <v>679</v>
      </c>
      <c r="K3" s="19">
        <f>_xlfn.XLOOKUP(Staff[[#This Row],[Rating]],Mapping!$C$6:$C$10,Mapping!$D$6:$D$10)</f>
        <v>3</v>
      </c>
      <c r="L3" s="7"/>
    </row>
    <row r="4" spans="1:19">
      <c r="A4" t="s">
        <v>191</v>
      </c>
      <c r="B4" t="s">
        <v>16</v>
      </c>
      <c r="C4">
        <v>29</v>
      </c>
      <c r="D4" t="s">
        <v>14</v>
      </c>
      <c r="E4" s="5">
        <v>43962</v>
      </c>
      <c r="F4" t="s">
        <v>24</v>
      </c>
      <c r="G4" s="17">
        <v>34980</v>
      </c>
      <c r="H4" t="s">
        <v>207</v>
      </c>
      <c r="I4" s="7">
        <f ca="1">(TODAY()-Staff[[#This Row],[Date Joined]])/365</f>
        <v>3.2904109589041095</v>
      </c>
      <c r="J4" s="16">
        <f ca="1">ROUNDUP(IF(Staff[[#This Row],[Tenure]]&gt;2,3%,2%)*Staff[[#This Row],[Salary]],0)</f>
        <v>1050</v>
      </c>
      <c r="K4" s="19">
        <f>_xlfn.XLOOKUP(Staff[[#This Row],[Rating]],Mapping!$C$6:$C$10,Mapping!$D$6:$D$10)</f>
        <v>3</v>
      </c>
      <c r="L4" s="7"/>
      <c r="N4" s="10">
        <v>1</v>
      </c>
    </row>
    <row r="5" spans="1:19">
      <c r="A5" t="s">
        <v>46</v>
      </c>
      <c r="B5" t="s">
        <v>16</v>
      </c>
      <c r="C5">
        <v>29</v>
      </c>
      <c r="D5" t="s">
        <v>14</v>
      </c>
      <c r="E5" s="5">
        <v>44023</v>
      </c>
      <c r="F5" t="s">
        <v>24</v>
      </c>
      <c r="G5" s="17">
        <v>34980</v>
      </c>
      <c r="H5" t="s">
        <v>208</v>
      </c>
      <c r="I5" s="7">
        <f ca="1">(TODAY()-Staff[[#This Row],[Date Joined]])/365</f>
        <v>3.1232876712328768</v>
      </c>
      <c r="J5" s="16">
        <f ca="1">ROUNDUP(IF(Staff[[#This Row],[Tenure]]&gt;2,3%,2%)*Staff[[#This Row],[Salary]],0)</f>
        <v>1050</v>
      </c>
      <c r="K5" s="19">
        <f>_xlfn.XLOOKUP(Staff[[#This Row],[Rating]],Mapping!$C$6:$C$10,Mapping!$D$6:$D$10)</f>
        <v>3</v>
      </c>
      <c r="L5" s="7"/>
      <c r="O5" s="8" t="s">
        <v>209</v>
      </c>
      <c r="P5" s="6">
        <f>COUNTA(Staff[Name])</f>
        <v>183</v>
      </c>
    </row>
    <row r="6" spans="1:19">
      <c r="A6" t="s">
        <v>133</v>
      </c>
      <c r="B6" t="s">
        <v>9</v>
      </c>
      <c r="C6">
        <v>43</v>
      </c>
      <c r="D6" t="s">
        <v>14</v>
      </c>
      <c r="E6" s="5">
        <v>44558</v>
      </c>
      <c r="F6" t="s">
        <v>10</v>
      </c>
      <c r="G6" s="17">
        <v>36040</v>
      </c>
      <c r="H6" t="s">
        <v>207</v>
      </c>
      <c r="I6" s="7">
        <f ca="1">(TODAY()-Staff[[#This Row],[Date Joined]])/365</f>
        <v>1.6575342465753424</v>
      </c>
      <c r="J6" s="16">
        <f ca="1">ROUNDUP(IF(Staff[[#This Row],[Tenure]]&gt;2,3%,2%)*Staff[[#This Row],[Salary]],0)</f>
        <v>721</v>
      </c>
      <c r="K6" s="19">
        <f>_xlfn.XLOOKUP(Staff[[#This Row],[Rating]],Mapping!$C$6:$C$10,Mapping!$D$6:$D$10)</f>
        <v>3</v>
      </c>
      <c r="L6" s="7"/>
      <c r="O6" s="8" t="s">
        <v>210</v>
      </c>
      <c r="P6" s="6">
        <f>AVERAGE(Staff[Salary])</f>
        <v>77173.715846994543</v>
      </c>
      <c r="R6" s="8" t="s">
        <v>211</v>
      </c>
      <c r="S6" s="6">
        <f>MEDIAN(Staff[Salary])</f>
        <v>75000</v>
      </c>
    </row>
    <row r="7" spans="1:19">
      <c r="A7" t="s">
        <v>98</v>
      </c>
      <c r="B7" t="s">
        <v>9</v>
      </c>
      <c r="C7">
        <v>43</v>
      </c>
      <c r="D7" t="s">
        <v>14</v>
      </c>
      <c r="E7" s="5">
        <v>44620</v>
      </c>
      <c r="F7" t="s">
        <v>10</v>
      </c>
      <c r="G7" s="17">
        <v>36040</v>
      </c>
      <c r="H7" t="s">
        <v>208</v>
      </c>
      <c r="I7" s="7">
        <f ca="1">(TODAY()-Staff[[#This Row],[Date Joined]])/365</f>
        <v>1.4876712328767123</v>
      </c>
      <c r="J7" s="16">
        <f ca="1">ROUNDUP(IF(Staff[[#This Row],[Tenure]]&gt;2,3%,2%)*Staff[[#This Row],[Salary]],0)</f>
        <v>721</v>
      </c>
      <c r="K7" s="19">
        <f>_xlfn.XLOOKUP(Staff[[#This Row],[Rating]],Mapping!$C$6:$C$10,Mapping!$D$6:$D$10)</f>
        <v>3</v>
      </c>
      <c r="L7" s="7"/>
      <c r="O7" s="8" t="s">
        <v>212</v>
      </c>
      <c r="P7" s="6">
        <f>AVERAGE(Staff[Age])</f>
        <v>30.42622950819672</v>
      </c>
      <c r="R7" s="8" t="s">
        <v>213</v>
      </c>
      <c r="S7" s="6">
        <f>MEDIAN(Staff[Age])</f>
        <v>30</v>
      </c>
    </row>
    <row r="8" spans="1:19">
      <c r="A8" t="s">
        <v>124</v>
      </c>
      <c r="B8" t="s">
        <v>9</v>
      </c>
      <c r="C8">
        <v>21</v>
      </c>
      <c r="D8" t="s">
        <v>14</v>
      </c>
      <c r="E8" s="5">
        <v>44042</v>
      </c>
      <c r="F8" t="s">
        <v>13</v>
      </c>
      <c r="G8" s="17">
        <v>37920</v>
      </c>
      <c r="H8" t="s">
        <v>207</v>
      </c>
      <c r="I8" s="7">
        <f ca="1">(TODAY()-Staff[[#This Row],[Date Joined]])/365</f>
        <v>3.0712328767123287</v>
      </c>
      <c r="J8" s="16">
        <f ca="1">ROUNDUP(IF(Staff[[#This Row],[Tenure]]&gt;2,3%,2%)*Staff[[#This Row],[Salary]],0)</f>
        <v>1138</v>
      </c>
      <c r="K8" s="19">
        <f>_xlfn.XLOOKUP(Staff[[#This Row],[Rating]],Mapping!$C$6:$C$10,Mapping!$D$6:$D$10)</f>
        <v>3</v>
      </c>
      <c r="L8" s="7"/>
      <c r="O8" s="8" t="s">
        <v>214</v>
      </c>
      <c r="P8" s="6">
        <f ca="1">AVERAGE(Staff[Tenure])</f>
        <v>1.9999101729171342</v>
      </c>
    </row>
    <row r="9" spans="1:19">
      <c r="A9" t="s">
        <v>34</v>
      </c>
      <c r="B9" t="s">
        <v>9</v>
      </c>
      <c r="C9">
        <v>21</v>
      </c>
      <c r="D9" t="s">
        <v>14</v>
      </c>
      <c r="E9" s="5">
        <v>44104</v>
      </c>
      <c r="F9" t="s">
        <v>13</v>
      </c>
      <c r="G9" s="17">
        <v>37920</v>
      </c>
      <c r="H9" t="s">
        <v>208</v>
      </c>
      <c r="I9" s="7">
        <f ca="1">(TODAY()-Staff[[#This Row],[Date Joined]])/365</f>
        <v>2.9013698630136986</v>
      </c>
      <c r="J9" s="16">
        <f ca="1">ROUNDUP(IF(Staff[[#This Row],[Tenure]]&gt;2,3%,2%)*Staff[[#This Row],[Salary]],0)</f>
        <v>1138</v>
      </c>
      <c r="K9" s="19">
        <f>_xlfn.XLOOKUP(Staff[[#This Row],[Rating]],Mapping!$C$6:$C$10,Mapping!$D$6:$D$10)</f>
        <v>3</v>
      </c>
      <c r="L9" s="7"/>
      <c r="O9" s="8" t="s">
        <v>215</v>
      </c>
      <c r="P9" s="6">
        <f>COUNTIF(Staff[Gender],"Female")</f>
        <v>86</v>
      </c>
    </row>
    <row r="10" spans="1:19">
      <c r="A10" t="s">
        <v>135</v>
      </c>
      <c r="B10" t="s">
        <v>9</v>
      </c>
      <c r="C10">
        <v>35</v>
      </c>
      <c r="D10" t="s">
        <v>14</v>
      </c>
      <c r="E10" s="5">
        <v>44666</v>
      </c>
      <c r="F10" t="s">
        <v>13</v>
      </c>
      <c r="G10" s="17">
        <v>40400</v>
      </c>
      <c r="H10" t="s">
        <v>207</v>
      </c>
      <c r="I10" s="7">
        <f ca="1">(TODAY()-Staff[[#This Row],[Date Joined]])/365</f>
        <v>1.3616438356164384</v>
      </c>
      <c r="J10" s="16">
        <f ca="1">ROUNDUP(IF(Staff[[#This Row],[Tenure]]&gt;2,3%,2%)*Staff[[#This Row],[Salary]],0)</f>
        <v>808</v>
      </c>
      <c r="K10" s="19">
        <f>_xlfn.XLOOKUP(Staff[[#This Row],[Rating]],Mapping!$C$6:$C$10,Mapping!$D$6:$D$10)</f>
        <v>3</v>
      </c>
      <c r="L10" s="7"/>
      <c r="O10" s="8" t="s">
        <v>216</v>
      </c>
      <c r="P10" s="9">
        <f>P9/P5</f>
        <v>0.46994535519125685</v>
      </c>
    </row>
    <row r="11" spans="1:19">
      <c r="A11" t="s">
        <v>96</v>
      </c>
      <c r="B11" t="s">
        <v>9</v>
      </c>
      <c r="C11">
        <v>35</v>
      </c>
      <c r="D11" t="s">
        <v>14</v>
      </c>
      <c r="E11" s="5">
        <v>44727</v>
      </c>
      <c r="F11" t="s">
        <v>13</v>
      </c>
      <c r="G11" s="17">
        <v>40400</v>
      </c>
      <c r="H11" t="s">
        <v>208</v>
      </c>
      <c r="I11" s="7">
        <f ca="1">(TODAY()-Staff[[#This Row],[Date Joined]])/365</f>
        <v>1.1945205479452055</v>
      </c>
      <c r="J11" s="16">
        <f ca="1">ROUNDUP(IF(Staff[[#This Row],[Tenure]]&gt;2,3%,2%)*Staff[[#This Row],[Salary]],0)</f>
        <v>808</v>
      </c>
      <c r="K11" s="19">
        <f>_xlfn.XLOOKUP(Staff[[#This Row],[Rating]],Mapping!$C$6:$C$10,Mapping!$D$6:$D$10)</f>
        <v>3</v>
      </c>
      <c r="L11" s="7"/>
      <c r="O11" s="8" t="s">
        <v>217</v>
      </c>
      <c r="P11" s="9">
        <f>(COUNTIF(Staff[Salary],"&gt;90,000"))/P5</f>
        <v>0.34426229508196721</v>
      </c>
    </row>
    <row r="12" spans="1:19">
      <c r="A12" t="s">
        <v>139</v>
      </c>
      <c r="B12" t="s">
        <v>16</v>
      </c>
      <c r="C12">
        <v>32</v>
      </c>
      <c r="D12" t="s">
        <v>14</v>
      </c>
      <c r="E12" s="5">
        <v>44549</v>
      </c>
      <c r="F12" t="s">
        <v>13</v>
      </c>
      <c r="G12" s="17">
        <v>41570</v>
      </c>
      <c r="H12" t="s">
        <v>207</v>
      </c>
      <c r="I12" s="7">
        <f ca="1">(TODAY()-Staff[[#This Row],[Date Joined]])/365</f>
        <v>1.6821917808219178</v>
      </c>
      <c r="J12" s="16">
        <f ca="1">ROUNDUP(IF(Staff[[#This Row],[Tenure]]&gt;2,3%,2%)*Staff[[#This Row],[Salary]],0)</f>
        <v>832</v>
      </c>
      <c r="K12" s="19">
        <f>_xlfn.XLOOKUP(Staff[[#This Row],[Rating]],Mapping!$C$6:$C$10,Mapping!$D$6:$D$10)</f>
        <v>3</v>
      </c>
      <c r="L12" s="7"/>
    </row>
    <row r="13" spans="1:19">
      <c r="A13" t="s">
        <v>105</v>
      </c>
      <c r="B13" t="s">
        <v>16</v>
      </c>
      <c r="C13">
        <v>32</v>
      </c>
      <c r="D13" t="s">
        <v>14</v>
      </c>
      <c r="E13" s="5">
        <v>44611</v>
      </c>
      <c r="F13" t="s">
        <v>13</v>
      </c>
      <c r="G13" s="17">
        <v>41570</v>
      </c>
      <c r="H13" t="s">
        <v>208</v>
      </c>
      <c r="I13" s="7">
        <f ca="1">(TODAY()-Staff[[#This Row],[Date Joined]])/365</f>
        <v>1.5123287671232877</v>
      </c>
      <c r="J13" s="16">
        <f ca="1">ROUNDUP(IF(Staff[[#This Row],[Tenure]]&gt;2,3%,2%)*Staff[[#This Row],[Salary]],0)</f>
        <v>832</v>
      </c>
      <c r="K13" s="19">
        <f>_xlfn.XLOOKUP(Staff[[#This Row],[Rating]],Mapping!$C$6:$C$10,Mapping!$D$6:$D$10)</f>
        <v>3</v>
      </c>
      <c r="L13" s="7"/>
    </row>
    <row r="14" spans="1:19">
      <c r="A14" t="s">
        <v>176</v>
      </c>
      <c r="B14" t="s">
        <v>16</v>
      </c>
      <c r="C14">
        <v>31</v>
      </c>
      <c r="D14" t="s">
        <v>14</v>
      </c>
      <c r="E14" s="5">
        <v>44084</v>
      </c>
      <c r="F14" t="s">
        <v>24</v>
      </c>
      <c r="G14" s="17">
        <v>41980</v>
      </c>
      <c r="H14" t="s">
        <v>207</v>
      </c>
      <c r="I14" s="7">
        <f ca="1">(TODAY()-Staff[[#This Row],[Date Joined]])/365</f>
        <v>2.956164383561644</v>
      </c>
      <c r="J14" s="16">
        <f ca="1">ROUNDUP(IF(Staff[[#This Row],[Tenure]]&gt;2,3%,2%)*Staff[[#This Row],[Salary]],0)</f>
        <v>1260</v>
      </c>
      <c r="K14" s="19">
        <f>_xlfn.XLOOKUP(Staff[[#This Row],[Rating]],Mapping!$C$6:$C$10,Mapping!$D$6:$D$10)</f>
        <v>3</v>
      </c>
      <c r="L14" s="7"/>
      <c r="N14" s="10">
        <v>2</v>
      </c>
      <c r="O14" s="8" t="s">
        <v>218</v>
      </c>
      <c r="P14" t="s">
        <v>219</v>
      </c>
    </row>
    <row r="15" spans="1:19">
      <c r="A15" t="s">
        <v>36</v>
      </c>
      <c r="B15" t="s">
        <v>16</v>
      </c>
      <c r="C15">
        <v>31</v>
      </c>
      <c r="D15" t="s">
        <v>14</v>
      </c>
      <c r="E15" s="5">
        <v>44145</v>
      </c>
      <c r="F15" t="s">
        <v>24</v>
      </c>
      <c r="G15" s="17">
        <v>41980</v>
      </c>
      <c r="H15" t="s">
        <v>208</v>
      </c>
      <c r="I15" s="7">
        <f ca="1">(TODAY()-Staff[[#This Row],[Date Joined]])/365</f>
        <v>2.7890410958904108</v>
      </c>
      <c r="J15" s="16">
        <f ca="1">ROUNDUP(IF(Staff[[#This Row],[Tenure]]&gt;2,3%,2%)*Staff[[#This Row],[Salary]],0)</f>
        <v>1260</v>
      </c>
      <c r="K15" s="19">
        <f>_xlfn.XLOOKUP(Staff[[#This Row],[Rating]],Mapping!$C$6:$C$10,Mapping!$D$6:$D$10)</f>
        <v>3</v>
      </c>
      <c r="L15" s="7"/>
      <c r="O15" s="13" t="s">
        <v>42</v>
      </c>
      <c r="Q15" s="11">
        <f>VLOOKUP(O15,Staff[#All],7,FALSE)</f>
        <v>64000</v>
      </c>
    </row>
    <row r="16" spans="1:19">
      <c r="A16" t="s">
        <v>173</v>
      </c>
      <c r="B16" t="s">
        <v>9</v>
      </c>
      <c r="C16">
        <v>28</v>
      </c>
      <c r="D16" t="s">
        <v>50</v>
      </c>
      <c r="E16" s="5">
        <v>44758</v>
      </c>
      <c r="F16" t="s">
        <v>10</v>
      </c>
      <c r="G16" s="17">
        <v>43510</v>
      </c>
      <c r="H16" t="s">
        <v>207</v>
      </c>
      <c r="I16" s="7">
        <f ca="1">(TODAY()-Staff[[#This Row],[Date Joined]])/365</f>
        <v>1.1095890410958904</v>
      </c>
      <c r="J16" s="16">
        <f ca="1">ROUNDUP(IF(Staff[[#This Row],[Tenure]]&gt;2,3%,2%)*Staff[[#This Row],[Salary]],0)</f>
        <v>871</v>
      </c>
      <c r="K16" s="19">
        <f>_xlfn.XLOOKUP(Staff[[#This Row],[Rating]],Mapping!$C$6:$C$10,Mapping!$D$6:$D$10)</f>
        <v>1</v>
      </c>
      <c r="L16" s="7"/>
    </row>
    <row r="17" spans="1:22">
      <c r="A17" t="s">
        <v>102</v>
      </c>
      <c r="B17" t="s">
        <v>9</v>
      </c>
      <c r="C17">
        <v>28</v>
      </c>
      <c r="D17" t="s">
        <v>50</v>
      </c>
      <c r="E17" s="5">
        <v>44820</v>
      </c>
      <c r="F17" t="s">
        <v>10</v>
      </c>
      <c r="G17" s="17">
        <v>43510</v>
      </c>
      <c r="H17" t="s">
        <v>208</v>
      </c>
      <c r="I17" s="7">
        <f ca="1">(TODAY()-Staff[[#This Row],[Date Joined]])/365</f>
        <v>0.9397260273972603</v>
      </c>
      <c r="J17" s="16">
        <f ca="1">ROUNDUP(IF(Staff[[#This Row],[Tenure]]&gt;2,3%,2%)*Staff[[#This Row],[Salary]],0)</f>
        <v>871</v>
      </c>
      <c r="K17" s="19">
        <f>_xlfn.XLOOKUP(Staff[[#This Row],[Rating]],Mapping!$C$6:$C$10,Mapping!$D$6:$D$10)</f>
        <v>1</v>
      </c>
      <c r="L17" s="7"/>
    </row>
    <row r="18" spans="1:22">
      <c r="A18" t="s">
        <v>112</v>
      </c>
      <c r="B18" t="s">
        <v>16</v>
      </c>
      <c r="C18">
        <v>32</v>
      </c>
      <c r="D18" t="s">
        <v>11</v>
      </c>
      <c r="E18" s="5">
        <v>44293</v>
      </c>
      <c r="F18" t="s">
        <v>24</v>
      </c>
      <c r="G18" s="17">
        <v>43840</v>
      </c>
      <c r="H18" t="s">
        <v>207</v>
      </c>
      <c r="I18" s="7">
        <f ca="1">(TODAY()-Staff[[#This Row],[Date Joined]])/365</f>
        <v>2.3835616438356166</v>
      </c>
      <c r="J18" s="16">
        <f ca="1">ROUNDUP(IF(Staff[[#This Row],[Tenure]]&gt;2,3%,2%)*Staff[[#This Row],[Salary]],0)</f>
        <v>1316</v>
      </c>
      <c r="K18" s="19">
        <f>_xlfn.XLOOKUP(Staff[[#This Row],[Rating]],Mapping!$C$6:$C$10,Mapping!$D$6:$D$10)</f>
        <v>4</v>
      </c>
      <c r="L18" s="7"/>
    </row>
    <row r="19" spans="1:22">
      <c r="A19" t="s">
        <v>32</v>
      </c>
      <c r="B19" t="s">
        <v>16</v>
      </c>
      <c r="C19">
        <v>32</v>
      </c>
      <c r="D19" t="s">
        <v>11</v>
      </c>
      <c r="E19" s="5">
        <v>44354</v>
      </c>
      <c r="F19" t="s">
        <v>24</v>
      </c>
      <c r="G19" s="17">
        <v>43840</v>
      </c>
      <c r="H19" t="s">
        <v>208</v>
      </c>
      <c r="I19" s="7">
        <f ca="1">(TODAY()-Staff[[#This Row],[Date Joined]])/365</f>
        <v>2.2164383561643834</v>
      </c>
      <c r="J19" s="16">
        <f ca="1">ROUNDUP(IF(Staff[[#This Row],[Tenure]]&gt;2,3%,2%)*Staff[[#This Row],[Salary]],0)</f>
        <v>1316</v>
      </c>
      <c r="K19" s="19">
        <f>_xlfn.XLOOKUP(Staff[[#This Row],[Rating]],Mapping!$C$6:$C$10,Mapping!$D$6:$D$10)</f>
        <v>4</v>
      </c>
      <c r="L19" s="7"/>
    </row>
    <row r="20" spans="1:22">
      <c r="A20" t="s">
        <v>114</v>
      </c>
      <c r="B20" t="s">
        <v>16</v>
      </c>
      <c r="C20">
        <v>32</v>
      </c>
      <c r="D20" t="s">
        <v>14</v>
      </c>
      <c r="E20" s="5">
        <v>44339</v>
      </c>
      <c r="F20" t="s">
        <v>27</v>
      </c>
      <c r="G20" s="17">
        <v>45510</v>
      </c>
      <c r="H20" t="s">
        <v>207</v>
      </c>
      <c r="I20" s="7">
        <f ca="1">(TODAY()-Staff[[#This Row],[Date Joined]])/365</f>
        <v>2.2575342465753425</v>
      </c>
      <c r="J20" s="16">
        <f ca="1">ROUNDUP(IF(Staff[[#This Row],[Tenure]]&gt;2,3%,2%)*Staff[[#This Row],[Salary]],0)</f>
        <v>1366</v>
      </c>
      <c r="K20" s="19">
        <f>_xlfn.XLOOKUP(Staff[[#This Row],[Rating]],Mapping!$C$6:$C$10,Mapping!$D$6:$D$10)</f>
        <v>3</v>
      </c>
      <c r="L20" s="7"/>
      <c r="O20" s="8" t="s">
        <v>220</v>
      </c>
    </row>
    <row r="21" spans="1:22">
      <c r="A21" t="s">
        <v>71</v>
      </c>
      <c r="B21" t="s">
        <v>16</v>
      </c>
      <c r="C21">
        <v>32</v>
      </c>
      <c r="D21" t="s">
        <v>14</v>
      </c>
      <c r="E21" s="5">
        <v>44400</v>
      </c>
      <c r="F21" t="s">
        <v>27</v>
      </c>
      <c r="G21" s="17">
        <v>45510</v>
      </c>
      <c r="H21" t="s">
        <v>208</v>
      </c>
      <c r="I21" s="7">
        <f ca="1">(TODAY()-Staff[[#This Row],[Date Joined]])/365</f>
        <v>2.0904109589041098</v>
      </c>
      <c r="J21" s="16">
        <f ca="1">ROUNDUP(IF(Staff[[#This Row],[Tenure]]&gt;2,3%,2%)*Staff[[#This Row],[Salary]],0)</f>
        <v>1366</v>
      </c>
      <c r="K21" s="19">
        <f>_xlfn.XLOOKUP(Staff[[#This Row],[Rating]],Mapping!$C$6:$C$10,Mapping!$D$6:$D$10)</f>
        <v>3</v>
      </c>
      <c r="L21" s="7"/>
      <c r="O21" s="11" t="str" cm="1">
        <f t="array" aca="1" ref="O21:V21" ca="1">_xlfn.XLOOKUP(O15,Staff[Name],Staff[[Gender]:[Tenure]])</f>
        <v>other</v>
      </c>
      <c r="P21" s="11">
        <f ca="1"/>
        <v>30</v>
      </c>
      <c r="Q21" s="11" t="str">
        <f ca="1"/>
        <v>Average</v>
      </c>
      <c r="R21" s="11">
        <f ca="1"/>
        <v>44597</v>
      </c>
      <c r="S21" s="11" t="str">
        <f ca="1"/>
        <v>Finance</v>
      </c>
      <c r="T21" s="11">
        <f ca="1"/>
        <v>64000</v>
      </c>
      <c r="U21" s="11" t="str">
        <f ca="1"/>
        <v>NZ</v>
      </c>
      <c r="V21" s="11">
        <f ca="1"/>
        <v>1.5506849315068494</v>
      </c>
    </row>
    <row r="22" spans="1:22">
      <c r="A22" t="s">
        <v>141</v>
      </c>
      <c r="B22" t="s">
        <v>9</v>
      </c>
      <c r="C22">
        <v>26</v>
      </c>
      <c r="D22" t="s">
        <v>14</v>
      </c>
      <c r="E22" s="5">
        <v>44164</v>
      </c>
      <c r="F22" t="s">
        <v>13</v>
      </c>
      <c r="G22" s="17">
        <v>47360</v>
      </c>
      <c r="H22" t="s">
        <v>207</v>
      </c>
      <c r="I22" s="7">
        <f ca="1">(TODAY()-Staff[[#This Row],[Date Joined]])/365</f>
        <v>2.7369863013698632</v>
      </c>
      <c r="J22" s="16">
        <f ca="1">ROUNDUP(IF(Staff[[#This Row],[Tenure]]&gt;2,3%,2%)*Staff[[#This Row],[Salary]],0)</f>
        <v>1421</v>
      </c>
      <c r="K22" s="19">
        <f>_xlfn.XLOOKUP(Staff[[#This Row],[Rating]],Mapping!$C$6:$C$10,Mapping!$D$6:$D$10)</f>
        <v>3</v>
      </c>
      <c r="L22" s="7"/>
    </row>
    <row r="23" spans="1:22">
      <c r="A23" t="s">
        <v>88</v>
      </c>
      <c r="B23" t="s">
        <v>9</v>
      </c>
      <c r="C23">
        <v>26</v>
      </c>
      <c r="D23" t="s">
        <v>14</v>
      </c>
      <c r="E23" s="5">
        <v>44225</v>
      </c>
      <c r="F23" t="s">
        <v>13</v>
      </c>
      <c r="G23" s="17">
        <v>47360</v>
      </c>
      <c r="H23" t="s">
        <v>208</v>
      </c>
      <c r="I23" s="7">
        <f ca="1">(TODAY()-Staff[[#This Row],[Date Joined]])/365</f>
        <v>2.56986301369863</v>
      </c>
      <c r="J23" s="16">
        <f ca="1">ROUNDUP(IF(Staff[[#This Row],[Tenure]]&gt;2,3%,2%)*Staff[[#This Row],[Salary]],0)</f>
        <v>1421</v>
      </c>
      <c r="K23" s="19">
        <f>_xlfn.XLOOKUP(Staff[[#This Row],[Rating]],Mapping!$C$6:$C$10,Mapping!$D$6:$D$10)</f>
        <v>3</v>
      </c>
      <c r="L23" s="7"/>
    </row>
    <row r="24" spans="1:22">
      <c r="A24" t="s">
        <v>123</v>
      </c>
      <c r="B24" t="s">
        <v>9</v>
      </c>
      <c r="C24">
        <v>28</v>
      </c>
      <c r="D24" t="s">
        <v>11</v>
      </c>
      <c r="E24" s="5">
        <v>43980</v>
      </c>
      <c r="F24" t="s">
        <v>18</v>
      </c>
      <c r="G24" s="17">
        <v>48170</v>
      </c>
      <c r="H24" t="s">
        <v>207</v>
      </c>
      <c r="I24" s="7">
        <f ca="1">(TODAY()-Staff[[#This Row],[Date Joined]])/365</f>
        <v>3.2410958904109588</v>
      </c>
      <c r="J24" s="16">
        <f ca="1">ROUNDUP(IF(Staff[[#This Row],[Tenure]]&gt;2,3%,2%)*Staff[[#This Row],[Salary]],0)</f>
        <v>1446</v>
      </c>
      <c r="K24" s="19">
        <f>_xlfn.XLOOKUP(Staff[[#This Row],[Rating]],Mapping!$C$6:$C$10,Mapping!$D$6:$D$10)</f>
        <v>4</v>
      </c>
      <c r="L24" s="7"/>
      <c r="O24" s="12" t="str" cm="1">
        <f t="array" aca="1" ref="O24:O31" ca="1">TRANSPOSE(_xlfn.XLOOKUP(O15,Staff[Name],B2:I184))</f>
        <v>other</v>
      </c>
    </row>
    <row r="25" spans="1:22">
      <c r="A25" t="s">
        <v>70</v>
      </c>
      <c r="B25" t="s">
        <v>9</v>
      </c>
      <c r="C25">
        <v>28</v>
      </c>
      <c r="D25" t="s">
        <v>11</v>
      </c>
      <c r="E25" s="5">
        <v>44041</v>
      </c>
      <c r="F25" t="s">
        <v>18</v>
      </c>
      <c r="G25" s="17">
        <v>48170</v>
      </c>
      <c r="H25" t="s">
        <v>208</v>
      </c>
      <c r="I25" s="7">
        <f ca="1">(TODAY()-Staff[[#This Row],[Date Joined]])/365</f>
        <v>3.0739726027397261</v>
      </c>
      <c r="J25" s="16">
        <f ca="1">ROUNDUP(IF(Staff[[#This Row],[Tenure]]&gt;2,3%,2%)*Staff[[#This Row],[Salary]],0)</f>
        <v>1446</v>
      </c>
      <c r="K25" s="19">
        <f>_xlfn.XLOOKUP(Staff[[#This Row],[Rating]],Mapping!$C$6:$C$10,Mapping!$D$6:$D$10)</f>
        <v>4</v>
      </c>
      <c r="L25" s="7"/>
      <c r="O25" s="12">
        <f ca="1"/>
        <v>30</v>
      </c>
    </row>
    <row r="26" spans="1:22">
      <c r="A26" t="s">
        <v>201</v>
      </c>
      <c r="B26" t="s">
        <v>9</v>
      </c>
      <c r="C26">
        <v>33</v>
      </c>
      <c r="D26" t="s">
        <v>11</v>
      </c>
      <c r="E26" s="5">
        <v>44640</v>
      </c>
      <c r="F26" t="s">
        <v>13</v>
      </c>
      <c r="G26" s="17">
        <v>48530</v>
      </c>
      <c r="H26" t="s">
        <v>207</v>
      </c>
      <c r="I26" s="7">
        <f ca="1">(TODAY()-Staff[[#This Row],[Date Joined]])/365</f>
        <v>1.4328767123287671</v>
      </c>
      <c r="J26" s="16">
        <f ca="1">ROUNDUP(IF(Staff[[#This Row],[Tenure]]&gt;2,3%,2%)*Staff[[#This Row],[Salary]],0)</f>
        <v>971</v>
      </c>
      <c r="K26" s="19">
        <f>_xlfn.XLOOKUP(Staff[[#This Row],[Rating]],Mapping!$C$6:$C$10,Mapping!$D$6:$D$10)</f>
        <v>4</v>
      </c>
      <c r="L26" s="7"/>
      <c r="O26" s="12" t="str">
        <f ca="1"/>
        <v>Average</v>
      </c>
    </row>
    <row r="27" spans="1:22">
      <c r="A27" t="s">
        <v>22</v>
      </c>
      <c r="B27" t="s">
        <v>9</v>
      </c>
      <c r="C27">
        <v>33</v>
      </c>
      <c r="D27" t="s">
        <v>11</v>
      </c>
      <c r="E27" s="5">
        <v>44701</v>
      </c>
      <c r="F27" t="s">
        <v>13</v>
      </c>
      <c r="G27" s="17">
        <v>48530</v>
      </c>
      <c r="H27" t="s">
        <v>208</v>
      </c>
      <c r="I27" s="7">
        <f ca="1">(TODAY()-Staff[[#This Row],[Date Joined]])/365</f>
        <v>1.2657534246575342</v>
      </c>
      <c r="J27" s="16">
        <f ca="1">ROUNDUP(IF(Staff[[#This Row],[Tenure]]&gt;2,3%,2%)*Staff[[#This Row],[Salary]],0)</f>
        <v>971</v>
      </c>
      <c r="K27" s="19">
        <f>_xlfn.XLOOKUP(Staff[[#This Row],[Rating]],Mapping!$C$6:$C$10,Mapping!$D$6:$D$10)</f>
        <v>4</v>
      </c>
      <c r="L27" s="7"/>
      <c r="O27" s="12">
        <f ca="1"/>
        <v>44597</v>
      </c>
    </row>
    <row r="28" spans="1:22">
      <c r="A28" t="s">
        <v>168</v>
      </c>
      <c r="B28" t="s">
        <v>9</v>
      </c>
      <c r="C28">
        <v>31</v>
      </c>
      <c r="D28" t="s">
        <v>14</v>
      </c>
      <c r="E28" s="5">
        <v>44450</v>
      </c>
      <c r="F28" t="s">
        <v>24</v>
      </c>
      <c r="G28" s="17">
        <v>48950</v>
      </c>
      <c r="H28" t="s">
        <v>207</v>
      </c>
      <c r="I28" s="7">
        <f ca="1">(TODAY()-Staff[[#This Row],[Date Joined]])/365</f>
        <v>1.9534246575342467</v>
      </c>
      <c r="J28" s="16">
        <f ca="1">ROUNDUP(IF(Staff[[#This Row],[Tenure]]&gt;2,3%,2%)*Staff[[#This Row],[Salary]],0)</f>
        <v>979</v>
      </c>
      <c r="K28" s="19">
        <f>_xlfn.XLOOKUP(Staff[[#This Row],[Rating]],Mapping!$C$6:$C$10,Mapping!$D$6:$D$10)</f>
        <v>3</v>
      </c>
      <c r="L28" s="7"/>
      <c r="O28" s="12" t="str">
        <f ca="1"/>
        <v>Finance</v>
      </c>
    </row>
    <row r="29" spans="1:22">
      <c r="A29" t="s">
        <v>58</v>
      </c>
      <c r="B29" t="s">
        <v>9</v>
      </c>
      <c r="C29">
        <v>31</v>
      </c>
      <c r="D29" t="s">
        <v>14</v>
      </c>
      <c r="E29" s="5">
        <v>44511</v>
      </c>
      <c r="F29" t="s">
        <v>24</v>
      </c>
      <c r="G29" s="17">
        <v>48950</v>
      </c>
      <c r="H29" t="s">
        <v>208</v>
      </c>
      <c r="I29" s="7">
        <f ca="1">(TODAY()-Staff[[#This Row],[Date Joined]])/365</f>
        <v>1.7863013698630137</v>
      </c>
      <c r="J29" s="16">
        <f ca="1">ROUNDUP(IF(Staff[[#This Row],[Tenure]]&gt;2,3%,2%)*Staff[[#This Row],[Salary]],0)</f>
        <v>979</v>
      </c>
      <c r="K29" s="19">
        <f>_xlfn.XLOOKUP(Staff[[#This Row],[Rating]],Mapping!$C$6:$C$10,Mapping!$D$6:$D$10)</f>
        <v>3</v>
      </c>
      <c r="L29" s="7"/>
      <c r="O29" s="12">
        <f ca="1"/>
        <v>64000</v>
      </c>
    </row>
    <row r="30" spans="1:22">
      <c r="A30" t="s">
        <v>150</v>
      </c>
      <c r="B30" t="s">
        <v>9</v>
      </c>
      <c r="C30">
        <v>27</v>
      </c>
      <c r="D30" t="s">
        <v>14</v>
      </c>
      <c r="E30" s="5">
        <v>44506</v>
      </c>
      <c r="F30" t="s">
        <v>18</v>
      </c>
      <c r="G30" s="17">
        <v>48980</v>
      </c>
      <c r="H30" t="s">
        <v>207</v>
      </c>
      <c r="I30" s="7">
        <f ca="1">(TODAY()-Staff[[#This Row],[Date Joined]])/365</f>
        <v>1.8</v>
      </c>
      <c r="J30" s="16">
        <f ca="1">ROUNDUP(IF(Staff[[#This Row],[Tenure]]&gt;2,3%,2%)*Staff[[#This Row],[Salary]],0)</f>
        <v>980</v>
      </c>
      <c r="K30" s="19">
        <f>_xlfn.XLOOKUP(Staff[[#This Row],[Rating]],Mapping!$C$6:$C$10,Mapping!$D$6:$D$10)</f>
        <v>3</v>
      </c>
      <c r="L30" s="7"/>
      <c r="O30" s="12" t="str">
        <f ca="1"/>
        <v>NZ</v>
      </c>
    </row>
    <row r="31" spans="1:22">
      <c r="A31" t="s">
        <v>41</v>
      </c>
      <c r="B31" t="s">
        <v>9</v>
      </c>
      <c r="C31">
        <v>27</v>
      </c>
      <c r="D31" t="s">
        <v>14</v>
      </c>
      <c r="E31" s="5">
        <v>44567</v>
      </c>
      <c r="F31" t="s">
        <v>18</v>
      </c>
      <c r="G31" s="17">
        <v>48980</v>
      </c>
      <c r="H31" t="s">
        <v>208</v>
      </c>
      <c r="I31" s="7">
        <f ca="1">(TODAY()-Staff[[#This Row],[Date Joined]])/365</f>
        <v>1.6328767123287671</v>
      </c>
      <c r="J31" s="16">
        <f ca="1">ROUNDUP(IF(Staff[[#This Row],[Tenure]]&gt;2,3%,2%)*Staff[[#This Row],[Salary]],0)</f>
        <v>980</v>
      </c>
      <c r="K31" s="19">
        <f>_xlfn.XLOOKUP(Staff[[#This Row],[Rating]],Mapping!$C$6:$C$10,Mapping!$D$6:$D$10)</f>
        <v>3</v>
      </c>
      <c r="L31" s="7"/>
      <c r="O31" s="12">
        <f ca="1"/>
        <v>1.5506849315068494</v>
      </c>
    </row>
    <row r="32" spans="1:22">
      <c r="A32" t="s">
        <v>126</v>
      </c>
      <c r="B32" t="s">
        <v>16</v>
      </c>
      <c r="C32">
        <v>34</v>
      </c>
      <c r="D32" t="s">
        <v>19</v>
      </c>
      <c r="E32" s="5">
        <v>44660</v>
      </c>
      <c r="F32" t="s">
        <v>10</v>
      </c>
      <c r="G32" s="17">
        <v>49630</v>
      </c>
      <c r="H32" t="s">
        <v>207</v>
      </c>
      <c r="I32" s="7">
        <f ca="1">(TODAY()-Staff[[#This Row],[Date Joined]])/365</f>
        <v>1.3780821917808219</v>
      </c>
      <c r="J32" s="16">
        <f ca="1">ROUNDUP(IF(Staff[[#This Row],[Tenure]]&gt;2,3%,2%)*Staff[[#This Row],[Salary]],0)</f>
        <v>993</v>
      </c>
      <c r="K32" s="19">
        <f>_xlfn.XLOOKUP(Staff[[#This Row],[Rating]],Mapping!$C$6:$C$10,Mapping!$D$6:$D$10)</f>
        <v>2</v>
      </c>
      <c r="L32" s="7"/>
    </row>
    <row r="33" spans="1:12">
      <c r="A33" t="s">
        <v>54</v>
      </c>
      <c r="B33" t="s">
        <v>16</v>
      </c>
      <c r="C33">
        <v>34</v>
      </c>
      <c r="D33" t="s">
        <v>19</v>
      </c>
      <c r="E33" s="5">
        <v>44721</v>
      </c>
      <c r="F33" t="s">
        <v>10</v>
      </c>
      <c r="G33" s="17">
        <v>49630</v>
      </c>
      <c r="H33" t="s">
        <v>208</v>
      </c>
      <c r="I33" s="7">
        <f ca="1">(TODAY()-Staff[[#This Row],[Date Joined]])/365</f>
        <v>1.210958904109589</v>
      </c>
      <c r="J33" s="16">
        <f ca="1">ROUNDUP(IF(Staff[[#This Row],[Tenure]]&gt;2,3%,2%)*Staff[[#This Row],[Salary]],0)</f>
        <v>993</v>
      </c>
      <c r="K33" s="19">
        <f>_xlfn.XLOOKUP(Staff[[#This Row],[Rating]],Mapping!$C$6:$C$10,Mapping!$D$6:$D$10)</f>
        <v>2</v>
      </c>
      <c r="L33" s="7"/>
    </row>
    <row r="34" spans="1:12">
      <c r="A34" t="s">
        <v>145</v>
      </c>
      <c r="B34" t="s">
        <v>9</v>
      </c>
      <c r="C34">
        <v>24</v>
      </c>
      <c r="D34" t="s">
        <v>19</v>
      </c>
      <c r="E34" s="5">
        <v>44375</v>
      </c>
      <c r="F34" t="s">
        <v>18</v>
      </c>
      <c r="G34" s="17">
        <v>52610</v>
      </c>
      <c r="H34" t="s">
        <v>207</v>
      </c>
      <c r="I34" s="7">
        <f ca="1">(TODAY()-Staff[[#This Row],[Date Joined]])/365</f>
        <v>2.1589041095890411</v>
      </c>
      <c r="J34" s="16">
        <f ca="1">ROUNDUP(IF(Staff[[#This Row],[Tenure]]&gt;2,3%,2%)*Staff[[#This Row],[Salary]],0)</f>
        <v>1579</v>
      </c>
      <c r="K34" s="19">
        <f>_xlfn.XLOOKUP(Staff[[#This Row],[Rating]],Mapping!$C$6:$C$10,Mapping!$D$6:$D$10)</f>
        <v>2</v>
      </c>
      <c r="L34" s="7"/>
    </row>
    <row r="35" spans="1:12">
      <c r="A35" t="s">
        <v>59</v>
      </c>
      <c r="B35" t="s">
        <v>9</v>
      </c>
      <c r="C35">
        <v>24</v>
      </c>
      <c r="D35" t="s">
        <v>19</v>
      </c>
      <c r="E35" s="5">
        <v>44436</v>
      </c>
      <c r="F35" t="s">
        <v>18</v>
      </c>
      <c r="G35" s="17">
        <v>52610</v>
      </c>
      <c r="H35" t="s">
        <v>208</v>
      </c>
      <c r="I35" s="7">
        <f ca="1">(TODAY()-Staff[[#This Row],[Date Joined]])/365</f>
        <v>1.9917808219178081</v>
      </c>
      <c r="J35" s="16">
        <f ca="1">ROUNDUP(IF(Staff[[#This Row],[Tenure]]&gt;2,3%,2%)*Staff[[#This Row],[Salary]],0)</f>
        <v>1053</v>
      </c>
      <c r="K35" s="19">
        <f>_xlfn.XLOOKUP(Staff[[#This Row],[Rating]],Mapping!$C$6:$C$10,Mapping!$D$6:$D$10)</f>
        <v>2</v>
      </c>
      <c r="L35" s="7"/>
    </row>
    <row r="36" spans="1:12">
      <c r="A36" t="s">
        <v>152</v>
      </c>
      <c r="B36" t="s">
        <v>16</v>
      </c>
      <c r="C36">
        <v>28</v>
      </c>
      <c r="D36" t="s">
        <v>14</v>
      </c>
      <c r="E36" s="5">
        <v>44296</v>
      </c>
      <c r="F36" t="s">
        <v>10</v>
      </c>
      <c r="G36" s="17">
        <v>53240</v>
      </c>
      <c r="H36" t="s">
        <v>207</v>
      </c>
      <c r="I36" s="7">
        <f ca="1">(TODAY()-Staff[[#This Row],[Date Joined]])/365</f>
        <v>2.3753424657534246</v>
      </c>
      <c r="J36" s="16">
        <f ca="1">ROUNDUP(IF(Staff[[#This Row],[Tenure]]&gt;2,3%,2%)*Staff[[#This Row],[Salary]],0)</f>
        <v>1598</v>
      </c>
      <c r="K36" s="19">
        <f>_xlfn.XLOOKUP(Staff[[#This Row],[Rating]],Mapping!$C$6:$C$10,Mapping!$D$6:$D$10)</f>
        <v>3</v>
      </c>
      <c r="L36" s="7"/>
    </row>
    <row r="37" spans="1:12">
      <c r="A37" t="s">
        <v>15</v>
      </c>
      <c r="B37" t="s">
        <v>16</v>
      </c>
      <c r="C37">
        <v>28</v>
      </c>
      <c r="D37" t="s">
        <v>14</v>
      </c>
      <c r="E37" s="5">
        <v>44357</v>
      </c>
      <c r="F37" t="s">
        <v>10</v>
      </c>
      <c r="G37" s="17">
        <v>53240</v>
      </c>
      <c r="H37" t="s">
        <v>208</v>
      </c>
      <c r="I37" s="7">
        <f ca="1">(TODAY()-Staff[[#This Row],[Date Joined]])/365</f>
        <v>2.2082191780821918</v>
      </c>
      <c r="J37" s="16">
        <f ca="1">ROUNDUP(IF(Staff[[#This Row],[Tenure]]&gt;2,3%,2%)*Staff[[#This Row],[Salary]],0)</f>
        <v>1598</v>
      </c>
      <c r="K37" s="19">
        <f>_xlfn.XLOOKUP(Staff[[#This Row],[Rating]],Mapping!$C$6:$C$10,Mapping!$D$6:$D$10)</f>
        <v>3</v>
      </c>
      <c r="L37" s="7"/>
    </row>
    <row r="38" spans="1:12">
      <c r="A38" t="s">
        <v>172</v>
      </c>
      <c r="B38" t="s">
        <v>9</v>
      </c>
      <c r="C38">
        <v>32</v>
      </c>
      <c r="D38" t="s">
        <v>14</v>
      </c>
      <c r="E38" s="5">
        <v>44403</v>
      </c>
      <c r="F38" t="s">
        <v>10</v>
      </c>
      <c r="G38" s="17">
        <v>53540</v>
      </c>
      <c r="H38" t="s">
        <v>207</v>
      </c>
      <c r="I38" s="7">
        <f ca="1">(TODAY()-Staff[[#This Row],[Date Joined]])/365</f>
        <v>2.0821917808219177</v>
      </c>
      <c r="J38" s="16">
        <f ca="1">ROUNDUP(IF(Staff[[#This Row],[Tenure]]&gt;2,3%,2%)*Staff[[#This Row],[Salary]],0)</f>
        <v>1607</v>
      </c>
      <c r="K38" s="19">
        <f>_xlfn.XLOOKUP(Staff[[#This Row],[Rating]],Mapping!$C$6:$C$10,Mapping!$D$6:$D$10)</f>
        <v>3</v>
      </c>
      <c r="L38" s="7"/>
    </row>
    <row r="39" spans="1:12">
      <c r="A39" t="s">
        <v>180</v>
      </c>
      <c r="B39" t="s">
        <v>9</v>
      </c>
      <c r="C39">
        <v>26</v>
      </c>
      <c r="D39" t="s">
        <v>14</v>
      </c>
      <c r="E39" s="5">
        <v>44350</v>
      </c>
      <c r="F39" t="s">
        <v>13</v>
      </c>
      <c r="G39" s="17">
        <v>53540</v>
      </c>
      <c r="H39" t="s">
        <v>207</v>
      </c>
      <c r="I39" s="7">
        <f ca="1">(TODAY()-Staff[[#This Row],[Date Joined]])/365</f>
        <v>2.2273972602739724</v>
      </c>
      <c r="J39" s="16">
        <f ca="1">ROUNDUP(IF(Staff[[#This Row],[Tenure]]&gt;2,3%,2%)*Staff[[#This Row],[Salary]],0)</f>
        <v>1607</v>
      </c>
      <c r="K39" s="19">
        <f>_xlfn.XLOOKUP(Staff[[#This Row],[Rating]],Mapping!$C$6:$C$10,Mapping!$D$6:$D$10)</f>
        <v>3</v>
      </c>
      <c r="L39" s="7"/>
    </row>
    <row r="40" spans="1:12">
      <c r="A40" t="s">
        <v>20</v>
      </c>
      <c r="B40" t="s">
        <v>9</v>
      </c>
      <c r="C40">
        <v>32</v>
      </c>
      <c r="D40" t="s">
        <v>14</v>
      </c>
      <c r="E40" s="5">
        <v>44465</v>
      </c>
      <c r="F40" t="s">
        <v>10</v>
      </c>
      <c r="G40" s="17">
        <v>53540</v>
      </c>
      <c r="H40" t="s">
        <v>208</v>
      </c>
      <c r="I40" s="7">
        <f ca="1">(TODAY()-Staff[[#This Row],[Date Joined]])/365</f>
        <v>1.9123287671232876</v>
      </c>
      <c r="J40" s="16">
        <f ca="1">ROUNDUP(IF(Staff[[#This Row],[Tenure]]&gt;2,3%,2%)*Staff[[#This Row],[Salary]],0)</f>
        <v>1071</v>
      </c>
      <c r="K40" s="19">
        <f>_xlfn.XLOOKUP(Staff[[#This Row],[Rating]],Mapping!$C$6:$C$10,Mapping!$D$6:$D$10)</f>
        <v>3</v>
      </c>
      <c r="L40" s="7"/>
    </row>
    <row r="41" spans="1:12">
      <c r="A41" t="s">
        <v>110</v>
      </c>
      <c r="B41" t="s">
        <v>9</v>
      </c>
      <c r="C41">
        <v>26</v>
      </c>
      <c r="D41" t="s">
        <v>14</v>
      </c>
      <c r="E41" s="5">
        <v>44411</v>
      </c>
      <c r="F41" t="s">
        <v>13</v>
      </c>
      <c r="G41" s="17">
        <v>53540</v>
      </c>
      <c r="H41" t="s">
        <v>208</v>
      </c>
      <c r="I41" s="7">
        <f ca="1">(TODAY()-Staff[[#This Row],[Date Joined]])/365</f>
        <v>2.0602739726027397</v>
      </c>
      <c r="J41" s="16">
        <f ca="1">ROUNDUP(IF(Staff[[#This Row],[Tenure]]&gt;2,3%,2%)*Staff[[#This Row],[Salary]],0)</f>
        <v>1607</v>
      </c>
      <c r="K41" s="19">
        <f>_xlfn.XLOOKUP(Staff[[#This Row],[Rating]],Mapping!$C$6:$C$10,Mapping!$D$6:$D$10)</f>
        <v>3</v>
      </c>
      <c r="L41" s="7"/>
    </row>
    <row r="42" spans="1:12">
      <c r="A42" t="s">
        <v>196</v>
      </c>
      <c r="B42" t="s">
        <v>9</v>
      </c>
      <c r="C42">
        <v>33</v>
      </c>
      <c r="D42" t="s">
        <v>14</v>
      </c>
      <c r="E42" s="5">
        <v>44448</v>
      </c>
      <c r="F42" t="s">
        <v>24</v>
      </c>
      <c r="G42" s="17">
        <v>53870</v>
      </c>
      <c r="H42" t="s">
        <v>207</v>
      </c>
      <c r="I42" s="7">
        <f ca="1">(TODAY()-Staff[[#This Row],[Date Joined]])/365</f>
        <v>1.9589041095890412</v>
      </c>
      <c r="J42" s="16">
        <f ca="1">ROUNDUP(IF(Staff[[#This Row],[Tenure]]&gt;2,3%,2%)*Staff[[#This Row],[Salary]],0)</f>
        <v>1078</v>
      </c>
      <c r="K42" s="19">
        <f>_xlfn.XLOOKUP(Staff[[#This Row],[Rating]],Mapping!$C$6:$C$10,Mapping!$D$6:$D$10)</f>
        <v>3</v>
      </c>
      <c r="L42" s="7"/>
    </row>
    <row r="43" spans="1:12">
      <c r="A43" t="s">
        <v>25</v>
      </c>
      <c r="B43" t="s">
        <v>9</v>
      </c>
      <c r="C43">
        <v>33</v>
      </c>
      <c r="D43" t="s">
        <v>14</v>
      </c>
      <c r="E43" s="5">
        <v>44509</v>
      </c>
      <c r="F43" t="s">
        <v>24</v>
      </c>
      <c r="G43" s="17">
        <v>53870</v>
      </c>
      <c r="H43" t="s">
        <v>208</v>
      </c>
      <c r="I43" s="7">
        <f ca="1">(TODAY()-Staff[[#This Row],[Date Joined]])/365</f>
        <v>1.7917808219178082</v>
      </c>
      <c r="J43" s="16">
        <f ca="1">ROUNDUP(IF(Staff[[#This Row],[Tenure]]&gt;2,3%,2%)*Staff[[#This Row],[Salary]],0)</f>
        <v>1078</v>
      </c>
      <c r="K43" s="19">
        <f>_xlfn.XLOOKUP(Staff[[#This Row],[Rating]],Mapping!$C$6:$C$10,Mapping!$D$6:$D$10)</f>
        <v>3</v>
      </c>
      <c r="L43" s="7"/>
    </row>
    <row r="44" spans="1:12">
      <c r="A44" t="s">
        <v>131</v>
      </c>
      <c r="B44" t="s">
        <v>9</v>
      </c>
      <c r="C44">
        <v>27</v>
      </c>
      <c r="D44" t="s">
        <v>14</v>
      </c>
      <c r="E44" s="5">
        <v>44073</v>
      </c>
      <c r="F44" t="s">
        <v>10</v>
      </c>
      <c r="G44" s="17">
        <v>54970</v>
      </c>
      <c r="H44" t="s">
        <v>207</v>
      </c>
      <c r="I44" s="7">
        <f ca="1">(TODAY()-Staff[[#This Row],[Date Joined]])/365</f>
        <v>2.9863013698630136</v>
      </c>
      <c r="J44" s="16">
        <f ca="1">ROUNDUP(IF(Staff[[#This Row],[Tenure]]&gt;2,3%,2%)*Staff[[#This Row],[Salary]],0)</f>
        <v>1650</v>
      </c>
      <c r="K44" s="19">
        <f>_xlfn.XLOOKUP(Staff[[#This Row],[Rating]],Mapping!$C$6:$C$10,Mapping!$D$6:$D$10)</f>
        <v>3</v>
      </c>
      <c r="L44" s="7"/>
    </row>
    <row r="45" spans="1:12">
      <c r="A45" t="s">
        <v>83</v>
      </c>
      <c r="B45" t="s">
        <v>9</v>
      </c>
      <c r="C45">
        <v>27</v>
      </c>
      <c r="D45" t="s">
        <v>14</v>
      </c>
      <c r="E45" s="5">
        <v>44134</v>
      </c>
      <c r="F45" t="s">
        <v>10</v>
      </c>
      <c r="G45" s="17">
        <v>54970</v>
      </c>
      <c r="H45" t="s">
        <v>208</v>
      </c>
      <c r="I45" s="7">
        <f ca="1">(TODAY()-Staff[[#This Row],[Date Joined]])/365</f>
        <v>2.8191780821917809</v>
      </c>
      <c r="J45" s="16">
        <f ca="1">ROUNDUP(IF(Staff[[#This Row],[Tenure]]&gt;2,3%,2%)*Staff[[#This Row],[Salary]],0)</f>
        <v>1650</v>
      </c>
      <c r="K45" s="19">
        <f>_xlfn.XLOOKUP(Staff[[#This Row],[Rating]],Mapping!$C$6:$C$10,Mapping!$D$6:$D$10)</f>
        <v>3</v>
      </c>
      <c r="L45" s="7"/>
    </row>
    <row r="46" spans="1:12">
      <c r="A46" t="s">
        <v>116</v>
      </c>
      <c r="B46" t="s">
        <v>16</v>
      </c>
      <c r="C46">
        <v>38</v>
      </c>
      <c r="D46" t="s">
        <v>11</v>
      </c>
      <c r="E46" s="5">
        <v>44268</v>
      </c>
      <c r="F46" t="s">
        <v>10</v>
      </c>
      <c r="G46" s="17">
        <v>56870</v>
      </c>
      <c r="H46" t="s">
        <v>207</v>
      </c>
      <c r="I46" s="7">
        <f ca="1">(TODAY()-Staff[[#This Row],[Date Joined]])/365</f>
        <v>2.452054794520548</v>
      </c>
      <c r="J46" s="16">
        <f ca="1">ROUNDUP(IF(Staff[[#This Row],[Tenure]]&gt;2,3%,2%)*Staff[[#This Row],[Salary]],0)</f>
        <v>1707</v>
      </c>
      <c r="K46" s="19">
        <f>_xlfn.XLOOKUP(Staff[[#This Row],[Rating]],Mapping!$C$6:$C$10,Mapping!$D$6:$D$10)</f>
        <v>4</v>
      </c>
      <c r="L46" s="7"/>
    </row>
    <row r="47" spans="1:12">
      <c r="A47" t="s">
        <v>85</v>
      </c>
      <c r="B47" t="s">
        <v>16</v>
      </c>
      <c r="C47">
        <v>38</v>
      </c>
      <c r="D47" t="s">
        <v>11</v>
      </c>
      <c r="E47" s="5">
        <v>44329</v>
      </c>
      <c r="F47" t="s">
        <v>10</v>
      </c>
      <c r="G47" s="17">
        <v>56870</v>
      </c>
      <c r="H47" t="s">
        <v>208</v>
      </c>
      <c r="I47" s="7">
        <f ca="1">(TODAY()-Staff[[#This Row],[Date Joined]])/365</f>
        <v>2.2849315068493152</v>
      </c>
      <c r="J47" s="16">
        <f ca="1">ROUNDUP(IF(Staff[[#This Row],[Tenure]]&gt;2,3%,2%)*Staff[[#This Row],[Salary]],0)</f>
        <v>1707</v>
      </c>
      <c r="K47" s="19">
        <f>_xlfn.XLOOKUP(Staff[[#This Row],[Rating]],Mapping!$C$6:$C$10,Mapping!$D$6:$D$10)</f>
        <v>4</v>
      </c>
      <c r="L47" s="7"/>
    </row>
    <row r="48" spans="1:12">
      <c r="A48" t="s">
        <v>158</v>
      </c>
      <c r="B48" t="s">
        <v>9</v>
      </c>
      <c r="C48">
        <v>21</v>
      </c>
      <c r="D48" t="s">
        <v>14</v>
      </c>
      <c r="E48" s="5">
        <v>44701</v>
      </c>
      <c r="F48" t="s">
        <v>13</v>
      </c>
      <c r="G48" s="17">
        <v>57090</v>
      </c>
      <c r="H48" t="s">
        <v>207</v>
      </c>
      <c r="I48" s="7">
        <f ca="1">(TODAY()-Staff[[#This Row],[Date Joined]])/365</f>
        <v>1.2657534246575342</v>
      </c>
      <c r="J48" s="16">
        <f ca="1">ROUNDUP(IF(Staff[[#This Row],[Tenure]]&gt;2,3%,2%)*Staff[[#This Row],[Salary]],0)</f>
        <v>1142</v>
      </c>
      <c r="K48" s="19">
        <f>_xlfn.XLOOKUP(Staff[[#This Row],[Rating]],Mapping!$C$6:$C$10,Mapping!$D$6:$D$10)</f>
        <v>3</v>
      </c>
      <c r="L48" s="7"/>
    </row>
    <row r="49" spans="1:12">
      <c r="A49" t="s">
        <v>35</v>
      </c>
      <c r="B49" t="s">
        <v>9</v>
      </c>
      <c r="C49">
        <v>21</v>
      </c>
      <c r="D49" t="s">
        <v>14</v>
      </c>
      <c r="E49" s="5">
        <v>44762</v>
      </c>
      <c r="F49" t="s">
        <v>13</v>
      </c>
      <c r="G49" s="17">
        <v>57090</v>
      </c>
      <c r="H49" t="s">
        <v>208</v>
      </c>
      <c r="I49" s="7">
        <f ca="1">(TODAY()-Staff[[#This Row],[Date Joined]])/365</f>
        <v>1.0986301369863014</v>
      </c>
      <c r="J49" s="16">
        <f ca="1">ROUNDUP(IF(Staff[[#This Row],[Tenure]]&gt;2,3%,2%)*Staff[[#This Row],[Salary]],0)</f>
        <v>1142</v>
      </c>
      <c r="K49" s="19">
        <f>_xlfn.XLOOKUP(Staff[[#This Row],[Rating]],Mapping!$C$6:$C$10,Mapping!$D$6:$D$10)</f>
        <v>3</v>
      </c>
      <c r="L49" s="7"/>
    </row>
    <row r="50" spans="1:12">
      <c r="A50" t="s">
        <v>137</v>
      </c>
      <c r="B50" t="s">
        <v>16</v>
      </c>
      <c r="C50">
        <v>31</v>
      </c>
      <c r="D50" t="s">
        <v>14</v>
      </c>
      <c r="E50" s="5">
        <v>44604</v>
      </c>
      <c r="F50" t="s">
        <v>24</v>
      </c>
      <c r="G50" s="17">
        <v>58100</v>
      </c>
      <c r="H50" t="s">
        <v>207</v>
      </c>
      <c r="I50" s="7">
        <f ca="1">(TODAY()-Staff[[#This Row],[Date Joined]])/365</f>
        <v>1.5315068493150685</v>
      </c>
      <c r="J50" s="16">
        <f ca="1">ROUNDUP(IF(Staff[[#This Row],[Tenure]]&gt;2,3%,2%)*Staff[[#This Row],[Salary]],0)</f>
        <v>1162</v>
      </c>
      <c r="K50" s="19">
        <f>_xlfn.XLOOKUP(Staff[[#This Row],[Rating]],Mapping!$C$6:$C$10,Mapping!$D$6:$D$10)</f>
        <v>3</v>
      </c>
      <c r="L50" s="7"/>
    </row>
    <row r="51" spans="1:12">
      <c r="A51" t="s">
        <v>40</v>
      </c>
      <c r="B51" t="s">
        <v>16</v>
      </c>
      <c r="C51">
        <v>31</v>
      </c>
      <c r="D51" t="s">
        <v>14</v>
      </c>
      <c r="E51" s="5">
        <v>44663</v>
      </c>
      <c r="F51" t="s">
        <v>24</v>
      </c>
      <c r="G51" s="17">
        <v>58100</v>
      </c>
      <c r="H51" t="s">
        <v>208</v>
      </c>
      <c r="I51" s="7">
        <f ca="1">(TODAY()-Staff[[#This Row],[Date Joined]])/365</f>
        <v>1.3698630136986301</v>
      </c>
      <c r="J51" s="16">
        <f ca="1">ROUNDUP(IF(Staff[[#This Row],[Tenure]]&gt;2,3%,2%)*Staff[[#This Row],[Salary]],0)</f>
        <v>1162</v>
      </c>
      <c r="K51" s="19">
        <f>_xlfn.XLOOKUP(Staff[[#This Row],[Rating]],Mapping!$C$6:$C$10,Mapping!$D$6:$D$10)</f>
        <v>3</v>
      </c>
      <c r="L51" s="7"/>
    </row>
    <row r="52" spans="1:12">
      <c r="A52" t="s">
        <v>156</v>
      </c>
      <c r="B52" t="s">
        <v>16</v>
      </c>
      <c r="C52">
        <v>34</v>
      </c>
      <c r="D52" t="s">
        <v>14</v>
      </c>
      <c r="E52" s="5">
        <v>44594</v>
      </c>
      <c r="F52" t="s">
        <v>18</v>
      </c>
      <c r="G52" s="17">
        <v>58940</v>
      </c>
      <c r="H52" t="s">
        <v>207</v>
      </c>
      <c r="I52" s="7">
        <f ca="1">(TODAY()-Staff[[#This Row],[Date Joined]])/365</f>
        <v>1.558904109589041</v>
      </c>
      <c r="J52" s="16">
        <f ca="1">ROUNDUP(IF(Staff[[#This Row],[Tenure]]&gt;2,3%,2%)*Staff[[#This Row],[Salary]],0)</f>
        <v>1179</v>
      </c>
      <c r="K52" s="19">
        <f>_xlfn.XLOOKUP(Staff[[#This Row],[Rating]],Mapping!$C$6:$C$10,Mapping!$D$6:$D$10)</f>
        <v>3</v>
      </c>
      <c r="L52" s="7"/>
    </row>
    <row r="53" spans="1:12">
      <c r="A53" t="s">
        <v>38</v>
      </c>
      <c r="B53" t="s">
        <v>16</v>
      </c>
      <c r="C53">
        <v>34</v>
      </c>
      <c r="D53" t="s">
        <v>14</v>
      </c>
      <c r="E53" s="5">
        <v>44653</v>
      </c>
      <c r="F53" t="s">
        <v>18</v>
      </c>
      <c r="G53" s="17">
        <v>58940</v>
      </c>
      <c r="H53" t="s">
        <v>208</v>
      </c>
      <c r="I53" s="7">
        <f ca="1">(TODAY()-Staff[[#This Row],[Date Joined]])/365</f>
        <v>1.3972602739726028</v>
      </c>
      <c r="J53" s="16">
        <f ca="1">ROUNDUP(IF(Staff[[#This Row],[Tenure]]&gt;2,3%,2%)*Staff[[#This Row],[Salary]],0)</f>
        <v>1179</v>
      </c>
      <c r="K53" s="19">
        <f>_xlfn.XLOOKUP(Staff[[#This Row],[Rating]],Mapping!$C$6:$C$10,Mapping!$D$6:$D$10)</f>
        <v>3</v>
      </c>
      <c r="L53" s="7"/>
    </row>
    <row r="54" spans="1:12">
      <c r="A54" t="s">
        <v>198</v>
      </c>
      <c r="B54" t="s">
        <v>9</v>
      </c>
      <c r="C54">
        <v>19</v>
      </c>
      <c r="D54" t="s">
        <v>14</v>
      </c>
      <c r="E54" s="5">
        <v>44218</v>
      </c>
      <c r="F54" t="s">
        <v>13</v>
      </c>
      <c r="G54" s="17">
        <v>58960</v>
      </c>
      <c r="H54" t="s">
        <v>207</v>
      </c>
      <c r="I54" s="7">
        <f ca="1">(TODAY()-Staff[[#This Row],[Date Joined]])/365</f>
        <v>2.5890410958904111</v>
      </c>
      <c r="J54" s="16">
        <f ca="1">ROUNDUP(IF(Staff[[#This Row],[Tenure]]&gt;2,3%,2%)*Staff[[#This Row],[Salary]],0)</f>
        <v>1769</v>
      </c>
      <c r="K54" s="19">
        <f>_xlfn.XLOOKUP(Staff[[#This Row],[Rating]],Mapping!$C$6:$C$10,Mapping!$D$6:$D$10)</f>
        <v>3</v>
      </c>
      <c r="L54" s="7"/>
    </row>
    <row r="55" spans="1:12">
      <c r="A55" t="s">
        <v>68</v>
      </c>
      <c r="B55" t="s">
        <v>9</v>
      </c>
      <c r="C55">
        <v>19</v>
      </c>
      <c r="D55" t="s">
        <v>14</v>
      </c>
      <c r="E55" s="5">
        <v>44277</v>
      </c>
      <c r="F55" t="s">
        <v>13</v>
      </c>
      <c r="G55" s="17">
        <v>58960</v>
      </c>
      <c r="H55" t="s">
        <v>208</v>
      </c>
      <c r="I55" s="7">
        <f ca="1">(TODAY()-Staff[[#This Row],[Date Joined]])/365</f>
        <v>2.4273972602739726</v>
      </c>
      <c r="J55" s="16">
        <f ca="1">ROUNDUP(IF(Staff[[#This Row],[Tenure]]&gt;2,3%,2%)*Staff[[#This Row],[Salary]],0)</f>
        <v>1769</v>
      </c>
      <c r="K55" s="19">
        <f>_xlfn.XLOOKUP(Staff[[#This Row],[Rating]],Mapping!$C$6:$C$10,Mapping!$D$6:$D$10)</f>
        <v>3</v>
      </c>
      <c r="L55" s="7"/>
    </row>
    <row r="56" spans="1:12">
      <c r="A56" t="s">
        <v>200</v>
      </c>
      <c r="B56" t="s">
        <v>9</v>
      </c>
      <c r="C56">
        <v>33</v>
      </c>
      <c r="D56" t="s">
        <v>14</v>
      </c>
      <c r="E56" s="5">
        <v>44181</v>
      </c>
      <c r="F56" t="s">
        <v>18</v>
      </c>
      <c r="G56" s="17">
        <v>59430</v>
      </c>
      <c r="H56" t="s">
        <v>207</v>
      </c>
      <c r="I56" s="7">
        <f ca="1">(TODAY()-Staff[[#This Row],[Date Joined]])/365</f>
        <v>2.6904109589041094</v>
      </c>
      <c r="J56" s="16">
        <f ca="1">ROUNDUP(IF(Staff[[#This Row],[Tenure]]&gt;2,3%,2%)*Staff[[#This Row],[Salary]],0)</f>
        <v>1783</v>
      </c>
      <c r="K56" s="19">
        <f>_xlfn.XLOOKUP(Staff[[#This Row],[Rating]],Mapping!$C$6:$C$10,Mapping!$D$6:$D$10)</f>
        <v>3</v>
      </c>
      <c r="L56" s="7"/>
    </row>
    <row r="57" spans="1:12">
      <c r="A57" t="s">
        <v>103</v>
      </c>
      <c r="B57" t="s">
        <v>9</v>
      </c>
      <c r="C57">
        <v>33</v>
      </c>
      <c r="D57" t="s">
        <v>14</v>
      </c>
      <c r="E57" s="5">
        <v>44243</v>
      </c>
      <c r="F57" t="s">
        <v>18</v>
      </c>
      <c r="G57" s="17">
        <v>59430</v>
      </c>
      <c r="H57" t="s">
        <v>208</v>
      </c>
      <c r="I57" s="7">
        <f ca="1">(TODAY()-Staff[[#This Row],[Date Joined]])/365</f>
        <v>2.5205479452054793</v>
      </c>
      <c r="J57" s="16">
        <f ca="1">ROUNDUP(IF(Staff[[#This Row],[Tenure]]&gt;2,3%,2%)*Staff[[#This Row],[Salary]],0)</f>
        <v>1783</v>
      </c>
      <c r="K57" s="19">
        <f>_xlfn.XLOOKUP(Staff[[#This Row],[Rating]],Mapping!$C$6:$C$10,Mapping!$D$6:$D$10)</f>
        <v>3</v>
      </c>
      <c r="L57" s="7"/>
    </row>
    <row r="58" spans="1:12">
      <c r="A58" t="s">
        <v>184</v>
      </c>
      <c r="B58" t="s">
        <v>16</v>
      </c>
      <c r="C58">
        <v>34</v>
      </c>
      <c r="D58" t="s">
        <v>14</v>
      </c>
      <c r="E58" s="5">
        <v>44550</v>
      </c>
      <c r="F58" t="s">
        <v>18</v>
      </c>
      <c r="G58" s="17">
        <v>60130</v>
      </c>
      <c r="H58" t="s">
        <v>207</v>
      </c>
      <c r="I58" s="7">
        <f ca="1">(TODAY()-Staff[[#This Row],[Date Joined]])/365</f>
        <v>1.6794520547945206</v>
      </c>
      <c r="J58" s="16">
        <f ca="1">ROUNDUP(IF(Staff[[#This Row],[Tenure]]&gt;2,3%,2%)*Staff[[#This Row],[Salary]],0)</f>
        <v>1203</v>
      </c>
      <c r="K58" s="19">
        <f>_xlfn.XLOOKUP(Staff[[#This Row],[Rating]],Mapping!$C$6:$C$10,Mapping!$D$6:$D$10)</f>
        <v>3</v>
      </c>
      <c r="L58" s="7"/>
    </row>
    <row r="59" spans="1:12">
      <c r="A59" t="s">
        <v>48</v>
      </c>
      <c r="B59" t="s">
        <v>16</v>
      </c>
      <c r="C59">
        <v>34</v>
      </c>
      <c r="D59" t="s">
        <v>14</v>
      </c>
      <c r="E59" s="5">
        <v>44612</v>
      </c>
      <c r="F59" t="s">
        <v>18</v>
      </c>
      <c r="G59" s="17">
        <v>60130</v>
      </c>
      <c r="H59" t="s">
        <v>208</v>
      </c>
      <c r="I59" s="7">
        <f ca="1">(TODAY()-Staff[[#This Row],[Date Joined]])/365</f>
        <v>1.5095890410958903</v>
      </c>
      <c r="J59" s="16">
        <f ca="1">ROUNDUP(IF(Staff[[#This Row],[Tenure]]&gt;2,3%,2%)*Staff[[#This Row],[Salary]],0)</f>
        <v>1203</v>
      </c>
      <c r="K59" s="19">
        <f>_xlfn.XLOOKUP(Staff[[#This Row],[Rating]],Mapping!$C$6:$C$10,Mapping!$D$6:$D$10)</f>
        <v>3</v>
      </c>
      <c r="L59" s="7"/>
    </row>
    <row r="60" spans="1:12">
      <c r="A60" t="s">
        <v>163</v>
      </c>
      <c r="B60" t="s">
        <v>9</v>
      </c>
      <c r="C60">
        <v>30</v>
      </c>
      <c r="D60" t="s">
        <v>14</v>
      </c>
      <c r="E60" s="5">
        <v>44607</v>
      </c>
      <c r="F60" t="s">
        <v>13</v>
      </c>
      <c r="G60" s="17">
        <v>60570</v>
      </c>
      <c r="H60" t="s">
        <v>207</v>
      </c>
      <c r="I60" s="7">
        <f ca="1">(TODAY()-Staff[[#This Row],[Date Joined]])/365</f>
        <v>1.5232876712328767</v>
      </c>
      <c r="J60" s="16">
        <f ca="1">ROUNDUP(IF(Staff[[#This Row],[Tenure]]&gt;2,3%,2%)*Staff[[#This Row],[Salary]],0)</f>
        <v>1212</v>
      </c>
      <c r="K60" s="19">
        <f>_xlfn.XLOOKUP(Staff[[#This Row],[Rating]],Mapping!$C$6:$C$10,Mapping!$D$6:$D$10)</f>
        <v>3</v>
      </c>
      <c r="L60" s="7"/>
    </row>
    <row r="61" spans="1:12">
      <c r="A61" t="s">
        <v>89</v>
      </c>
      <c r="B61" t="s">
        <v>9</v>
      </c>
      <c r="C61">
        <v>30</v>
      </c>
      <c r="D61" t="s">
        <v>14</v>
      </c>
      <c r="E61" s="5">
        <v>44666</v>
      </c>
      <c r="F61" t="s">
        <v>13</v>
      </c>
      <c r="G61" s="17">
        <v>60570</v>
      </c>
      <c r="H61" t="s">
        <v>208</v>
      </c>
      <c r="I61" s="7">
        <f ca="1">(TODAY()-Staff[[#This Row],[Date Joined]])/365</f>
        <v>1.3616438356164384</v>
      </c>
      <c r="J61" s="16">
        <f ca="1">ROUNDUP(IF(Staff[[#This Row],[Tenure]]&gt;2,3%,2%)*Staff[[#This Row],[Salary]],0)</f>
        <v>1212</v>
      </c>
      <c r="K61" s="19">
        <f>_xlfn.XLOOKUP(Staff[[#This Row],[Rating]],Mapping!$C$6:$C$10,Mapping!$D$6:$D$10)</f>
        <v>3</v>
      </c>
      <c r="L61" s="7"/>
    </row>
    <row r="62" spans="1:12">
      <c r="A62" t="s">
        <v>192</v>
      </c>
      <c r="B62" t="s">
        <v>16</v>
      </c>
      <c r="C62">
        <v>24</v>
      </c>
      <c r="D62" t="s">
        <v>14</v>
      </c>
      <c r="E62" s="5">
        <v>44087</v>
      </c>
      <c r="F62" t="s">
        <v>24</v>
      </c>
      <c r="G62" s="17">
        <v>62780</v>
      </c>
      <c r="H62" t="s">
        <v>207</v>
      </c>
      <c r="I62" s="7">
        <f ca="1">(TODAY()-Staff[[#This Row],[Date Joined]])/365</f>
        <v>2.9479452054794519</v>
      </c>
      <c r="J62" s="16">
        <f ca="1">ROUNDUP(IF(Staff[[#This Row],[Tenure]]&gt;2,3%,2%)*Staff[[#This Row],[Salary]],0)</f>
        <v>1884</v>
      </c>
      <c r="K62" s="19">
        <f>_xlfn.XLOOKUP(Staff[[#This Row],[Rating]],Mapping!$C$6:$C$10,Mapping!$D$6:$D$10)</f>
        <v>3</v>
      </c>
      <c r="L62" s="7"/>
    </row>
    <row r="63" spans="1:12">
      <c r="A63" t="s">
        <v>23</v>
      </c>
      <c r="B63" t="s">
        <v>16</v>
      </c>
      <c r="C63">
        <v>24</v>
      </c>
      <c r="D63" t="s">
        <v>14</v>
      </c>
      <c r="E63" s="5">
        <v>44148</v>
      </c>
      <c r="F63" t="s">
        <v>24</v>
      </c>
      <c r="G63" s="17">
        <v>62780</v>
      </c>
      <c r="H63" t="s">
        <v>208</v>
      </c>
      <c r="I63" s="7">
        <f ca="1">(TODAY()-Staff[[#This Row],[Date Joined]])/365</f>
        <v>2.7808219178082192</v>
      </c>
      <c r="J63" s="16">
        <f ca="1">ROUNDUP(IF(Staff[[#This Row],[Tenure]]&gt;2,3%,2%)*Staff[[#This Row],[Salary]],0)</f>
        <v>1884</v>
      </c>
      <c r="K63" s="19">
        <f>_xlfn.XLOOKUP(Staff[[#This Row],[Rating]],Mapping!$C$6:$C$10,Mapping!$D$6:$D$10)</f>
        <v>3</v>
      </c>
      <c r="L63" s="7"/>
    </row>
    <row r="64" spans="1:12">
      <c r="A64" t="s">
        <v>166</v>
      </c>
      <c r="B64" t="s">
        <v>221</v>
      </c>
      <c r="C64">
        <v>30</v>
      </c>
      <c r="D64" t="s">
        <v>14</v>
      </c>
      <c r="E64" s="5">
        <v>44535</v>
      </c>
      <c r="F64" t="s">
        <v>18</v>
      </c>
      <c r="G64" s="17">
        <v>64000</v>
      </c>
      <c r="H64" t="s">
        <v>207</v>
      </c>
      <c r="I64" s="7">
        <f ca="1">(TODAY()-Staff[[#This Row],[Date Joined]])/365</f>
        <v>1.7205479452054795</v>
      </c>
      <c r="J64" s="16">
        <f ca="1">ROUNDUP(IF(Staff[[#This Row],[Tenure]]&gt;2,3%,2%)*Staff[[#This Row],[Salary]],0)</f>
        <v>1280</v>
      </c>
      <c r="K64" s="19">
        <f>_xlfn.XLOOKUP(Staff[[#This Row],[Rating]],Mapping!$C$6:$C$10,Mapping!$D$6:$D$10)</f>
        <v>3</v>
      </c>
      <c r="L64" s="7"/>
    </row>
    <row r="65" spans="1:12">
      <c r="A65" t="s">
        <v>42</v>
      </c>
      <c r="B65" t="s">
        <v>221</v>
      </c>
      <c r="C65">
        <v>30</v>
      </c>
      <c r="D65" t="s">
        <v>14</v>
      </c>
      <c r="E65" s="5">
        <v>44597</v>
      </c>
      <c r="F65" t="s">
        <v>18</v>
      </c>
      <c r="G65" s="17">
        <v>64000</v>
      </c>
      <c r="H65" t="s">
        <v>208</v>
      </c>
      <c r="I65" s="7">
        <f ca="1">(TODAY()-Staff[[#This Row],[Date Joined]])/365</f>
        <v>1.5506849315068494</v>
      </c>
      <c r="J65" s="16">
        <f ca="1">ROUNDUP(IF(Staff[[#This Row],[Tenure]]&gt;2,3%,2%)*Staff[[#This Row],[Salary]],0)</f>
        <v>1280</v>
      </c>
      <c r="K65" s="19">
        <f>_xlfn.XLOOKUP(Staff[[#This Row],[Rating]],Mapping!$C$6:$C$10,Mapping!$D$6:$D$10)</f>
        <v>3</v>
      </c>
      <c r="L65" s="7"/>
    </row>
    <row r="66" spans="1:12">
      <c r="A66" t="s">
        <v>165</v>
      </c>
      <c r="B66" t="s">
        <v>16</v>
      </c>
      <c r="C66">
        <v>33</v>
      </c>
      <c r="D66" t="s">
        <v>14</v>
      </c>
      <c r="E66" s="5">
        <v>44006</v>
      </c>
      <c r="F66" t="s">
        <v>18</v>
      </c>
      <c r="G66" s="17">
        <v>65360</v>
      </c>
      <c r="H66" t="s">
        <v>207</v>
      </c>
      <c r="I66" s="7">
        <f ca="1">(TODAY()-Staff[[#This Row],[Date Joined]])/365</f>
        <v>3.1698630136986301</v>
      </c>
      <c r="J66" s="16">
        <f ca="1">ROUNDUP(IF(Staff[[#This Row],[Tenure]]&gt;2,3%,2%)*Staff[[#This Row],[Salary]],0)</f>
        <v>1961</v>
      </c>
      <c r="K66" s="19">
        <f>_xlfn.XLOOKUP(Staff[[#This Row],[Rating]],Mapping!$C$6:$C$10,Mapping!$D$6:$D$10)</f>
        <v>3</v>
      </c>
      <c r="L66" s="7"/>
    </row>
    <row r="67" spans="1:12">
      <c r="A67" t="s">
        <v>104</v>
      </c>
      <c r="B67" t="s">
        <v>16</v>
      </c>
      <c r="C67">
        <v>33</v>
      </c>
      <c r="D67" t="s">
        <v>14</v>
      </c>
      <c r="E67" s="5">
        <v>44067</v>
      </c>
      <c r="F67" t="s">
        <v>18</v>
      </c>
      <c r="G67" s="17">
        <v>65360</v>
      </c>
      <c r="H67" t="s">
        <v>208</v>
      </c>
      <c r="I67" s="7">
        <f ca="1">(TODAY()-Staff[[#This Row],[Date Joined]])/365</f>
        <v>3.0027397260273974</v>
      </c>
      <c r="J67" s="16">
        <f ca="1">ROUNDUP(IF(Staff[[#This Row],[Tenure]]&gt;2,3%,2%)*Staff[[#This Row],[Salary]],0)</f>
        <v>1961</v>
      </c>
      <c r="K67" s="19">
        <f>_xlfn.XLOOKUP(Staff[[#This Row],[Rating]],Mapping!$C$6:$C$10,Mapping!$D$6:$D$10)</f>
        <v>3</v>
      </c>
      <c r="L67" s="7"/>
    </row>
    <row r="68" spans="1:12">
      <c r="A68" t="s">
        <v>194</v>
      </c>
      <c r="B68" t="s">
        <v>9</v>
      </c>
      <c r="C68">
        <v>25</v>
      </c>
      <c r="D68" t="s">
        <v>14</v>
      </c>
      <c r="E68" s="5">
        <v>44322</v>
      </c>
      <c r="F68" t="s">
        <v>10</v>
      </c>
      <c r="G68" s="17">
        <v>65700</v>
      </c>
      <c r="H68" t="s">
        <v>207</v>
      </c>
      <c r="I68" s="7">
        <f ca="1">(TODAY()-Staff[[#This Row],[Date Joined]])/365</f>
        <v>2.3041095890410959</v>
      </c>
      <c r="J68" s="16">
        <f ca="1">ROUNDUP(IF(Staff[[#This Row],[Tenure]]&gt;2,3%,2%)*Staff[[#This Row],[Salary]],0)</f>
        <v>1971</v>
      </c>
      <c r="K68" s="19">
        <f>_xlfn.XLOOKUP(Staff[[#This Row],[Rating]],Mapping!$C$6:$C$10,Mapping!$D$6:$D$10)</f>
        <v>3</v>
      </c>
      <c r="L68" s="7"/>
    </row>
    <row r="69" spans="1:12">
      <c r="A69" t="s">
        <v>29</v>
      </c>
      <c r="B69" t="s">
        <v>9</v>
      </c>
      <c r="C69">
        <v>25</v>
      </c>
      <c r="D69" t="s">
        <v>14</v>
      </c>
      <c r="E69" s="5">
        <v>44383</v>
      </c>
      <c r="F69" t="s">
        <v>10</v>
      </c>
      <c r="G69" s="17">
        <v>65700</v>
      </c>
      <c r="H69" t="s">
        <v>208</v>
      </c>
      <c r="I69" s="7">
        <f ca="1">(TODAY()-Staff[[#This Row],[Date Joined]])/365</f>
        <v>2.1369863013698631</v>
      </c>
      <c r="J69" s="16">
        <f ca="1">ROUNDUP(IF(Staff[[#This Row],[Tenure]]&gt;2,3%,2%)*Staff[[#This Row],[Salary]],0)</f>
        <v>1971</v>
      </c>
      <c r="K69" s="19">
        <f>_xlfn.XLOOKUP(Staff[[#This Row],[Rating]],Mapping!$C$6:$C$10,Mapping!$D$6:$D$10)</f>
        <v>3</v>
      </c>
      <c r="L69" s="7"/>
    </row>
    <row r="70" spans="1:12">
      <c r="A70" t="s">
        <v>142</v>
      </c>
      <c r="B70" t="s">
        <v>16</v>
      </c>
      <c r="C70">
        <v>21</v>
      </c>
      <c r="D70" t="s">
        <v>14</v>
      </c>
      <c r="E70" s="5">
        <v>44256</v>
      </c>
      <c r="F70" t="s">
        <v>18</v>
      </c>
      <c r="G70" s="17">
        <v>65920</v>
      </c>
      <c r="H70" t="s">
        <v>207</v>
      </c>
      <c r="I70" s="7">
        <f ca="1">(TODAY()-Staff[[#This Row],[Date Joined]])/365</f>
        <v>2.484931506849315</v>
      </c>
      <c r="J70" s="16">
        <f ca="1">ROUNDUP(IF(Staff[[#This Row],[Tenure]]&gt;2,3%,2%)*Staff[[#This Row],[Salary]],0)</f>
        <v>1978</v>
      </c>
      <c r="K70" s="19">
        <f>_xlfn.XLOOKUP(Staff[[#This Row],[Rating]],Mapping!$C$6:$C$10,Mapping!$D$6:$D$10)</f>
        <v>3</v>
      </c>
      <c r="L70" s="7"/>
    </row>
    <row r="71" spans="1:12">
      <c r="A71" t="s">
        <v>87</v>
      </c>
      <c r="B71" t="s">
        <v>16</v>
      </c>
      <c r="C71">
        <v>21</v>
      </c>
      <c r="D71" t="s">
        <v>14</v>
      </c>
      <c r="E71" s="5">
        <v>44317</v>
      </c>
      <c r="F71" t="s">
        <v>18</v>
      </c>
      <c r="G71" s="17">
        <v>65920</v>
      </c>
      <c r="H71" t="s">
        <v>208</v>
      </c>
      <c r="I71" s="7">
        <f ca="1">(TODAY()-Staff[[#This Row],[Date Joined]])/365</f>
        <v>2.3178082191780822</v>
      </c>
      <c r="J71" s="16">
        <f ca="1">ROUNDUP(IF(Staff[[#This Row],[Tenure]]&gt;2,3%,2%)*Staff[[#This Row],[Salary]],0)</f>
        <v>1978</v>
      </c>
      <c r="K71" s="19">
        <f>_xlfn.XLOOKUP(Staff[[#This Row],[Rating]],Mapping!$C$6:$C$10,Mapping!$D$6:$D$10)</f>
        <v>3</v>
      </c>
      <c r="L71" s="7"/>
    </row>
    <row r="72" spans="1:12">
      <c r="A72" t="s">
        <v>182</v>
      </c>
      <c r="B72" t="s">
        <v>16</v>
      </c>
      <c r="C72">
        <v>30</v>
      </c>
      <c r="D72" t="s">
        <v>19</v>
      </c>
      <c r="E72" s="5">
        <v>44328</v>
      </c>
      <c r="F72" t="s">
        <v>18</v>
      </c>
      <c r="G72" s="17">
        <v>67910</v>
      </c>
      <c r="H72" t="s">
        <v>207</v>
      </c>
      <c r="I72" s="7">
        <f ca="1">(TODAY()-Staff[[#This Row],[Date Joined]])/365</f>
        <v>2.2876712328767121</v>
      </c>
      <c r="J72" s="16">
        <f ca="1">ROUNDUP(IF(Staff[[#This Row],[Tenure]]&gt;2,3%,2%)*Staff[[#This Row],[Salary]],0)</f>
        <v>2038</v>
      </c>
      <c r="K72" s="19">
        <f>_xlfn.XLOOKUP(Staff[[#This Row],[Rating]],Mapping!$C$6:$C$10,Mapping!$D$6:$D$10)</f>
        <v>2</v>
      </c>
      <c r="L72" s="7"/>
    </row>
    <row r="73" spans="1:12">
      <c r="A73" t="s">
        <v>39</v>
      </c>
      <c r="B73" t="s">
        <v>16</v>
      </c>
      <c r="C73">
        <v>30</v>
      </c>
      <c r="D73" t="s">
        <v>19</v>
      </c>
      <c r="E73" s="5">
        <v>44389</v>
      </c>
      <c r="F73" t="s">
        <v>18</v>
      </c>
      <c r="G73" s="17">
        <v>67910</v>
      </c>
      <c r="H73" t="s">
        <v>208</v>
      </c>
      <c r="I73" s="7">
        <f ca="1">(TODAY()-Staff[[#This Row],[Date Joined]])/365</f>
        <v>2.1205479452054794</v>
      </c>
      <c r="J73" s="16">
        <f ca="1">ROUNDUP(IF(Staff[[#This Row],[Tenure]]&gt;2,3%,2%)*Staff[[#This Row],[Salary]],0)</f>
        <v>2038</v>
      </c>
      <c r="K73" s="19">
        <f>_xlfn.XLOOKUP(Staff[[#This Row],[Rating]],Mapping!$C$6:$C$10,Mapping!$D$6:$D$10)</f>
        <v>2</v>
      </c>
      <c r="L73" s="7"/>
    </row>
    <row r="74" spans="1:12">
      <c r="A74" t="s">
        <v>190</v>
      </c>
      <c r="B74" t="s">
        <v>9</v>
      </c>
      <c r="C74">
        <v>30</v>
      </c>
      <c r="D74" t="s">
        <v>14</v>
      </c>
      <c r="E74" s="5">
        <v>44640</v>
      </c>
      <c r="F74" t="s">
        <v>13</v>
      </c>
      <c r="G74" s="17">
        <v>67950</v>
      </c>
      <c r="H74" t="s">
        <v>207</v>
      </c>
      <c r="I74" s="7">
        <f ca="1">(TODAY()-Staff[[#This Row],[Date Joined]])/365</f>
        <v>1.4328767123287671</v>
      </c>
      <c r="J74" s="16">
        <f ca="1">ROUNDUP(IF(Staff[[#This Row],[Tenure]]&gt;2,3%,2%)*Staff[[#This Row],[Salary]],0)</f>
        <v>1359</v>
      </c>
      <c r="K74" s="19">
        <f>_xlfn.XLOOKUP(Staff[[#This Row],[Rating]],Mapping!$C$6:$C$10,Mapping!$D$6:$D$10)</f>
        <v>3</v>
      </c>
      <c r="L74" s="7"/>
    </row>
    <row r="75" spans="1:12">
      <c r="A75" t="s">
        <v>108</v>
      </c>
      <c r="B75" t="s">
        <v>9</v>
      </c>
      <c r="C75">
        <v>30</v>
      </c>
      <c r="D75" t="s">
        <v>14</v>
      </c>
      <c r="E75" s="5">
        <v>44701</v>
      </c>
      <c r="F75" t="s">
        <v>13</v>
      </c>
      <c r="G75" s="17">
        <v>67950</v>
      </c>
      <c r="H75" t="s">
        <v>208</v>
      </c>
      <c r="I75" s="7">
        <f ca="1">(TODAY()-Staff[[#This Row],[Date Joined]])/365</f>
        <v>1.2657534246575342</v>
      </c>
      <c r="J75" s="16">
        <f ca="1">ROUNDUP(IF(Staff[[#This Row],[Tenure]]&gt;2,3%,2%)*Staff[[#This Row],[Salary]],0)</f>
        <v>1359</v>
      </c>
      <c r="K75" s="19">
        <f>_xlfn.XLOOKUP(Staff[[#This Row],[Rating]],Mapping!$C$6:$C$10,Mapping!$D$6:$D$10)</f>
        <v>3</v>
      </c>
      <c r="L75" s="7"/>
    </row>
    <row r="76" spans="1:12">
      <c r="A76" t="s">
        <v>171</v>
      </c>
      <c r="B76" t="s">
        <v>16</v>
      </c>
      <c r="C76">
        <v>20</v>
      </c>
      <c r="D76" t="s">
        <v>19</v>
      </c>
      <c r="E76" s="5">
        <v>44476</v>
      </c>
      <c r="F76" t="s">
        <v>10</v>
      </c>
      <c r="G76" s="17">
        <v>68900</v>
      </c>
      <c r="H76" t="s">
        <v>207</v>
      </c>
      <c r="I76" s="7">
        <f ca="1">(TODAY()-Staff[[#This Row],[Date Joined]])/365</f>
        <v>1.8821917808219177</v>
      </c>
      <c r="J76" s="16">
        <f ca="1">ROUNDUP(IF(Staff[[#This Row],[Tenure]]&gt;2,3%,2%)*Staff[[#This Row],[Salary]],0)</f>
        <v>1378</v>
      </c>
      <c r="K76" s="19">
        <f>_xlfn.XLOOKUP(Staff[[#This Row],[Rating]],Mapping!$C$6:$C$10,Mapping!$D$6:$D$10)</f>
        <v>2</v>
      </c>
      <c r="L76" s="7"/>
    </row>
    <row r="77" spans="1:12">
      <c r="A77" t="s">
        <v>66</v>
      </c>
      <c r="B77" t="s">
        <v>16</v>
      </c>
      <c r="C77">
        <v>20</v>
      </c>
      <c r="D77" t="s">
        <v>19</v>
      </c>
      <c r="E77" s="5">
        <v>44537</v>
      </c>
      <c r="F77" t="s">
        <v>10</v>
      </c>
      <c r="G77" s="17">
        <v>68900</v>
      </c>
      <c r="H77" t="s">
        <v>208</v>
      </c>
      <c r="I77" s="7">
        <f ca="1">(TODAY()-Staff[[#This Row],[Date Joined]])/365</f>
        <v>1.715068493150685</v>
      </c>
      <c r="J77" s="16">
        <f ca="1">ROUNDUP(IF(Staff[[#This Row],[Tenure]]&gt;2,3%,2%)*Staff[[#This Row],[Salary]],0)</f>
        <v>1378</v>
      </c>
      <c r="K77" s="19">
        <f>_xlfn.XLOOKUP(Staff[[#This Row],[Rating]],Mapping!$C$6:$C$10,Mapping!$D$6:$D$10)</f>
        <v>2</v>
      </c>
      <c r="L77" s="7"/>
    </row>
    <row r="78" spans="1:12">
      <c r="A78" t="s">
        <v>181</v>
      </c>
      <c r="B78" t="s">
        <v>9</v>
      </c>
      <c r="C78">
        <v>37</v>
      </c>
      <c r="D78" t="s">
        <v>14</v>
      </c>
      <c r="E78" s="5">
        <v>44640</v>
      </c>
      <c r="F78" t="s">
        <v>24</v>
      </c>
      <c r="G78" s="17">
        <v>69070</v>
      </c>
      <c r="H78" t="s">
        <v>207</v>
      </c>
      <c r="I78" s="7">
        <f ca="1">(TODAY()-Staff[[#This Row],[Date Joined]])/365</f>
        <v>1.4328767123287671</v>
      </c>
      <c r="J78" s="16">
        <f ca="1">ROUNDUP(IF(Staff[[#This Row],[Tenure]]&gt;2,3%,2%)*Staff[[#This Row],[Salary]],0)</f>
        <v>1382</v>
      </c>
      <c r="K78" s="19">
        <f>_xlfn.XLOOKUP(Staff[[#This Row],[Rating]],Mapping!$C$6:$C$10,Mapping!$D$6:$D$10)</f>
        <v>3</v>
      </c>
      <c r="L78" s="7"/>
    </row>
    <row r="79" spans="1:12">
      <c r="A79" t="s">
        <v>30</v>
      </c>
      <c r="B79" t="s">
        <v>9</v>
      </c>
      <c r="C79">
        <v>37</v>
      </c>
      <c r="D79" t="s">
        <v>14</v>
      </c>
      <c r="E79" s="5">
        <v>44701</v>
      </c>
      <c r="F79" t="s">
        <v>24</v>
      </c>
      <c r="G79" s="17">
        <v>69070</v>
      </c>
      <c r="H79" t="s">
        <v>208</v>
      </c>
      <c r="I79" s="7">
        <f ca="1">(TODAY()-Staff[[#This Row],[Date Joined]])/365</f>
        <v>1.2657534246575342</v>
      </c>
      <c r="J79" s="16">
        <f ca="1">ROUNDUP(IF(Staff[[#This Row],[Tenure]]&gt;2,3%,2%)*Staff[[#This Row],[Salary]],0)</f>
        <v>1382</v>
      </c>
      <c r="K79" s="19">
        <f>_xlfn.XLOOKUP(Staff[[#This Row],[Rating]],Mapping!$C$6:$C$10,Mapping!$D$6:$D$10)</f>
        <v>3</v>
      </c>
      <c r="L79" s="7"/>
    </row>
    <row r="80" spans="1:12">
      <c r="A80" t="s">
        <v>183</v>
      </c>
      <c r="B80" t="s">
        <v>9</v>
      </c>
      <c r="C80">
        <v>30</v>
      </c>
      <c r="D80" t="s">
        <v>14</v>
      </c>
      <c r="E80" s="5">
        <v>44214</v>
      </c>
      <c r="F80" t="s">
        <v>24</v>
      </c>
      <c r="G80" s="17">
        <v>69120</v>
      </c>
      <c r="H80" t="s">
        <v>207</v>
      </c>
      <c r="I80" s="7">
        <f ca="1">(TODAY()-Staff[[#This Row],[Date Joined]])/365</f>
        <v>2.6</v>
      </c>
      <c r="J80" s="16">
        <f ca="1">ROUNDUP(IF(Staff[[#This Row],[Tenure]]&gt;2,3%,2%)*Staff[[#This Row],[Salary]],0)</f>
        <v>2074</v>
      </c>
      <c r="K80" s="19">
        <f>_xlfn.XLOOKUP(Staff[[#This Row],[Rating]],Mapping!$C$6:$C$10,Mapping!$D$6:$D$10)</f>
        <v>3</v>
      </c>
      <c r="L80" s="7"/>
    </row>
    <row r="81" spans="1:12">
      <c r="A81" t="s">
        <v>77</v>
      </c>
      <c r="B81" t="s">
        <v>9</v>
      </c>
      <c r="C81">
        <v>30</v>
      </c>
      <c r="D81" t="s">
        <v>14</v>
      </c>
      <c r="E81" s="5">
        <v>44273</v>
      </c>
      <c r="F81" t="s">
        <v>24</v>
      </c>
      <c r="G81" s="17">
        <v>69120</v>
      </c>
      <c r="H81" t="s">
        <v>208</v>
      </c>
      <c r="I81" s="7">
        <f ca="1">(TODAY()-Staff[[#This Row],[Date Joined]])/365</f>
        <v>2.4383561643835616</v>
      </c>
      <c r="J81" s="16">
        <f ca="1">ROUNDUP(IF(Staff[[#This Row],[Tenure]]&gt;2,3%,2%)*Staff[[#This Row],[Salary]],0)</f>
        <v>2074</v>
      </c>
      <c r="K81" s="19">
        <f>_xlfn.XLOOKUP(Staff[[#This Row],[Rating]],Mapping!$C$6:$C$10,Mapping!$D$6:$D$10)</f>
        <v>3</v>
      </c>
      <c r="L81" s="7"/>
    </row>
    <row r="82" spans="1:12">
      <c r="A82" t="s">
        <v>128</v>
      </c>
      <c r="B82" t="s">
        <v>9</v>
      </c>
      <c r="C82">
        <v>30</v>
      </c>
      <c r="D82" t="s">
        <v>14</v>
      </c>
      <c r="E82" s="5">
        <v>44789</v>
      </c>
      <c r="F82" t="s">
        <v>24</v>
      </c>
      <c r="G82" s="17">
        <v>69710</v>
      </c>
      <c r="H82" t="s">
        <v>207</v>
      </c>
      <c r="I82" s="7">
        <f ca="1">(TODAY()-Staff[[#This Row],[Date Joined]])/365</f>
        <v>1.0246575342465754</v>
      </c>
      <c r="J82" s="16">
        <f ca="1">ROUNDUP(IF(Staff[[#This Row],[Tenure]]&gt;2,3%,2%)*Staff[[#This Row],[Salary]],0)</f>
        <v>1395</v>
      </c>
      <c r="K82" s="19">
        <f>_xlfn.XLOOKUP(Staff[[#This Row],[Rating]],Mapping!$C$6:$C$10,Mapping!$D$6:$D$10)</f>
        <v>3</v>
      </c>
      <c r="L82" s="7"/>
    </row>
    <row r="83" spans="1:12">
      <c r="A83" t="s">
        <v>73</v>
      </c>
      <c r="B83" t="s">
        <v>9</v>
      </c>
      <c r="C83">
        <v>30</v>
      </c>
      <c r="D83" t="s">
        <v>14</v>
      </c>
      <c r="E83" s="5">
        <v>44850</v>
      </c>
      <c r="F83" t="s">
        <v>24</v>
      </c>
      <c r="G83" s="17">
        <v>69710</v>
      </c>
      <c r="H83" t="s">
        <v>208</v>
      </c>
      <c r="I83" s="7">
        <f ca="1">(TODAY()-Staff[[#This Row],[Date Joined]])/365</f>
        <v>0.8575342465753425</v>
      </c>
      <c r="J83" s="16">
        <f ca="1">ROUNDUP(IF(Staff[[#This Row],[Tenure]]&gt;2,3%,2%)*Staff[[#This Row],[Salary]],0)</f>
        <v>1395</v>
      </c>
      <c r="K83" s="19">
        <f>_xlfn.XLOOKUP(Staff[[#This Row],[Rating]],Mapping!$C$6:$C$10,Mapping!$D$6:$D$10)</f>
        <v>3</v>
      </c>
      <c r="L83" s="7"/>
    </row>
    <row r="84" spans="1:12">
      <c r="A84" t="s">
        <v>160</v>
      </c>
      <c r="B84" t="s">
        <v>9</v>
      </c>
      <c r="C84">
        <v>42</v>
      </c>
      <c r="D84" t="s">
        <v>19</v>
      </c>
      <c r="E84" s="5">
        <v>44670</v>
      </c>
      <c r="F84" t="s">
        <v>18</v>
      </c>
      <c r="G84" s="17">
        <v>70270</v>
      </c>
      <c r="H84" t="s">
        <v>207</v>
      </c>
      <c r="I84" s="7">
        <f ca="1">(TODAY()-Staff[[#This Row],[Date Joined]])/365</f>
        <v>1.3506849315068492</v>
      </c>
      <c r="J84" s="16">
        <f ca="1">ROUNDUP(IF(Staff[[#This Row],[Tenure]]&gt;2,3%,2%)*Staff[[#This Row],[Salary]],0)</f>
        <v>1406</v>
      </c>
      <c r="K84" s="19">
        <f>_xlfn.XLOOKUP(Staff[[#This Row],[Rating]],Mapping!$C$6:$C$10,Mapping!$D$6:$D$10)</f>
        <v>2</v>
      </c>
      <c r="L84" s="7"/>
    </row>
    <row r="85" spans="1:12">
      <c r="A85" t="s">
        <v>109</v>
      </c>
      <c r="B85" t="s">
        <v>9</v>
      </c>
      <c r="C85">
        <v>42</v>
      </c>
      <c r="D85" t="s">
        <v>19</v>
      </c>
      <c r="E85" s="5">
        <v>44731</v>
      </c>
      <c r="F85" t="s">
        <v>18</v>
      </c>
      <c r="G85" s="17">
        <v>70270</v>
      </c>
      <c r="H85" t="s">
        <v>208</v>
      </c>
      <c r="I85" s="7">
        <f ca="1">(TODAY()-Staff[[#This Row],[Date Joined]])/365</f>
        <v>1.1835616438356165</v>
      </c>
      <c r="J85" s="16">
        <f ca="1">ROUNDUP(IF(Staff[[#This Row],[Tenure]]&gt;2,3%,2%)*Staff[[#This Row],[Salary]],0)</f>
        <v>1406</v>
      </c>
      <c r="K85" s="19">
        <f>_xlfn.XLOOKUP(Staff[[#This Row],[Rating]],Mapping!$C$6:$C$10,Mapping!$D$6:$D$10)</f>
        <v>2</v>
      </c>
      <c r="L85" s="7"/>
    </row>
    <row r="86" spans="1:12">
      <c r="A86" t="s">
        <v>199</v>
      </c>
      <c r="B86" t="s">
        <v>9</v>
      </c>
      <c r="C86">
        <v>46</v>
      </c>
      <c r="D86" t="s">
        <v>14</v>
      </c>
      <c r="E86" s="5">
        <v>44697</v>
      </c>
      <c r="F86" t="s">
        <v>13</v>
      </c>
      <c r="G86" s="17">
        <v>70610</v>
      </c>
      <c r="H86" t="s">
        <v>207</v>
      </c>
      <c r="I86" s="7">
        <f ca="1">(TODAY()-Staff[[#This Row],[Date Joined]])/365</f>
        <v>1.2767123287671234</v>
      </c>
      <c r="J86" s="16">
        <f ca="1">ROUNDUP(IF(Staff[[#This Row],[Tenure]]&gt;2,3%,2%)*Staff[[#This Row],[Salary]],0)</f>
        <v>1413</v>
      </c>
      <c r="K86" s="19">
        <f>_xlfn.XLOOKUP(Staff[[#This Row],[Rating]],Mapping!$C$6:$C$10,Mapping!$D$6:$D$10)</f>
        <v>3</v>
      </c>
      <c r="L86" s="7"/>
    </row>
    <row r="87" spans="1:12">
      <c r="A87" t="s">
        <v>12</v>
      </c>
      <c r="B87" t="s">
        <v>9</v>
      </c>
      <c r="C87">
        <v>46</v>
      </c>
      <c r="D87" t="s">
        <v>14</v>
      </c>
      <c r="E87" s="5">
        <v>44758</v>
      </c>
      <c r="F87" t="s">
        <v>13</v>
      </c>
      <c r="G87" s="17">
        <v>70610</v>
      </c>
      <c r="H87" t="s">
        <v>208</v>
      </c>
      <c r="I87" s="7">
        <f ca="1">(TODAY()-Staff[[#This Row],[Date Joined]])/365</f>
        <v>1.1095890410958904</v>
      </c>
      <c r="J87" s="16">
        <f ca="1">ROUNDUP(IF(Staff[[#This Row],[Tenure]]&gt;2,3%,2%)*Staff[[#This Row],[Salary]],0)</f>
        <v>1413</v>
      </c>
      <c r="K87" s="19">
        <f>_xlfn.XLOOKUP(Staff[[#This Row],[Rating]],Mapping!$C$6:$C$10,Mapping!$D$6:$D$10)</f>
        <v>3</v>
      </c>
      <c r="L87" s="7"/>
    </row>
    <row r="88" spans="1:12">
      <c r="A88" t="s">
        <v>177</v>
      </c>
      <c r="B88" t="s">
        <v>9</v>
      </c>
      <c r="C88">
        <v>36</v>
      </c>
      <c r="D88" t="s">
        <v>14</v>
      </c>
      <c r="E88" s="5">
        <v>44272</v>
      </c>
      <c r="F88" t="s">
        <v>18</v>
      </c>
      <c r="G88" s="17">
        <v>71380</v>
      </c>
      <c r="H88" t="s">
        <v>207</v>
      </c>
      <c r="I88" s="7">
        <f ca="1">(TODAY()-Staff[[#This Row],[Date Joined]])/365</f>
        <v>2.441095890410959</v>
      </c>
      <c r="J88" s="16">
        <f ca="1">ROUNDUP(IF(Staff[[#This Row],[Tenure]]&gt;2,3%,2%)*Staff[[#This Row],[Salary]],0)</f>
        <v>2142</v>
      </c>
      <c r="K88" s="19">
        <f>_xlfn.XLOOKUP(Staff[[#This Row],[Rating]],Mapping!$C$6:$C$10,Mapping!$D$6:$D$10)</f>
        <v>3</v>
      </c>
      <c r="L88" s="7"/>
    </row>
    <row r="89" spans="1:12">
      <c r="A89" t="s">
        <v>74</v>
      </c>
      <c r="B89" t="s">
        <v>9</v>
      </c>
      <c r="C89">
        <v>36</v>
      </c>
      <c r="D89" t="s">
        <v>14</v>
      </c>
      <c r="E89" s="5">
        <v>44333</v>
      </c>
      <c r="F89" t="s">
        <v>18</v>
      </c>
      <c r="G89" s="17">
        <v>71380</v>
      </c>
      <c r="H89" t="s">
        <v>208</v>
      </c>
      <c r="I89" s="7">
        <f ca="1">(TODAY()-Staff[[#This Row],[Date Joined]])/365</f>
        <v>2.2739726027397262</v>
      </c>
      <c r="J89" s="16">
        <f ca="1">ROUNDUP(IF(Staff[[#This Row],[Tenure]]&gt;2,3%,2%)*Staff[[#This Row],[Salary]],0)</f>
        <v>2142</v>
      </c>
      <c r="K89" s="19">
        <f>_xlfn.XLOOKUP(Staff[[#This Row],[Rating]],Mapping!$C$6:$C$10,Mapping!$D$6:$D$10)</f>
        <v>3</v>
      </c>
      <c r="L89" s="7"/>
    </row>
    <row r="90" spans="1:12">
      <c r="A90" t="s">
        <v>119</v>
      </c>
      <c r="B90" t="s">
        <v>9</v>
      </c>
      <c r="C90">
        <v>33</v>
      </c>
      <c r="D90" t="s">
        <v>14</v>
      </c>
      <c r="E90" s="5">
        <v>44324</v>
      </c>
      <c r="F90" t="s">
        <v>10</v>
      </c>
      <c r="G90" s="17">
        <v>74550</v>
      </c>
      <c r="H90" t="s">
        <v>207</v>
      </c>
      <c r="I90" s="7">
        <f ca="1">(TODAY()-Staff[[#This Row],[Date Joined]])/365</f>
        <v>2.2986301369863016</v>
      </c>
      <c r="J90" s="16">
        <f ca="1">ROUNDUP(IF(Staff[[#This Row],[Tenure]]&gt;2,3%,2%)*Staff[[#This Row],[Salary]],0)</f>
        <v>2237</v>
      </c>
      <c r="K90" s="19">
        <f>_xlfn.XLOOKUP(Staff[[#This Row],[Rating]],Mapping!$C$6:$C$10,Mapping!$D$6:$D$10)</f>
        <v>3</v>
      </c>
      <c r="L90" s="7"/>
    </row>
    <row r="91" spans="1:12">
      <c r="A91" t="s">
        <v>107</v>
      </c>
      <c r="B91" t="s">
        <v>9</v>
      </c>
      <c r="C91">
        <v>33</v>
      </c>
      <c r="D91" t="s">
        <v>14</v>
      </c>
      <c r="E91" s="5">
        <v>44385</v>
      </c>
      <c r="F91" t="s">
        <v>10</v>
      </c>
      <c r="G91" s="17">
        <v>74550</v>
      </c>
      <c r="H91" t="s">
        <v>208</v>
      </c>
      <c r="I91" s="7">
        <f ca="1">(TODAY()-Staff[[#This Row],[Date Joined]])/365</f>
        <v>2.1315068493150684</v>
      </c>
      <c r="J91" s="16">
        <f ca="1">ROUNDUP(IF(Staff[[#This Row],[Tenure]]&gt;2,3%,2%)*Staff[[#This Row],[Salary]],0)</f>
        <v>2237</v>
      </c>
      <c r="K91" s="19">
        <f>_xlfn.XLOOKUP(Staff[[#This Row],[Rating]],Mapping!$C$6:$C$10,Mapping!$D$6:$D$10)</f>
        <v>3</v>
      </c>
      <c r="L91" s="7"/>
    </row>
    <row r="92" spans="1:12">
      <c r="A92" t="s">
        <v>134</v>
      </c>
      <c r="B92" t="s">
        <v>16</v>
      </c>
      <c r="C92">
        <v>42</v>
      </c>
      <c r="D92" t="s">
        <v>44</v>
      </c>
      <c r="E92" s="5">
        <v>44718</v>
      </c>
      <c r="F92" t="s">
        <v>13</v>
      </c>
      <c r="G92" s="17">
        <v>75000</v>
      </c>
      <c r="H92" t="s">
        <v>207</v>
      </c>
      <c r="I92" s="7">
        <f ca="1">(TODAY()-Staff[[#This Row],[Date Joined]])/365</f>
        <v>1.2191780821917808</v>
      </c>
      <c r="J92" s="16">
        <f ca="1">ROUNDUP(IF(Staff[[#This Row],[Tenure]]&gt;2,3%,2%)*Staff[[#This Row],[Salary]],0)</f>
        <v>1500</v>
      </c>
      <c r="K92" s="19">
        <f>_xlfn.XLOOKUP(Staff[[#This Row],[Rating]],Mapping!$C$6:$C$10,Mapping!$D$6:$D$10)</f>
        <v>5</v>
      </c>
      <c r="L92" s="7"/>
    </row>
    <row r="93" spans="1:12">
      <c r="A93" t="s">
        <v>43</v>
      </c>
      <c r="B93" t="s">
        <v>16</v>
      </c>
      <c r="C93">
        <v>42</v>
      </c>
      <c r="D93" t="s">
        <v>44</v>
      </c>
      <c r="E93" s="5">
        <v>44779</v>
      </c>
      <c r="F93" t="s">
        <v>13</v>
      </c>
      <c r="G93" s="17">
        <v>75000</v>
      </c>
      <c r="H93" t="s">
        <v>208</v>
      </c>
      <c r="I93" s="7">
        <f ca="1">(TODAY()-Staff[[#This Row],[Date Joined]])/365</f>
        <v>1.0520547945205478</v>
      </c>
      <c r="J93" s="16">
        <f ca="1">ROUNDUP(IF(Staff[[#This Row],[Tenure]]&gt;2,3%,2%)*Staff[[#This Row],[Salary]],0)</f>
        <v>1500</v>
      </c>
      <c r="K93" s="19">
        <f>_xlfn.XLOOKUP(Staff[[#This Row],[Rating]],Mapping!$C$6:$C$10,Mapping!$D$6:$D$10)</f>
        <v>5</v>
      </c>
      <c r="L93" s="7"/>
    </row>
    <row r="94" spans="1:12">
      <c r="A94" t="s">
        <v>155</v>
      </c>
      <c r="B94" t="s">
        <v>16</v>
      </c>
      <c r="C94">
        <v>33</v>
      </c>
      <c r="D94" t="s">
        <v>14</v>
      </c>
      <c r="E94" s="5">
        <v>44253</v>
      </c>
      <c r="F94" t="s">
        <v>24</v>
      </c>
      <c r="G94" s="17">
        <v>75280</v>
      </c>
      <c r="H94" t="s">
        <v>207</v>
      </c>
      <c r="I94" s="7">
        <f ca="1">(TODAY()-Staff[[#This Row],[Date Joined]])/365</f>
        <v>2.493150684931507</v>
      </c>
      <c r="J94" s="16">
        <f ca="1">ROUNDUP(IF(Staff[[#This Row],[Tenure]]&gt;2,3%,2%)*Staff[[#This Row],[Salary]],0)</f>
        <v>2259</v>
      </c>
      <c r="K94" s="19">
        <f>_xlfn.XLOOKUP(Staff[[#This Row],[Rating]],Mapping!$C$6:$C$10,Mapping!$D$6:$D$10)</f>
        <v>3</v>
      </c>
      <c r="L94" s="7"/>
    </row>
    <row r="95" spans="1:12">
      <c r="A95" t="s">
        <v>106</v>
      </c>
      <c r="B95" t="s">
        <v>16</v>
      </c>
      <c r="C95">
        <v>33</v>
      </c>
      <c r="D95" t="s">
        <v>14</v>
      </c>
      <c r="E95" s="5">
        <v>44312</v>
      </c>
      <c r="F95" t="s">
        <v>24</v>
      </c>
      <c r="G95" s="17">
        <v>75280</v>
      </c>
      <c r="H95" t="s">
        <v>208</v>
      </c>
      <c r="I95" s="7">
        <f ca="1">(TODAY()-Staff[[#This Row],[Date Joined]])/365</f>
        <v>2.3315068493150686</v>
      </c>
      <c r="J95" s="16">
        <f ca="1">ROUNDUP(IF(Staff[[#This Row],[Tenure]]&gt;2,3%,2%)*Staff[[#This Row],[Salary]],0)</f>
        <v>2259</v>
      </c>
      <c r="K95" s="19">
        <f>_xlfn.XLOOKUP(Staff[[#This Row],[Rating]],Mapping!$C$6:$C$10,Mapping!$D$6:$D$10)</f>
        <v>3</v>
      </c>
      <c r="L95" s="7"/>
    </row>
    <row r="96" spans="1:12">
      <c r="A96" t="s">
        <v>195</v>
      </c>
      <c r="B96" t="s">
        <v>16</v>
      </c>
      <c r="C96">
        <v>33</v>
      </c>
      <c r="D96" t="s">
        <v>50</v>
      </c>
      <c r="E96" s="5">
        <v>44313</v>
      </c>
      <c r="F96" t="s">
        <v>24</v>
      </c>
      <c r="G96" s="17">
        <v>75480</v>
      </c>
      <c r="H96" t="s">
        <v>207</v>
      </c>
      <c r="I96" s="7">
        <f ca="1">(TODAY()-Staff[[#This Row],[Date Joined]])/365</f>
        <v>2.3287671232876712</v>
      </c>
      <c r="J96" s="16">
        <f ca="1">ROUNDUP(IF(Staff[[#This Row],[Tenure]]&gt;2,3%,2%)*Staff[[#This Row],[Salary]],0)</f>
        <v>2265</v>
      </c>
      <c r="K96" s="19">
        <f>_xlfn.XLOOKUP(Staff[[#This Row],[Rating]],Mapping!$C$6:$C$10,Mapping!$D$6:$D$10)</f>
        <v>1</v>
      </c>
      <c r="L96" s="7"/>
    </row>
    <row r="97" spans="1:12">
      <c r="A97" t="s">
        <v>49</v>
      </c>
      <c r="B97" t="s">
        <v>16</v>
      </c>
      <c r="C97">
        <v>33</v>
      </c>
      <c r="D97" t="s">
        <v>50</v>
      </c>
      <c r="E97" s="5">
        <v>44374</v>
      </c>
      <c r="F97" t="s">
        <v>24</v>
      </c>
      <c r="G97" s="17">
        <v>75480</v>
      </c>
      <c r="H97" t="s">
        <v>208</v>
      </c>
      <c r="I97" s="7">
        <f ca="1">(TODAY()-Staff[[#This Row],[Date Joined]])/365</f>
        <v>2.1616438356164385</v>
      </c>
      <c r="J97" s="16">
        <f ca="1">ROUNDUP(IF(Staff[[#This Row],[Tenure]]&gt;2,3%,2%)*Staff[[#This Row],[Salary]],0)</f>
        <v>2265</v>
      </c>
      <c r="K97" s="19">
        <f>_xlfn.XLOOKUP(Staff[[#This Row],[Rating]],Mapping!$C$6:$C$10,Mapping!$D$6:$D$10)</f>
        <v>1</v>
      </c>
      <c r="L97" s="7"/>
    </row>
    <row r="98" spans="1:12">
      <c r="A98" t="s">
        <v>151</v>
      </c>
      <c r="B98" t="s">
        <v>9</v>
      </c>
      <c r="C98">
        <v>21</v>
      </c>
      <c r="D98" t="s">
        <v>14</v>
      </c>
      <c r="E98" s="5">
        <v>44180</v>
      </c>
      <c r="F98" t="s">
        <v>27</v>
      </c>
      <c r="G98" s="17">
        <v>75880</v>
      </c>
      <c r="H98" t="s">
        <v>207</v>
      </c>
      <c r="I98" s="7">
        <f ca="1">(TODAY()-Staff[[#This Row],[Date Joined]])/365</f>
        <v>2.6931506849315068</v>
      </c>
      <c r="J98" s="16">
        <f ca="1">ROUNDUP(IF(Staff[[#This Row],[Tenure]]&gt;2,3%,2%)*Staff[[#This Row],[Salary]],0)</f>
        <v>2277</v>
      </c>
      <c r="K98" s="19">
        <f>_xlfn.XLOOKUP(Staff[[#This Row],[Rating]],Mapping!$C$6:$C$10,Mapping!$D$6:$D$10)</f>
        <v>3</v>
      </c>
      <c r="L98" s="7"/>
    </row>
    <row r="99" spans="1:12">
      <c r="A99" t="s">
        <v>37</v>
      </c>
      <c r="B99" t="s">
        <v>9</v>
      </c>
      <c r="C99">
        <v>21</v>
      </c>
      <c r="D99" t="s">
        <v>14</v>
      </c>
      <c r="E99" s="5">
        <v>44242</v>
      </c>
      <c r="F99" t="s">
        <v>27</v>
      </c>
      <c r="G99" s="17">
        <v>75880</v>
      </c>
      <c r="H99" t="s">
        <v>208</v>
      </c>
      <c r="I99" s="7">
        <f ca="1">(TODAY()-Staff[[#This Row],[Date Joined]])/365</f>
        <v>2.5232876712328767</v>
      </c>
      <c r="J99" s="16">
        <f ca="1">ROUNDUP(IF(Staff[[#This Row],[Tenure]]&gt;2,3%,2%)*Staff[[#This Row],[Salary]],0)</f>
        <v>2277</v>
      </c>
      <c r="K99" s="19">
        <f>_xlfn.XLOOKUP(Staff[[#This Row],[Rating]],Mapping!$C$6:$C$10,Mapping!$D$6:$D$10)</f>
        <v>3</v>
      </c>
      <c r="L99" s="7"/>
    </row>
    <row r="100" spans="1:12">
      <c r="A100" t="s">
        <v>161</v>
      </c>
      <c r="B100" t="s">
        <v>16</v>
      </c>
      <c r="C100">
        <v>28</v>
      </c>
      <c r="D100" t="s">
        <v>14</v>
      </c>
      <c r="E100" s="5">
        <v>44124</v>
      </c>
      <c r="F100" t="s">
        <v>18</v>
      </c>
      <c r="G100" s="17">
        <v>75970</v>
      </c>
      <c r="H100" t="s">
        <v>207</v>
      </c>
      <c r="I100" s="7">
        <f ca="1">(TODAY()-Staff[[#This Row],[Date Joined]])/365</f>
        <v>2.8465753424657536</v>
      </c>
      <c r="J100" s="16">
        <f ca="1">ROUNDUP(IF(Staff[[#This Row],[Tenure]]&gt;2,3%,2%)*Staff[[#This Row],[Salary]],0)</f>
        <v>2280</v>
      </c>
      <c r="K100" s="19">
        <f>_xlfn.XLOOKUP(Staff[[#This Row],[Rating]],Mapping!$C$6:$C$10,Mapping!$D$6:$D$10)</f>
        <v>3</v>
      </c>
      <c r="L100" s="7"/>
    </row>
    <row r="101" spans="1:12">
      <c r="A101" t="s">
        <v>47</v>
      </c>
      <c r="B101" t="s">
        <v>16</v>
      </c>
      <c r="C101">
        <v>28</v>
      </c>
      <c r="D101" t="s">
        <v>14</v>
      </c>
      <c r="E101" s="5">
        <v>44185</v>
      </c>
      <c r="F101" t="s">
        <v>18</v>
      </c>
      <c r="G101" s="17">
        <v>75970</v>
      </c>
      <c r="H101" t="s">
        <v>208</v>
      </c>
      <c r="I101" s="7">
        <f ca="1">(TODAY()-Staff[[#This Row],[Date Joined]])/365</f>
        <v>2.6794520547945204</v>
      </c>
      <c r="J101" s="16">
        <f ca="1">ROUNDUP(IF(Staff[[#This Row],[Tenure]]&gt;2,3%,2%)*Staff[[#This Row],[Salary]],0)</f>
        <v>2280</v>
      </c>
      <c r="K101" s="19">
        <f>_xlfn.XLOOKUP(Staff[[#This Row],[Rating]],Mapping!$C$6:$C$10,Mapping!$D$6:$D$10)</f>
        <v>3</v>
      </c>
      <c r="L101" s="7"/>
    </row>
    <row r="102" spans="1:12">
      <c r="A102" t="s">
        <v>130</v>
      </c>
      <c r="B102" t="s">
        <v>16</v>
      </c>
      <c r="C102">
        <v>22</v>
      </c>
      <c r="D102" t="s">
        <v>11</v>
      </c>
      <c r="E102" s="5">
        <v>44388</v>
      </c>
      <c r="F102" t="s">
        <v>13</v>
      </c>
      <c r="G102" s="17">
        <v>76900</v>
      </c>
      <c r="H102" t="s">
        <v>207</v>
      </c>
      <c r="I102" s="7">
        <f ca="1">(TODAY()-Staff[[#This Row],[Date Joined]])/365</f>
        <v>2.1232876712328768</v>
      </c>
      <c r="J102" s="16">
        <f ca="1">ROUNDUP(IF(Staff[[#This Row],[Tenure]]&gt;2,3%,2%)*Staff[[#This Row],[Salary]],0)</f>
        <v>2307</v>
      </c>
      <c r="K102" s="19">
        <f>_xlfn.XLOOKUP(Staff[[#This Row],[Rating]],Mapping!$C$6:$C$10,Mapping!$D$6:$D$10)</f>
        <v>4</v>
      </c>
      <c r="L102" s="7"/>
    </row>
    <row r="103" spans="1:12">
      <c r="A103" t="s">
        <v>79</v>
      </c>
      <c r="B103" t="s">
        <v>16</v>
      </c>
      <c r="C103">
        <v>22</v>
      </c>
      <c r="D103" t="s">
        <v>11</v>
      </c>
      <c r="E103" s="5">
        <v>44450</v>
      </c>
      <c r="F103" t="s">
        <v>13</v>
      </c>
      <c r="G103" s="17">
        <v>76900</v>
      </c>
      <c r="H103" t="s">
        <v>208</v>
      </c>
      <c r="I103" s="7">
        <f ca="1">(TODAY()-Staff[[#This Row],[Date Joined]])/365</f>
        <v>1.9534246575342467</v>
      </c>
      <c r="J103" s="16">
        <f ca="1">ROUNDUP(IF(Staff[[#This Row],[Tenure]]&gt;2,3%,2%)*Staff[[#This Row],[Salary]],0)</f>
        <v>1538</v>
      </c>
      <c r="K103" s="19">
        <f>_xlfn.XLOOKUP(Staff[[#This Row],[Rating]],Mapping!$C$6:$C$10,Mapping!$D$6:$D$10)</f>
        <v>4</v>
      </c>
      <c r="L103" s="7"/>
    </row>
    <row r="104" spans="1:12">
      <c r="A104" t="s">
        <v>187</v>
      </c>
      <c r="B104" t="s">
        <v>16</v>
      </c>
      <c r="C104">
        <v>36</v>
      </c>
      <c r="D104" t="s">
        <v>14</v>
      </c>
      <c r="E104" s="5">
        <v>44468</v>
      </c>
      <c r="F104" t="s">
        <v>13</v>
      </c>
      <c r="G104" s="17">
        <v>78390</v>
      </c>
      <c r="H104" t="s">
        <v>207</v>
      </c>
      <c r="I104" s="7">
        <f ca="1">(TODAY()-Staff[[#This Row],[Date Joined]])/365</f>
        <v>1.904109589041096</v>
      </c>
      <c r="J104" s="16">
        <f ca="1">ROUNDUP(IF(Staff[[#This Row],[Tenure]]&gt;2,3%,2%)*Staff[[#This Row],[Salary]],0)</f>
        <v>1568</v>
      </c>
      <c r="K104" s="19">
        <f>_xlfn.XLOOKUP(Staff[[#This Row],[Rating]],Mapping!$C$6:$C$10,Mapping!$D$6:$D$10)</f>
        <v>3</v>
      </c>
      <c r="L104" s="7"/>
    </row>
    <row r="105" spans="1:12">
      <c r="A105" t="s">
        <v>60</v>
      </c>
      <c r="B105" t="s">
        <v>16</v>
      </c>
      <c r="C105">
        <v>36</v>
      </c>
      <c r="D105" t="s">
        <v>14</v>
      </c>
      <c r="E105" s="5">
        <v>44529</v>
      </c>
      <c r="F105" t="s">
        <v>13</v>
      </c>
      <c r="G105" s="17">
        <v>78390</v>
      </c>
      <c r="H105" t="s">
        <v>208</v>
      </c>
      <c r="I105" s="7">
        <f ca="1">(TODAY()-Staff[[#This Row],[Date Joined]])/365</f>
        <v>1.736986301369863</v>
      </c>
      <c r="J105" s="16">
        <f ca="1">ROUNDUP(IF(Staff[[#This Row],[Tenure]]&gt;2,3%,2%)*Staff[[#This Row],[Salary]],0)</f>
        <v>1568</v>
      </c>
      <c r="K105" s="19">
        <f>_xlfn.XLOOKUP(Staff[[#This Row],[Rating]],Mapping!$C$6:$C$10,Mapping!$D$6:$D$10)</f>
        <v>3</v>
      </c>
      <c r="L105" s="7"/>
    </row>
    <row r="106" spans="1:12">
      <c r="A106" t="s">
        <v>197</v>
      </c>
      <c r="B106" t="s">
        <v>16</v>
      </c>
      <c r="C106">
        <v>36</v>
      </c>
      <c r="D106" t="s">
        <v>14</v>
      </c>
      <c r="E106" s="5">
        <v>44433</v>
      </c>
      <c r="F106" t="s">
        <v>10</v>
      </c>
      <c r="G106" s="17">
        <v>78540</v>
      </c>
      <c r="H106" t="s">
        <v>207</v>
      </c>
      <c r="I106" s="7">
        <f ca="1">(TODAY()-Staff[[#This Row],[Date Joined]])/365</f>
        <v>2</v>
      </c>
      <c r="J106" s="16">
        <f ca="1">ROUNDUP(IF(Staff[[#This Row],[Tenure]]&gt;2,3%,2%)*Staff[[#This Row],[Salary]],0)</f>
        <v>1571</v>
      </c>
      <c r="K106" s="19">
        <f>_xlfn.XLOOKUP(Staff[[#This Row],[Rating]],Mapping!$C$6:$C$10,Mapping!$D$6:$D$10)</f>
        <v>3</v>
      </c>
      <c r="L106" s="7"/>
    </row>
    <row r="107" spans="1:12">
      <c r="A107" t="s">
        <v>52</v>
      </c>
      <c r="B107" t="s">
        <v>16</v>
      </c>
      <c r="C107">
        <v>36</v>
      </c>
      <c r="D107" t="s">
        <v>14</v>
      </c>
      <c r="E107" s="5">
        <v>44494</v>
      </c>
      <c r="F107" t="s">
        <v>10</v>
      </c>
      <c r="G107" s="17">
        <v>78540</v>
      </c>
      <c r="H107" t="s">
        <v>208</v>
      </c>
      <c r="I107" s="7">
        <f ca="1">(TODAY()-Staff[[#This Row],[Date Joined]])/365</f>
        <v>1.832876712328767</v>
      </c>
      <c r="J107" s="16">
        <f ca="1">ROUNDUP(IF(Staff[[#This Row],[Tenure]]&gt;2,3%,2%)*Staff[[#This Row],[Salary]],0)</f>
        <v>1571</v>
      </c>
      <c r="K107" s="19">
        <f>_xlfn.XLOOKUP(Staff[[#This Row],[Rating]],Mapping!$C$6:$C$10,Mapping!$D$6:$D$10)</f>
        <v>3</v>
      </c>
      <c r="L107" s="7"/>
    </row>
    <row r="108" spans="1:12">
      <c r="A108" t="s">
        <v>129</v>
      </c>
      <c r="B108" t="s">
        <v>9</v>
      </c>
      <c r="C108">
        <v>20</v>
      </c>
      <c r="D108" t="s">
        <v>14</v>
      </c>
      <c r="E108" s="5">
        <v>44683</v>
      </c>
      <c r="F108" t="s">
        <v>13</v>
      </c>
      <c r="G108" s="17">
        <v>79570</v>
      </c>
      <c r="H108" t="s">
        <v>207</v>
      </c>
      <c r="I108" s="7">
        <f ca="1">(TODAY()-Staff[[#This Row],[Date Joined]])/365</f>
        <v>1.3150684931506849</v>
      </c>
      <c r="J108" s="16">
        <f ca="1">ROUNDUP(IF(Staff[[#This Row],[Tenure]]&gt;2,3%,2%)*Staff[[#This Row],[Salary]],0)</f>
        <v>1592</v>
      </c>
      <c r="K108" s="19">
        <f>_xlfn.XLOOKUP(Staff[[#This Row],[Rating]],Mapping!$C$6:$C$10,Mapping!$D$6:$D$10)</f>
        <v>3</v>
      </c>
      <c r="L108" s="7"/>
    </row>
    <row r="109" spans="1:12">
      <c r="A109" t="s">
        <v>65</v>
      </c>
      <c r="B109" t="s">
        <v>9</v>
      </c>
      <c r="C109">
        <v>20</v>
      </c>
      <c r="D109" t="s">
        <v>14</v>
      </c>
      <c r="E109" s="5">
        <v>44744</v>
      </c>
      <c r="F109" t="s">
        <v>13</v>
      </c>
      <c r="G109" s="17">
        <v>79570</v>
      </c>
      <c r="H109" t="s">
        <v>208</v>
      </c>
      <c r="I109" s="7">
        <f ca="1">(TODAY()-Staff[[#This Row],[Date Joined]])/365</f>
        <v>1.1479452054794521</v>
      </c>
      <c r="J109" s="16">
        <f ca="1">ROUNDUP(IF(Staff[[#This Row],[Tenure]]&gt;2,3%,2%)*Staff[[#This Row],[Salary]],0)</f>
        <v>1592</v>
      </c>
      <c r="K109" s="19">
        <f>_xlfn.XLOOKUP(Staff[[#This Row],[Rating]],Mapping!$C$6:$C$10,Mapping!$D$6:$D$10)</f>
        <v>3</v>
      </c>
      <c r="L109" s="7"/>
    </row>
    <row r="110" spans="1:12">
      <c r="A110" t="s">
        <v>144</v>
      </c>
      <c r="B110" t="s">
        <v>16</v>
      </c>
      <c r="C110">
        <v>25</v>
      </c>
      <c r="D110" t="s">
        <v>11</v>
      </c>
      <c r="E110" s="5">
        <v>44633</v>
      </c>
      <c r="F110" t="s">
        <v>24</v>
      </c>
      <c r="G110" s="17">
        <v>80700</v>
      </c>
      <c r="H110" t="s">
        <v>207</v>
      </c>
      <c r="I110" s="7">
        <f ca="1">(TODAY()-Staff[[#This Row],[Date Joined]])/365</f>
        <v>1.452054794520548</v>
      </c>
      <c r="J110" s="16">
        <f ca="1">ROUNDUP(IF(Staff[[#This Row],[Tenure]]&gt;2,3%,2%)*Staff[[#This Row],[Salary]],0)</f>
        <v>1614</v>
      </c>
      <c r="K110" s="19">
        <f>_xlfn.XLOOKUP(Staff[[#This Row],[Rating]],Mapping!$C$6:$C$10,Mapping!$D$6:$D$10)</f>
        <v>4</v>
      </c>
      <c r="L110" s="7"/>
    </row>
    <row r="111" spans="1:12">
      <c r="A111" t="s">
        <v>67</v>
      </c>
      <c r="B111" t="s">
        <v>16</v>
      </c>
      <c r="C111">
        <v>25</v>
      </c>
      <c r="D111" t="s">
        <v>11</v>
      </c>
      <c r="E111" s="5">
        <v>44694</v>
      </c>
      <c r="F111" t="s">
        <v>24</v>
      </c>
      <c r="G111" s="17">
        <v>80700</v>
      </c>
      <c r="H111" t="s">
        <v>208</v>
      </c>
      <c r="I111" s="7">
        <f ca="1">(TODAY()-Staff[[#This Row],[Date Joined]])/365</f>
        <v>1.284931506849315</v>
      </c>
      <c r="J111" s="16">
        <f ca="1">ROUNDUP(IF(Staff[[#This Row],[Tenure]]&gt;2,3%,2%)*Staff[[#This Row],[Salary]],0)</f>
        <v>1614</v>
      </c>
      <c r="K111" s="19">
        <f>_xlfn.XLOOKUP(Staff[[#This Row],[Rating]],Mapping!$C$6:$C$10,Mapping!$D$6:$D$10)</f>
        <v>4</v>
      </c>
      <c r="L111" s="7"/>
    </row>
    <row r="112" spans="1:12">
      <c r="A112" t="s">
        <v>169</v>
      </c>
      <c r="B112" t="s">
        <v>16</v>
      </c>
      <c r="C112">
        <v>27</v>
      </c>
      <c r="D112" t="s">
        <v>14</v>
      </c>
      <c r="E112" s="5">
        <v>44625</v>
      </c>
      <c r="F112" t="s">
        <v>24</v>
      </c>
      <c r="G112" s="17">
        <v>83750</v>
      </c>
      <c r="H112" t="s">
        <v>207</v>
      </c>
      <c r="I112" s="7">
        <f ca="1">(TODAY()-Staff[[#This Row],[Date Joined]])/365</f>
        <v>1.473972602739726</v>
      </c>
      <c r="J112" s="16">
        <f ca="1">ROUNDUP(IF(Staff[[#This Row],[Tenure]]&gt;2,3%,2%)*Staff[[#This Row],[Salary]],0)</f>
        <v>1675</v>
      </c>
      <c r="K112" s="19">
        <f>_xlfn.XLOOKUP(Staff[[#This Row],[Rating]],Mapping!$C$6:$C$10,Mapping!$D$6:$D$10)</f>
        <v>3</v>
      </c>
      <c r="L112" s="7"/>
    </row>
    <row r="113" spans="1:12">
      <c r="A113" t="s">
        <v>62</v>
      </c>
      <c r="B113" t="s">
        <v>16</v>
      </c>
      <c r="C113">
        <v>27</v>
      </c>
      <c r="D113" t="s">
        <v>14</v>
      </c>
      <c r="E113" s="5">
        <v>44686</v>
      </c>
      <c r="F113" t="s">
        <v>24</v>
      </c>
      <c r="G113" s="17">
        <v>83750</v>
      </c>
      <c r="H113" t="s">
        <v>208</v>
      </c>
      <c r="I113" s="7">
        <f ca="1">(TODAY()-Staff[[#This Row],[Date Joined]])/365</f>
        <v>1.3068493150684932</v>
      </c>
      <c r="J113" s="16">
        <f ca="1">ROUNDUP(IF(Staff[[#This Row],[Tenure]]&gt;2,3%,2%)*Staff[[#This Row],[Salary]],0)</f>
        <v>1675</v>
      </c>
      <c r="K113" s="19">
        <f>_xlfn.XLOOKUP(Staff[[#This Row],[Rating]],Mapping!$C$6:$C$10,Mapping!$D$6:$D$10)</f>
        <v>3</v>
      </c>
      <c r="L113" s="7"/>
    </row>
    <row r="114" spans="1:12">
      <c r="A114" t="s">
        <v>153</v>
      </c>
      <c r="B114" t="s">
        <v>16</v>
      </c>
      <c r="C114">
        <v>34</v>
      </c>
      <c r="D114" t="s">
        <v>14</v>
      </c>
      <c r="E114" s="5">
        <v>44397</v>
      </c>
      <c r="F114" t="s">
        <v>18</v>
      </c>
      <c r="G114" s="17">
        <v>85000</v>
      </c>
      <c r="H114" t="s">
        <v>207</v>
      </c>
      <c r="I114" s="7">
        <f ca="1">(TODAY()-Staff[[#This Row],[Date Joined]])/365</f>
        <v>2.0986301369863014</v>
      </c>
      <c r="J114" s="16">
        <f ca="1">ROUNDUP(IF(Staff[[#This Row],[Tenure]]&gt;2,3%,2%)*Staff[[#This Row],[Salary]],0)</f>
        <v>2550</v>
      </c>
      <c r="K114" s="19">
        <f>_xlfn.XLOOKUP(Staff[[#This Row],[Rating]],Mapping!$C$6:$C$10,Mapping!$D$6:$D$10)</f>
        <v>3</v>
      </c>
      <c r="L114" s="7"/>
    </row>
    <row r="115" spans="1:12">
      <c r="A115" t="s">
        <v>101</v>
      </c>
      <c r="B115" t="s">
        <v>16</v>
      </c>
      <c r="C115">
        <v>34</v>
      </c>
      <c r="D115" t="s">
        <v>14</v>
      </c>
      <c r="E115" s="5">
        <v>44459</v>
      </c>
      <c r="F115" t="s">
        <v>18</v>
      </c>
      <c r="G115" s="17">
        <v>85000</v>
      </c>
      <c r="H115" t="s">
        <v>208</v>
      </c>
      <c r="I115" s="7">
        <f ca="1">(TODAY()-Staff[[#This Row],[Date Joined]])/365</f>
        <v>1.9287671232876713</v>
      </c>
      <c r="J115" s="16">
        <f ca="1">ROUNDUP(IF(Staff[[#This Row],[Tenure]]&gt;2,3%,2%)*Staff[[#This Row],[Salary]],0)</f>
        <v>1700</v>
      </c>
      <c r="K115" s="19">
        <f>_xlfn.XLOOKUP(Staff[[#This Row],[Rating]],Mapping!$C$6:$C$10,Mapping!$D$6:$D$10)</f>
        <v>3</v>
      </c>
      <c r="L115" s="7"/>
    </row>
    <row r="116" spans="1:12">
      <c r="A116" t="s">
        <v>179</v>
      </c>
      <c r="B116" t="s">
        <v>16</v>
      </c>
      <c r="C116">
        <v>33</v>
      </c>
      <c r="D116" t="s">
        <v>14</v>
      </c>
      <c r="E116" s="5">
        <v>44747</v>
      </c>
      <c r="F116" t="s">
        <v>18</v>
      </c>
      <c r="G116" s="17">
        <v>86570</v>
      </c>
      <c r="H116" t="s">
        <v>207</v>
      </c>
      <c r="I116" s="7">
        <f ca="1">(TODAY()-Staff[[#This Row],[Date Joined]])/365</f>
        <v>1.1397260273972603</v>
      </c>
      <c r="J116" s="16">
        <f ca="1">ROUNDUP(IF(Staff[[#This Row],[Tenure]]&gt;2,3%,2%)*Staff[[#This Row],[Salary]],0)</f>
        <v>1732</v>
      </c>
      <c r="K116" s="19">
        <f>_xlfn.XLOOKUP(Staff[[#This Row],[Rating]],Mapping!$C$6:$C$10,Mapping!$D$6:$D$10)</f>
        <v>3</v>
      </c>
      <c r="L116" s="7"/>
    </row>
    <row r="117" spans="1:12">
      <c r="A117" t="s">
        <v>61</v>
      </c>
      <c r="B117" t="s">
        <v>16</v>
      </c>
      <c r="C117">
        <v>33</v>
      </c>
      <c r="D117" t="s">
        <v>14</v>
      </c>
      <c r="E117" s="5">
        <v>44809</v>
      </c>
      <c r="F117" t="s">
        <v>18</v>
      </c>
      <c r="G117" s="17">
        <v>86570</v>
      </c>
      <c r="H117" t="s">
        <v>208</v>
      </c>
      <c r="I117" s="7">
        <f ca="1">(TODAY()-Staff[[#This Row],[Date Joined]])/365</f>
        <v>0.96986301369863015</v>
      </c>
      <c r="J117" s="16">
        <f ca="1">ROUNDUP(IF(Staff[[#This Row],[Tenure]]&gt;2,3%,2%)*Staff[[#This Row],[Salary]],0)</f>
        <v>1732</v>
      </c>
      <c r="K117" s="19">
        <f>_xlfn.XLOOKUP(Staff[[#This Row],[Rating]],Mapping!$C$6:$C$10,Mapping!$D$6:$D$10)</f>
        <v>3</v>
      </c>
      <c r="L117" s="7"/>
    </row>
    <row r="118" spans="1:12">
      <c r="A118" t="s">
        <v>170</v>
      </c>
      <c r="B118" t="s">
        <v>16</v>
      </c>
      <c r="C118">
        <v>40</v>
      </c>
      <c r="D118" t="s">
        <v>14</v>
      </c>
      <c r="E118" s="5">
        <v>44276</v>
      </c>
      <c r="F118" t="s">
        <v>24</v>
      </c>
      <c r="G118" s="17">
        <v>87620</v>
      </c>
      <c r="H118" t="s">
        <v>207</v>
      </c>
      <c r="I118" s="7">
        <f ca="1">(TODAY()-Staff[[#This Row],[Date Joined]])/365</f>
        <v>2.43013698630137</v>
      </c>
      <c r="J118" s="16">
        <f ca="1">ROUNDUP(IF(Staff[[#This Row],[Tenure]]&gt;2,3%,2%)*Staff[[#This Row],[Salary]],0)</f>
        <v>2629</v>
      </c>
      <c r="K118" s="19">
        <f>_xlfn.XLOOKUP(Staff[[#This Row],[Rating]],Mapping!$C$6:$C$10,Mapping!$D$6:$D$10)</f>
        <v>3</v>
      </c>
      <c r="L118" s="7"/>
    </row>
    <row r="119" spans="1:12">
      <c r="A119" t="s">
        <v>45</v>
      </c>
      <c r="B119" t="s">
        <v>16</v>
      </c>
      <c r="C119">
        <v>40</v>
      </c>
      <c r="D119" t="s">
        <v>14</v>
      </c>
      <c r="E119" s="5">
        <v>44337</v>
      </c>
      <c r="F119" t="s">
        <v>24</v>
      </c>
      <c r="G119" s="17">
        <v>87620</v>
      </c>
      <c r="H119" t="s">
        <v>208</v>
      </c>
      <c r="I119" s="7">
        <f ca="1">(TODAY()-Staff[[#This Row],[Date Joined]])/365</f>
        <v>2.2630136986301368</v>
      </c>
      <c r="J119" s="16">
        <f ca="1">ROUNDUP(IF(Staff[[#This Row],[Tenure]]&gt;2,3%,2%)*Staff[[#This Row],[Salary]],0)</f>
        <v>2629</v>
      </c>
      <c r="K119" s="19">
        <f>_xlfn.XLOOKUP(Staff[[#This Row],[Rating]],Mapping!$C$6:$C$10,Mapping!$D$6:$D$10)</f>
        <v>3</v>
      </c>
      <c r="L119" s="7"/>
    </row>
    <row r="120" spans="1:12">
      <c r="A120" t="s">
        <v>132</v>
      </c>
      <c r="B120" t="s">
        <v>9</v>
      </c>
      <c r="C120">
        <v>37</v>
      </c>
      <c r="D120" t="s">
        <v>19</v>
      </c>
      <c r="E120" s="5">
        <v>44277</v>
      </c>
      <c r="F120" t="s">
        <v>24</v>
      </c>
      <c r="G120" s="17">
        <v>88050</v>
      </c>
      <c r="H120" t="s">
        <v>207</v>
      </c>
      <c r="I120" s="7">
        <f ca="1">(TODAY()-Staff[[#This Row],[Date Joined]])/365</f>
        <v>2.4273972602739726</v>
      </c>
      <c r="J120" s="16">
        <f ca="1">ROUNDUP(IF(Staff[[#This Row],[Tenure]]&gt;2,3%,2%)*Staff[[#This Row],[Salary]],0)</f>
        <v>2642</v>
      </c>
      <c r="K120" s="19">
        <f>_xlfn.XLOOKUP(Staff[[#This Row],[Rating]],Mapping!$C$6:$C$10,Mapping!$D$6:$D$10)</f>
        <v>2</v>
      </c>
      <c r="L120" s="7"/>
    </row>
    <row r="121" spans="1:12">
      <c r="A121" t="s">
        <v>91</v>
      </c>
      <c r="B121" t="s">
        <v>9</v>
      </c>
      <c r="C121">
        <v>37</v>
      </c>
      <c r="D121" t="s">
        <v>19</v>
      </c>
      <c r="E121" s="5">
        <v>44338</v>
      </c>
      <c r="F121" t="s">
        <v>24</v>
      </c>
      <c r="G121" s="17">
        <v>88050</v>
      </c>
      <c r="H121" t="s">
        <v>208</v>
      </c>
      <c r="I121" s="7">
        <f ca="1">(TODAY()-Staff[[#This Row],[Date Joined]])/365</f>
        <v>2.2602739726027399</v>
      </c>
      <c r="J121" s="16">
        <f ca="1">ROUNDUP(IF(Staff[[#This Row],[Tenure]]&gt;2,3%,2%)*Staff[[#This Row],[Salary]],0)</f>
        <v>2642</v>
      </c>
      <c r="K121" s="19">
        <f>_xlfn.XLOOKUP(Staff[[#This Row],[Rating]],Mapping!$C$6:$C$10,Mapping!$D$6:$D$10)</f>
        <v>2</v>
      </c>
      <c r="L121" s="7"/>
    </row>
    <row r="122" spans="1:12">
      <c r="A122" t="s">
        <v>162</v>
      </c>
      <c r="B122" t="s">
        <v>221</v>
      </c>
      <c r="C122">
        <v>27</v>
      </c>
      <c r="D122" t="s">
        <v>11</v>
      </c>
      <c r="E122" s="5">
        <v>44212</v>
      </c>
      <c r="F122" t="s">
        <v>24</v>
      </c>
      <c r="G122" s="17">
        <v>90700</v>
      </c>
      <c r="H122" t="s">
        <v>207</v>
      </c>
      <c r="I122" s="7">
        <f ca="1">(TODAY()-Staff[[#This Row],[Date Joined]])/365</f>
        <v>2.6054794520547944</v>
      </c>
      <c r="J122" s="16">
        <f ca="1">ROUNDUP(IF(Staff[[#This Row],[Tenure]]&gt;2,3%,2%)*Staff[[#This Row],[Salary]],0)</f>
        <v>2721</v>
      </c>
      <c r="K122" s="19">
        <f>_xlfn.XLOOKUP(Staff[[#This Row],[Rating]],Mapping!$C$6:$C$10,Mapping!$D$6:$D$10)</f>
        <v>4</v>
      </c>
      <c r="L122" s="7"/>
    </row>
    <row r="123" spans="1:12">
      <c r="A123" t="s">
        <v>84</v>
      </c>
      <c r="B123" t="s">
        <v>221</v>
      </c>
      <c r="C123">
        <v>26</v>
      </c>
      <c r="D123" t="s">
        <v>11</v>
      </c>
      <c r="E123" s="5">
        <v>44271</v>
      </c>
      <c r="F123" t="s">
        <v>24</v>
      </c>
      <c r="G123" s="17">
        <v>90700</v>
      </c>
      <c r="H123" t="s">
        <v>208</v>
      </c>
      <c r="I123" s="7">
        <f ca="1">(TODAY()-Staff[[#This Row],[Date Joined]])/365</f>
        <v>2.4438356164383563</v>
      </c>
      <c r="J123" s="16">
        <f ca="1">ROUNDUP(IF(Staff[[#This Row],[Tenure]]&gt;2,3%,2%)*Staff[[#This Row],[Salary]],0)</f>
        <v>2721</v>
      </c>
      <c r="K123" s="19">
        <f>_xlfn.XLOOKUP(Staff[[#This Row],[Rating]],Mapping!$C$6:$C$10,Mapping!$D$6:$D$10)</f>
        <v>4</v>
      </c>
      <c r="L123" s="7"/>
    </row>
    <row r="124" spans="1:12">
      <c r="A124" t="s">
        <v>118</v>
      </c>
      <c r="B124" t="s">
        <v>221</v>
      </c>
      <c r="C124">
        <v>32</v>
      </c>
      <c r="D124" t="s">
        <v>14</v>
      </c>
      <c r="E124" s="5">
        <v>44713</v>
      </c>
      <c r="F124" t="s">
        <v>24</v>
      </c>
      <c r="G124" s="17">
        <v>91310</v>
      </c>
      <c r="H124" t="s">
        <v>207</v>
      </c>
      <c r="I124" s="7">
        <f ca="1">(TODAY()-Staff[[#This Row],[Date Joined]])/365</f>
        <v>1.2328767123287672</v>
      </c>
      <c r="J124" s="16">
        <f ca="1">ROUNDUP(IF(Staff[[#This Row],[Tenure]]&gt;2,3%,2%)*Staff[[#This Row],[Salary]],0)</f>
        <v>1827</v>
      </c>
      <c r="K124" s="19">
        <f>_xlfn.XLOOKUP(Staff[[#This Row],[Rating]],Mapping!$C$6:$C$10,Mapping!$D$6:$D$10)</f>
        <v>3</v>
      </c>
      <c r="L124" s="7"/>
    </row>
    <row r="125" spans="1:12">
      <c r="A125" t="s">
        <v>81</v>
      </c>
      <c r="B125" t="s">
        <v>221</v>
      </c>
      <c r="C125">
        <v>32</v>
      </c>
      <c r="D125" t="s">
        <v>14</v>
      </c>
      <c r="E125" s="5">
        <v>44774</v>
      </c>
      <c r="F125" t="s">
        <v>24</v>
      </c>
      <c r="G125" s="17">
        <v>91310</v>
      </c>
      <c r="H125" t="s">
        <v>208</v>
      </c>
      <c r="I125" s="7">
        <f ca="1">(TODAY()-Staff[[#This Row],[Date Joined]])/365</f>
        <v>1.0657534246575342</v>
      </c>
      <c r="J125" s="16">
        <f ca="1">ROUNDUP(IF(Staff[[#This Row],[Tenure]]&gt;2,3%,2%)*Staff[[#This Row],[Salary]],0)</f>
        <v>1827</v>
      </c>
      <c r="K125" s="19">
        <f>_xlfn.XLOOKUP(Staff[[#This Row],[Rating]],Mapping!$C$6:$C$10,Mapping!$D$6:$D$10)</f>
        <v>3</v>
      </c>
      <c r="L125" s="7"/>
    </row>
    <row r="126" spans="1:12">
      <c r="A126" t="s">
        <v>159</v>
      </c>
      <c r="B126" t="s">
        <v>9</v>
      </c>
      <c r="C126">
        <v>27</v>
      </c>
      <c r="D126" t="s">
        <v>11</v>
      </c>
      <c r="E126" s="5">
        <v>44174</v>
      </c>
      <c r="F126" t="s">
        <v>18</v>
      </c>
      <c r="G126" s="17">
        <v>91650</v>
      </c>
      <c r="H126" t="s">
        <v>207</v>
      </c>
      <c r="I126" s="7">
        <f ca="1">(TODAY()-Staff[[#This Row],[Date Joined]])/365</f>
        <v>2.7095890410958905</v>
      </c>
      <c r="J126" s="16">
        <f ca="1">ROUNDUP(IF(Staff[[#This Row],[Tenure]]&gt;2,3%,2%)*Staff[[#This Row],[Salary]],0)</f>
        <v>2750</v>
      </c>
      <c r="K126" s="19">
        <f>_xlfn.XLOOKUP(Staff[[#This Row],[Rating]],Mapping!$C$6:$C$10,Mapping!$D$6:$D$10)</f>
        <v>4</v>
      </c>
      <c r="L126" s="7"/>
    </row>
    <row r="127" spans="1:12">
      <c r="A127" t="s">
        <v>97</v>
      </c>
      <c r="B127" t="s">
        <v>9</v>
      </c>
      <c r="C127">
        <v>27</v>
      </c>
      <c r="D127" t="s">
        <v>11</v>
      </c>
      <c r="E127" s="5">
        <v>44236</v>
      </c>
      <c r="F127" t="s">
        <v>18</v>
      </c>
      <c r="G127" s="17">
        <v>91650</v>
      </c>
      <c r="H127" t="s">
        <v>208</v>
      </c>
      <c r="I127" s="7">
        <f ca="1">(TODAY()-Staff[[#This Row],[Date Joined]])/365</f>
        <v>2.5397260273972604</v>
      </c>
      <c r="J127" s="16">
        <f ca="1">ROUNDUP(IF(Staff[[#This Row],[Tenure]]&gt;2,3%,2%)*Staff[[#This Row],[Salary]],0)</f>
        <v>2750</v>
      </c>
      <c r="K127" s="19">
        <f>_xlfn.XLOOKUP(Staff[[#This Row],[Rating]],Mapping!$C$6:$C$10,Mapping!$D$6:$D$10)</f>
        <v>4</v>
      </c>
      <c r="L127" s="7"/>
    </row>
    <row r="128" spans="1:12">
      <c r="A128" t="s">
        <v>167</v>
      </c>
      <c r="B128" t="s">
        <v>16</v>
      </c>
      <c r="C128">
        <v>34</v>
      </c>
      <c r="D128" t="s">
        <v>14</v>
      </c>
      <c r="E128" s="5">
        <v>44383</v>
      </c>
      <c r="F128" t="s">
        <v>18</v>
      </c>
      <c r="G128" s="17">
        <v>92450</v>
      </c>
      <c r="H128" t="s">
        <v>207</v>
      </c>
      <c r="I128" s="7">
        <f ca="1">(TODAY()-Staff[[#This Row],[Date Joined]])/365</f>
        <v>2.1369863013698631</v>
      </c>
      <c r="J128" s="16">
        <f ca="1">ROUNDUP(IF(Staff[[#This Row],[Tenure]]&gt;2,3%,2%)*Staff[[#This Row],[Salary]],0)</f>
        <v>2774</v>
      </c>
      <c r="K128" s="19">
        <f>_xlfn.XLOOKUP(Staff[[#This Row],[Rating]],Mapping!$C$6:$C$10,Mapping!$D$6:$D$10)</f>
        <v>3</v>
      </c>
      <c r="L128" s="7"/>
    </row>
    <row r="129" spans="1:12">
      <c r="A129" t="s">
        <v>63</v>
      </c>
      <c r="B129" t="s">
        <v>16</v>
      </c>
      <c r="C129">
        <v>34</v>
      </c>
      <c r="D129" t="s">
        <v>14</v>
      </c>
      <c r="E129" s="5">
        <v>44445</v>
      </c>
      <c r="F129" t="s">
        <v>18</v>
      </c>
      <c r="G129" s="17">
        <v>92450</v>
      </c>
      <c r="H129" t="s">
        <v>208</v>
      </c>
      <c r="I129" s="7">
        <f ca="1">(TODAY()-Staff[[#This Row],[Date Joined]])/365</f>
        <v>1.9671232876712328</v>
      </c>
      <c r="J129" s="16">
        <f ca="1">ROUNDUP(IF(Staff[[#This Row],[Tenure]]&gt;2,3%,2%)*Staff[[#This Row],[Salary]],0)</f>
        <v>1849</v>
      </c>
      <c r="K129" s="19">
        <f>_xlfn.XLOOKUP(Staff[[#This Row],[Rating]],Mapping!$C$6:$C$10,Mapping!$D$6:$D$10)</f>
        <v>3</v>
      </c>
      <c r="L129" s="7"/>
    </row>
    <row r="130" spans="1:12">
      <c r="A130" t="s">
        <v>117</v>
      </c>
      <c r="B130" t="s">
        <v>16</v>
      </c>
      <c r="C130">
        <v>25</v>
      </c>
      <c r="D130" t="s">
        <v>14</v>
      </c>
      <c r="E130" s="5">
        <v>44144</v>
      </c>
      <c r="F130" t="s">
        <v>10</v>
      </c>
      <c r="G130" s="17">
        <v>92700</v>
      </c>
      <c r="H130" t="s">
        <v>207</v>
      </c>
      <c r="I130" s="7">
        <f ca="1">(TODAY()-Staff[[#This Row],[Date Joined]])/365</f>
        <v>2.7917808219178082</v>
      </c>
      <c r="J130" s="16">
        <f ca="1">ROUNDUP(IF(Staff[[#This Row],[Tenure]]&gt;2,3%,2%)*Staff[[#This Row],[Salary]],0)</f>
        <v>2781</v>
      </c>
      <c r="K130" s="19">
        <f>_xlfn.XLOOKUP(Staff[[#This Row],[Rating]],Mapping!$C$6:$C$10,Mapping!$D$6:$D$10)</f>
        <v>3</v>
      </c>
      <c r="L130" s="7"/>
    </row>
    <row r="131" spans="1:12">
      <c r="A131" t="s">
        <v>86</v>
      </c>
      <c r="B131" t="s">
        <v>16</v>
      </c>
      <c r="C131">
        <v>25</v>
      </c>
      <c r="D131" t="s">
        <v>14</v>
      </c>
      <c r="E131" s="5">
        <v>44205</v>
      </c>
      <c r="F131" t="s">
        <v>10</v>
      </c>
      <c r="G131" s="17">
        <v>92700</v>
      </c>
      <c r="H131" t="s">
        <v>208</v>
      </c>
      <c r="I131" s="7">
        <f ca="1">(TODAY()-Staff[[#This Row],[Date Joined]])/365</f>
        <v>2.6246575342465754</v>
      </c>
      <c r="J131" s="16">
        <f ca="1">ROUNDUP(IF(Staff[[#This Row],[Tenure]]&gt;2,3%,2%)*Staff[[#This Row],[Salary]],0)</f>
        <v>2781</v>
      </c>
      <c r="K131" s="19">
        <f>_xlfn.XLOOKUP(Staff[[#This Row],[Rating]],Mapping!$C$6:$C$10,Mapping!$D$6:$D$10)</f>
        <v>3</v>
      </c>
      <c r="L131" s="7"/>
    </row>
    <row r="132" spans="1:12">
      <c r="A132" t="s">
        <v>202</v>
      </c>
      <c r="B132" t="s">
        <v>16</v>
      </c>
      <c r="C132">
        <v>33</v>
      </c>
      <c r="D132" t="s">
        <v>14</v>
      </c>
      <c r="E132" s="5">
        <v>44129</v>
      </c>
      <c r="F132" t="s">
        <v>24</v>
      </c>
      <c r="G132" s="17">
        <v>96140</v>
      </c>
      <c r="H132" t="s">
        <v>207</v>
      </c>
      <c r="I132" s="7">
        <f ca="1">(TODAY()-Staff[[#This Row],[Date Joined]])/365</f>
        <v>2.8328767123287673</v>
      </c>
      <c r="J132" s="16">
        <f ca="1">ROUNDUP(IF(Staff[[#This Row],[Tenure]]&gt;2,3%,2%)*Staff[[#This Row],[Salary]],0)</f>
        <v>2885</v>
      </c>
      <c r="K132" s="19">
        <f>_xlfn.XLOOKUP(Staff[[#This Row],[Rating]],Mapping!$C$6:$C$10,Mapping!$D$6:$D$10)</f>
        <v>3</v>
      </c>
      <c r="L132" s="7"/>
    </row>
    <row r="133" spans="1:12">
      <c r="A133" t="s">
        <v>56</v>
      </c>
      <c r="B133" t="s">
        <v>16</v>
      </c>
      <c r="C133">
        <v>33</v>
      </c>
      <c r="D133" t="s">
        <v>14</v>
      </c>
      <c r="E133" s="5">
        <v>44190</v>
      </c>
      <c r="F133" t="s">
        <v>24</v>
      </c>
      <c r="G133" s="17">
        <v>96140</v>
      </c>
      <c r="H133" t="s">
        <v>208</v>
      </c>
      <c r="I133" s="7">
        <f ca="1">(TODAY()-Staff[[#This Row],[Date Joined]])/365</f>
        <v>2.6657534246575341</v>
      </c>
      <c r="J133" s="16">
        <f ca="1">ROUNDUP(IF(Staff[[#This Row],[Tenure]]&gt;2,3%,2%)*Staff[[#This Row],[Salary]],0)</f>
        <v>2885</v>
      </c>
      <c r="K133" s="19">
        <f>_xlfn.XLOOKUP(Staff[[#This Row],[Rating]],Mapping!$C$6:$C$10,Mapping!$D$6:$D$10)</f>
        <v>3</v>
      </c>
      <c r="L133" s="7"/>
    </row>
    <row r="134" spans="1:12">
      <c r="A134" t="s">
        <v>122</v>
      </c>
      <c r="B134" t="s">
        <v>9</v>
      </c>
      <c r="C134">
        <v>30</v>
      </c>
      <c r="D134" t="s">
        <v>14</v>
      </c>
      <c r="E134" s="5">
        <v>44544</v>
      </c>
      <c r="F134" t="s">
        <v>18</v>
      </c>
      <c r="G134" s="17">
        <v>96800</v>
      </c>
      <c r="H134" t="s">
        <v>207</v>
      </c>
      <c r="I134" s="7">
        <f ca="1">(TODAY()-Staff[[#This Row],[Date Joined]])/365</f>
        <v>1.6958904109589041</v>
      </c>
      <c r="J134" s="16">
        <f ca="1">ROUNDUP(IF(Staff[[#This Row],[Tenure]]&gt;2,3%,2%)*Staff[[#This Row],[Salary]],0)</f>
        <v>1936</v>
      </c>
      <c r="K134" s="19">
        <f>_xlfn.XLOOKUP(Staff[[#This Row],[Rating]],Mapping!$C$6:$C$10,Mapping!$D$6:$D$10)</f>
        <v>3</v>
      </c>
      <c r="L134" s="7"/>
    </row>
    <row r="135" spans="1:12">
      <c r="A135" t="s">
        <v>100</v>
      </c>
      <c r="B135" t="s">
        <v>9</v>
      </c>
      <c r="C135">
        <v>30</v>
      </c>
      <c r="D135" t="s">
        <v>14</v>
      </c>
      <c r="E135" s="5">
        <v>44606</v>
      </c>
      <c r="F135" t="s">
        <v>18</v>
      </c>
      <c r="G135" s="17">
        <v>96800</v>
      </c>
      <c r="H135" t="s">
        <v>208</v>
      </c>
      <c r="I135" s="7">
        <f ca="1">(TODAY()-Staff[[#This Row],[Date Joined]])/365</f>
        <v>1.526027397260274</v>
      </c>
      <c r="J135" s="16">
        <f ca="1">ROUNDUP(IF(Staff[[#This Row],[Tenure]]&gt;2,3%,2%)*Staff[[#This Row],[Salary]],0)</f>
        <v>1936</v>
      </c>
      <c r="K135" s="19">
        <f>_xlfn.XLOOKUP(Staff[[#This Row],[Rating]],Mapping!$C$6:$C$10,Mapping!$D$6:$D$10)</f>
        <v>3</v>
      </c>
      <c r="L135" s="7"/>
    </row>
    <row r="136" spans="1:12">
      <c r="A136" t="s">
        <v>175</v>
      </c>
      <c r="B136" t="s">
        <v>9</v>
      </c>
      <c r="C136">
        <v>40</v>
      </c>
      <c r="D136" t="s">
        <v>14</v>
      </c>
      <c r="E136" s="5">
        <v>44204</v>
      </c>
      <c r="F136" t="s">
        <v>13</v>
      </c>
      <c r="G136" s="17">
        <v>99750</v>
      </c>
      <c r="H136" t="s">
        <v>207</v>
      </c>
      <c r="I136" s="7">
        <f ca="1">(TODAY()-Staff[[#This Row],[Date Joined]])/365</f>
        <v>2.6273972602739728</v>
      </c>
      <c r="J136" s="16">
        <f ca="1">ROUNDUP(IF(Staff[[#This Row],[Tenure]]&gt;2,3%,2%)*Staff[[#This Row],[Salary]],0)</f>
        <v>2993</v>
      </c>
      <c r="K136" s="19">
        <f>_xlfn.XLOOKUP(Staff[[#This Row],[Rating]],Mapping!$C$6:$C$10,Mapping!$D$6:$D$10)</f>
        <v>3</v>
      </c>
      <c r="L136" s="7"/>
    </row>
    <row r="137" spans="1:12">
      <c r="A137" t="s">
        <v>33</v>
      </c>
      <c r="B137" t="s">
        <v>9</v>
      </c>
      <c r="C137">
        <v>40</v>
      </c>
      <c r="D137" t="s">
        <v>14</v>
      </c>
      <c r="E137" s="5">
        <v>44263</v>
      </c>
      <c r="F137" t="s">
        <v>13</v>
      </c>
      <c r="G137" s="17">
        <v>99750</v>
      </c>
      <c r="H137" t="s">
        <v>208</v>
      </c>
      <c r="I137" s="7">
        <f ca="1">(TODAY()-Staff[[#This Row],[Date Joined]])/365</f>
        <v>2.4657534246575343</v>
      </c>
      <c r="J137" s="16">
        <f ca="1">ROUNDUP(IF(Staff[[#This Row],[Tenure]]&gt;2,3%,2%)*Staff[[#This Row],[Salary]],0)</f>
        <v>2993</v>
      </c>
      <c r="K137" s="19">
        <f>_xlfn.XLOOKUP(Staff[[#This Row],[Rating]],Mapping!$C$6:$C$10,Mapping!$D$6:$D$10)</f>
        <v>3</v>
      </c>
      <c r="L137" s="7"/>
    </row>
    <row r="138" spans="1:12">
      <c r="A138" t="s">
        <v>143</v>
      </c>
      <c r="B138" t="s">
        <v>16</v>
      </c>
      <c r="C138">
        <v>28</v>
      </c>
      <c r="D138" t="s">
        <v>14</v>
      </c>
      <c r="E138" s="5">
        <v>44571</v>
      </c>
      <c r="F138" t="s">
        <v>13</v>
      </c>
      <c r="G138" s="17">
        <v>99970</v>
      </c>
      <c r="H138" t="s">
        <v>207</v>
      </c>
      <c r="I138" s="7">
        <f ca="1">(TODAY()-Staff[[#This Row],[Date Joined]])/365</f>
        <v>1.6219178082191781</v>
      </c>
      <c r="J138" s="16">
        <f ca="1">ROUNDUP(IF(Staff[[#This Row],[Tenure]]&gt;2,3%,2%)*Staff[[#This Row],[Salary]],0)</f>
        <v>2000</v>
      </c>
      <c r="K138" s="19">
        <f>_xlfn.XLOOKUP(Staff[[#This Row],[Rating]],Mapping!$C$6:$C$10,Mapping!$D$6:$D$10)</f>
        <v>3</v>
      </c>
      <c r="L138" s="7"/>
    </row>
    <row r="139" spans="1:12">
      <c r="A139" t="s">
        <v>55</v>
      </c>
      <c r="B139" t="s">
        <v>16</v>
      </c>
      <c r="C139">
        <v>28</v>
      </c>
      <c r="D139" t="s">
        <v>14</v>
      </c>
      <c r="E139" s="5">
        <v>44630</v>
      </c>
      <c r="F139" t="s">
        <v>13</v>
      </c>
      <c r="G139" s="17">
        <v>99970</v>
      </c>
      <c r="H139" t="s">
        <v>208</v>
      </c>
      <c r="I139" s="7">
        <f ca="1">(TODAY()-Staff[[#This Row],[Date Joined]])/365</f>
        <v>1.4602739726027398</v>
      </c>
      <c r="J139" s="16">
        <f ca="1">ROUNDUP(IF(Staff[[#This Row],[Tenure]]&gt;2,3%,2%)*Staff[[#This Row],[Salary]],0)</f>
        <v>2000</v>
      </c>
      <c r="K139" s="19">
        <f>_xlfn.XLOOKUP(Staff[[#This Row],[Rating]],Mapping!$C$6:$C$10,Mapping!$D$6:$D$10)</f>
        <v>3</v>
      </c>
      <c r="L139" s="7"/>
    </row>
    <row r="140" spans="1:12">
      <c r="A140" t="s">
        <v>136</v>
      </c>
      <c r="B140" t="s">
        <v>9</v>
      </c>
      <c r="C140">
        <v>24</v>
      </c>
      <c r="D140" t="s">
        <v>14</v>
      </c>
      <c r="E140" s="5">
        <v>44625</v>
      </c>
      <c r="F140" t="s">
        <v>24</v>
      </c>
      <c r="G140" s="17">
        <v>100420</v>
      </c>
      <c r="H140" t="s">
        <v>207</v>
      </c>
      <c r="I140" s="7">
        <f ca="1">(TODAY()-Staff[[#This Row],[Date Joined]])/365</f>
        <v>1.473972602739726</v>
      </c>
      <c r="J140" s="16">
        <f ca="1">ROUNDUP(IF(Staff[[#This Row],[Tenure]]&gt;2,3%,2%)*Staff[[#This Row],[Salary]],0)</f>
        <v>2009</v>
      </c>
      <c r="K140" s="19">
        <f>_xlfn.XLOOKUP(Staff[[#This Row],[Rating]],Mapping!$C$6:$C$10,Mapping!$D$6:$D$10)</f>
        <v>3</v>
      </c>
      <c r="L140" s="7"/>
    </row>
    <row r="141" spans="1:12">
      <c r="A141" t="s">
        <v>92</v>
      </c>
      <c r="B141" t="s">
        <v>9</v>
      </c>
      <c r="C141">
        <v>24</v>
      </c>
      <c r="D141" t="s">
        <v>14</v>
      </c>
      <c r="E141" s="5">
        <v>44686</v>
      </c>
      <c r="F141" t="s">
        <v>24</v>
      </c>
      <c r="G141" s="17">
        <v>100420</v>
      </c>
      <c r="H141" t="s">
        <v>208</v>
      </c>
      <c r="I141" s="7">
        <f ca="1">(TODAY()-Staff[[#This Row],[Date Joined]])/365</f>
        <v>1.3068493150684932</v>
      </c>
      <c r="J141" s="16">
        <f ca="1">ROUNDUP(IF(Staff[[#This Row],[Tenure]]&gt;2,3%,2%)*Staff[[#This Row],[Salary]],0)</f>
        <v>2009</v>
      </c>
      <c r="K141" s="19">
        <f>_xlfn.XLOOKUP(Staff[[#This Row],[Rating]],Mapping!$C$6:$C$10,Mapping!$D$6:$D$10)</f>
        <v>3</v>
      </c>
      <c r="L141" s="7"/>
    </row>
    <row r="142" spans="1:12">
      <c r="A142" t="s">
        <v>113</v>
      </c>
      <c r="B142" t="s">
        <v>9</v>
      </c>
      <c r="C142">
        <v>31</v>
      </c>
      <c r="D142" t="s">
        <v>14</v>
      </c>
      <c r="E142" s="5">
        <v>44663</v>
      </c>
      <c r="F142" t="s">
        <v>13</v>
      </c>
      <c r="G142" s="17">
        <v>103550</v>
      </c>
      <c r="H142" t="s">
        <v>207</v>
      </c>
      <c r="I142" s="7">
        <f ca="1">(TODAY()-Staff[[#This Row],[Date Joined]])/365</f>
        <v>1.3698630136986301</v>
      </c>
      <c r="J142" s="16">
        <f ca="1">ROUNDUP(IF(Staff[[#This Row],[Tenure]]&gt;2,3%,2%)*Staff[[#This Row],[Salary]],0)</f>
        <v>2071</v>
      </c>
      <c r="K142" s="19">
        <f>_xlfn.XLOOKUP(Staff[[#This Row],[Rating]],Mapping!$C$6:$C$10,Mapping!$D$6:$D$10)</f>
        <v>3</v>
      </c>
      <c r="L142" s="7"/>
    </row>
    <row r="143" spans="1:12">
      <c r="A143" t="s">
        <v>57</v>
      </c>
      <c r="B143" t="s">
        <v>9</v>
      </c>
      <c r="C143">
        <v>31</v>
      </c>
      <c r="D143" t="s">
        <v>14</v>
      </c>
      <c r="E143" s="5">
        <v>44724</v>
      </c>
      <c r="F143" t="s">
        <v>13</v>
      </c>
      <c r="G143" s="17">
        <v>103550</v>
      </c>
      <c r="H143" t="s">
        <v>208</v>
      </c>
      <c r="I143" s="7">
        <f ca="1">(TODAY()-Staff[[#This Row],[Date Joined]])/365</f>
        <v>1.2027397260273973</v>
      </c>
      <c r="J143" s="16">
        <f ca="1">ROUNDUP(IF(Staff[[#This Row],[Tenure]]&gt;2,3%,2%)*Staff[[#This Row],[Salary]],0)</f>
        <v>2071</v>
      </c>
      <c r="K143" s="19">
        <f>_xlfn.XLOOKUP(Staff[[#This Row],[Rating]],Mapping!$C$6:$C$10,Mapping!$D$6:$D$10)</f>
        <v>3</v>
      </c>
      <c r="L143" s="7"/>
    </row>
    <row r="144" spans="1:12">
      <c r="A144" t="s">
        <v>189</v>
      </c>
      <c r="B144" t="s">
        <v>16</v>
      </c>
      <c r="C144">
        <v>28</v>
      </c>
      <c r="D144" t="s">
        <v>14</v>
      </c>
      <c r="E144" s="5">
        <v>44590</v>
      </c>
      <c r="F144" t="s">
        <v>13</v>
      </c>
      <c r="G144" s="17">
        <v>104120</v>
      </c>
      <c r="H144" t="s">
        <v>207</v>
      </c>
      <c r="I144" s="7">
        <f ca="1">(TODAY()-Staff[[#This Row],[Date Joined]])/365</f>
        <v>1.5698630136986302</v>
      </c>
      <c r="J144" s="16">
        <f ca="1">ROUNDUP(IF(Staff[[#This Row],[Tenure]]&gt;2,3%,2%)*Staff[[#This Row],[Salary]],0)</f>
        <v>2083</v>
      </c>
      <c r="K144" s="19">
        <f>_xlfn.XLOOKUP(Staff[[#This Row],[Rating]],Mapping!$C$6:$C$10,Mapping!$D$6:$D$10)</f>
        <v>3</v>
      </c>
      <c r="L144" s="7"/>
    </row>
    <row r="145" spans="1:12">
      <c r="A145" t="s">
        <v>90</v>
      </c>
      <c r="B145" t="s">
        <v>16</v>
      </c>
      <c r="C145">
        <v>28</v>
      </c>
      <c r="D145" t="s">
        <v>14</v>
      </c>
      <c r="E145" s="5">
        <v>44649</v>
      </c>
      <c r="F145" t="s">
        <v>13</v>
      </c>
      <c r="G145" s="17">
        <v>104120</v>
      </c>
      <c r="H145" t="s">
        <v>208</v>
      </c>
      <c r="I145" s="7">
        <f ca="1">(TODAY()-Staff[[#This Row],[Date Joined]])/365</f>
        <v>1.4082191780821918</v>
      </c>
      <c r="J145" s="16">
        <f ca="1">ROUNDUP(IF(Staff[[#This Row],[Tenure]]&gt;2,3%,2%)*Staff[[#This Row],[Salary]],0)</f>
        <v>2083</v>
      </c>
      <c r="K145" s="19">
        <f>_xlfn.XLOOKUP(Staff[[#This Row],[Rating]],Mapping!$C$6:$C$10,Mapping!$D$6:$D$10)</f>
        <v>3</v>
      </c>
      <c r="L145" s="7"/>
    </row>
    <row r="146" spans="1:12">
      <c r="A146" t="s">
        <v>121</v>
      </c>
      <c r="B146" t="s">
        <v>16</v>
      </c>
      <c r="C146">
        <v>40</v>
      </c>
      <c r="D146" t="s">
        <v>14</v>
      </c>
      <c r="E146" s="5">
        <v>44320</v>
      </c>
      <c r="F146" t="s">
        <v>24</v>
      </c>
      <c r="G146" s="17">
        <v>104410</v>
      </c>
      <c r="H146" t="s">
        <v>207</v>
      </c>
      <c r="I146" s="7">
        <f ca="1">(TODAY()-Staff[[#This Row],[Date Joined]])/365</f>
        <v>2.3095890410958906</v>
      </c>
      <c r="J146" s="16">
        <f ca="1">ROUNDUP(IF(Staff[[#This Row],[Tenure]]&gt;2,3%,2%)*Staff[[#This Row],[Salary]],0)</f>
        <v>3133</v>
      </c>
      <c r="K146" s="19">
        <f>_xlfn.XLOOKUP(Staff[[#This Row],[Rating]],Mapping!$C$6:$C$10,Mapping!$D$6:$D$10)</f>
        <v>3</v>
      </c>
      <c r="L146" s="7"/>
    </row>
    <row r="147" spans="1:12">
      <c r="A147" t="s">
        <v>99</v>
      </c>
      <c r="B147" t="s">
        <v>16</v>
      </c>
      <c r="C147">
        <v>40</v>
      </c>
      <c r="D147" t="s">
        <v>14</v>
      </c>
      <c r="E147" s="5">
        <v>44381</v>
      </c>
      <c r="F147" t="s">
        <v>24</v>
      </c>
      <c r="G147" s="17">
        <v>104410</v>
      </c>
      <c r="H147" t="s">
        <v>208</v>
      </c>
      <c r="I147" s="7">
        <f ca="1">(TODAY()-Staff[[#This Row],[Date Joined]])/365</f>
        <v>2.1424657534246574</v>
      </c>
      <c r="J147" s="16">
        <f ca="1">ROUNDUP(IF(Staff[[#This Row],[Tenure]]&gt;2,3%,2%)*Staff[[#This Row],[Salary]],0)</f>
        <v>3133</v>
      </c>
      <c r="K147" s="19">
        <f>_xlfn.XLOOKUP(Staff[[#This Row],[Rating]],Mapping!$C$6:$C$10,Mapping!$D$6:$D$10)</f>
        <v>3</v>
      </c>
      <c r="L147" s="7"/>
    </row>
    <row r="148" spans="1:12">
      <c r="A148" t="s">
        <v>157</v>
      </c>
      <c r="B148" t="s">
        <v>16</v>
      </c>
      <c r="C148">
        <v>28</v>
      </c>
      <c r="D148" t="s">
        <v>14</v>
      </c>
      <c r="E148" s="5">
        <v>44425</v>
      </c>
      <c r="F148" t="s">
        <v>13</v>
      </c>
      <c r="G148" s="17">
        <v>104770</v>
      </c>
      <c r="H148" t="s">
        <v>207</v>
      </c>
      <c r="I148" s="7">
        <f ca="1">(TODAY()-Staff[[#This Row],[Date Joined]])/365</f>
        <v>2.021917808219178</v>
      </c>
      <c r="J148" s="16">
        <f ca="1">ROUNDUP(IF(Staff[[#This Row],[Tenure]]&gt;2,3%,2%)*Staff[[#This Row],[Salary]],0)</f>
        <v>3144</v>
      </c>
      <c r="K148" s="19">
        <f>_xlfn.XLOOKUP(Staff[[#This Row],[Rating]],Mapping!$C$6:$C$10,Mapping!$D$6:$D$10)</f>
        <v>3</v>
      </c>
      <c r="L148" s="7"/>
    </row>
    <row r="149" spans="1:12">
      <c r="A149" t="s">
        <v>82</v>
      </c>
      <c r="B149" t="s">
        <v>16</v>
      </c>
      <c r="C149">
        <v>28</v>
      </c>
      <c r="D149" t="s">
        <v>14</v>
      </c>
      <c r="E149" s="5">
        <v>44486</v>
      </c>
      <c r="F149" t="s">
        <v>13</v>
      </c>
      <c r="G149" s="17">
        <v>104770</v>
      </c>
      <c r="H149" t="s">
        <v>208</v>
      </c>
      <c r="I149" s="7">
        <f ca="1">(TODAY()-Staff[[#This Row],[Date Joined]])/365</f>
        <v>1.8547945205479452</v>
      </c>
      <c r="J149" s="16">
        <f ca="1">ROUNDUP(IF(Staff[[#This Row],[Tenure]]&gt;2,3%,2%)*Staff[[#This Row],[Salary]],0)</f>
        <v>2096</v>
      </c>
      <c r="K149" s="19">
        <f>_xlfn.XLOOKUP(Staff[[#This Row],[Rating]],Mapping!$C$6:$C$10,Mapping!$D$6:$D$10)</f>
        <v>3</v>
      </c>
      <c r="L149" s="7"/>
    </row>
    <row r="150" spans="1:12">
      <c r="A150" t="s">
        <v>185</v>
      </c>
      <c r="B150" t="s">
        <v>9</v>
      </c>
      <c r="C150">
        <v>23</v>
      </c>
      <c r="D150" t="s">
        <v>14</v>
      </c>
      <c r="E150" s="5">
        <v>44378</v>
      </c>
      <c r="F150" t="s">
        <v>13</v>
      </c>
      <c r="G150" s="17">
        <v>106460</v>
      </c>
      <c r="H150" t="s">
        <v>207</v>
      </c>
      <c r="I150" s="7">
        <f ca="1">(TODAY()-Staff[[#This Row],[Date Joined]])/365</f>
        <v>2.1506849315068495</v>
      </c>
      <c r="J150" s="16">
        <f ca="1">ROUNDUP(IF(Staff[[#This Row],[Tenure]]&gt;2,3%,2%)*Staff[[#This Row],[Salary]],0)</f>
        <v>3194</v>
      </c>
      <c r="K150" s="19">
        <f>_xlfn.XLOOKUP(Staff[[#This Row],[Rating]],Mapping!$C$6:$C$10,Mapping!$D$6:$D$10)</f>
        <v>3</v>
      </c>
      <c r="L150" s="7"/>
    </row>
    <row r="151" spans="1:12">
      <c r="A151" t="s">
        <v>95</v>
      </c>
      <c r="B151" t="s">
        <v>9</v>
      </c>
      <c r="C151">
        <v>23</v>
      </c>
      <c r="D151" t="s">
        <v>14</v>
      </c>
      <c r="E151" s="5">
        <v>44440</v>
      </c>
      <c r="F151" t="s">
        <v>13</v>
      </c>
      <c r="G151" s="17">
        <v>106460</v>
      </c>
      <c r="H151" t="s">
        <v>208</v>
      </c>
      <c r="I151" s="7">
        <f ca="1">(TODAY()-Staff[[#This Row],[Date Joined]])/365</f>
        <v>1.9808219178082191</v>
      </c>
      <c r="J151" s="16">
        <f ca="1">ROUNDUP(IF(Staff[[#This Row],[Tenure]]&gt;2,3%,2%)*Staff[[#This Row],[Salary]],0)</f>
        <v>2130</v>
      </c>
      <c r="K151" s="19">
        <f>_xlfn.XLOOKUP(Staff[[#This Row],[Rating]],Mapping!$C$6:$C$10,Mapping!$D$6:$D$10)</f>
        <v>3</v>
      </c>
      <c r="L151" s="7"/>
    </row>
    <row r="152" spans="1:12">
      <c r="A152" t="s">
        <v>193</v>
      </c>
      <c r="B152" t="s">
        <v>9</v>
      </c>
      <c r="C152">
        <v>20</v>
      </c>
      <c r="D152" t="s">
        <v>14</v>
      </c>
      <c r="E152" s="5">
        <v>44397</v>
      </c>
      <c r="F152" t="s">
        <v>24</v>
      </c>
      <c r="G152" s="17">
        <v>107700</v>
      </c>
      <c r="H152" t="s">
        <v>207</v>
      </c>
      <c r="I152" s="7">
        <f ca="1">(TODAY()-Staff[[#This Row],[Date Joined]])/365</f>
        <v>2.0986301369863014</v>
      </c>
      <c r="J152" s="16">
        <f ca="1">ROUNDUP(IF(Staff[[#This Row],[Tenure]]&gt;2,3%,2%)*Staff[[#This Row],[Salary]],0)</f>
        <v>3231</v>
      </c>
      <c r="K152" s="19">
        <f>_xlfn.XLOOKUP(Staff[[#This Row],[Rating]],Mapping!$C$6:$C$10,Mapping!$D$6:$D$10)</f>
        <v>3</v>
      </c>
      <c r="L152" s="7"/>
    </row>
    <row r="153" spans="1:12">
      <c r="A153" t="s">
        <v>31</v>
      </c>
      <c r="B153" t="s">
        <v>9</v>
      </c>
      <c r="C153">
        <v>20</v>
      </c>
      <c r="D153" t="s">
        <v>14</v>
      </c>
      <c r="E153" s="5">
        <v>44459</v>
      </c>
      <c r="F153" t="s">
        <v>24</v>
      </c>
      <c r="G153" s="17">
        <v>107700</v>
      </c>
      <c r="H153" t="s">
        <v>208</v>
      </c>
      <c r="I153" s="7">
        <f ca="1">(TODAY()-Staff[[#This Row],[Date Joined]])/365</f>
        <v>1.9287671232876713</v>
      </c>
      <c r="J153" s="16">
        <f ca="1">ROUNDUP(IF(Staff[[#This Row],[Tenure]]&gt;2,3%,2%)*Staff[[#This Row],[Salary]],0)</f>
        <v>2154</v>
      </c>
      <c r="K153" s="19">
        <f>_xlfn.XLOOKUP(Staff[[#This Row],[Rating]],Mapping!$C$6:$C$10,Mapping!$D$6:$D$10)</f>
        <v>3</v>
      </c>
      <c r="L153" s="7"/>
    </row>
    <row r="154" spans="1:12">
      <c r="A154" t="s">
        <v>174</v>
      </c>
      <c r="B154" t="s">
        <v>16</v>
      </c>
      <c r="C154">
        <v>38</v>
      </c>
      <c r="D154" t="s">
        <v>44</v>
      </c>
      <c r="E154" s="5">
        <v>44316</v>
      </c>
      <c r="F154" t="s">
        <v>10</v>
      </c>
      <c r="G154" s="17">
        <v>109160</v>
      </c>
      <c r="H154" t="s">
        <v>207</v>
      </c>
      <c r="I154" s="7">
        <f ca="1">(TODAY()-Staff[[#This Row],[Date Joined]])/365</f>
        <v>2.3205479452054796</v>
      </c>
      <c r="J154" s="16">
        <f ca="1">ROUNDUP(IF(Staff[[#This Row],[Tenure]]&gt;2,3%,2%)*Staff[[#This Row],[Salary]],0)</f>
        <v>3275</v>
      </c>
      <c r="K154" s="19">
        <f>_xlfn.XLOOKUP(Staff[[#This Row],[Rating]],Mapping!$C$6:$C$10,Mapping!$D$6:$D$10)</f>
        <v>5</v>
      </c>
      <c r="L154" s="7"/>
    </row>
    <row r="155" spans="1:12">
      <c r="A155" t="s">
        <v>75</v>
      </c>
      <c r="B155" t="s">
        <v>16</v>
      </c>
      <c r="C155">
        <v>38</v>
      </c>
      <c r="D155" t="s">
        <v>44</v>
      </c>
      <c r="E155" s="5">
        <v>44377</v>
      </c>
      <c r="F155" t="s">
        <v>10</v>
      </c>
      <c r="G155" s="17">
        <v>109160</v>
      </c>
      <c r="H155" t="s">
        <v>208</v>
      </c>
      <c r="I155" s="7">
        <f ca="1">(TODAY()-Staff[[#This Row],[Date Joined]])/365</f>
        <v>2.1534246575342464</v>
      </c>
      <c r="J155" s="16">
        <f ca="1">ROUNDUP(IF(Staff[[#This Row],[Tenure]]&gt;2,3%,2%)*Staff[[#This Row],[Salary]],0)</f>
        <v>3275</v>
      </c>
      <c r="K155" s="19">
        <f>_xlfn.XLOOKUP(Staff[[#This Row],[Rating]],Mapping!$C$6:$C$10,Mapping!$D$6:$D$10)</f>
        <v>5</v>
      </c>
      <c r="L155" s="7"/>
    </row>
    <row r="156" spans="1:12">
      <c r="A156" t="s">
        <v>120</v>
      </c>
      <c r="B156" t="s">
        <v>9</v>
      </c>
      <c r="C156">
        <v>25</v>
      </c>
      <c r="D156" t="s">
        <v>11</v>
      </c>
      <c r="E156" s="5">
        <v>44665</v>
      </c>
      <c r="F156" t="s">
        <v>13</v>
      </c>
      <c r="G156" s="17">
        <v>109190</v>
      </c>
      <c r="H156" t="s">
        <v>207</v>
      </c>
      <c r="I156" s="7">
        <f ca="1">(TODAY()-Staff[[#This Row],[Date Joined]])/365</f>
        <v>1.3643835616438356</v>
      </c>
      <c r="J156" s="16">
        <f ca="1">ROUNDUP(IF(Staff[[#This Row],[Tenure]]&gt;2,3%,2%)*Staff[[#This Row],[Salary]],0)</f>
        <v>2184</v>
      </c>
      <c r="K156" s="19">
        <f>_xlfn.XLOOKUP(Staff[[#This Row],[Rating]],Mapping!$C$6:$C$10,Mapping!$D$6:$D$10)</f>
        <v>4</v>
      </c>
      <c r="L156" s="7"/>
    </row>
    <row r="157" spans="1:12">
      <c r="A157" t="s">
        <v>53</v>
      </c>
      <c r="B157" t="s">
        <v>9</v>
      </c>
      <c r="C157">
        <v>25</v>
      </c>
      <c r="D157" t="s">
        <v>11</v>
      </c>
      <c r="E157" s="5">
        <v>44726</v>
      </c>
      <c r="F157" t="s">
        <v>13</v>
      </c>
      <c r="G157" s="17">
        <v>109190</v>
      </c>
      <c r="H157" t="s">
        <v>208</v>
      </c>
      <c r="I157" s="7">
        <f ca="1">(TODAY()-Staff[[#This Row],[Date Joined]])/365</f>
        <v>1.1972602739726028</v>
      </c>
      <c r="J157" s="16">
        <f ca="1">ROUNDUP(IF(Staff[[#This Row],[Tenure]]&gt;2,3%,2%)*Staff[[#This Row],[Salary]],0)</f>
        <v>2184</v>
      </c>
      <c r="K157" s="19">
        <f>_xlfn.XLOOKUP(Staff[[#This Row],[Rating]],Mapping!$C$6:$C$10,Mapping!$D$6:$D$10)</f>
        <v>4</v>
      </c>
      <c r="L157" s="7"/>
    </row>
    <row r="158" spans="1:12">
      <c r="A158" t="s">
        <v>146</v>
      </c>
      <c r="B158" t="s">
        <v>9</v>
      </c>
      <c r="C158">
        <v>29</v>
      </c>
      <c r="D158" t="s">
        <v>19</v>
      </c>
      <c r="E158" s="5">
        <v>44119</v>
      </c>
      <c r="F158" t="s">
        <v>24</v>
      </c>
      <c r="G158" s="17">
        <v>112110</v>
      </c>
      <c r="H158" t="s">
        <v>207</v>
      </c>
      <c r="I158" s="7">
        <f ca="1">(TODAY()-Staff[[#This Row],[Date Joined]])/365</f>
        <v>2.8602739726027395</v>
      </c>
      <c r="J158" s="16">
        <f ca="1">ROUNDUP(IF(Staff[[#This Row],[Tenure]]&gt;2,3%,2%)*Staff[[#This Row],[Salary]],0)</f>
        <v>3364</v>
      </c>
      <c r="K158" s="19">
        <f>_xlfn.XLOOKUP(Staff[[#This Row],[Rating]],Mapping!$C$6:$C$10,Mapping!$D$6:$D$10)</f>
        <v>2</v>
      </c>
      <c r="L158" s="7"/>
    </row>
    <row r="159" spans="1:12">
      <c r="A159" t="s">
        <v>28</v>
      </c>
      <c r="B159" t="s">
        <v>9</v>
      </c>
      <c r="C159">
        <v>29</v>
      </c>
      <c r="D159" t="s">
        <v>19</v>
      </c>
      <c r="E159" s="5">
        <v>44180</v>
      </c>
      <c r="F159" t="s">
        <v>24</v>
      </c>
      <c r="G159" s="17">
        <v>112110</v>
      </c>
      <c r="H159" t="s">
        <v>208</v>
      </c>
      <c r="I159" s="7">
        <f ca="1">(TODAY()-Staff[[#This Row],[Date Joined]])/365</f>
        <v>2.6931506849315068</v>
      </c>
      <c r="J159" s="16">
        <f ca="1">ROUNDUP(IF(Staff[[#This Row],[Tenure]]&gt;2,3%,2%)*Staff[[#This Row],[Salary]],0)</f>
        <v>3364</v>
      </c>
      <c r="K159" s="19">
        <f>_xlfn.XLOOKUP(Staff[[#This Row],[Rating]],Mapping!$C$6:$C$10,Mapping!$D$6:$D$10)</f>
        <v>2</v>
      </c>
      <c r="L159" s="7"/>
    </row>
    <row r="160" spans="1:12">
      <c r="A160" t="s">
        <v>140</v>
      </c>
      <c r="B160" t="s">
        <v>16</v>
      </c>
      <c r="C160">
        <v>30</v>
      </c>
      <c r="D160" t="s">
        <v>14</v>
      </c>
      <c r="E160" s="5">
        <v>44800</v>
      </c>
      <c r="F160" t="s">
        <v>13</v>
      </c>
      <c r="G160" s="17">
        <v>112570</v>
      </c>
      <c r="H160" t="s">
        <v>207</v>
      </c>
      <c r="I160" s="7">
        <f ca="1">(TODAY()-Staff[[#This Row],[Date Joined]])/365</f>
        <v>0.9945205479452055</v>
      </c>
      <c r="J160" s="16">
        <f ca="1">ROUNDUP(IF(Staff[[#This Row],[Tenure]]&gt;2,3%,2%)*Staff[[#This Row],[Salary]],0)</f>
        <v>2252</v>
      </c>
      <c r="K160" s="19">
        <f>_xlfn.XLOOKUP(Staff[[#This Row],[Rating]],Mapping!$C$6:$C$10,Mapping!$D$6:$D$10)</f>
        <v>3</v>
      </c>
      <c r="L160" s="7"/>
    </row>
    <row r="161" spans="1:12">
      <c r="A161" t="s">
        <v>21</v>
      </c>
      <c r="B161" t="s">
        <v>16</v>
      </c>
      <c r="C161">
        <v>30</v>
      </c>
      <c r="D161" t="s">
        <v>14</v>
      </c>
      <c r="E161" s="5">
        <v>44861</v>
      </c>
      <c r="F161" t="s">
        <v>13</v>
      </c>
      <c r="G161" s="17">
        <v>112570</v>
      </c>
      <c r="H161" t="s">
        <v>208</v>
      </c>
      <c r="I161" s="7">
        <f ca="1">(TODAY()-Staff[[#This Row],[Date Joined]])/365</f>
        <v>0.82739726027397265</v>
      </c>
      <c r="J161" s="16">
        <f ca="1">ROUNDUP(IF(Staff[[#This Row],[Tenure]]&gt;2,3%,2%)*Staff[[#This Row],[Salary]],0)</f>
        <v>2252</v>
      </c>
      <c r="K161" s="19">
        <f>_xlfn.XLOOKUP(Staff[[#This Row],[Rating]],Mapping!$C$6:$C$10,Mapping!$D$6:$D$10)</f>
        <v>3</v>
      </c>
      <c r="L161" s="7"/>
    </row>
    <row r="162" spans="1:12">
      <c r="A162" t="s">
        <v>111</v>
      </c>
      <c r="B162" t="s">
        <v>9</v>
      </c>
      <c r="C162">
        <v>20</v>
      </c>
      <c r="D162" t="s">
        <v>14</v>
      </c>
      <c r="E162" s="5">
        <v>44122</v>
      </c>
      <c r="F162" t="s">
        <v>24</v>
      </c>
      <c r="G162" s="17">
        <v>112650</v>
      </c>
      <c r="H162" t="s">
        <v>207</v>
      </c>
      <c r="I162" s="7">
        <f ca="1">(TODAY()-Staff[[#This Row],[Date Joined]])/365</f>
        <v>2.8520547945205479</v>
      </c>
      <c r="J162" s="16">
        <f ca="1">ROUNDUP(IF(Staff[[#This Row],[Tenure]]&gt;2,3%,2%)*Staff[[#This Row],[Salary]],0)</f>
        <v>3380</v>
      </c>
      <c r="K162" s="19">
        <f>_xlfn.XLOOKUP(Staff[[#This Row],[Rating]],Mapping!$C$6:$C$10,Mapping!$D$6:$D$10)</f>
        <v>3</v>
      </c>
      <c r="L162" s="7"/>
    </row>
    <row r="163" spans="1:12">
      <c r="A163" t="s">
        <v>125</v>
      </c>
      <c r="B163" t="s">
        <v>9</v>
      </c>
      <c r="C163">
        <v>34</v>
      </c>
      <c r="D163" t="s">
        <v>14</v>
      </c>
      <c r="E163" s="5">
        <v>44642</v>
      </c>
      <c r="F163" t="s">
        <v>13</v>
      </c>
      <c r="G163" s="17">
        <v>112650</v>
      </c>
      <c r="H163" t="s">
        <v>207</v>
      </c>
      <c r="I163" s="7">
        <f ca="1">(TODAY()-Staff[[#This Row],[Date Joined]])/365</f>
        <v>1.4273972602739726</v>
      </c>
      <c r="J163" s="16">
        <f ca="1">ROUNDUP(IF(Staff[[#This Row],[Tenure]]&gt;2,3%,2%)*Staff[[#This Row],[Salary]],0)</f>
        <v>2253</v>
      </c>
      <c r="K163" s="19">
        <f>_xlfn.XLOOKUP(Staff[[#This Row],[Rating]],Mapping!$C$6:$C$10,Mapping!$D$6:$D$10)</f>
        <v>3</v>
      </c>
      <c r="L163" s="7"/>
    </row>
    <row r="164" spans="1:12">
      <c r="A164" t="s">
        <v>64</v>
      </c>
      <c r="B164" t="s">
        <v>9</v>
      </c>
      <c r="C164">
        <v>20</v>
      </c>
      <c r="D164" t="s">
        <v>14</v>
      </c>
      <c r="E164" s="5">
        <v>44183</v>
      </c>
      <c r="F164" t="s">
        <v>24</v>
      </c>
      <c r="G164" s="17">
        <v>112650</v>
      </c>
      <c r="H164" t="s">
        <v>208</v>
      </c>
      <c r="I164" s="7">
        <f ca="1">(TODAY()-Staff[[#This Row],[Date Joined]])/365</f>
        <v>2.6849315068493151</v>
      </c>
      <c r="J164" s="16">
        <f ca="1">ROUNDUP(IF(Staff[[#This Row],[Tenure]]&gt;2,3%,2%)*Staff[[#This Row],[Salary]],0)</f>
        <v>3380</v>
      </c>
      <c r="K164" s="19">
        <f>_xlfn.XLOOKUP(Staff[[#This Row],[Rating]],Mapping!$C$6:$C$10,Mapping!$D$6:$D$10)</f>
        <v>3</v>
      </c>
      <c r="L164" s="7"/>
    </row>
    <row r="165" spans="1:12">
      <c r="A165" t="s">
        <v>148</v>
      </c>
      <c r="B165" t="s">
        <v>9</v>
      </c>
      <c r="C165">
        <v>22</v>
      </c>
      <c r="D165" t="s">
        <v>11</v>
      </c>
      <c r="E165" s="5">
        <v>44384</v>
      </c>
      <c r="F165" t="s">
        <v>10</v>
      </c>
      <c r="G165" s="17">
        <v>112780</v>
      </c>
      <c r="H165" t="s">
        <v>207</v>
      </c>
      <c r="I165" s="7">
        <f ca="1">(TODAY()-Staff[[#This Row],[Date Joined]])/365</f>
        <v>2.1342465753424658</v>
      </c>
      <c r="J165" s="16">
        <f ca="1">ROUNDUP(IF(Staff[[#This Row],[Tenure]]&gt;2,3%,2%)*Staff[[#This Row],[Salary]],0)</f>
        <v>3384</v>
      </c>
      <c r="K165" s="19">
        <f>_xlfn.XLOOKUP(Staff[[#This Row],[Rating]],Mapping!$C$6:$C$10,Mapping!$D$6:$D$10)</f>
        <v>4</v>
      </c>
      <c r="L165" s="7"/>
    </row>
    <row r="166" spans="1:12">
      <c r="A166" t="s">
        <v>8</v>
      </c>
      <c r="B166" t="s">
        <v>9</v>
      </c>
      <c r="C166">
        <v>22</v>
      </c>
      <c r="D166" t="s">
        <v>11</v>
      </c>
      <c r="E166" s="5">
        <v>44446</v>
      </c>
      <c r="F166" t="s">
        <v>10</v>
      </c>
      <c r="G166" s="17">
        <v>112780</v>
      </c>
      <c r="H166" t="s">
        <v>208</v>
      </c>
      <c r="I166" s="7">
        <f ca="1">(TODAY()-Staff[[#This Row],[Date Joined]])/365</f>
        <v>1.9643835616438357</v>
      </c>
      <c r="J166" s="16">
        <f ca="1">ROUNDUP(IF(Staff[[#This Row],[Tenure]]&gt;2,3%,2%)*Staff[[#This Row],[Salary]],0)</f>
        <v>2256</v>
      </c>
      <c r="K166" s="19">
        <f>_xlfn.XLOOKUP(Staff[[#This Row],[Rating]],Mapping!$C$6:$C$10,Mapping!$D$6:$D$10)</f>
        <v>4</v>
      </c>
      <c r="L166" s="7"/>
    </row>
    <row r="167" spans="1:12">
      <c r="A167" t="s">
        <v>178</v>
      </c>
      <c r="B167" t="s">
        <v>9</v>
      </c>
      <c r="C167">
        <v>27</v>
      </c>
      <c r="D167" t="s">
        <v>50</v>
      </c>
      <c r="E167" s="5">
        <v>44547</v>
      </c>
      <c r="F167" t="s">
        <v>13</v>
      </c>
      <c r="G167" s="17">
        <v>113280</v>
      </c>
      <c r="H167" t="s">
        <v>207</v>
      </c>
      <c r="I167" s="7">
        <f ca="1">(TODAY()-Staff[[#This Row],[Date Joined]])/365</f>
        <v>1.6876712328767123</v>
      </c>
      <c r="J167" s="16">
        <f ca="1">ROUNDUP(IF(Staff[[#This Row],[Tenure]]&gt;2,3%,2%)*Staff[[#This Row],[Salary]],0)</f>
        <v>2266</v>
      </c>
      <c r="K167" s="19">
        <f>_xlfn.XLOOKUP(Staff[[#This Row],[Rating]],Mapping!$C$6:$C$10,Mapping!$D$6:$D$10)</f>
        <v>1</v>
      </c>
      <c r="L167" s="7"/>
    </row>
    <row r="168" spans="1:12">
      <c r="A168" t="s">
        <v>76</v>
      </c>
      <c r="B168" t="s">
        <v>9</v>
      </c>
      <c r="C168">
        <v>27</v>
      </c>
      <c r="D168" t="s">
        <v>50</v>
      </c>
      <c r="E168" s="5">
        <v>44609</v>
      </c>
      <c r="F168" t="s">
        <v>13</v>
      </c>
      <c r="G168" s="17">
        <v>113280</v>
      </c>
      <c r="H168" t="s">
        <v>208</v>
      </c>
      <c r="I168" s="7">
        <f ca="1">(TODAY()-Staff[[#This Row],[Date Joined]])/365</f>
        <v>1.5178082191780822</v>
      </c>
      <c r="J168" s="16">
        <f ca="1">ROUNDUP(IF(Staff[[#This Row],[Tenure]]&gt;2,3%,2%)*Staff[[#This Row],[Salary]],0)</f>
        <v>2266</v>
      </c>
      <c r="K168" s="19">
        <f>_xlfn.XLOOKUP(Staff[[#This Row],[Rating]],Mapping!$C$6:$C$10,Mapping!$D$6:$D$10)</f>
        <v>1</v>
      </c>
      <c r="L168" s="7"/>
    </row>
    <row r="169" spans="1:12">
      <c r="A169" t="s">
        <v>188</v>
      </c>
      <c r="B169" t="s">
        <v>16</v>
      </c>
      <c r="C169">
        <v>30</v>
      </c>
      <c r="D169" t="s">
        <v>14</v>
      </c>
      <c r="E169" s="5">
        <v>44789</v>
      </c>
      <c r="F169" t="s">
        <v>13</v>
      </c>
      <c r="G169" s="17">
        <v>114180</v>
      </c>
      <c r="H169" t="s">
        <v>207</v>
      </c>
      <c r="I169" s="7">
        <f ca="1">(TODAY()-Staff[[#This Row],[Date Joined]])/365</f>
        <v>1.0246575342465754</v>
      </c>
      <c r="J169" s="16">
        <f ca="1">ROUNDUP(IF(Staff[[#This Row],[Tenure]]&gt;2,3%,2%)*Staff[[#This Row],[Salary]],0)</f>
        <v>2284</v>
      </c>
      <c r="K169" s="19">
        <f>_xlfn.XLOOKUP(Staff[[#This Row],[Rating]],Mapping!$C$6:$C$10,Mapping!$D$6:$D$10)</f>
        <v>3</v>
      </c>
      <c r="L169" s="7"/>
    </row>
    <row r="170" spans="1:12">
      <c r="A170" t="s">
        <v>93</v>
      </c>
      <c r="B170" t="s">
        <v>16</v>
      </c>
      <c r="C170">
        <v>30</v>
      </c>
      <c r="D170" t="s">
        <v>14</v>
      </c>
      <c r="E170" s="5">
        <v>44850</v>
      </c>
      <c r="F170" t="s">
        <v>13</v>
      </c>
      <c r="G170" s="17">
        <v>114180</v>
      </c>
      <c r="H170" t="s">
        <v>208</v>
      </c>
      <c r="I170" s="7">
        <f ca="1">(TODAY()-Staff[[#This Row],[Date Joined]])/365</f>
        <v>0.8575342465753425</v>
      </c>
      <c r="J170" s="16">
        <f ca="1">ROUNDUP(IF(Staff[[#This Row],[Tenure]]&gt;2,3%,2%)*Staff[[#This Row],[Salary]],0)</f>
        <v>2284</v>
      </c>
      <c r="K170" s="19">
        <f>_xlfn.XLOOKUP(Staff[[#This Row],[Rating]],Mapping!$C$6:$C$10,Mapping!$D$6:$D$10)</f>
        <v>3</v>
      </c>
      <c r="L170" s="7"/>
    </row>
    <row r="171" spans="1:12">
      <c r="A171" t="s">
        <v>138</v>
      </c>
      <c r="B171" t="s">
        <v>16</v>
      </c>
      <c r="C171">
        <v>44</v>
      </c>
      <c r="D171" t="s">
        <v>14</v>
      </c>
      <c r="E171" s="5">
        <v>44985</v>
      </c>
      <c r="F171" t="s">
        <v>24</v>
      </c>
      <c r="G171" s="17">
        <v>114870</v>
      </c>
      <c r="H171" t="s">
        <v>207</v>
      </c>
      <c r="I171" s="7">
        <f ca="1">(TODAY()-Staff[[#This Row],[Date Joined]])/365</f>
        <v>0.48767123287671232</v>
      </c>
      <c r="J171" s="16">
        <f ca="1">ROUNDUP(IF(Staff[[#This Row],[Tenure]]&gt;2,3%,2%)*Staff[[#This Row],[Salary]],0)</f>
        <v>2298</v>
      </c>
      <c r="K171" s="19">
        <f>_xlfn.XLOOKUP(Staff[[#This Row],[Rating]],Mapping!$C$6:$C$10,Mapping!$D$6:$D$10)</f>
        <v>3</v>
      </c>
      <c r="L171" s="7"/>
    </row>
    <row r="172" spans="1:12">
      <c r="A172" t="s">
        <v>80</v>
      </c>
      <c r="B172" t="s">
        <v>16</v>
      </c>
      <c r="C172">
        <v>43</v>
      </c>
      <c r="D172" t="s">
        <v>14</v>
      </c>
      <c r="E172" s="5">
        <v>45045</v>
      </c>
      <c r="F172" t="s">
        <v>24</v>
      </c>
      <c r="G172" s="17">
        <v>114870</v>
      </c>
      <c r="H172" t="s">
        <v>208</v>
      </c>
      <c r="I172" s="7">
        <f ca="1">(TODAY()-Staff[[#This Row],[Date Joined]])/365</f>
        <v>0.32328767123287672</v>
      </c>
      <c r="J172" s="16">
        <f ca="1">ROUNDUP(IF(Staff[[#This Row],[Tenure]]&gt;2,3%,2%)*Staff[[#This Row],[Salary]],0)</f>
        <v>2298</v>
      </c>
      <c r="K172" s="19">
        <f>_xlfn.XLOOKUP(Staff[[#This Row],[Rating]],Mapping!$C$6:$C$10,Mapping!$D$6:$D$10)</f>
        <v>3</v>
      </c>
      <c r="L172" s="7"/>
    </row>
    <row r="173" spans="1:12">
      <c r="A173" t="s">
        <v>149</v>
      </c>
      <c r="B173" t="s">
        <v>16</v>
      </c>
      <c r="C173">
        <v>36</v>
      </c>
      <c r="D173" t="s">
        <v>14</v>
      </c>
      <c r="E173" s="5">
        <v>44023</v>
      </c>
      <c r="F173" t="s">
        <v>13</v>
      </c>
      <c r="G173" s="17">
        <v>114890</v>
      </c>
      <c r="H173" t="s">
        <v>207</v>
      </c>
      <c r="I173" s="7">
        <f ca="1">(TODAY()-Staff[[#This Row],[Date Joined]])/365</f>
        <v>3.1232876712328768</v>
      </c>
      <c r="J173" s="16">
        <f ca="1">ROUNDUP(IF(Staff[[#This Row],[Tenure]]&gt;2,3%,2%)*Staff[[#This Row],[Salary]],0)</f>
        <v>3447</v>
      </c>
      <c r="K173" s="19">
        <f>_xlfn.XLOOKUP(Staff[[#This Row],[Rating]],Mapping!$C$6:$C$10,Mapping!$D$6:$D$10)</f>
        <v>3</v>
      </c>
      <c r="L173" s="7"/>
    </row>
    <row r="174" spans="1:12">
      <c r="A174" t="s">
        <v>72</v>
      </c>
      <c r="B174" t="s">
        <v>16</v>
      </c>
      <c r="C174">
        <v>36</v>
      </c>
      <c r="D174" t="s">
        <v>14</v>
      </c>
      <c r="E174" s="5">
        <v>44085</v>
      </c>
      <c r="F174" t="s">
        <v>13</v>
      </c>
      <c r="G174" s="17">
        <v>114890</v>
      </c>
      <c r="H174" t="s">
        <v>208</v>
      </c>
      <c r="I174" s="7">
        <f ca="1">(TODAY()-Staff[[#This Row],[Date Joined]])/365</f>
        <v>2.9534246575342467</v>
      </c>
      <c r="J174" s="16">
        <f ca="1">ROUNDUP(IF(Staff[[#This Row],[Tenure]]&gt;2,3%,2%)*Staff[[#This Row],[Salary]],0)</f>
        <v>3447</v>
      </c>
      <c r="K174" s="19">
        <f>_xlfn.XLOOKUP(Staff[[#This Row],[Rating]],Mapping!$C$6:$C$10,Mapping!$D$6:$D$10)</f>
        <v>3</v>
      </c>
      <c r="L174" s="7"/>
    </row>
    <row r="175" spans="1:12">
      <c r="A175" t="s">
        <v>115</v>
      </c>
      <c r="B175" t="s">
        <v>221</v>
      </c>
      <c r="C175">
        <v>37</v>
      </c>
      <c r="D175" t="s">
        <v>19</v>
      </c>
      <c r="E175" s="5">
        <v>44085</v>
      </c>
      <c r="F175" t="s">
        <v>18</v>
      </c>
      <c r="G175" s="17">
        <v>115440</v>
      </c>
      <c r="H175" t="s">
        <v>207</v>
      </c>
      <c r="I175" s="7">
        <f ca="1">(TODAY()-Staff[[#This Row],[Date Joined]])/365</f>
        <v>2.9534246575342467</v>
      </c>
      <c r="J175" s="16">
        <f ca="1">ROUNDUP(IF(Staff[[#This Row],[Tenure]]&gt;2,3%,2%)*Staff[[#This Row],[Salary]],0)</f>
        <v>3464</v>
      </c>
      <c r="K175" s="19">
        <f>_xlfn.XLOOKUP(Staff[[#This Row],[Rating]],Mapping!$C$6:$C$10,Mapping!$D$6:$D$10)</f>
        <v>2</v>
      </c>
      <c r="L175" s="7"/>
    </row>
    <row r="176" spans="1:12">
      <c r="A176" t="s">
        <v>17</v>
      </c>
      <c r="B176" t="s">
        <v>221</v>
      </c>
      <c r="C176">
        <v>37</v>
      </c>
      <c r="D176" t="s">
        <v>19</v>
      </c>
      <c r="E176" s="5">
        <v>44146</v>
      </c>
      <c r="F176" t="s">
        <v>18</v>
      </c>
      <c r="G176" s="17">
        <v>115440</v>
      </c>
      <c r="H176" t="s">
        <v>208</v>
      </c>
      <c r="I176" s="7">
        <f ca="1">(TODAY()-Staff[[#This Row],[Date Joined]])/365</f>
        <v>2.7863013698630139</v>
      </c>
      <c r="J176" s="16">
        <f ca="1">ROUNDUP(IF(Staff[[#This Row],[Tenure]]&gt;2,3%,2%)*Staff[[#This Row],[Salary]],0)</f>
        <v>3464</v>
      </c>
      <c r="K176" s="19">
        <f>_xlfn.XLOOKUP(Staff[[#This Row],[Rating]],Mapping!$C$6:$C$10,Mapping!$D$6:$D$10)</f>
        <v>2</v>
      </c>
      <c r="L176" s="7"/>
    </row>
    <row r="177" spans="1:12">
      <c r="A177" t="s">
        <v>164</v>
      </c>
      <c r="B177" t="s">
        <v>9</v>
      </c>
      <c r="C177">
        <v>33</v>
      </c>
      <c r="D177" t="s">
        <v>14</v>
      </c>
      <c r="E177" s="5">
        <v>44103</v>
      </c>
      <c r="F177" t="s">
        <v>13</v>
      </c>
      <c r="G177" s="17">
        <v>115920</v>
      </c>
      <c r="H177" t="s">
        <v>207</v>
      </c>
      <c r="I177" s="7">
        <f ca="1">(TODAY()-Staff[[#This Row],[Date Joined]])/365</f>
        <v>2.904109589041096</v>
      </c>
      <c r="J177" s="16">
        <f ca="1">ROUNDUP(IF(Staff[[#This Row],[Tenure]]&gt;2,3%,2%)*Staff[[#This Row],[Salary]],0)</f>
        <v>3478</v>
      </c>
      <c r="K177" s="19">
        <f>_xlfn.XLOOKUP(Staff[[#This Row],[Rating]],Mapping!$C$6:$C$10,Mapping!$D$6:$D$10)</f>
        <v>3</v>
      </c>
      <c r="L177" s="7"/>
    </row>
    <row r="178" spans="1:12">
      <c r="A178" t="s">
        <v>51</v>
      </c>
      <c r="B178" t="s">
        <v>9</v>
      </c>
      <c r="C178">
        <v>33</v>
      </c>
      <c r="D178" t="s">
        <v>14</v>
      </c>
      <c r="E178" s="5">
        <v>44164</v>
      </c>
      <c r="F178" t="s">
        <v>13</v>
      </c>
      <c r="G178" s="17">
        <v>115920</v>
      </c>
      <c r="H178" t="s">
        <v>208</v>
      </c>
      <c r="I178" s="7">
        <f ca="1">(TODAY()-Staff[[#This Row],[Date Joined]])/365</f>
        <v>2.7369863013698632</v>
      </c>
      <c r="J178" s="16">
        <f ca="1">ROUNDUP(IF(Staff[[#This Row],[Tenure]]&gt;2,3%,2%)*Staff[[#This Row],[Salary]],0)</f>
        <v>3478</v>
      </c>
      <c r="K178" s="19">
        <f>_xlfn.XLOOKUP(Staff[[#This Row],[Rating]],Mapping!$C$6:$C$10,Mapping!$D$6:$D$10)</f>
        <v>3</v>
      </c>
      <c r="L178" s="7"/>
    </row>
    <row r="179" spans="1:12">
      <c r="A179" t="s">
        <v>186</v>
      </c>
      <c r="B179" t="s">
        <v>16</v>
      </c>
      <c r="C179">
        <v>37</v>
      </c>
      <c r="D179" t="s">
        <v>14</v>
      </c>
      <c r="E179" s="5">
        <v>44389</v>
      </c>
      <c r="F179" t="s">
        <v>27</v>
      </c>
      <c r="G179" s="17">
        <v>118100</v>
      </c>
      <c r="H179" t="s">
        <v>207</v>
      </c>
      <c r="I179" s="7">
        <f ca="1">(TODAY()-Staff[[#This Row],[Date Joined]])/365</f>
        <v>2.1205479452054794</v>
      </c>
      <c r="J179" s="16">
        <f ca="1">ROUNDUP(IF(Staff[[#This Row],[Tenure]]&gt;2,3%,2%)*Staff[[#This Row],[Salary]],0)</f>
        <v>3543</v>
      </c>
      <c r="K179" s="19">
        <f>_xlfn.XLOOKUP(Staff[[#This Row],[Rating]],Mapping!$C$6:$C$10,Mapping!$D$6:$D$10)</f>
        <v>3</v>
      </c>
      <c r="L179" s="7"/>
    </row>
    <row r="180" spans="1:12">
      <c r="A180" t="s">
        <v>78</v>
      </c>
      <c r="B180" t="s">
        <v>16</v>
      </c>
      <c r="C180">
        <v>37</v>
      </c>
      <c r="D180" t="s">
        <v>14</v>
      </c>
      <c r="E180" s="5">
        <v>44451</v>
      </c>
      <c r="F180" t="s">
        <v>27</v>
      </c>
      <c r="G180" s="17">
        <v>118100</v>
      </c>
      <c r="H180" t="s">
        <v>208</v>
      </c>
      <c r="I180" s="7">
        <f ca="1">(TODAY()-Staff[[#This Row],[Date Joined]])/365</f>
        <v>1.9506849315068493</v>
      </c>
      <c r="J180" s="16">
        <f ca="1">ROUNDUP(IF(Staff[[#This Row],[Tenure]]&gt;2,3%,2%)*Staff[[#This Row],[Salary]],0)</f>
        <v>2362</v>
      </c>
      <c r="K180" s="19">
        <f>_xlfn.XLOOKUP(Staff[[#This Row],[Rating]],Mapping!$C$6:$C$10,Mapping!$D$6:$D$10)</f>
        <v>3</v>
      </c>
      <c r="L180" s="7"/>
    </row>
    <row r="181" spans="1:12">
      <c r="A181" t="s">
        <v>127</v>
      </c>
      <c r="B181" t="s">
        <v>9</v>
      </c>
      <c r="C181">
        <v>36</v>
      </c>
      <c r="D181" t="s">
        <v>14</v>
      </c>
      <c r="E181" s="5">
        <v>43958</v>
      </c>
      <c r="F181" t="s">
        <v>24</v>
      </c>
      <c r="G181" s="17">
        <v>118840</v>
      </c>
      <c r="H181" t="s">
        <v>207</v>
      </c>
      <c r="I181" s="7">
        <f ca="1">(TODAY()-Staff[[#This Row],[Date Joined]])/365</f>
        <v>3.3013698630136985</v>
      </c>
      <c r="J181" s="16">
        <f ca="1">ROUNDUP(IF(Staff[[#This Row],[Tenure]]&gt;2,3%,2%)*Staff[[#This Row],[Salary]],0)</f>
        <v>3566</v>
      </c>
      <c r="K181" s="19">
        <f>_xlfn.XLOOKUP(Staff[[#This Row],[Rating]],Mapping!$C$6:$C$10,Mapping!$D$6:$D$10)</f>
        <v>3</v>
      </c>
      <c r="L181" s="7"/>
    </row>
    <row r="182" spans="1:12">
      <c r="A182" t="s">
        <v>69</v>
      </c>
      <c r="B182" t="s">
        <v>9</v>
      </c>
      <c r="C182">
        <v>36</v>
      </c>
      <c r="D182" t="s">
        <v>14</v>
      </c>
      <c r="E182" s="5">
        <v>44019</v>
      </c>
      <c r="F182" t="s">
        <v>24</v>
      </c>
      <c r="G182" s="17">
        <v>118840</v>
      </c>
      <c r="H182" t="s">
        <v>208</v>
      </c>
      <c r="I182" s="7">
        <f ca="1">(TODAY()-Staff[[#This Row],[Date Joined]])/365</f>
        <v>3.1342465753424658</v>
      </c>
      <c r="J182" s="16">
        <f ca="1">ROUNDUP(IF(Staff[[#This Row],[Tenure]]&gt;2,3%,2%)*Staff[[#This Row],[Salary]],0)</f>
        <v>3566</v>
      </c>
      <c r="K182" s="19">
        <f>_xlfn.XLOOKUP(Staff[[#This Row],[Rating]],Mapping!$C$6:$C$10,Mapping!$D$6:$D$10)</f>
        <v>3</v>
      </c>
      <c r="L182" s="7"/>
    </row>
    <row r="183" spans="1:12">
      <c r="A183" t="s">
        <v>147</v>
      </c>
      <c r="B183" t="s">
        <v>16</v>
      </c>
      <c r="C183">
        <v>27</v>
      </c>
      <c r="D183" t="s">
        <v>14</v>
      </c>
      <c r="E183" s="5">
        <v>44061</v>
      </c>
      <c r="F183" t="s">
        <v>27</v>
      </c>
      <c r="G183" s="17">
        <v>119110</v>
      </c>
      <c r="H183" t="s">
        <v>207</v>
      </c>
      <c r="I183" s="7">
        <f ca="1">(TODAY()-Staff[[#This Row],[Date Joined]])/365</f>
        <v>3.0191780821917806</v>
      </c>
      <c r="J183" s="16">
        <f ca="1">ROUNDUP(IF(Staff[[#This Row],[Tenure]]&gt;2,3%,2%)*Staff[[#This Row],[Salary]],0)</f>
        <v>3574</v>
      </c>
      <c r="K183" s="19">
        <f>_xlfn.XLOOKUP(Staff[[#This Row],[Rating]],Mapping!$C$6:$C$10,Mapping!$D$6:$D$10)</f>
        <v>3</v>
      </c>
      <c r="L183" s="7"/>
    </row>
    <row r="184" spans="1:12">
      <c r="A184" t="s">
        <v>26</v>
      </c>
      <c r="B184" t="s">
        <v>16</v>
      </c>
      <c r="C184">
        <v>27</v>
      </c>
      <c r="D184" t="s">
        <v>14</v>
      </c>
      <c r="E184" s="5">
        <v>44122</v>
      </c>
      <c r="F184" t="s">
        <v>27</v>
      </c>
      <c r="G184" s="17">
        <v>119110</v>
      </c>
      <c r="H184" t="s">
        <v>208</v>
      </c>
      <c r="I184" s="7">
        <f ca="1">(TODAY()-Staff[[#This Row],[Date Joined]])/365</f>
        <v>2.8520547945205479</v>
      </c>
      <c r="J184" s="16">
        <f ca="1">ROUNDUP(IF(Staff[[#This Row],[Tenure]]&gt;2,3%,2%)*Staff[[#This Row],[Salary]],0)</f>
        <v>3574</v>
      </c>
      <c r="K184" s="19">
        <f>_xlfn.XLOOKUP(Staff[[#This Row],[Rating]],Mapping!$C$6:$C$10,Mapping!$D$6:$D$10)</f>
        <v>3</v>
      </c>
      <c r="L184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78E4-497B-409E-8A1B-5B056F061103}">
  <sheetPr>
    <tabColor rgb="FF8EA9DB"/>
  </sheetPr>
  <dimension ref="A3:D62"/>
  <sheetViews>
    <sheetView workbookViewId="0">
      <selection activeCell="A3" sqref="A3"/>
    </sheetView>
  </sheetViews>
  <sheetFormatPr defaultRowHeight="15"/>
  <cols>
    <col min="2" max="2" width="24.7109375" bestFit="1" customWidth="1"/>
    <col min="3" max="3" width="14.140625" bestFit="1" customWidth="1"/>
    <col min="4" max="4" width="7.7109375" bestFit="1" customWidth="1"/>
    <col min="5" max="5" width="14.140625" bestFit="1" customWidth="1"/>
    <col min="6" max="6" width="6.5703125" bestFit="1" customWidth="1"/>
    <col min="7" max="7" width="5.5703125" bestFit="1" customWidth="1"/>
    <col min="8" max="8" width="30" bestFit="1" customWidth="1"/>
    <col min="9" max="9" width="14.140625" bestFit="1" customWidth="1"/>
    <col min="10" max="11" width="13.42578125" bestFit="1" customWidth="1"/>
    <col min="12" max="12" width="24.7109375" bestFit="1" customWidth="1"/>
    <col min="13" max="13" width="14.140625" bestFit="1" customWidth="1"/>
    <col min="14" max="14" width="7.7109375" bestFit="1" customWidth="1"/>
    <col min="15" max="15" width="11.7109375" bestFit="1" customWidth="1"/>
    <col min="16" max="16" width="8.42578125" bestFit="1" customWidth="1"/>
    <col min="17" max="17" width="11.42578125" bestFit="1" customWidth="1"/>
    <col min="18" max="18" width="10" bestFit="1" customWidth="1"/>
    <col min="19" max="19" width="18.140625" bestFit="1" customWidth="1"/>
    <col min="20" max="20" width="14.5703125" bestFit="1" customWidth="1"/>
    <col min="21" max="21" width="8.42578125" bestFit="1" customWidth="1"/>
    <col min="22" max="22" width="11.42578125" bestFit="1" customWidth="1"/>
    <col min="23" max="23" width="5.28515625" bestFit="1" customWidth="1"/>
    <col min="24" max="24" width="10" bestFit="1" customWidth="1"/>
    <col min="25" max="25" width="10.7109375" bestFit="1" customWidth="1"/>
    <col min="26" max="26" width="14.5703125" bestFit="1" customWidth="1"/>
    <col min="27" max="27" width="8.42578125" bestFit="1" customWidth="1"/>
    <col min="28" max="28" width="5.28515625" bestFit="1" customWidth="1"/>
    <col min="29" max="29" width="10" bestFit="1" customWidth="1"/>
    <col min="30" max="30" width="13.7109375" bestFit="1" customWidth="1"/>
    <col min="31" max="31" width="11.7109375" bestFit="1" customWidth="1"/>
    <col min="32" max="32" width="11.5703125" bestFit="1" customWidth="1"/>
    <col min="33" max="33" width="14.7109375" bestFit="1" customWidth="1"/>
    <col min="34" max="34" width="12" bestFit="1" customWidth="1"/>
    <col min="35" max="35" width="8.85546875" bestFit="1" customWidth="1"/>
    <col min="36" max="36" width="11.140625" bestFit="1" customWidth="1"/>
    <col min="37" max="37" width="13.7109375" bestFit="1" customWidth="1"/>
    <col min="38" max="38" width="13" bestFit="1" customWidth="1"/>
    <col min="39" max="39" width="26" bestFit="1" customWidth="1"/>
    <col min="40" max="40" width="14.140625" bestFit="1" customWidth="1"/>
    <col min="41" max="41" width="12.5703125" bestFit="1" customWidth="1"/>
    <col min="42" max="42" width="13.85546875" bestFit="1" customWidth="1"/>
    <col min="43" max="43" width="12.5703125" bestFit="1" customWidth="1"/>
    <col min="44" max="44" width="18.42578125" bestFit="1" customWidth="1"/>
    <col min="45" max="45" width="13.28515625" bestFit="1" customWidth="1"/>
    <col min="46" max="46" width="14.28515625" bestFit="1" customWidth="1"/>
    <col min="47" max="47" width="25.85546875" bestFit="1" customWidth="1"/>
    <col min="48" max="48" width="14.7109375" bestFit="1" customWidth="1"/>
    <col min="49" max="50" width="14.85546875" bestFit="1" customWidth="1"/>
    <col min="51" max="51" width="11.28515625" bestFit="1" customWidth="1"/>
    <col min="52" max="52" width="20.140625" bestFit="1" customWidth="1"/>
    <col min="53" max="53" width="22.5703125" bestFit="1" customWidth="1"/>
    <col min="54" max="54" width="17.140625" bestFit="1" customWidth="1"/>
    <col min="55" max="55" width="13.85546875" bestFit="1" customWidth="1"/>
    <col min="56" max="56" width="17" bestFit="1" customWidth="1"/>
    <col min="57" max="57" width="14.5703125" bestFit="1" customWidth="1"/>
    <col min="58" max="58" width="17" bestFit="1" customWidth="1"/>
    <col min="59" max="59" width="12" bestFit="1" customWidth="1"/>
    <col min="60" max="60" width="14.140625" bestFit="1" customWidth="1"/>
    <col min="61" max="61" width="13" bestFit="1" customWidth="1"/>
    <col min="62" max="62" width="18.42578125" bestFit="1" customWidth="1"/>
    <col min="63" max="63" width="14.28515625" bestFit="1" customWidth="1"/>
    <col min="64" max="64" width="14" bestFit="1" customWidth="1"/>
    <col min="65" max="65" width="23.140625" bestFit="1" customWidth="1"/>
    <col min="66" max="66" width="16.7109375" bestFit="1" customWidth="1"/>
    <col min="67" max="67" width="20.7109375" bestFit="1" customWidth="1"/>
    <col min="68" max="68" width="11.7109375" bestFit="1" customWidth="1"/>
    <col min="69" max="69" width="15.42578125" bestFit="1" customWidth="1"/>
    <col min="70" max="70" width="13" bestFit="1" customWidth="1"/>
    <col min="71" max="71" width="16" bestFit="1" customWidth="1"/>
    <col min="72" max="72" width="15.85546875" bestFit="1" customWidth="1"/>
    <col min="73" max="74" width="16.5703125" bestFit="1" customWidth="1"/>
    <col min="75" max="75" width="15.42578125" bestFit="1" customWidth="1"/>
    <col min="76" max="76" width="18.140625" bestFit="1" customWidth="1"/>
    <col min="77" max="77" width="11.5703125" bestFit="1" customWidth="1"/>
    <col min="78" max="78" width="10.42578125" bestFit="1" customWidth="1"/>
    <col min="79" max="79" width="13.7109375" bestFit="1" customWidth="1"/>
    <col min="80" max="80" width="20.85546875" bestFit="1" customWidth="1"/>
    <col min="81" max="81" width="13" bestFit="1" customWidth="1"/>
    <col min="82" max="82" width="21.85546875" bestFit="1" customWidth="1"/>
    <col min="83" max="83" width="14.28515625" bestFit="1" customWidth="1"/>
    <col min="84" max="84" width="20" bestFit="1" customWidth="1"/>
    <col min="85" max="85" width="13.28515625" bestFit="1" customWidth="1"/>
    <col min="86" max="86" width="22.140625" bestFit="1" customWidth="1"/>
    <col min="87" max="87" width="12.85546875" bestFit="1" customWidth="1"/>
    <col min="88" max="88" width="15.28515625" bestFit="1" customWidth="1"/>
    <col min="89" max="89" width="14.85546875" bestFit="1" customWidth="1"/>
    <col min="90" max="90" width="11.5703125" bestFit="1" customWidth="1"/>
    <col min="91" max="92" width="22" bestFit="1" customWidth="1"/>
    <col min="93" max="93" width="16" bestFit="1" customWidth="1"/>
    <col min="94" max="94" width="16.7109375" bestFit="1" customWidth="1"/>
    <col min="95" max="95" width="18.7109375" bestFit="1" customWidth="1"/>
    <col min="96" max="96" width="12.28515625" bestFit="1" customWidth="1"/>
    <col min="97" max="97" width="12.42578125" bestFit="1" customWidth="1"/>
    <col min="98" max="98" width="13.42578125" bestFit="1" customWidth="1"/>
    <col min="99" max="99" width="13.85546875" bestFit="1" customWidth="1"/>
    <col min="100" max="100" width="12.5703125" bestFit="1" customWidth="1"/>
    <col min="101" max="101" width="19" bestFit="1" customWidth="1"/>
    <col min="102" max="102" width="16.7109375" bestFit="1" customWidth="1"/>
    <col min="103" max="103" width="20.7109375" bestFit="1" customWidth="1"/>
    <col min="104" max="104" width="16.7109375" bestFit="1" customWidth="1"/>
    <col min="105" max="105" width="20.28515625" bestFit="1" customWidth="1"/>
    <col min="106" max="106" width="21.7109375" bestFit="1" customWidth="1"/>
    <col min="107" max="107" width="12" bestFit="1" customWidth="1"/>
    <col min="108" max="108" width="13.42578125" bestFit="1" customWidth="1"/>
    <col min="109" max="109" width="12.7109375" bestFit="1" customWidth="1"/>
    <col min="110" max="110" width="12.28515625" bestFit="1" customWidth="1"/>
    <col min="111" max="111" width="16.85546875" bestFit="1" customWidth="1"/>
    <col min="112" max="112" width="19.28515625" bestFit="1" customWidth="1"/>
    <col min="113" max="113" width="20.42578125" bestFit="1" customWidth="1"/>
    <col min="114" max="114" width="27.140625" bestFit="1" customWidth="1"/>
    <col min="115" max="115" width="15.5703125" bestFit="1" customWidth="1"/>
    <col min="116" max="116" width="20.85546875" bestFit="1" customWidth="1"/>
    <col min="117" max="118" width="15.28515625" bestFit="1" customWidth="1"/>
    <col min="119" max="119" width="14.5703125" bestFit="1" customWidth="1"/>
    <col min="120" max="120" width="19.7109375" bestFit="1" customWidth="1"/>
    <col min="121" max="121" width="15.85546875" bestFit="1" customWidth="1"/>
    <col min="122" max="122" width="15.140625" bestFit="1" customWidth="1"/>
    <col min="123" max="123" width="30" bestFit="1" customWidth="1"/>
    <col min="124" max="124" width="15.28515625" bestFit="1" customWidth="1"/>
    <col min="125" max="125" width="14.7109375" bestFit="1" customWidth="1"/>
    <col min="126" max="126" width="15.7109375" bestFit="1" customWidth="1"/>
    <col min="127" max="127" width="14" bestFit="1" customWidth="1"/>
    <col min="128" max="128" width="13.28515625" bestFit="1" customWidth="1"/>
    <col min="129" max="129" width="12.7109375" bestFit="1" customWidth="1"/>
    <col min="130" max="130" width="16" bestFit="1" customWidth="1"/>
    <col min="131" max="131" width="14" bestFit="1" customWidth="1"/>
    <col min="132" max="132" width="10.5703125" bestFit="1" customWidth="1"/>
    <col min="133" max="133" width="11.28515625" bestFit="1" customWidth="1"/>
    <col min="134" max="134" width="11.7109375" bestFit="1" customWidth="1"/>
    <col min="135" max="135" width="18.140625" bestFit="1" customWidth="1"/>
    <col min="136" max="136" width="14" bestFit="1" customWidth="1"/>
    <col min="137" max="137" width="14.140625" bestFit="1" customWidth="1"/>
    <col min="138" max="138" width="15" bestFit="1" customWidth="1"/>
    <col min="139" max="139" width="22.42578125" bestFit="1" customWidth="1"/>
    <col min="140" max="140" width="18.42578125" bestFit="1" customWidth="1"/>
    <col min="141" max="141" width="19.5703125" bestFit="1" customWidth="1"/>
    <col min="142" max="142" width="15.5703125" bestFit="1" customWidth="1"/>
    <col min="143" max="143" width="24.85546875" bestFit="1" customWidth="1"/>
    <col min="144" max="144" width="16.42578125" bestFit="1" customWidth="1"/>
    <col min="145" max="146" width="13.28515625" bestFit="1" customWidth="1"/>
    <col min="147" max="147" width="11.7109375" bestFit="1" customWidth="1"/>
    <col min="148" max="148" width="22.140625" bestFit="1" customWidth="1"/>
    <col min="149" max="149" width="20.5703125" bestFit="1" customWidth="1"/>
    <col min="150" max="150" width="22.7109375" bestFit="1" customWidth="1"/>
    <col min="151" max="151" width="15.140625" bestFit="1" customWidth="1"/>
    <col min="152" max="152" width="18.7109375" bestFit="1" customWidth="1"/>
    <col min="153" max="153" width="19.85546875" bestFit="1" customWidth="1"/>
    <col min="154" max="154" width="12.5703125" bestFit="1" customWidth="1"/>
    <col min="155" max="155" width="20.7109375" bestFit="1" customWidth="1"/>
    <col min="156" max="156" width="15.42578125" bestFit="1" customWidth="1"/>
    <col min="157" max="157" width="12.42578125" bestFit="1" customWidth="1"/>
    <col min="158" max="158" width="14.7109375" bestFit="1" customWidth="1"/>
    <col min="159" max="159" width="13.7109375" bestFit="1" customWidth="1"/>
    <col min="160" max="160" width="15.42578125" bestFit="1" customWidth="1"/>
    <col min="161" max="161" width="19.7109375" bestFit="1" customWidth="1"/>
    <col min="162" max="162" width="12" bestFit="1" customWidth="1"/>
    <col min="163" max="163" width="17.42578125" bestFit="1" customWidth="1"/>
    <col min="164" max="164" width="22.7109375" bestFit="1" customWidth="1"/>
    <col min="165" max="165" width="13.85546875" bestFit="1" customWidth="1"/>
    <col min="166" max="166" width="30.7109375" bestFit="1" customWidth="1"/>
    <col min="167" max="167" width="12.85546875" bestFit="1" customWidth="1"/>
    <col min="168" max="168" width="15.28515625" bestFit="1" customWidth="1"/>
    <col min="169" max="169" width="23.85546875" bestFit="1" customWidth="1"/>
    <col min="170" max="170" width="19.42578125" bestFit="1" customWidth="1"/>
    <col min="171" max="171" width="13.7109375" bestFit="1" customWidth="1"/>
    <col min="172" max="172" width="11.85546875" bestFit="1" customWidth="1"/>
    <col min="173" max="173" width="13.85546875" bestFit="1" customWidth="1"/>
    <col min="174" max="174" width="14.42578125" bestFit="1" customWidth="1"/>
    <col min="175" max="175" width="15.42578125" bestFit="1" customWidth="1"/>
    <col min="176" max="176" width="12" bestFit="1" customWidth="1"/>
    <col min="177" max="177" width="12.5703125" bestFit="1" customWidth="1"/>
    <col min="178" max="178" width="14.42578125" bestFit="1" customWidth="1"/>
    <col min="179" max="179" width="17.42578125" bestFit="1" customWidth="1"/>
    <col min="180" max="180" width="12" bestFit="1" customWidth="1"/>
    <col min="181" max="181" width="19.28515625" bestFit="1" customWidth="1"/>
    <col min="182" max="182" width="12.42578125" bestFit="1" customWidth="1"/>
    <col min="183" max="183" width="10.140625" bestFit="1" customWidth="1"/>
    <col min="184" max="184" width="17.5703125" bestFit="1" customWidth="1"/>
    <col min="185" max="185" width="18.85546875" bestFit="1" customWidth="1"/>
    <col min="186" max="186" width="18.5703125" bestFit="1" customWidth="1"/>
    <col min="187" max="187" width="18.7109375" bestFit="1" customWidth="1"/>
    <col min="188" max="188" width="16.7109375" bestFit="1" customWidth="1"/>
    <col min="189" max="189" width="14.140625" bestFit="1" customWidth="1"/>
    <col min="190" max="190" width="12.85546875" bestFit="1" customWidth="1"/>
    <col min="191" max="191" width="13.85546875" bestFit="1" customWidth="1"/>
    <col min="192" max="192" width="10.85546875" bestFit="1" customWidth="1"/>
    <col min="193" max="193" width="11.7109375" bestFit="1" customWidth="1"/>
    <col min="194" max="194" width="17.85546875" bestFit="1" customWidth="1"/>
    <col min="195" max="195" width="10.42578125" bestFit="1" customWidth="1"/>
    <col min="196" max="196" width="21" bestFit="1" customWidth="1"/>
    <col min="197" max="197" width="18.5703125" bestFit="1" customWidth="1"/>
    <col min="198" max="198" width="13.5703125" bestFit="1" customWidth="1"/>
    <col min="199" max="199" width="21.85546875" bestFit="1" customWidth="1"/>
    <col min="200" max="200" width="18.5703125" bestFit="1" customWidth="1"/>
    <col min="201" max="201" width="13.5703125" bestFit="1" customWidth="1"/>
    <col min="202" max="202" width="21.85546875" bestFit="1" customWidth="1"/>
    <col min="203" max="203" width="17.42578125" bestFit="1" customWidth="1"/>
    <col min="204" max="204" width="13.5703125" bestFit="1" customWidth="1"/>
    <col min="205" max="205" width="20.5703125" bestFit="1" customWidth="1"/>
    <col min="206" max="206" width="20" bestFit="1" customWidth="1"/>
    <col min="207" max="207" width="13.5703125" bestFit="1" customWidth="1"/>
    <col min="208" max="208" width="23.28515625" bestFit="1" customWidth="1"/>
    <col min="209" max="210" width="13.5703125" bestFit="1" customWidth="1"/>
    <col min="211" max="211" width="16.7109375" bestFit="1" customWidth="1"/>
    <col min="212" max="212" width="12.85546875" bestFit="1" customWidth="1"/>
    <col min="213" max="213" width="13.5703125" bestFit="1" customWidth="1"/>
    <col min="214" max="215" width="15.5703125" bestFit="1" customWidth="1"/>
    <col min="216" max="216" width="13.5703125" bestFit="1" customWidth="1"/>
    <col min="217" max="217" width="18.85546875" bestFit="1" customWidth="1"/>
    <col min="218" max="218" width="22.85546875" bestFit="1" customWidth="1"/>
    <col min="219" max="219" width="13.5703125" bestFit="1" customWidth="1"/>
    <col min="220" max="220" width="26.140625" bestFit="1" customWidth="1"/>
    <col min="221" max="221" width="15" bestFit="1" customWidth="1"/>
    <col min="222" max="222" width="10.42578125" bestFit="1" customWidth="1"/>
    <col min="223" max="223" width="18.28515625" bestFit="1" customWidth="1"/>
    <col min="224" max="224" width="23.7109375" bestFit="1" customWidth="1"/>
    <col min="225" max="225" width="10.42578125" bestFit="1" customWidth="1"/>
    <col min="226" max="226" width="27.140625" bestFit="1" customWidth="1"/>
    <col min="227" max="227" width="16.140625" bestFit="1" customWidth="1"/>
    <col min="228" max="228" width="15.140625" bestFit="1" customWidth="1"/>
    <col min="229" max="229" width="19.42578125" bestFit="1" customWidth="1"/>
    <col min="230" max="230" width="22" bestFit="1" customWidth="1"/>
    <col min="231" max="231" width="13.5703125" bestFit="1" customWidth="1"/>
    <col min="232" max="232" width="25.28515625" bestFit="1" customWidth="1"/>
    <col min="233" max="233" width="15.140625" bestFit="1" customWidth="1"/>
    <col min="234" max="234" width="13.5703125" bestFit="1" customWidth="1"/>
    <col min="235" max="235" width="18.42578125" bestFit="1" customWidth="1"/>
    <col min="236" max="236" width="24" bestFit="1" customWidth="1"/>
    <col min="237" max="237" width="13.5703125" bestFit="1" customWidth="1"/>
    <col min="238" max="238" width="27.28515625" bestFit="1" customWidth="1"/>
    <col min="239" max="239" width="16.42578125" bestFit="1" customWidth="1"/>
    <col min="240" max="240" width="19.7109375" bestFit="1" customWidth="1"/>
    <col min="241" max="241" width="18.140625" bestFit="1" customWidth="1"/>
    <col min="242" max="242" width="17.140625" bestFit="1" customWidth="1"/>
    <col min="243" max="243" width="13.5703125" bestFit="1" customWidth="1"/>
    <col min="244" max="244" width="20.42578125" bestFit="1" customWidth="1"/>
    <col min="245" max="245" width="16.7109375" bestFit="1" customWidth="1"/>
    <col min="246" max="246" width="13.5703125" bestFit="1" customWidth="1"/>
    <col min="247" max="247" width="20.140625" bestFit="1" customWidth="1"/>
    <col min="248" max="249" width="13.5703125" bestFit="1" customWidth="1"/>
    <col min="250" max="250" width="16.7109375" bestFit="1" customWidth="1"/>
    <col min="251" max="251" width="23.85546875" bestFit="1" customWidth="1"/>
    <col min="252" max="252" width="13.5703125" bestFit="1" customWidth="1"/>
    <col min="253" max="253" width="27.140625" bestFit="1" customWidth="1"/>
    <col min="254" max="254" width="23.85546875" bestFit="1" customWidth="1"/>
    <col min="255" max="255" width="19.7109375" bestFit="1" customWidth="1"/>
    <col min="256" max="256" width="27.140625" bestFit="1" customWidth="1"/>
    <col min="257" max="257" width="18" bestFit="1" customWidth="1"/>
    <col min="258" max="258" width="10.42578125" bestFit="1" customWidth="1"/>
    <col min="259" max="259" width="21.140625" bestFit="1" customWidth="1"/>
    <col min="260" max="260" width="18.7109375" bestFit="1" customWidth="1"/>
    <col min="261" max="261" width="13.5703125" bestFit="1" customWidth="1"/>
    <col min="262" max="262" width="22" bestFit="1" customWidth="1"/>
    <col min="263" max="263" width="20.5703125" bestFit="1" customWidth="1"/>
    <col min="264" max="264" width="19.7109375" bestFit="1" customWidth="1"/>
    <col min="265" max="265" width="23.85546875" bestFit="1" customWidth="1"/>
    <col min="266" max="266" width="16.42578125" bestFit="1" customWidth="1"/>
    <col min="267" max="267" width="19.7109375" bestFit="1" customWidth="1"/>
    <col min="268" max="268" width="17.5703125" bestFit="1" customWidth="1"/>
    <col min="269" max="269" width="14.42578125" bestFit="1" customWidth="1"/>
    <col min="270" max="270" width="13.5703125" bestFit="1" customWidth="1"/>
    <col min="271" max="271" width="17.7109375" bestFit="1" customWidth="1"/>
    <col min="272" max="272" width="15.28515625" bestFit="1" customWidth="1"/>
    <col min="273" max="273" width="10.42578125" bestFit="1" customWidth="1"/>
    <col min="274" max="274" width="18.5703125" bestFit="1" customWidth="1"/>
    <col min="275" max="275" width="15.7109375" bestFit="1" customWidth="1"/>
    <col min="276" max="276" width="13.5703125" bestFit="1" customWidth="1"/>
    <col min="277" max="277" width="19" bestFit="1" customWidth="1"/>
    <col min="278" max="278" width="14.5703125" bestFit="1" customWidth="1"/>
    <col min="279" max="279" width="13.5703125" bestFit="1" customWidth="1"/>
    <col min="280" max="280" width="17.85546875" bestFit="1" customWidth="1"/>
    <col min="281" max="281" width="20.85546875" bestFit="1" customWidth="1"/>
    <col min="282" max="282" width="13.5703125" bestFit="1" customWidth="1"/>
    <col min="283" max="283" width="24.140625" bestFit="1" customWidth="1"/>
    <col min="284" max="284" width="18.7109375" bestFit="1" customWidth="1"/>
    <col min="285" max="285" width="13.5703125" bestFit="1" customWidth="1"/>
    <col min="286" max="286" width="22" bestFit="1" customWidth="1"/>
    <col min="287" max="287" width="22.7109375" bestFit="1" customWidth="1"/>
    <col min="288" max="288" width="19.7109375" bestFit="1" customWidth="1"/>
    <col min="289" max="289" width="26.140625" bestFit="1" customWidth="1"/>
    <col min="290" max="290" width="18.7109375" bestFit="1" customWidth="1"/>
    <col min="291" max="291" width="13.5703125" bestFit="1" customWidth="1"/>
    <col min="292" max="292" width="22" bestFit="1" customWidth="1"/>
    <col min="293" max="293" width="22.28515625" bestFit="1" customWidth="1"/>
    <col min="294" max="294" width="13.5703125" bestFit="1" customWidth="1"/>
    <col min="295" max="295" width="25.42578125" bestFit="1" customWidth="1"/>
    <col min="296" max="296" width="23.5703125" bestFit="1" customWidth="1"/>
    <col min="297" max="297" width="13.5703125" bestFit="1" customWidth="1"/>
    <col min="298" max="298" width="26.85546875" bestFit="1" customWidth="1"/>
    <col min="299" max="299" width="14" bestFit="1" customWidth="1"/>
    <col min="300" max="300" width="13.5703125" bestFit="1" customWidth="1"/>
    <col min="301" max="301" width="17.140625" bestFit="1" customWidth="1"/>
    <col min="302" max="302" width="15.28515625" bestFit="1" customWidth="1"/>
    <col min="303" max="303" width="13.5703125" bestFit="1" customWidth="1"/>
    <col min="304" max="304" width="18.5703125" bestFit="1" customWidth="1"/>
    <col min="305" max="305" width="14.7109375" bestFit="1" customWidth="1"/>
    <col min="306" max="306" width="13.5703125" bestFit="1" customWidth="1"/>
    <col min="307" max="307" width="18" bestFit="1" customWidth="1"/>
    <col min="308" max="308" width="16.42578125" bestFit="1" customWidth="1"/>
    <col min="309" max="309" width="19.7109375" bestFit="1" customWidth="1"/>
    <col min="310" max="310" width="17.5703125" bestFit="1" customWidth="1"/>
    <col min="311" max="311" width="18.85546875" bestFit="1" customWidth="1"/>
    <col min="312" max="312" width="19.7109375" bestFit="1" customWidth="1"/>
    <col min="313" max="313" width="22.140625" bestFit="1" customWidth="1"/>
    <col min="314" max="314" width="21.140625" bestFit="1" customWidth="1"/>
    <col min="315" max="315" width="13.5703125" bestFit="1" customWidth="1"/>
    <col min="316" max="316" width="24.42578125" bestFit="1" customWidth="1"/>
    <col min="317" max="317" width="22.42578125" bestFit="1" customWidth="1"/>
    <col min="318" max="318" width="13.5703125" bestFit="1" customWidth="1"/>
    <col min="319" max="319" width="25.7109375" bestFit="1" customWidth="1"/>
    <col min="320" max="320" width="29" bestFit="1" customWidth="1"/>
    <col min="321" max="321" width="13.5703125" bestFit="1" customWidth="1"/>
    <col min="322" max="322" width="32.42578125" bestFit="1" customWidth="1"/>
    <col min="323" max="323" width="17.5703125" bestFit="1" customWidth="1"/>
    <col min="324" max="324" width="15.140625" bestFit="1" customWidth="1"/>
    <col min="325" max="325" width="20.85546875" bestFit="1" customWidth="1"/>
    <col min="326" max="326" width="22.85546875" bestFit="1" customWidth="1"/>
    <col min="327" max="327" width="13.5703125" bestFit="1" customWidth="1"/>
    <col min="328" max="328" width="26.140625" bestFit="1" customWidth="1"/>
    <col min="329" max="329" width="17.140625" bestFit="1" customWidth="1"/>
    <col min="330" max="330" width="13.5703125" bestFit="1" customWidth="1"/>
    <col min="331" max="331" width="20.42578125" bestFit="1" customWidth="1"/>
    <col min="332" max="332" width="17.140625" bestFit="1" customWidth="1"/>
    <col min="333" max="333" width="13.5703125" bestFit="1" customWidth="1"/>
    <col min="334" max="334" width="20.42578125" bestFit="1" customWidth="1"/>
    <col min="335" max="335" width="16.42578125" bestFit="1" customWidth="1"/>
    <col min="336" max="336" width="13.5703125" bestFit="1" customWidth="1"/>
    <col min="337" max="337" width="19.85546875" bestFit="1" customWidth="1"/>
    <col min="338" max="338" width="21.7109375" bestFit="1" customWidth="1"/>
    <col min="339" max="339" width="13.5703125" bestFit="1" customWidth="1"/>
    <col min="340" max="340" width="24.85546875" bestFit="1" customWidth="1"/>
    <col min="341" max="341" width="17.85546875" bestFit="1" customWidth="1"/>
    <col min="342" max="342" width="13.5703125" bestFit="1" customWidth="1"/>
    <col min="343" max="343" width="21.140625" bestFit="1" customWidth="1"/>
    <col min="344" max="344" width="17" bestFit="1" customWidth="1"/>
    <col min="345" max="345" width="13.5703125" bestFit="1" customWidth="1"/>
    <col min="346" max="346" width="20.28515625" bestFit="1" customWidth="1"/>
    <col min="347" max="347" width="31.85546875" bestFit="1" customWidth="1"/>
    <col min="348" max="348" width="19.7109375" bestFit="1" customWidth="1"/>
    <col min="349" max="349" width="35.140625" bestFit="1" customWidth="1"/>
    <col min="350" max="350" width="17.140625" bestFit="1" customWidth="1"/>
    <col min="351" max="351" width="13.5703125" bestFit="1" customWidth="1"/>
    <col min="352" max="352" width="20.42578125" bestFit="1" customWidth="1"/>
    <col min="353" max="353" width="16.5703125" bestFit="1" customWidth="1"/>
    <col min="354" max="354" width="13.5703125" bestFit="1" customWidth="1"/>
    <col min="355" max="355" width="19.85546875" bestFit="1" customWidth="1"/>
    <col min="356" max="356" width="17.7109375" bestFit="1" customWidth="1"/>
    <col min="357" max="357" width="13.5703125" bestFit="1" customWidth="1"/>
    <col min="358" max="358" width="20.85546875" bestFit="1" customWidth="1"/>
    <col min="359" max="359" width="15.85546875" bestFit="1" customWidth="1"/>
    <col min="360" max="360" width="13.5703125" bestFit="1" customWidth="1"/>
    <col min="361" max="361" width="19.140625" bestFit="1" customWidth="1"/>
    <col min="362" max="362" width="15.140625" bestFit="1" customWidth="1"/>
    <col min="363" max="363" width="13.5703125" bestFit="1" customWidth="1"/>
    <col min="364" max="364" width="18.42578125" bestFit="1" customWidth="1"/>
    <col min="365" max="365" width="14.7109375" bestFit="1" customWidth="1"/>
    <col min="366" max="366" width="16.5703125" bestFit="1" customWidth="1"/>
    <col min="367" max="368" width="18" bestFit="1" customWidth="1"/>
    <col min="369" max="369" width="10.42578125" bestFit="1" customWidth="1"/>
    <col min="370" max="370" width="21.28515625" bestFit="1" customWidth="1"/>
    <col min="371" max="371" width="15.85546875" bestFit="1" customWidth="1"/>
    <col min="372" max="372" width="13.5703125" bestFit="1" customWidth="1"/>
    <col min="373" max="373" width="19.140625" bestFit="1" customWidth="1"/>
    <col min="374" max="374" width="12.42578125" bestFit="1" customWidth="1"/>
    <col min="375" max="375" width="13.5703125" bestFit="1" customWidth="1"/>
    <col min="376" max="376" width="15.7109375" bestFit="1" customWidth="1"/>
    <col min="377" max="377" width="16.42578125" bestFit="1" customWidth="1"/>
    <col min="378" max="378" width="19.7109375" bestFit="1" customWidth="1"/>
    <col min="379" max="379" width="16.42578125" bestFit="1" customWidth="1"/>
    <col min="380" max="380" width="13.7109375" bestFit="1" customWidth="1"/>
    <col min="381" max="381" width="13.5703125" bestFit="1" customWidth="1"/>
    <col min="382" max="382" width="17" bestFit="1" customWidth="1"/>
    <col min="383" max="383" width="20" bestFit="1" customWidth="1"/>
    <col min="384" max="384" width="19.7109375" bestFit="1" customWidth="1"/>
    <col min="385" max="385" width="23.28515625" bestFit="1" customWidth="1"/>
    <col min="386" max="386" width="15.85546875" bestFit="1" customWidth="1"/>
    <col min="387" max="387" width="13.5703125" bestFit="1" customWidth="1"/>
    <col min="388" max="388" width="19.140625" bestFit="1" customWidth="1"/>
    <col min="389" max="389" width="16" bestFit="1" customWidth="1"/>
    <col min="390" max="390" width="13.5703125" bestFit="1" customWidth="1"/>
    <col min="391" max="391" width="19.28515625" bestFit="1" customWidth="1"/>
    <col min="392" max="392" width="16.85546875" bestFit="1" customWidth="1"/>
    <col min="393" max="393" width="13.5703125" bestFit="1" customWidth="1"/>
    <col min="394" max="394" width="20.28515625" bestFit="1" customWidth="1"/>
    <col min="395" max="395" width="24.28515625" bestFit="1" customWidth="1"/>
    <col min="396" max="396" width="13.5703125" bestFit="1" customWidth="1"/>
    <col min="397" max="397" width="27.5703125" bestFit="1" customWidth="1"/>
    <col min="398" max="398" width="20.28515625" bestFit="1" customWidth="1"/>
    <col min="399" max="399" width="16.5703125" bestFit="1" customWidth="1"/>
    <col min="400" max="400" width="23.5703125" bestFit="1" customWidth="1"/>
    <col min="401" max="401" width="21.5703125" bestFit="1" customWidth="1"/>
    <col min="402" max="402" width="13.5703125" bestFit="1" customWidth="1"/>
    <col min="403" max="403" width="24.7109375" bestFit="1" customWidth="1"/>
    <col min="404" max="404" width="17.5703125" bestFit="1" customWidth="1"/>
    <col min="405" max="405" width="13.5703125" bestFit="1" customWidth="1"/>
    <col min="406" max="406" width="20.7109375" bestFit="1" customWidth="1"/>
    <col min="407" max="407" width="26.85546875" bestFit="1" customWidth="1"/>
    <col min="408" max="408" width="13.5703125" bestFit="1" customWidth="1"/>
    <col min="409" max="409" width="30.28515625" bestFit="1" customWidth="1"/>
    <col min="410" max="410" width="18.42578125" bestFit="1" customWidth="1"/>
    <col min="411" max="411" width="13.5703125" bestFit="1" customWidth="1"/>
    <col min="412" max="412" width="21.7109375" bestFit="1" customWidth="1"/>
    <col min="413" max="413" width="15.140625" bestFit="1" customWidth="1"/>
    <col min="414" max="414" width="13.5703125" bestFit="1" customWidth="1"/>
    <col min="415" max="415" width="18.42578125" bestFit="1" customWidth="1"/>
    <col min="416" max="417" width="15.140625" bestFit="1" customWidth="1"/>
    <col min="418" max="418" width="18.42578125" bestFit="1" customWidth="1"/>
    <col min="419" max="419" width="13.7109375" bestFit="1" customWidth="1"/>
    <col min="420" max="420" width="13.5703125" bestFit="1" customWidth="1"/>
    <col min="421" max="421" width="16.85546875" bestFit="1" customWidth="1"/>
    <col min="422" max="422" width="24" bestFit="1" customWidth="1"/>
    <col min="423" max="423" width="13.5703125" bestFit="1" customWidth="1"/>
    <col min="424" max="424" width="27.42578125" bestFit="1" customWidth="1"/>
    <col min="425" max="425" width="22.5703125" bestFit="1" customWidth="1"/>
    <col min="426" max="426" width="10.42578125" bestFit="1" customWidth="1"/>
    <col min="427" max="427" width="26" bestFit="1" customWidth="1"/>
    <col min="428" max="428" width="24.5703125" bestFit="1" customWidth="1"/>
    <col min="429" max="429" width="13.5703125" bestFit="1" customWidth="1"/>
    <col min="430" max="430" width="28" bestFit="1" customWidth="1"/>
    <col min="431" max="431" width="17" bestFit="1" customWidth="1"/>
    <col min="432" max="432" width="13.5703125" bestFit="1" customWidth="1"/>
    <col min="433" max="433" width="20.28515625" bestFit="1" customWidth="1"/>
    <col min="434" max="434" width="20.5703125" bestFit="1" customWidth="1"/>
    <col min="435" max="435" width="13.5703125" bestFit="1" customWidth="1"/>
    <col min="436" max="436" width="23.85546875" bestFit="1" customWidth="1"/>
    <col min="437" max="437" width="21.85546875" bestFit="1" customWidth="1"/>
    <col min="438" max="438" width="13.5703125" bestFit="1" customWidth="1"/>
    <col min="439" max="439" width="25" bestFit="1" customWidth="1"/>
    <col min="440" max="440" width="14.5703125" bestFit="1" customWidth="1"/>
    <col min="441" max="441" width="13.5703125" bestFit="1" customWidth="1"/>
    <col min="442" max="442" width="17.85546875" bestFit="1" customWidth="1"/>
    <col min="443" max="443" width="22.7109375" bestFit="1" customWidth="1"/>
    <col min="444" max="444" width="13.5703125" bestFit="1" customWidth="1"/>
    <col min="445" max="445" width="26" bestFit="1" customWidth="1"/>
    <col min="446" max="446" width="17.42578125" bestFit="1" customWidth="1"/>
    <col min="447" max="447" width="16.5703125" bestFit="1" customWidth="1"/>
    <col min="448" max="448" width="20.7109375" bestFit="1" customWidth="1"/>
    <col min="449" max="449" width="14.42578125" bestFit="1" customWidth="1"/>
    <col min="450" max="450" width="13.5703125" bestFit="1" customWidth="1"/>
    <col min="451" max="451" width="17.7109375" bestFit="1" customWidth="1"/>
    <col min="452" max="452" width="16.5703125" bestFit="1" customWidth="1"/>
    <col min="453" max="453" width="13.5703125" bestFit="1" customWidth="1"/>
    <col min="454" max="454" width="19.85546875" bestFit="1" customWidth="1"/>
    <col min="455" max="455" width="15.5703125" bestFit="1" customWidth="1"/>
    <col min="456" max="456" width="10.42578125" bestFit="1" customWidth="1"/>
    <col min="457" max="457" width="18.85546875" bestFit="1" customWidth="1"/>
    <col min="458" max="458" width="17.42578125" bestFit="1" customWidth="1"/>
    <col min="459" max="459" width="13.5703125" bestFit="1" customWidth="1"/>
    <col min="460" max="460" width="20.5703125" bestFit="1" customWidth="1"/>
    <col min="461" max="461" width="21.7109375" bestFit="1" customWidth="1"/>
    <col min="462" max="462" width="13.5703125" bestFit="1" customWidth="1"/>
    <col min="463" max="463" width="24.85546875" bestFit="1" customWidth="1"/>
    <col min="464" max="464" width="14" bestFit="1" customWidth="1"/>
    <col min="465" max="465" width="13.5703125" bestFit="1" customWidth="1"/>
    <col min="466" max="466" width="17.140625" bestFit="1" customWidth="1"/>
    <col min="467" max="467" width="19.28515625" bestFit="1" customWidth="1"/>
    <col min="468" max="468" width="13.5703125" bestFit="1" customWidth="1"/>
    <col min="469" max="469" width="22.5703125" bestFit="1" customWidth="1"/>
    <col min="470" max="470" width="24.5703125" bestFit="1" customWidth="1"/>
    <col min="471" max="471" width="19.7109375" bestFit="1" customWidth="1"/>
    <col min="472" max="472" width="27.85546875" bestFit="1" customWidth="1"/>
    <col min="473" max="473" width="15.7109375" bestFit="1" customWidth="1"/>
    <col min="474" max="474" width="13.5703125" bestFit="1" customWidth="1"/>
    <col min="475" max="475" width="19" bestFit="1" customWidth="1"/>
    <col min="476" max="476" width="32.5703125" bestFit="1" customWidth="1"/>
    <col min="477" max="477" width="13.5703125" bestFit="1" customWidth="1"/>
    <col min="478" max="478" width="35.85546875" bestFit="1" customWidth="1"/>
    <col min="479" max="479" width="14.85546875" bestFit="1" customWidth="1"/>
    <col min="480" max="480" width="13.5703125" bestFit="1" customWidth="1"/>
    <col min="481" max="481" width="18.140625" bestFit="1" customWidth="1"/>
    <col min="482" max="482" width="17.140625" bestFit="1" customWidth="1"/>
    <col min="483" max="483" width="13.5703125" bestFit="1" customWidth="1"/>
    <col min="484" max="484" width="20.5703125" bestFit="1" customWidth="1"/>
    <col min="485" max="485" width="25.85546875" bestFit="1" customWidth="1"/>
    <col min="486" max="486" width="13.5703125" bestFit="1" customWidth="1"/>
    <col min="487" max="487" width="29" bestFit="1" customWidth="1"/>
    <col min="488" max="488" width="21.28515625" bestFit="1" customWidth="1"/>
    <col min="489" max="489" width="13.5703125" bestFit="1" customWidth="1"/>
    <col min="490" max="490" width="24.7109375" bestFit="1" customWidth="1"/>
    <col min="491" max="491" width="15.5703125" bestFit="1" customWidth="1"/>
    <col min="492" max="492" width="13.5703125" bestFit="1" customWidth="1"/>
    <col min="493" max="493" width="18.85546875" bestFit="1" customWidth="1"/>
    <col min="494" max="494" width="13.85546875" bestFit="1" customWidth="1"/>
    <col min="495" max="495" width="13.5703125" bestFit="1" customWidth="1"/>
    <col min="496" max="496" width="17" bestFit="1" customWidth="1"/>
    <col min="497" max="497" width="15.7109375" bestFit="1" customWidth="1"/>
    <col min="498" max="498" width="13.5703125" bestFit="1" customWidth="1"/>
    <col min="499" max="499" width="19" bestFit="1" customWidth="1"/>
    <col min="500" max="500" width="16.28515625" bestFit="1" customWidth="1"/>
    <col min="501" max="501" width="13.5703125" bestFit="1" customWidth="1"/>
    <col min="502" max="502" width="19.5703125" bestFit="1" customWidth="1"/>
    <col min="503" max="503" width="17.42578125" bestFit="1" customWidth="1"/>
    <col min="504" max="504" width="13.5703125" bestFit="1" customWidth="1"/>
    <col min="505" max="505" width="20.5703125" bestFit="1" customWidth="1"/>
    <col min="506" max="506" width="14" bestFit="1" customWidth="1"/>
    <col min="507" max="507" width="13.5703125" bestFit="1" customWidth="1"/>
    <col min="508" max="508" width="17.42578125" bestFit="1" customWidth="1"/>
    <col min="509" max="509" width="14.5703125" bestFit="1" customWidth="1"/>
    <col min="510" max="510" width="13.5703125" bestFit="1" customWidth="1"/>
    <col min="511" max="511" width="17.85546875" bestFit="1" customWidth="1"/>
    <col min="512" max="512" width="16.28515625" bestFit="1" customWidth="1"/>
    <col min="513" max="513" width="13.5703125" bestFit="1" customWidth="1"/>
    <col min="514" max="514" width="19.5703125" bestFit="1" customWidth="1"/>
    <col min="515" max="515" width="19.28515625" bestFit="1" customWidth="1"/>
    <col min="516" max="516" width="13.5703125" bestFit="1" customWidth="1"/>
    <col min="517" max="517" width="22.5703125" bestFit="1" customWidth="1"/>
    <col min="518" max="518" width="16.42578125" bestFit="1" customWidth="1"/>
    <col min="519" max="519" width="19.7109375" bestFit="1" customWidth="1"/>
    <col min="520" max="520" width="17.140625" bestFit="1" customWidth="1"/>
    <col min="521" max="521" width="21.140625" bestFit="1" customWidth="1"/>
    <col min="522" max="522" width="13.5703125" bestFit="1" customWidth="1"/>
    <col min="523" max="523" width="24.42578125" bestFit="1" customWidth="1"/>
    <col min="524" max="524" width="14.42578125" bestFit="1" customWidth="1"/>
    <col min="525" max="525" width="13.5703125" bestFit="1" customWidth="1"/>
    <col min="526" max="526" width="17.7109375" bestFit="1" customWidth="1"/>
    <col min="527" max="527" width="12" bestFit="1" customWidth="1"/>
    <col min="528" max="528" width="13.5703125" bestFit="1" customWidth="1"/>
    <col min="529" max="529" width="15.28515625" bestFit="1" customWidth="1"/>
    <col min="530" max="530" width="19.42578125" bestFit="1" customWidth="1"/>
    <col min="531" max="531" width="13.5703125" bestFit="1" customWidth="1"/>
    <col min="532" max="532" width="22.7109375" bestFit="1" customWidth="1"/>
    <col min="533" max="533" width="20.7109375" bestFit="1" customWidth="1"/>
    <col min="534" max="534" width="10.42578125" bestFit="1" customWidth="1"/>
    <col min="535" max="535" width="24" bestFit="1" customWidth="1"/>
    <col min="536" max="536" width="20.42578125" bestFit="1" customWidth="1"/>
    <col min="537" max="537" width="19.7109375" bestFit="1" customWidth="1"/>
    <col min="538" max="538" width="23.85546875" bestFit="1" customWidth="1"/>
    <col min="539" max="539" width="20.5703125" bestFit="1" customWidth="1"/>
    <col min="540" max="540" width="13.5703125" bestFit="1" customWidth="1"/>
    <col min="541" max="541" width="23.85546875" bestFit="1" customWidth="1"/>
    <col min="542" max="542" width="18.7109375" bestFit="1" customWidth="1"/>
    <col min="543" max="543" width="13.5703125" bestFit="1" customWidth="1"/>
    <col min="544" max="544" width="22" bestFit="1" customWidth="1"/>
    <col min="545" max="545" width="16" bestFit="1" customWidth="1"/>
    <col min="546" max="546" width="13.5703125" bestFit="1" customWidth="1"/>
    <col min="547" max="547" width="19.28515625" bestFit="1" customWidth="1"/>
    <col min="548" max="548" width="16.42578125" bestFit="1" customWidth="1"/>
    <col min="549" max="549" width="19.7109375" bestFit="1" customWidth="1"/>
    <col min="550" max="550" width="18.140625" bestFit="1" customWidth="1"/>
    <col min="551" max="551" width="15.7109375" bestFit="1" customWidth="1"/>
    <col min="552" max="552" width="13.5703125" bestFit="1" customWidth="1"/>
    <col min="553" max="553" width="19.140625" bestFit="1" customWidth="1"/>
    <col min="554" max="554" width="12.85546875" bestFit="1" customWidth="1"/>
    <col min="555" max="555" width="13.5703125" bestFit="1" customWidth="1"/>
    <col min="556" max="556" width="16" bestFit="1" customWidth="1"/>
    <col min="557" max="557" width="11.7109375" bestFit="1" customWidth="1"/>
  </cols>
  <sheetData>
    <row r="3" spans="1:4">
      <c r="A3" s="10">
        <v>3</v>
      </c>
    </row>
    <row r="4" spans="1:4">
      <c r="B4" s="8" t="s">
        <v>3</v>
      </c>
      <c r="C4" s="11" t="s">
        <v>222</v>
      </c>
    </row>
    <row r="5" spans="1:4">
      <c r="B5" s="15"/>
    </row>
    <row r="6" spans="1:4">
      <c r="B6" s="8" t="s">
        <v>223</v>
      </c>
      <c r="C6" s="11">
        <f ca="1">COUNTA(B9:B36)</f>
        <v>28</v>
      </c>
    </row>
    <row r="8" spans="1:4">
      <c r="B8" s="11" t="s">
        <v>1</v>
      </c>
      <c r="C8" s="11" t="s">
        <v>7</v>
      </c>
      <c r="D8" s="11">
        <v>3</v>
      </c>
    </row>
    <row r="9" spans="1:4">
      <c r="B9" s="11" t="str" cm="1">
        <f t="array" aca="1" ref="B9:D62" ca="1">_xlfn._xlws.SORT(_xlfn.CHOOSECOLS(_xlfn._xlws.FILTER(Staff[],Staff[Department]=C4),1,4,7),3,-1)</f>
        <v>Heer Pennathur</v>
      </c>
      <c r="C9" s="11" t="str">
        <f ca="1"/>
        <v>Average</v>
      </c>
      <c r="D9" s="11">
        <f ca="1"/>
        <v>118840</v>
      </c>
    </row>
    <row r="10" spans="1:4">
      <c r="B10" s="11" t="str">
        <f ca="1"/>
        <v>Tawnya Tickel</v>
      </c>
      <c r="C10" s="11" t="str">
        <f ca="1"/>
        <v>Average</v>
      </c>
      <c r="D10" s="11">
        <f ca="1"/>
        <v>118840</v>
      </c>
    </row>
    <row r="11" spans="1:4">
      <c r="B11" s="11" t="str">
        <f ca="1"/>
        <v>Ramnath Ravuri</v>
      </c>
      <c r="C11" s="11" t="str">
        <f ca="1"/>
        <v>Average</v>
      </c>
      <c r="D11" s="11">
        <f ca="1"/>
        <v>114870</v>
      </c>
    </row>
    <row r="12" spans="1:4">
      <c r="B12" s="11" t="str">
        <f ca="1"/>
        <v>Wilone O'Kielt</v>
      </c>
      <c r="C12" s="11" t="str">
        <f ca="1"/>
        <v>Average</v>
      </c>
      <c r="D12" s="11">
        <f ca="1"/>
        <v>114870</v>
      </c>
    </row>
    <row r="13" spans="1:4">
      <c r="B13" s="11" t="str">
        <f ca="1"/>
        <v>Deepali Charan</v>
      </c>
      <c r="C13" s="11" t="str">
        <f ca="1"/>
        <v>Average</v>
      </c>
      <c r="D13" s="11">
        <f ca="1"/>
        <v>112650</v>
      </c>
    </row>
    <row r="14" spans="1:4">
      <c r="B14" s="11" t="str">
        <f ca="1"/>
        <v>Mollie Hanway</v>
      </c>
      <c r="C14" s="11" t="str">
        <f ca="1"/>
        <v>Average</v>
      </c>
      <c r="D14" s="11">
        <f ca="1"/>
        <v>112650</v>
      </c>
    </row>
    <row r="15" spans="1:4">
      <c r="B15" s="11" t="str">
        <f ca="1"/>
        <v>Narois Motiwala</v>
      </c>
      <c r="C15" s="11" t="str">
        <f ca="1"/>
        <v>Poor</v>
      </c>
      <c r="D15" s="11">
        <f ca="1"/>
        <v>112110</v>
      </c>
    </row>
    <row r="16" spans="1:4">
      <c r="B16" s="11" t="str">
        <f ca="1"/>
        <v>Bev Lashley</v>
      </c>
      <c r="C16" s="11" t="str">
        <f ca="1"/>
        <v>Poor</v>
      </c>
      <c r="D16" s="11">
        <f ca="1"/>
        <v>112110</v>
      </c>
    </row>
    <row r="17" spans="2:4">
      <c r="B17" s="11" t="str">
        <f ca="1"/>
        <v>Hridaynath Tendulkar</v>
      </c>
      <c r="C17" s="11" t="str">
        <f ca="1"/>
        <v>Average</v>
      </c>
      <c r="D17" s="11">
        <f ca="1"/>
        <v>107700</v>
      </c>
    </row>
    <row r="18" spans="2:4">
      <c r="B18" s="11" t="str">
        <f ca="1"/>
        <v>Kaine Padly</v>
      </c>
      <c r="C18" s="11" t="str">
        <f ca="1"/>
        <v>Average</v>
      </c>
      <c r="D18" s="11">
        <f ca="1"/>
        <v>107700</v>
      </c>
    </row>
    <row r="19" spans="2:4">
      <c r="B19" s="11" t="str">
        <f ca="1"/>
        <v>Manjusri Ruchi</v>
      </c>
      <c r="C19" s="11" t="str">
        <f ca="1"/>
        <v>Average</v>
      </c>
      <c r="D19" s="11">
        <f ca="1"/>
        <v>104410</v>
      </c>
    </row>
    <row r="20" spans="2:4">
      <c r="B20" s="11" t="str">
        <f ca="1"/>
        <v>Caro Chappel</v>
      </c>
      <c r="C20" s="11" t="str">
        <f ca="1"/>
        <v>Average</v>
      </c>
      <c r="D20" s="11">
        <f ca="1"/>
        <v>104410</v>
      </c>
    </row>
    <row r="21" spans="2:4">
      <c r="B21" s="11" t="str">
        <f ca="1"/>
        <v>Amlankusum Rajabhushan</v>
      </c>
      <c r="C21" s="11" t="str">
        <f ca="1"/>
        <v>Average</v>
      </c>
      <c r="D21" s="11">
        <f ca="1"/>
        <v>100420</v>
      </c>
    </row>
    <row r="22" spans="2:4">
      <c r="B22" s="11" t="str">
        <f ca="1"/>
        <v>Collin Jagson</v>
      </c>
      <c r="C22" s="11" t="str">
        <f ca="1"/>
        <v>Average</v>
      </c>
      <c r="D22" s="11">
        <f ca="1"/>
        <v>100420</v>
      </c>
    </row>
    <row r="23" spans="2:4">
      <c r="B23" s="11" t="str">
        <f ca="1"/>
        <v>Sukhdev Nageshwar</v>
      </c>
      <c r="C23" s="11" t="str">
        <f ca="1"/>
        <v>Average</v>
      </c>
      <c r="D23" s="11">
        <f ca="1"/>
        <v>96140</v>
      </c>
    </row>
    <row r="24" spans="2:4">
      <c r="B24" s="11" t="str">
        <f ca="1"/>
        <v>Torrance Collier</v>
      </c>
      <c r="C24" s="11" t="str">
        <f ca="1"/>
        <v>Average</v>
      </c>
      <c r="D24" s="11">
        <f ca="1"/>
        <v>96140</v>
      </c>
    </row>
    <row r="25" spans="2:4">
      <c r="B25" s="11" t="str">
        <f ca="1"/>
        <v>Rukma Vinita</v>
      </c>
      <c r="C25" s="11" t="str">
        <f ca="1"/>
        <v>Average</v>
      </c>
      <c r="D25" s="11">
        <f ca="1"/>
        <v>91310</v>
      </c>
    </row>
    <row r="26" spans="2:4">
      <c r="B26" s="11" t="str">
        <f ca="1"/>
        <v>Madge McCloughen</v>
      </c>
      <c r="C26" s="11" t="str">
        <f ca="1"/>
        <v>Average</v>
      </c>
      <c r="D26" s="11">
        <f ca="1"/>
        <v>91310</v>
      </c>
    </row>
    <row r="27" spans="2:4">
      <c r="B27" s="11" t="str">
        <f ca="1"/>
        <v>Karuna Pashupathy</v>
      </c>
      <c r="C27" s="11" t="str">
        <f ca="1"/>
        <v>Above average</v>
      </c>
      <c r="D27" s="11">
        <f ca="1"/>
        <v>90700</v>
      </c>
    </row>
    <row r="28" spans="2:4">
      <c r="B28" s="11" t="str">
        <f ca="1"/>
        <v>Dennison Crosswaite</v>
      </c>
      <c r="C28" s="11" t="str">
        <f ca="1"/>
        <v>Above average</v>
      </c>
      <c r="D28" s="11">
        <f ca="1"/>
        <v>90700</v>
      </c>
    </row>
    <row r="29" spans="2:4">
      <c r="B29" s="11" t="str">
        <f ca="1"/>
        <v>Gangadutt Ragha</v>
      </c>
      <c r="C29" s="11" t="str">
        <f ca="1"/>
        <v>Poor</v>
      </c>
      <c r="D29" s="11">
        <f ca="1"/>
        <v>88050</v>
      </c>
    </row>
    <row r="30" spans="2:4">
      <c r="B30" s="11" t="str">
        <f ca="1"/>
        <v>Ches Bonnell</v>
      </c>
      <c r="C30" s="11" t="str">
        <f ca="1"/>
        <v>Poor</v>
      </c>
      <c r="D30" s="11">
        <f ca="1"/>
        <v>88050</v>
      </c>
    </row>
    <row r="31" spans="2:4">
      <c r="B31" s="11" t="str">
        <f ca="1"/>
        <v>Godavari Veena</v>
      </c>
      <c r="C31" s="11" t="str">
        <f ca="1"/>
        <v>Average</v>
      </c>
      <c r="D31" s="11">
        <f ca="1"/>
        <v>87620</v>
      </c>
    </row>
    <row r="32" spans="2:4">
      <c r="B32" s="11" t="str">
        <f ca="1"/>
        <v>Merrilee Plenty</v>
      </c>
      <c r="C32" s="11" t="str">
        <f ca="1"/>
        <v>Average</v>
      </c>
      <c r="D32" s="11">
        <f ca="1"/>
        <v>87620</v>
      </c>
    </row>
    <row r="33" spans="2:4">
      <c r="B33" s="11" t="str">
        <f ca="1"/>
        <v>Kunja Prashanta Vibha</v>
      </c>
      <c r="C33" s="11" t="str">
        <f ca="1"/>
        <v>Average</v>
      </c>
      <c r="D33" s="11">
        <f ca="1"/>
        <v>83750</v>
      </c>
    </row>
    <row r="34" spans="2:4">
      <c r="B34" s="11" t="str">
        <f ca="1"/>
        <v>Agnes Collicott</v>
      </c>
      <c r="C34" s="11" t="str">
        <f ca="1"/>
        <v>Average</v>
      </c>
      <c r="D34" s="11">
        <f ca="1"/>
        <v>83750</v>
      </c>
    </row>
    <row r="35" spans="2:4">
      <c r="B35" s="11" t="str">
        <f ca="1"/>
        <v>Bhuvan Pals</v>
      </c>
      <c r="C35" s="11" t="str">
        <f ca="1"/>
        <v>Above average</v>
      </c>
      <c r="D35" s="11">
        <f ca="1"/>
        <v>80700</v>
      </c>
    </row>
    <row r="36" spans="2:4">
      <c r="B36" s="11" t="str">
        <f ca="1"/>
        <v>Van Tuxwell</v>
      </c>
      <c r="C36" s="11" t="str">
        <f ca="1"/>
        <v>Above average</v>
      </c>
      <c r="D36" s="11">
        <f ca="1"/>
        <v>80700</v>
      </c>
    </row>
    <row r="37" spans="2:4">
      <c r="B37" s="11" t="str">
        <f ca="1"/>
        <v>Ayog Chakrabarti</v>
      </c>
      <c r="C37" s="11" t="str">
        <f ca="1"/>
        <v>Very poor</v>
      </c>
      <c r="D37" s="11">
        <f ca="1"/>
        <v>75480</v>
      </c>
    </row>
    <row r="38" spans="2:4">
      <c r="B38" s="11" t="str">
        <f ca="1"/>
        <v>Camilla Castle</v>
      </c>
      <c r="C38" s="11" t="str">
        <f ca="1"/>
        <v>Very poor</v>
      </c>
      <c r="D38" s="11">
        <f ca="1"/>
        <v>75480</v>
      </c>
    </row>
    <row r="39" spans="2:4">
      <c r="B39" s="11" t="str">
        <f ca="1"/>
        <v>Hemavati Muthiah</v>
      </c>
      <c r="C39" s="11" t="str">
        <f ca="1"/>
        <v>Average</v>
      </c>
      <c r="D39" s="11">
        <f ca="1"/>
        <v>75280</v>
      </c>
    </row>
    <row r="40" spans="2:4">
      <c r="B40" s="11" t="str">
        <f ca="1"/>
        <v>Elia Cockton</v>
      </c>
      <c r="C40" s="11" t="str">
        <f ca="1"/>
        <v>Average</v>
      </c>
      <c r="D40" s="11">
        <f ca="1"/>
        <v>75280</v>
      </c>
    </row>
    <row r="41" spans="2:4">
      <c r="B41" s="11" t="str">
        <f ca="1"/>
        <v>Shekhar Eswara</v>
      </c>
      <c r="C41" s="11" t="str">
        <f ca="1"/>
        <v>Average</v>
      </c>
      <c r="D41" s="11">
        <f ca="1"/>
        <v>69710</v>
      </c>
    </row>
    <row r="42" spans="2:4">
      <c r="B42" s="11" t="str">
        <f ca="1"/>
        <v>Myer McCory</v>
      </c>
      <c r="C42" s="11" t="str">
        <f ca="1"/>
        <v>Average</v>
      </c>
      <c r="D42" s="11">
        <f ca="1"/>
        <v>69710</v>
      </c>
    </row>
    <row r="43" spans="2:4">
      <c r="B43" s="11" t="str">
        <f ca="1"/>
        <v>Rameshwari Chikodi</v>
      </c>
      <c r="C43" s="11" t="str">
        <f ca="1"/>
        <v>Average</v>
      </c>
      <c r="D43" s="11">
        <f ca="1"/>
        <v>69120</v>
      </c>
    </row>
    <row r="44" spans="2:4">
      <c r="B44" s="11" t="str">
        <f ca="1"/>
        <v>Andria Kimpton</v>
      </c>
      <c r="C44" s="11" t="str">
        <f ca="1"/>
        <v>Average</v>
      </c>
      <c r="D44" s="11">
        <f ca="1"/>
        <v>69120</v>
      </c>
    </row>
    <row r="45" spans="2:4">
      <c r="B45" s="11" t="str">
        <f ca="1"/>
        <v>Jaishree Atasi Yavatkar</v>
      </c>
      <c r="C45" s="11" t="str">
        <f ca="1"/>
        <v>Average</v>
      </c>
      <c r="D45" s="11">
        <f ca="1"/>
        <v>69070</v>
      </c>
    </row>
    <row r="46" spans="2:4">
      <c r="B46" s="11" t="str">
        <f ca="1"/>
        <v>Murry Dryburgh</v>
      </c>
      <c r="C46" s="11" t="str">
        <f ca="1"/>
        <v>Average</v>
      </c>
      <c r="D46" s="11">
        <f ca="1"/>
        <v>69070</v>
      </c>
    </row>
    <row r="47" spans="2:4">
      <c r="B47" s="11" t="str">
        <f ca="1"/>
        <v>Fullara Sushanti Mokate</v>
      </c>
      <c r="C47" s="11" t="str">
        <f ca="1"/>
        <v>Average</v>
      </c>
      <c r="D47" s="11">
        <f ca="1"/>
        <v>62780</v>
      </c>
    </row>
    <row r="48" spans="2:4">
      <c r="B48" s="11" t="str">
        <f ca="1"/>
        <v>Vic Radolf</v>
      </c>
      <c r="C48" s="11" t="str">
        <f ca="1"/>
        <v>Average</v>
      </c>
      <c r="D48" s="11">
        <f ca="1"/>
        <v>62780</v>
      </c>
    </row>
    <row r="49" spans="2:4">
      <c r="B49" s="11" t="str">
        <f ca="1"/>
        <v>Pratigya Rema</v>
      </c>
      <c r="C49" s="11" t="str">
        <f ca="1"/>
        <v>Average</v>
      </c>
      <c r="D49" s="11">
        <f ca="1"/>
        <v>58100</v>
      </c>
    </row>
    <row r="50" spans="2:4">
      <c r="B50" s="11" t="str">
        <f ca="1"/>
        <v>Brien Boise</v>
      </c>
      <c r="C50" s="11" t="str">
        <f ca="1"/>
        <v>Average</v>
      </c>
      <c r="D50" s="11">
        <f ca="1"/>
        <v>58100</v>
      </c>
    </row>
    <row r="51" spans="2:4">
      <c r="B51" s="11" t="str">
        <f ca="1"/>
        <v>Pragya Nilufar</v>
      </c>
      <c r="C51" s="11" t="str">
        <f ca="1"/>
        <v>Average</v>
      </c>
      <c r="D51" s="11">
        <f ca="1"/>
        <v>53870</v>
      </c>
    </row>
    <row r="52" spans="2:4">
      <c r="B52" s="11" t="str">
        <f ca="1"/>
        <v>William Reeveley</v>
      </c>
      <c r="C52" s="11" t="str">
        <f ca="1"/>
        <v>Average</v>
      </c>
      <c r="D52" s="11">
        <f ca="1"/>
        <v>53870</v>
      </c>
    </row>
    <row r="53" spans="2:4">
      <c r="B53" s="11" t="str">
        <f ca="1"/>
        <v>Amal Nimesh</v>
      </c>
      <c r="C53" s="11" t="str">
        <f ca="1"/>
        <v>Average</v>
      </c>
      <c r="D53" s="11">
        <f ca="1"/>
        <v>48950</v>
      </c>
    </row>
    <row r="54" spans="2:4">
      <c r="B54" s="11" t="str">
        <f ca="1"/>
        <v>Gunar Cockshoot</v>
      </c>
      <c r="C54" s="11" t="str">
        <f ca="1"/>
        <v>Average</v>
      </c>
      <c r="D54" s="11">
        <f ca="1"/>
        <v>48950</v>
      </c>
    </row>
    <row r="55" spans="2:4">
      <c r="B55" s="11" t="str">
        <f ca="1"/>
        <v>Yagna Sujeev</v>
      </c>
      <c r="C55" s="11" t="str">
        <f ca="1"/>
        <v>Above average</v>
      </c>
      <c r="D55" s="11">
        <f ca="1"/>
        <v>43840</v>
      </c>
    </row>
    <row r="56" spans="2:4">
      <c r="B56" s="11" t="str">
        <f ca="1"/>
        <v>Kassi Jonson</v>
      </c>
      <c r="C56" s="11" t="str">
        <f ca="1"/>
        <v>Above average</v>
      </c>
      <c r="D56" s="11">
        <f ca="1"/>
        <v>43840</v>
      </c>
    </row>
    <row r="57" spans="2:4">
      <c r="B57" s="11" t="str">
        <f ca="1"/>
        <v>Jagajeet Viraj</v>
      </c>
      <c r="C57" s="11" t="str">
        <f ca="1"/>
        <v>Average</v>
      </c>
      <c r="D57" s="11">
        <f ca="1"/>
        <v>41980</v>
      </c>
    </row>
    <row r="58" spans="2:4">
      <c r="B58" s="11" t="str">
        <f ca="1"/>
        <v>Dotty Strutley</v>
      </c>
      <c r="C58" s="11" t="str">
        <f ca="1"/>
        <v>Average</v>
      </c>
      <c r="D58" s="11">
        <f ca="1"/>
        <v>41980</v>
      </c>
    </row>
    <row r="59" spans="2:4">
      <c r="B59" s="11" t="str">
        <f ca="1"/>
        <v>Suchira Bhanupriya Tapti</v>
      </c>
      <c r="C59" s="11" t="str">
        <f ca="1"/>
        <v>Average</v>
      </c>
      <c r="D59" s="11">
        <f ca="1"/>
        <v>34980</v>
      </c>
    </row>
    <row r="60" spans="2:4">
      <c r="B60" s="11" t="str">
        <f ca="1"/>
        <v>Niall Selesnick</v>
      </c>
      <c r="C60" s="11" t="str">
        <f ca="1"/>
        <v>Average</v>
      </c>
      <c r="D60" s="11">
        <f ca="1"/>
        <v>34980</v>
      </c>
    </row>
    <row r="61" spans="2:4">
      <c r="B61" s="11" t="str">
        <f ca="1"/>
        <v>Shubhra Potla</v>
      </c>
      <c r="C61" s="11" t="str">
        <f ca="1"/>
        <v>Average</v>
      </c>
      <c r="D61" s="11">
        <f ca="1"/>
        <v>33920</v>
      </c>
    </row>
    <row r="62" spans="2:4">
      <c r="B62" s="11" t="str">
        <f ca="1"/>
        <v>Gretchen Callow</v>
      </c>
      <c r="C62" s="11" t="str">
        <f ca="1"/>
        <v>Average</v>
      </c>
      <c r="D62" s="11">
        <f ca="1"/>
        <v>33920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DAA3-3873-454D-8799-B439F881BD3A}">
  <sheetPr>
    <tabColor rgb="FF7030A0"/>
  </sheetPr>
  <dimension ref="A2:E10"/>
  <sheetViews>
    <sheetView workbookViewId="0">
      <selection activeCell="F12" sqref="F12"/>
    </sheetView>
  </sheetViews>
  <sheetFormatPr defaultRowHeight="15"/>
  <cols>
    <col min="2" max="2" width="15.5703125" bestFit="1" customWidth="1"/>
    <col min="3" max="3" width="17.42578125" bestFit="1" customWidth="1"/>
    <col min="4" max="7" width="12.5703125" bestFit="1" customWidth="1"/>
    <col min="8" max="8" width="14.7109375" bestFit="1" customWidth="1"/>
    <col min="9" max="9" width="22.140625" bestFit="1" customWidth="1"/>
    <col min="10" max="10" width="19.85546875" bestFit="1" customWidth="1"/>
    <col min="11" max="11" width="11.28515625" bestFit="1" customWidth="1"/>
    <col min="12" max="12" width="22.140625" bestFit="1" customWidth="1"/>
    <col min="13" max="13" width="19.85546875" bestFit="1" customWidth="1"/>
    <col min="14" max="14" width="16.42578125" bestFit="1" customWidth="1"/>
    <col min="15" max="36" width="11.85546875" bestFit="1" customWidth="1"/>
    <col min="37" max="46" width="13.7109375" bestFit="1" customWidth="1"/>
    <col min="47" max="47" width="12.5703125" bestFit="1" customWidth="1"/>
    <col min="48" max="79" width="11.85546875" bestFit="1" customWidth="1"/>
    <col min="80" max="90" width="13.7109375" bestFit="1" customWidth="1"/>
    <col min="91" max="91" width="12.5703125" bestFit="1" customWidth="1"/>
    <col min="92" max="94" width="11.85546875" bestFit="1" customWidth="1"/>
    <col min="95" max="95" width="13.7109375" bestFit="1" customWidth="1"/>
    <col min="96" max="96" width="11" bestFit="1" customWidth="1"/>
    <col min="97" max="97" width="12.5703125" bestFit="1" customWidth="1"/>
  </cols>
  <sheetData>
    <row r="2" spans="1:5">
      <c r="A2" s="10">
        <v>4</v>
      </c>
    </row>
    <row r="3" spans="1:5">
      <c r="B3" s="8" t="s">
        <v>224</v>
      </c>
    </row>
    <row r="5" spans="1:5">
      <c r="D5" s="14" t="s">
        <v>2</v>
      </c>
    </row>
    <row r="6" spans="1:5">
      <c r="C6" s="14" t="s">
        <v>225</v>
      </c>
      <c r="D6" t="s">
        <v>16</v>
      </c>
      <c r="E6" t="s">
        <v>9</v>
      </c>
    </row>
    <row r="7" spans="1:5">
      <c r="C7" t="s">
        <v>226</v>
      </c>
      <c r="D7" s="17">
        <v>78284.186046511633</v>
      </c>
      <c r="E7" s="17">
        <v>74915.168539325838</v>
      </c>
    </row>
    <row r="8" spans="1:5">
      <c r="C8" t="s">
        <v>227</v>
      </c>
      <c r="D8">
        <v>86</v>
      </c>
      <c r="E8">
        <v>89</v>
      </c>
    </row>
    <row r="9" spans="1:5">
      <c r="C9" t="s">
        <v>228</v>
      </c>
      <c r="D9" s="18">
        <v>31.406976744186046</v>
      </c>
      <c r="E9" s="18">
        <v>29.393258426966291</v>
      </c>
    </row>
    <row r="10" spans="1:5">
      <c r="C10" t="s">
        <v>229</v>
      </c>
      <c r="D10" s="18">
        <v>1.8600191143676332</v>
      </c>
      <c r="E10" s="18">
        <v>1.8509158072956753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5087-7A3F-46FC-B1B1-A0253C4590B2}">
  <sheetPr>
    <tabColor rgb="FFFF0000"/>
  </sheetPr>
  <dimension ref="A1"/>
  <sheetViews>
    <sheetView workbookViewId="0">
      <selection activeCell="N9" sqref="N9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5FB7-2E8A-4A75-8375-0BF6C888E1CD}">
  <sheetPr>
    <tabColor rgb="FFD0CECE"/>
  </sheetPr>
  <dimension ref="C3:E9"/>
  <sheetViews>
    <sheetView workbookViewId="0">
      <selection activeCell="E14" sqref="E14"/>
    </sheetView>
  </sheetViews>
  <sheetFormatPr defaultRowHeight="15"/>
  <cols>
    <col min="3" max="3" width="14.140625" bestFit="1" customWidth="1"/>
    <col min="4" max="4" width="14.7109375" bestFit="1" customWidth="1"/>
    <col min="5" max="5" width="16.85546875" bestFit="1" customWidth="1"/>
    <col min="6" max="71" width="11.85546875" bestFit="1" customWidth="1"/>
    <col min="72" max="93" width="13.7109375" bestFit="1" customWidth="1"/>
    <col min="94" max="94" width="12.5703125" bestFit="1" customWidth="1"/>
  </cols>
  <sheetData>
    <row r="3" spans="3:5">
      <c r="C3" s="14" t="s">
        <v>7</v>
      </c>
      <c r="D3" t="s">
        <v>227</v>
      </c>
      <c r="E3" t="s">
        <v>226</v>
      </c>
    </row>
    <row r="4" spans="3:5">
      <c r="C4" t="s">
        <v>44</v>
      </c>
      <c r="D4">
        <v>4</v>
      </c>
      <c r="E4" s="17">
        <v>92080</v>
      </c>
    </row>
    <row r="5" spans="3:5">
      <c r="C5" t="s">
        <v>11</v>
      </c>
      <c r="D5">
        <v>20</v>
      </c>
      <c r="E5" s="17">
        <v>75933</v>
      </c>
    </row>
    <row r="6" spans="3:5">
      <c r="C6" t="s">
        <v>14</v>
      </c>
      <c r="D6">
        <v>137</v>
      </c>
      <c r="E6" s="17">
        <v>76798.759124087592</v>
      </c>
    </row>
    <row r="7" spans="3:5">
      <c r="C7" t="s">
        <v>19</v>
      </c>
      <c r="D7">
        <v>16</v>
      </c>
      <c r="E7" s="17">
        <v>78115</v>
      </c>
    </row>
    <row r="8" spans="3:5">
      <c r="C8" t="s">
        <v>50</v>
      </c>
      <c r="D8">
        <v>6</v>
      </c>
      <c r="E8" s="17">
        <v>77423.333333333328</v>
      </c>
    </row>
    <row r="9" spans="3:5">
      <c r="C9" t="s">
        <v>230</v>
      </c>
      <c r="D9">
        <v>183</v>
      </c>
      <c r="E9" s="17">
        <v>77173.715846994543</v>
      </c>
    </row>
  </sheetData>
  <conditionalFormatting pivot="1" sqref="E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{6AEE53B8-F37F-46A2-919E-57568EC21124}</x14:id>
        </ext>
      </extLst>
    </cfRule>
  </conditionalFormatting>
  <conditionalFormatting pivot="1" sqref="E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{6F141BFB-932F-4D23-8A5D-B67C7E8D923F}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6AEE53B8-F37F-46A2-919E-57568EC211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E4</xm:sqref>
        </x14:conditionalFormatting>
        <x14:conditionalFormatting xmlns:xm="http://schemas.microsoft.com/office/excel/2006/main" pivot="1">
          <x14:cfRule type="dataBar" id="{6F141BFB-932F-4D23-8A5D-B67C7E8D92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61FE-BEAF-4263-AF4B-A04B51AAA158}">
  <dimension ref="C6:D10"/>
  <sheetViews>
    <sheetView workbookViewId="0">
      <selection activeCell="F12" sqref="F12"/>
    </sheetView>
  </sheetViews>
  <sheetFormatPr defaultRowHeight="15"/>
  <cols>
    <col min="3" max="3" width="14.140625" bestFit="1" customWidth="1"/>
  </cols>
  <sheetData>
    <row r="6" spans="3:4">
      <c r="C6" t="s">
        <v>44</v>
      </c>
      <c r="D6">
        <v>5</v>
      </c>
    </row>
    <row r="7" spans="3:4">
      <c r="C7" t="s">
        <v>11</v>
      </c>
      <c r="D7">
        <v>4</v>
      </c>
    </row>
    <row r="8" spans="3:4">
      <c r="C8" t="s">
        <v>14</v>
      </c>
      <c r="D8">
        <v>3</v>
      </c>
    </row>
    <row r="9" spans="3:4">
      <c r="C9" t="s">
        <v>19</v>
      </c>
      <c r="D9">
        <v>2</v>
      </c>
    </row>
    <row r="10" spans="3:4">
      <c r="C10" t="s">
        <v>50</v>
      </c>
      <c r="D1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D0D5-43B0-4B85-93E0-4801E9CDEA3A}">
  <sheetPr>
    <tabColor rgb="FF000000"/>
  </sheetPr>
  <dimension ref="C2:N9"/>
  <sheetViews>
    <sheetView showGridLines="0" topLeftCell="A7" workbookViewId="0">
      <selection activeCell="H4" sqref="H4"/>
    </sheetView>
  </sheetViews>
  <sheetFormatPr defaultRowHeight="15"/>
  <cols>
    <col min="3" max="3" width="15.140625" customWidth="1"/>
    <col min="4" max="4" width="2" customWidth="1"/>
    <col min="5" max="5" width="16.28515625" customWidth="1"/>
    <col min="6" max="6" width="2.5703125" customWidth="1"/>
    <col min="7" max="7" width="17.28515625" customWidth="1"/>
    <col min="8" max="9" width="9.7109375" customWidth="1"/>
    <col min="10" max="10" width="15.42578125" customWidth="1"/>
    <col min="11" max="11" width="3" customWidth="1"/>
    <col min="12" max="12" width="15.42578125" customWidth="1"/>
    <col min="13" max="13" width="3" customWidth="1"/>
    <col min="14" max="14" width="16.140625" customWidth="1"/>
  </cols>
  <sheetData>
    <row r="2" spans="3:14">
      <c r="C2" s="27" t="s">
        <v>231</v>
      </c>
      <c r="D2" s="27"/>
      <c r="E2" s="27"/>
      <c r="F2" s="27"/>
      <c r="G2" s="27"/>
      <c r="J2" s="27" t="s">
        <v>232</v>
      </c>
      <c r="K2" s="27"/>
      <c r="L2" s="27"/>
      <c r="M2" s="27"/>
      <c r="N2" s="27"/>
    </row>
    <row r="3" spans="3:14">
      <c r="C3" s="27"/>
      <c r="D3" s="27"/>
      <c r="E3" s="27"/>
      <c r="F3" s="27"/>
      <c r="G3" s="27"/>
      <c r="J3" s="27"/>
      <c r="K3" s="27"/>
      <c r="L3" s="27"/>
      <c r="M3" s="27"/>
      <c r="N3" s="27"/>
    </row>
    <row r="4" spans="3:14" ht="15.75" customHeight="1"/>
    <row r="5" spans="3:14" ht="72" customHeight="1">
      <c r="C5" s="20">
        <f>COUNTIFS(Staff[Country],"NZ")</f>
        <v>91</v>
      </c>
      <c r="E5" s="21">
        <f>COUNTIFS(Staff[Country],"NZ",Staff[Gender],"Female")/C5</f>
        <v>0.47252747252747251</v>
      </c>
      <c r="G5" s="22">
        <f>AVERAGEIF(Staff[Country],"NZ",Staff[Salary])</f>
        <v>76978.791208791212</v>
      </c>
      <c r="J5" s="23">
        <f>COUNTIF(Staff[Country],"IND")</f>
        <v>92</v>
      </c>
      <c r="L5" s="24">
        <f>COUNTIFS(Staff[Country],"IND",Staff[Gender],"Female")/J5</f>
        <v>0.46739130434782611</v>
      </c>
      <c r="N5" s="25">
        <f>AVERAGEIF(Staff[Country],"IND",Staff[Salary])</f>
        <v>77366.521739130432</v>
      </c>
    </row>
    <row r="8" spans="3:14" ht="19.5" customHeight="1">
      <c r="C8" s="26" t="s">
        <v>233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spans="3:14" ht="19.5" customHeight="1"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</row>
  </sheetData>
  <mergeCells count="3">
    <mergeCell ref="C8:N9"/>
    <mergeCell ref="C2:G3"/>
    <mergeCell ref="J2:N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EE6C-19FF-4CC1-A0C7-495885BBA29A}">
  <dimension ref="B3:H11"/>
  <sheetViews>
    <sheetView topLeftCell="A6" workbookViewId="0">
      <selection activeCell="B14" sqref="B14"/>
    </sheetView>
  </sheetViews>
  <sheetFormatPr defaultRowHeight="15"/>
  <cols>
    <col min="2" max="2" width="12.5703125" bestFit="1" customWidth="1"/>
    <col min="3" max="3" width="14.7109375" bestFit="1" customWidth="1"/>
    <col min="7" max="7" width="12.5703125" bestFit="1" customWidth="1"/>
    <col min="8" max="8" width="14.7109375" bestFit="1" customWidth="1"/>
  </cols>
  <sheetData>
    <row r="3" spans="2:8">
      <c r="B3" s="14" t="s">
        <v>203</v>
      </c>
      <c r="C3" t="s">
        <v>208</v>
      </c>
      <c r="G3" s="14" t="s">
        <v>203</v>
      </c>
      <c r="H3" t="s">
        <v>207</v>
      </c>
    </row>
    <row r="5" spans="2:8">
      <c r="B5" s="14" t="s">
        <v>234</v>
      </c>
      <c r="C5" t="s">
        <v>227</v>
      </c>
      <c r="G5" s="14" t="s">
        <v>234</v>
      </c>
      <c r="H5" t="s">
        <v>227</v>
      </c>
    </row>
    <row r="6" spans="2:8">
      <c r="B6" t="s">
        <v>27</v>
      </c>
      <c r="C6">
        <v>4</v>
      </c>
      <c r="G6" t="s">
        <v>27</v>
      </c>
      <c r="H6">
        <v>4</v>
      </c>
    </row>
    <row r="7" spans="2:8">
      <c r="B7" t="s">
        <v>10</v>
      </c>
      <c r="C7">
        <v>14</v>
      </c>
      <c r="G7" t="s">
        <v>10</v>
      </c>
      <c r="H7">
        <v>14</v>
      </c>
    </row>
    <row r="8" spans="2:8">
      <c r="B8" t="s">
        <v>18</v>
      </c>
      <c r="C8">
        <v>19</v>
      </c>
      <c r="G8" t="s">
        <v>18</v>
      </c>
      <c r="H8">
        <v>19</v>
      </c>
    </row>
    <row r="9" spans="2:8">
      <c r="B9" t="s">
        <v>13</v>
      </c>
      <c r="C9">
        <v>27</v>
      </c>
      <c r="G9" t="s">
        <v>24</v>
      </c>
      <c r="H9">
        <v>27</v>
      </c>
    </row>
    <row r="10" spans="2:8">
      <c r="B10" t="s">
        <v>24</v>
      </c>
      <c r="C10">
        <v>27</v>
      </c>
      <c r="G10" t="s">
        <v>13</v>
      </c>
      <c r="H10">
        <v>28</v>
      </c>
    </row>
    <row r="11" spans="2:8">
      <c r="B11" t="s">
        <v>230</v>
      </c>
      <c r="C11">
        <v>91</v>
      </c>
      <c r="G11" t="s">
        <v>230</v>
      </c>
      <c r="H11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30AB58-7525-4470-9DF7-5094AC1C70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/>
  <cp:revision/>
  <dcterms:created xsi:type="dcterms:W3CDTF">2021-03-14T20:21:32Z</dcterms:created>
  <dcterms:modified xsi:type="dcterms:W3CDTF">2023-08-25T07:00:39Z</dcterms:modified>
  <cp:category/>
  <cp:contentStatus/>
</cp:coreProperties>
</file>