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a18879.NET\Documents\Diff Pay\2022-23 salary schedules\"/>
    </mc:Choice>
  </mc:AlternateContent>
  <xr:revisionPtr revIDLastSave="0" documentId="8_{79EDEA48-A00F-40BA-8EEA-A2087487DAC2}" xr6:coauthVersionLast="47" xr6:coauthVersionMax="47" xr10:uidLastSave="{00000000-0000-0000-0000-000000000000}"/>
  <bookViews>
    <workbookView xWindow="4455" yWindow="4455" windowWidth="28800" windowHeight="8370" xr2:uid="{C0884633-C1A5-C141-A3BC-9A0B18436DB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6" i="1" l="1"/>
  <c r="L26" i="1" s="1"/>
  <c r="I26" i="1"/>
  <c r="J26" i="1" s="1"/>
  <c r="G26" i="1"/>
  <c r="H26" i="1" s="1"/>
  <c r="E26" i="1"/>
  <c r="F26" i="1" s="1"/>
  <c r="C26" i="1"/>
  <c r="D26" i="1" s="1"/>
  <c r="K25" i="1"/>
  <c r="L25" i="1" s="1"/>
  <c r="I25" i="1"/>
  <c r="J25" i="1" s="1"/>
  <c r="G25" i="1"/>
  <c r="H25" i="1" s="1"/>
  <c r="E25" i="1"/>
  <c r="F25" i="1" s="1"/>
  <c r="C25" i="1"/>
  <c r="D25" i="1" s="1"/>
  <c r="K24" i="1"/>
  <c r="L24" i="1" s="1"/>
  <c r="I24" i="1"/>
  <c r="J24" i="1" s="1"/>
  <c r="G24" i="1"/>
  <c r="H24" i="1" s="1"/>
  <c r="E24" i="1"/>
  <c r="F24" i="1" s="1"/>
  <c r="C24" i="1"/>
  <c r="D24" i="1" s="1"/>
  <c r="K23" i="1"/>
  <c r="L23" i="1" s="1"/>
  <c r="I23" i="1"/>
  <c r="J23" i="1" s="1"/>
  <c r="G23" i="1"/>
  <c r="H23" i="1" s="1"/>
  <c r="E23" i="1"/>
  <c r="F23" i="1" s="1"/>
  <c r="C23" i="1"/>
  <c r="D23" i="1" s="1"/>
  <c r="K22" i="1"/>
  <c r="L22" i="1" s="1"/>
  <c r="I22" i="1"/>
  <c r="J22" i="1" s="1"/>
  <c r="G22" i="1"/>
  <c r="H22" i="1" s="1"/>
  <c r="E22" i="1"/>
  <c r="F22" i="1" s="1"/>
  <c r="C22" i="1"/>
  <c r="D22" i="1" s="1"/>
  <c r="K21" i="1"/>
  <c r="L21" i="1" s="1"/>
  <c r="I21" i="1"/>
  <c r="J21" i="1" s="1"/>
  <c r="G21" i="1"/>
  <c r="H21" i="1" s="1"/>
  <c r="E21" i="1"/>
  <c r="F21" i="1" s="1"/>
  <c r="C21" i="1"/>
  <c r="D21" i="1" s="1"/>
  <c r="K20" i="1"/>
  <c r="L20" i="1" s="1"/>
  <c r="I20" i="1"/>
  <c r="J20" i="1" s="1"/>
  <c r="G20" i="1"/>
  <c r="H20" i="1" s="1"/>
  <c r="E20" i="1"/>
  <c r="F20" i="1" s="1"/>
  <c r="C20" i="1"/>
  <c r="D20" i="1" s="1"/>
  <c r="K19" i="1"/>
  <c r="L19" i="1" s="1"/>
  <c r="I19" i="1"/>
  <c r="J19" i="1" s="1"/>
  <c r="G19" i="1"/>
  <c r="H19" i="1" s="1"/>
  <c r="E19" i="1"/>
  <c r="F19" i="1" s="1"/>
  <c r="C19" i="1"/>
  <c r="D19" i="1" s="1"/>
  <c r="K18" i="1"/>
  <c r="L18" i="1" s="1"/>
  <c r="I18" i="1"/>
  <c r="J18" i="1" s="1"/>
  <c r="G18" i="1"/>
  <c r="H18" i="1" s="1"/>
  <c r="E18" i="1"/>
  <c r="F18" i="1" s="1"/>
  <c r="C18" i="1"/>
  <c r="D18" i="1" s="1"/>
  <c r="K17" i="1"/>
  <c r="L17" i="1" s="1"/>
  <c r="I17" i="1"/>
  <c r="J17" i="1" s="1"/>
  <c r="G17" i="1"/>
  <c r="H17" i="1" s="1"/>
  <c r="E17" i="1"/>
  <c r="F17" i="1" s="1"/>
  <c r="C17" i="1"/>
  <c r="D17" i="1" s="1"/>
  <c r="K16" i="1"/>
  <c r="L16" i="1" s="1"/>
  <c r="I16" i="1"/>
  <c r="J16" i="1" s="1"/>
  <c r="G16" i="1"/>
  <c r="H16" i="1" s="1"/>
  <c r="E16" i="1"/>
  <c r="F16" i="1" s="1"/>
  <c r="C16" i="1"/>
  <c r="D16" i="1" s="1"/>
  <c r="K15" i="1"/>
  <c r="L15" i="1" s="1"/>
  <c r="I15" i="1"/>
  <c r="J15" i="1" s="1"/>
  <c r="G15" i="1"/>
  <c r="H15" i="1" s="1"/>
  <c r="E15" i="1"/>
  <c r="F15" i="1" s="1"/>
  <c r="C15" i="1"/>
  <c r="D15" i="1" s="1"/>
  <c r="K14" i="1"/>
  <c r="L14" i="1" s="1"/>
  <c r="I14" i="1"/>
  <c r="J14" i="1" s="1"/>
  <c r="G14" i="1"/>
  <c r="H14" i="1" s="1"/>
  <c r="E14" i="1"/>
  <c r="F14" i="1" s="1"/>
  <c r="C14" i="1"/>
  <c r="D14" i="1" s="1"/>
  <c r="K13" i="1"/>
  <c r="L13" i="1" s="1"/>
  <c r="I13" i="1"/>
  <c r="J13" i="1" s="1"/>
  <c r="G13" i="1"/>
  <c r="H13" i="1" s="1"/>
  <c r="E13" i="1"/>
  <c r="F13" i="1" s="1"/>
  <c r="C13" i="1"/>
  <c r="D13" i="1" s="1"/>
  <c r="K12" i="1"/>
  <c r="L12" i="1" s="1"/>
  <c r="I12" i="1"/>
  <c r="J12" i="1" s="1"/>
  <c r="G12" i="1"/>
  <c r="H12" i="1" s="1"/>
  <c r="E12" i="1"/>
  <c r="F12" i="1" s="1"/>
  <c r="C12" i="1"/>
  <c r="D12" i="1" s="1"/>
  <c r="K11" i="1"/>
  <c r="L11" i="1" s="1"/>
  <c r="I11" i="1"/>
  <c r="J11" i="1" s="1"/>
  <c r="G11" i="1"/>
  <c r="H11" i="1" s="1"/>
  <c r="E11" i="1"/>
  <c r="F11" i="1" s="1"/>
  <c r="C11" i="1"/>
  <c r="D11" i="1" s="1"/>
  <c r="K10" i="1"/>
  <c r="L10" i="1" s="1"/>
  <c r="I10" i="1"/>
  <c r="J10" i="1" s="1"/>
  <c r="G10" i="1"/>
  <c r="H10" i="1" s="1"/>
  <c r="E10" i="1"/>
  <c r="F10" i="1" s="1"/>
  <c r="C10" i="1"/>
  <c r="D10" i="1" s="1"/>
  <c r="K9" i="1"/>
  <c r="L9" i="1" s="1"/>
  <c r="I9" i="1"/>
  <c r="J9" i="1" s="1"/>
  <c r="G9" i="1"/>
  <c r="H9" i="1" s="1"/>
  <c r="E9" i="1"/>
  <c r="F9" i="1" s="1"/>
  <c r="C9" i="1"/>
  <c r="D9" i="1" s="1"/>
  <c r="K8" i="1"/>
  <c r="L8" i="1" s="1"/>
  <c r="I8" i="1"/>
  <c r="J8" i="1" s="1"/>
  <c r="G8" i="1"/>
  <c r="H8" i="1" s="1"/>
  <c r="E8" i="1"/>
  <c r="F8" i="1" s="1"/>
  <c r="C8" i="1"/>
  <c r="D8" i="1" s="1"/>
  <c r="K7" i="1"/>
  <c r="L7" i="1" s="1"/>
  <c r="I7" i="1"/>
  <c r="J7" i="1" s="1"/>
  <c r="G7" i="1"/>
  <c r="H7" i="1" s="1"/>
  <c r="E7" i="1"/>
  <c r="F7" i="1" s="1"/>
  <c r="C7" i="1"/>
  <c r="D7" i="1" s="1"/>
</calcChain>
</file>

<file path=xl/sharedStrings.xml><?xml version="1.0" encoding="utf-8"?>
<sst xmlns="http://schemas.openxmlformats.org/spreadsheetml/2006/main" count="20" uniqueCount="12">
  <si>
    <t>TEACHER SALARY SCHEDULE</t>
  </si>
  <si>
    <t>Step</t>
  </si>
  <si>
    <t>Bachelor's Degree*</t>
  </si>
  <si>
    <t>Master's Degree*</t>
  </si>
  <si>
    <t>MA+30 Degree*</t>
  </si>
  <si>
    <t>ED.S Degree*</t>
  </si>
  <si>
    <t>Doctorate Degree*</t>
  </si>
  <si>
    <t>Annual</t>
  </si>
  <si>
    <t>Semi-Monthly</t>
  </si>
  <si>
    <t>*ACS recognizes up to 10 years of outside teaching experience from an accredited school upon verification of the experience being provided by the teacher on official reporting forms for salary purposes.  If a teacher is hired to fill one of our hard to staff areas as outlined in our Differentiated Pay Plan, then year to year parity is recognized up to 19 years of outside teaching experience from an accredited school upon verification of the experience being provided by the teacher on official reporting forms for salary purposes.</t>
  </si>
  <si>
    <t>Arlington Community Schools</t>
  </si>
  <si>
    <t>Salary Schedule 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</si>
</sst>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applyAlignment="1">
      <alignment horizontal="centerContinuous"/>
    </xf>
    <xf numFmtId="0" fontId="0" fillId="0" borderId="1" xfId="0" applyBorder="1"/>
    <xf numFmtId="0" fontId="0" fillId="0" borderId="1" xfId="0" applyBorder="1" applyAlignment="1">
      <alignment horizontal="center"/>
    </xf>
    <xf numFmtId="164" fontId="1" fillId="0" borderId="1" xfId="1" applyNumberFormat="1" applyFont="1" applyFill="1" applyBorder="1"/>
    <xf numFmtId="44" fontId="0" fillId="0" borderId="1" xfId="1" applyFont="1" applyFill="1" applyBorder="1"/>
    <xf numFmtId="164" fontId="0" fillId="0" borderId="1" xfId="1" applyNumberFormat="1" applyFont="1" applyFill="1" applyBorder="1"/>
    <xf numFmtId="0" fontId="2" fillId="0" borderId="0" xfId="0" applyFont="1"/>
    <xf numFmtId="0" fontId="2" fillId="0" borderId="0" xfId="0" applyFont="1" applyAlignment="1">
      <alignment horizontal="centerContinuous"/>
    </xf>
    <xf numFmtId="0" fontId="3" fillId="0" borderId="0" xfId="0" applyFont="1" applyAlignment="1">
      <alignment wrapText="1"/>
    </xf>
    <xf numFmtId="0" fontId="2"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bbiecannady/Desktop/22-23/22-23%20Salary%20Schedule%20FINAL%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Schedul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E2E08-D2DE-C44E-B527-EC5A85CACAFA}">
  <dimension ref="A1:L28"/>
  <sheetViews>
    <sheetView tabSelected="1" workbookViewId="0">
      <selection activeCell="Q8" sqref="Q8"/>
    </sheetView>
  </sheetViews>
  <sheetFormatPr defaultColWidth="11" defaultRowHeight="15.75" x14ac:dyDescent="0.25"/>
  <cols>
    <col min="2" max="2" width="4.875" bestFit="1" customWidth="1"/>
    <col min="3" max="3" width="9" bestFit="1" customWidth="1"/>
    <col min="4" max="4" width="12.625" bestFit="1" customWidth="1"/>
    <col min="5" max="5" width="9" bestFit="1" customWidth="1"/>
    <col min="6" max="6" width="12.625" bestFit="1" customWidth="1"/>
    <col min="7" max="7" width="9" bestFit="1" customWidth="1"/>
    <col min="8" max="8" width="12.625" bestFit="1" customWidth="1"/>
    <col min="9" max="9" width="9" bestFit="1" customWidth="1"/>
    <col min="10" max="10" width="12.625" bestFit="1" customWidth="1"/>
    <col min="11" max="11" width="9" bestFit="1" customWidth="1"/>
    <col min="12" max="12" width="12.625" bestFit="1" customWidth="1"/>
  </cols>
  <sheetData>
    <row r="1" spans="1:12" x14ac:dyDescent="0.25">
      <c r="B1" s="10" t="s">
        <v>10</v>
      </c>
      <c r="C1" s="10"/>
      <c r="D1" s="10"/>
      <c r="E1" s="10"/>
      <c r="F1" s="10"/>
      <c r="G1" s="10"/>
      <c r="H1" s="10"/>
      <c r="I1" s="10"/>
      <c r="J1" s="10"/>
      <c r="K1" s="10"/>
      <c r="L1" s="10"/>
    </row>
    <row r="2" spans="1:12" x14ac:dyDescent="0.25">
      <c r="B2" s="10" t="s">
        <v>11</v>
      </c>
      <c r="C2" s="10"/>
      <c r="D2" s="10"/>
      <c r="E2" s="10"/>
      <c r="F2" s="10"/>
      <c r="G2" s="10"/>
      <c r="H2" s="10"/>
      <c r="I2" s="10"/>
      <c r="J2" s="10"/>
      <c r="K2" s="10"/>
      <c r="L2" s="10"/>
    </row>
    <row r="3" spans="1:12" x14ac:dyDescent="0.25">
      <c r="A3" s="7"/>
      <c r="B3" s="8" t="s">
        <v>0</v>
      </c>
      <c r="C3" s="1"/>
      <c r="D3" s="1"/>
      <c r="E3" s="1"/>
      <c r="F3" s="1"/>
      <c r="G3" s="1"/>
      <c r="H3" s="1"/>
      <c r="I3" s="1"/>
      <c r="J3" s="1"/>
      <c r="K3" s="1"/>
      <c r="L3" s="1"/>
    </row>
    <row r="5" spans="1:12" x14ac:dyDescent="0.25">
      <c r="B5" s="2" t="s">
        <v>1</v>
      </c>
      <c r="C5" s="11" t="s">
        <v>2</v>
      </c>
      <c r="D5" s="11"/>
      <c r="E5" s="12" t="s">
        <v>3</v>
      </c>
      <c r="F5" s="13"/>
      <c r="G5" s="12" t="s">
        <v>4</v>
      </c>
      <c r="H5" s="13"/>
      <c r="I5" s="12" t="s">
        <v>5</v>
      </c>
      <c r="J5" s="13"/>
      <c r="K5" s="12" t="s">
        <v>6</v>
      </c>
      <c r="L5" s="13"/>
    </row>
    <row r="6" spans="1:12" x14ac:dyDescent="0.25">
      <c r="B6" s="2"/>
      <c r="C6" s="2" t="s">
        <v>7</v>
      </c>
      <c r="D6" s="2" t="s">
        <v>8</v>
      </c>
      <c r="E6" s="2" t="s">
        <v>7</v>
      </c>
      <c r="F6" s="2" t="s">
        <v>8</v>
      </c>
      <c r="G6" s="2" t="s">
        <v>7</v>
      </c>
      <c r="H6" s="2" t="s">
        <v>8</v>
      </c>
      <c r="I6" s="2" t="s">
        <v>7</v>
      </c>
      <c r="J6" s="2" t="s">
        <v>8</v>
      </c>
      <c r="K6" s="2" t="s">
        <v>7</v>
      </c>
      <c r="L6" s="2" t="s">
        <v>8</v>
      </c>
    </row>
    <row r="7" spans="1:12" x14ac:dyDescent="0.25">
      <c r="B7" s="3">
        <v>0</v>
      </c>
      <c r="C7" s="4">
        <f>45833.4249508799*'[1]Salary Schedules'!F1</f>
        <v>46750.093449897598</v>
      </c>
      <c r="D7" s="5">
        <f>C7/24</f>
        <v>1947.9205604123999</v>
      </c>
      <c r="E7" s="4">
        <f>49551.57942048*'[1]Salary Schedules'!F1</f>
        <v>50542.611008889595</v>
      </c>
      <c r="F7" s="5">
        <f>E7/24</f>
        <v>2105.9421253703999</v>
      </c>
      <c r="G7" s="4">
        <f>53394.21358848*'[1]Salary Schedules'!F1</f>
        <v>54462.097860249603</v>
      </c>
      <c r="H7" s="5">
        <f>G7/24</f>
        <v>2269.2540775104003</v>
      </c>
      <c r="I7" s="4">
        <f>54146.50393968*'[1]Salary Schedules'!F1</f>
        <v>55229.434018473599</v>
      </c>
      <c r="J7" s="5">
        <f>I7/24</f>
        <v>2301.2264174364</v>
      </c>
      <c r="K7" s="4">
        <f>56137.09668192*'[1]Salary Schedules'!F1</f>
        <v>57259.838615558394</v>
      </c>
      <c r="L7" s="5">
        <f>K7/24</f>
        <v>2385.8266089815997</v>
      </c>
    </row>
    <row r="8" spans="1:12" x14ac:dyDescent="0.25">
      <c r="B8" s="3">
        <v>1</v>
      </c>
      <c r="C8" s="4">
        <f>46767.56390496*'[1]Salary Schedules'!F1</f>
        <v>47702.915183059202</v>
      </c>
      <c r="D8" s="5">
        <f t="shared" ref="D8:D26" si="0">C8/24</f>
        <v>1987.6214659608002</v>
      </c>
      <c r="E8" s="4">
        <f>50706.5345352*'[1]Salary Schedules'!F1</f>
        <v>51720.665225903998</v>
      </c>
      <c r="F8" s="5">
        <f t="shared" ref="F8:F26" si="1">E8/24</f>
        <v>2155.0277177459998</v>
      </c>
      <c r="G8" s="4">
        <f>54736.42946688*'[1]Salary Schedules'!F1</f>
        <v>55831.158056217602</v>
      </c>
      <c r="H8" s="5">
        <f>G8/24</f>
        <v>2326.2982523424002</v>
      </c>
      <c r="I8" s="4">
        <f>55499.54413968*'[1]Salary Schedules'!F1</f>
        <v>56609.535022473603</v>
      </c>
      <c r="J8" s="5">
        <f t="shared" ref="J8:J26" si="2">I8/24</f>
        <v>2358.7306259364</v>
      </c>
      <c r="K8" s="4">
        <f>57418.69635936*'[1]Salary Schedules'!F1</f>
        <v>58567.070286547205</v>
      </c>
      <c r="L8" s="5">
        <f t="shared" ref="L8:L26" si="3">K8/24</f>
        <v>2440.2945952728001</v>
      </c>
    </row>
    <row r="9" spans="1:12" x14ac:dyDescent="0.25">
      <c r="B9" s="3">
        <v>2</v>
      </c>
      <c r="C9" s="4">
        <f>47906.28253728*'[1]Salary Schedules'!F1</f>
        <v>48864.408188025598</v>
      </c>
      <c r="D9" s="5">
        <f t="shared" si="0"/>
        <v>2036.0170078343999</v>
      </c>
      <c r="E9" s="4">
        <f>51819.27479568*'[1]Salary Schedules'!F1</f>
        <v>52855.660291593602</v>
      </c>
      <c r="F9" s="5">
        <f t="shared" si="1"/>
        <v>2202.3191788163999</v>
      </c>
      <c r="G9" s="4">
        <f>56013.69941568*'[1]Salary Schedules'!F1</f>
        <v>57133.973403993601</v>
      </c>
      <c r="H9" s="5">
        <f t="shared" ref="H9:H26" si="4">G9/24</f>
        <v>2380.5822251663999</v>
      </c>
      <c r="I9" s="4">
        <f>56773.566792*'[1]Salary Schedules'!F1</f>
        <v>57909.038127840002</v>
      </c>
      <c r="J9" s="5">
        <f t="shared" si="2"/>
        <v>2412.8765886599999</v>
      </c>
      <c r="K9" s="4">
        <f>58693.80144384*'[1]Salary Schedules'!F1</f>
        <v>59867.677472716801</v>
      </c>
      <c r="L9" s="5">
        <f t="shared" si="3"/>
        <v>2494.4865613632001</v>
      </c>
    </row>
    <row r="10" spans="1:12" x14ac:dyDescent="0.25">
      <c r="B10" s="3">
        <v>3</v>
      </c>
      <c r="C10" s="4">
        <f>48970.31335056*'[1]Salary Schedules'!F1</f>
        <v>49949.719617571202</v>
      </c>
      <c r="D10" s="5">
        <f t="shared" si="0"/>
        <v>2081.2383173988001</v>
      </c>
      <c r="E10" s="4">
        <f>52887.6353376*'[1]Salary Schedules'!F1</f>
        <v>53945.388044351996</v>
      </c>
      <c r="F10" s="5">
        <f t="shared" si="1"/>
        <v>2247.7245018479998</v>
      </c>
      <c r="G10" s="4">
        <f>57263.90856048*'[1]Salary Schedules'!F1</f>
        <v>58409.186731689602</v>
      </c>
      <c r="H10" s="5">
        <f t="shared" si="4"/>
        <v>2433.7161138204001</v>
      </c>
      <c r="I10" s="4">
        <f>58027.02323328*'[1]Salary Schedules'!F1</f>
        <v>59187.563697945603</v>
      </c>
      <c r="J10" s="5">
        <f t="shared" si="2"/>
        <v>2466.1484874144003</v>
      </c>
      <c r="K10" s="4">
        <f>59941.84572432*'[1]Salary Schedules'!F1</f>
        <v>61140.682638806407</v>
      </c>
      <c r="L10" s="5">
        <f t="shared" si="3"/>
        <v>2547.5284432836002</v>
      </c>
    </row>
    <row r="11" spans="1:12" x14ac:dyDescent="0.25">
      <c r="B11" s="3">
        <v>4</v>
      </c>
      <c r="C11" s="4">
        <f>49965.0685056*'[1]Salary Schedules'!F1</f>
        <v>50964.369875712</v>
      </c>
      <c r="D11" s="5">
        <f t="shared" si="0"/>
        <v>2123.5154114880002</v>
      </c>
      <c r="E11" s="4">
        <f>53973.31479408*'[1]Salary Schedules'!F1</f>
        <v>55052.781089961602</v>
      </c>
      <c r="F11" s="5">
        <f t="shared" si="1"/>
        <v>2293.8658787484001</v>
      </c>
      <c r="G11" s="4">
        <f>58633.18524288*'[1]Salary Schedules'!F1</f>
        <v>59805.848947737599</v>
      </c>
      <c r="H11" s="5">
        <f t="shared" si="4"/>
        <v>2491.9103728223999</v>
      </c>
      <c r="I11" s="4">
        <f>59399.54721216*'[1]Salary Schedules'!F1</f>
        <v>60587.538156403207</v>
      </c>
      <c r="J11" s="5">
        <f t="shared" si="2"/>
        <v>2524.4807565168003</v>
      </c>
      <c r="K11" s="4">
        <f>61376.06833632*'[1]Salary Schedules'!F1</f>
        <v>62603.589703046404</v>
      </c>
      <c r="L11" s="5">
        <f t="shared" si="3"/>
        <v>2608.4829042936003</v>
      </c>
    </row>
    <row r="12" spans="1:12" x14ac:dyDescent="0.25">
      <c r="B12" s="3">
        <v>5</v>
      </c>
      <c r="C12" s="4">
        <f>50847.250716*'[1]Salary Schedules'!F1</f>
        <v>51864.195730320003</v>
      </c>
      <c r="D12" s="5">
        <f t="shared" si="0"/>
        <v>2161.00815543</v>
      </c>
      <c r="E12" s="4">
        <f>54897.71185872*'[1]Salary Schedules'!F1</f>
        <v>55995.666095894405</v>
      </c>
      <c r="F12" s="5">
        <f t="shared" si="1"/>
        <v>2333.1527539956001</v>
      </c>
      <c r="G12" s="4">
        <f>59715.61740288*'[1]Salary Schedules'!F1</f>
        <v>60909.929750937605</v>
      </c>
      <c r="H12" s="5">
        <f t="shared" si="4"/>
        <v>2537.9137396224</v>
      </c>
      <c r="I12" s="4">
        <f>60446.25911088*'[1]Salary Schedules'!F1</f>
        <v>61655.184293097598</v>
      </c>
      <c r="J12" s="5">
        <f t="shared" si="2"/>
        <v>2568.9660122124001</v>
      </c>
      <c r="K12" s="4">
        <f>62452.00590336*'[1]Salary Schedules'!F1</f>
        <v>63701.046021427195</v>
      </c>
      <c r="L12" s="5">
        <f t="shared" si="3"/>
        <v>2654.2102508927996</v>
      </c>
    </row>
    <row r="13" spans="1:12" x14ac:dyDescent="0.25">
      <c r="B13" s="3">
        <v>6</v>
      </c>
      <c r="C13" s="4">
        <f>52094.21256432*'[1]Salary Schedules'!F1</f>
        <v>53136.096815606397</v>
      </c>
      <c r="D13" s="5">
        <f t="shared" si="0"/>
        <v>2214.0040339836</v>
      </c>
      <c r="E13" s="4">
        <f>56221.5263904*'[1]Salary Schedules'!F1</f>
        <v>57345.956918208001</v>
      </c>
      <c r="F13" s="5">
        <f t="shared" si="1"/>
        <v>2389.4148715920001</v>
      </c>
      <c r="G13" s="4">
        <f>61248.34134144*'[1]Salary Schedules'!F1</f>
        <v>62473.308168268799</v>
      </c>
      <c r="H13" s="5">
        <f t="shared" si="4"/>
        <v>2603.0545070111998</v>
      </c>
      <c r="I13" s="4">
        <f>61987.64250672*'[1]Salary Schedules'!F1</f>
        <v>63227.395356854402</v>
      </c>
      <c r="J13" s="5">
        <f t="shared" si="2"/>
        <v>2634.4748065356002</v>
      </c>
      <c r="K13" s="4">
        <f>63990.14200272*'[1]Salary Schedules'!F1</f>
        <v>65269.944842774399</v>
      </c>
      <c r="L13" s="5">
        <f t="shared" si="3"/>
        <v>2719.5810351156001</v>
      </c>
    </row>
    <row r="14" spans="1:12" x14ac:dyDescent="0.25">
      <c r="B14" s="3">
        <v>7</v>
      </c>
      <c r="C14" s="4">
        <f>52732.84753872*'[1]Salary Schedules'!F1</f>
        <v>53787.5044894944</v>
      </c>
      <c r="D14" s="5">
        <f t="shared" si="0"/>
        <v>2241.1460203955999</v>
      </c>
      <c r="E14" s="4">
        <f>56899.12892256*'[1]Salary Schedules'!F1</f>
        <v>58037.111501011197</v>
      </c>
      <c r="F14" s="5">
        <f t="shared" si="1"/>
        <v>2418.2129792087999</v>
      </c>
      <c r="G14" s="4">
        <f>62274.48702912*'[1]Salary Schedules'!F1</f>
        <v>63519.9767697024</v>
      </c>
      <c r="H14" s="5">
        <f t="shared" si="4"/>
        <v>2646.6656987376</v>
      </c>
      <c r="I14" s="4">
        <f>63048.42602352*'[1]Salary Schedules'!F1</f>
        <v>64309.394543990398</v>
      </c>
      <c r="J14" s="5">
        <f t="shared" si="2"/>
        <v>2679.5581059995998</v>
      </c>
      <c r="K14" s="4">
        <f>64970.82553968*'[1]Salary Schedules'!F1</f>
        <v>66270.242050473607</v>
      </c>
      <c r="L14" s="5">
        <f t="shared" si="3"/>
        <v>2761.2600854364005</v>
      </c>
    </row>
    <row r="15" spans="1:12" x14ac:dyDescent="0.25">
      <c r="B15" s="3">
        <v>8</v>
      </c>
      <c r="C15" s="4">
        <f>53771.98241232*'[1]Salary Schedules'!F1</f>
        <v>54847.422060566401</v>
      </c>
      <c r="D15" s="5">
        <f t="shared" si="0"/>
        <v>2285.3092525236002</v>
      </c>
      <c r="E15" s="4">
        <f>58032.43539408*'[1]Salary Schedules'!F1</f>
        <v>59193.084101961598</v>
      </c>
      <c r="F15" s="5">
        <f t="shared" si="1"/>
        <v>2466.3785042484001</v>
      </c>
      <c r="G15" s="4">
        <f>63500.8826664*'[1]Salary Schedules'!F1</f>
        <v>64770.900319728004</v>
      </c>
      <c r="H15" s="5">
        <f t="shared" si="4"/>
        <v>2698.787513322</v>
      </c>
      <c r="I15" s="4">
        <f>64296.470304*'[1]Salary Schedules'!F1</f>
        <v>65582.399710080004</v>
      </c>
      <c r="J15" s="5">
        <f t="shared" si="2"/>
        <v>2732.5999879200003</v>
      </c>
      <c r="K15" s="4">
        <f>66193.97388048*'[1]Salary Schedules'!F1</f>
        <v>67517.853358089604</v>
      </c>
      <c r="L15" s="5">
        <f t="shared" si="3"/>
        <v>2813.2438899204003</v>
      </c>
    </row>
    <row r="16" spans="1:12" x14ac:dyDescent="0.25">
      <c r="B16" s="3">
        <v>9</v>
      </c>
      <c r="C16" s="4">
        <f>54265.5714772799*'[1]Salary Schedules'!F1</f>
        <v>55350.882906825602</v>
      </c>
      <c r="D16" s="5">
        <f t="shared" si="0"/>
        <v>2306.2867877844001</v>
      </c>
      <c r="E16" s="4">
        <f>58571.48660976*'[1]Salary Schedules'!F1</f>
        <v>59742.916341955206</v>
      </c>
      <c r="F16" s="5">
        <f t="shared" si="1"/>
        <v>2489.2881809148003</v>
      </c>
      <c r="G16" s="4">
        <f>64271.57436432*'[1]Salary Schedules'!F1</f>
        <v>65557.005851606402</v>
      </c>
      <c r="H16" s="5">
        <f t="shared" si="4"/>
        <v>2731.5419104836001</v>
      </c>
      <c r="I16" s="4">
        <f>65054.172816*'[1]Salary Schedules'!F1</f>
        <v>66355.256272319995</v>
      </c>
      <c r="J16" s="5">
        <f t="shared" si="2"/>
        <v>2764.8023446799998</v>
      </c>
      <c r="K16" s="4">
        <f>67427.94654288*'[1]Salary Schedules'!F1</f>
        <v>68776.505473737605</v>
      </c>
      <c r="L16" s="5">
        <f t="shared" si="3"/>
        <v>2865.6877280724002</v>
      </c>
    </row>
    <row r="17" spans="2:12" x14ac:dyDescent="0.25">
      <c r="B17" s="3">
        <v>10</v>
      </c>
      <c r="C17" s="4">
        <f>55352.3333659199*'[1]Salary Schedules'!F1</f>
        <v>56459.380033238398</v>
      </c>
      <c r="D17" s="5">
        <f t="shared" si="0"/>
        <v>2352.4741680515999</v>
      </c>
      <c r="E17" s="4">
        <f>59753.50252848*'[1]Salary Schedules'!F1</f>
        <v>60948.5725790496</v>
      </c>
      <c r="F17" s="5">
        <f t="shared" si="1"/>
        <v>2539.5238574604</v>
      </c>
      <c r="G17" s="4">
        <f>65591.05916736*'[1]Salary Schedules'!F1</f>
        <v>66902.880350707201</v>
      </c>
      <c r="H17" s="5">
        <f t="shared" si="4"/>
        <v>2787.6200146127999</v>
      </c>
      <c r="I17" s="4">
        <f>66344.43195072*'[1]Salary Schedules'!F1</f>
        <v>67671.320589734401</v>
      </c>
      <c r="J17" s="5">
        <f t="shared" si="2"/>
        <v>2819.6383579056001</v>
      </c>
      <c r="K17" s="4">
        <f>68303.63416032*'[1]Salary Schedules'!F1</f>
        <v>69669.706843526394</v>
      </c>
      <c r="L17" s="5">
        <f t="shared" si="3"/>
        <v>2902.9044518135997</v>
      </c>
    </row>
    <row r="18" spans="2:12" x14ac:dyDescent="0.25">
      <c r="B18" s="3">
        <v>11</v>
      </c>
      <c r="C18" s="4">
        <f>56856.91406832*'[1]Salary Schedules'!F1</f>
        <v>57994.052349686404</v>
      </c>
      <c r="D18" s="5">
        <f t="shared" si="0"/>
        <v>2416.4188479036002</v>
      </c>
      <c r="E18" s="4">
        <f>61351.17239664*'[1]Salary Schedules'!F1</f>
        <v>62578.195844572801</v>
      </c>
      <c r="F18" s="5">
        <f t="shared" si="1"/>
        <v>2607.4248268572001</v>
      </c>
      <c r="G18" s="4">
        <f>67562.16813072*'[1]Salary Schedules'!F1</f>
        <v>68913.41149333441</v>
      </c>
      <c r="H18" s="5">
        <f t="shared" si="4"/>
        <v>2871.3921455556006</v>
      </c>
      <c r="I18" s="4">
        <f>68278.73822064*'[1]Salary Schedules'!F1</f>
        <v>69644.312985052806</v>
      </c>
      <c r="J18" s="5">
        <f t="shared" si="2"/>
        <v>2901.8463743772004</v>
      </c>
      <c r="K18" s="4">
        <f>70287.7323096*'[1]Salary Schedules'!F1</f>
        <v>71693.486955792003</v>
      </c>
      <c r="L18" s="5">
        <f t="shared" si="3"/>
        <v>2987.2286231580001</v>
      </c>
    </row>
    <row r="19" spans="2:12" x14ac:dyDescent="0.25">
      <c r="B19" s="3">
        <v>12</v>
      </c>
      <c r="C19" s="4">
        <f>58225.10831856*'[1]Salary Schedules'!F1</f>
        <v>59389.610484931203</v>
      </c>
      <c r="D19" s="5">
        <f t="shared" si="0"/>
        <v>2474.5671035388</v>
      </c>
      <c r="E19" s="4">
        <f>62715.03691824*'[1]Salary Schedules'!F1</f>
        <v>63969.337656604803</v>
      </c>
      <c r="F19" s="5">
        <f t="shared" si="1"/>
        <v>2665.3890690252001</v>
      </c>
      <c r="G19" s="4">
        <f>69045.10018992*'[1]Salary Schedules'!F1</f>
        <v>70426.002193718406</v>
      </c>
      <c r="H19" s="5">
        <f t="shared" si="4"/>
        <v>2934.4167580716003</v>
      </c>
      <c r="I19" s="4">
        <f>69837.44053104*'[1]Salary Schedules'!F1</f>
        <v>71234.189341660807</v>
      </c>
      <c r="J19" s="5">
        <f t="shared" si="2"/>
        <v>2968.0912225692005</v>
      </c>
      <c r="K19" s="4">
        <f>71744.68599696*'[1]Salary Schedules'!F1</f>
        <v>73179.579716899199</v>
      </c>
      <c r="L19" s="5">
        <f t="shared" si="3"/>
        <v>3049.1491548708</v>
      </c>
    </row>
    <row r="20" spans="2:12" x14ac:dyDescent="0.25">
      <c r="B20" s="3">
        <v>13</v>
      </c>
      <c r="C20" s="4">
        <f>59613.86877984*'[1]Salary Schedules'!F1</f>
        <v>60806.1461554368</v>
      </c>
      <c r="D20" s="5">
        <f t="shared" si="0"/>
        <v>2533.5894231431998</v>
      </c>
      <c r="E20" s="4">
        <f>64060.50009312*'[1]Salary Schedules'!F1</f>
        <v>65341.710094982402</v>
      </c>
      <c r="F20" s="5">
        <f t="shared" si="1"/>
        <v>2722.5712539576002</v>
      </c>
      <c r="G20" s="4">
        <f>70687.14977664*'[1]Salary Schedules'!F1</f>
        <v>72100.892772172796</v>
      </c>
      <c r="H20" s="5">
        <f t="shared" si="4"/>
        <v>3004.2038655071997</v>
      </c>
      <c r="I20" s="4">
        <f>71435.1103992*'[1]Salary Schedules'!F1</f>
        <v>72863.812607183994</v>
      </c>
      <c r="J20" s="5">
        <f t="shared" si="2"/>
        <v>3035.9921919659996</v>
      </c>
      <c r="K20" s="4">
        <f>73445.18692032*'[1]Salary Schedules'!F1</f>
        <v>74914.090658726403</v>
      </c>
      <c r="L20" s="5">
        <f t="shared" si="3"/>
        <v>3121.4204441136003</v>
      </c>
    </row>
    <row r="21" spans="2:12" x14ac:dyDescent="0.25">
      <c r="B21" s="3">
        <v>14</v>
      </c>
      <c r="C21" s="4">
        <f>60910.62250752*'[1]Salary Schedules'!F1</f>
        <v>62128.834957670399</v>
      </c>
      <c r="D21" s="5">
        <f t="shared" si="0"/>
        <v>2588.7014565695999</v>
      </c>
      <c r="E21" s="4">
        <f>65500.13486592*'[1]Salary Schedules'!F1</f>
        <v>66810.137563238401</v>
      </c>
      <c r="F21" s="5">
        <f t="shared" si="1"/>
        <v>2783.7557318016002</v>
      </c>
      <c r="G21" s="4">
        <f>72150.59805696*'[1]Salary Schedules'!F1</f>
        <v>73593.610018099207</v>
      </c>
      <c r="H21" s="5">
        <f t="shared" si="4"/>
        <v>3066.4004174208003</v>
      </c>
      <c r="I21" s="4">
        <f>72944.02083024*'[1]Salary Schedules'!F1</f>
        <v>74402.901246844805</v>
      </c>
      <c r="J21" s="5">
        <f t="shared" si="2"/>
        <v>3100.1208852852001</v>
      </c>
      <c r="K21" s="4">
        <f>74839.3595424*'[1]Salary Schedules'!F1</f>
        <v>76336.146733247995</v>
      </c>
      <c r="L21" s="5">
        <f t="shared" si="3"/>
        <v>3180.6727805519999</v>
      </c>
    </row>
    <row r="22" spans="2:12" x14ac:dyDescent="0.25">
      <c r="B22" s="3">
        <v>15</v>
      </c>
      <c r="C22" s="4">
        <f>62303.71269744*'[1]Salary Schedules'!F1</f>
        <v>63549.7869513888</v>
      </c>
      <c r="D22" s="5">
        <f t="shared" si="0"/>
        <v>2647.9077896412</v>
      </c>
      <c r="E22" s="4">
        <f>66818.5372368*'[1]Salary Schedules'!F1</f>
        <v>68154.907981536002</v>
      </c>
      <c r="F22" s="5">
        <f t="shared" si="1"/>
        <v>2839.7878325639999</v>
      </c>
      <c r="G22" s="4">
        <f>73746.1030608*'[1]Salary Schedules'!F1</f>
        <v>75221.025122015999</v>
      </c>
      <c r="H22" s="5">
        <f t="shared" si="4"/>
        <v>3134.2093800839998</v>
      </c>
      <c r="I22" s="4">
        <f>74527.61908032*'[1]Salary Schedules'!F1</f>
        <v>76018.171461926395</v>
      </c>
      <c r="J22" s="5">
        <f t="shared" si="2"/>
        <v>3167.4238109135999</v>
      </c>
      <c r="K22" s="4">
        <f>76469.50237536*'[1]Salary Schedules'!F1</f>
        <v>77998.892422867197</v>
      </c>
      <c r="L22" s="5">
        <f t="shared" si="3"/>
        <v>3249.9538509527997</v>
      </c>
    </row>
    <row r="23" spans="2:12" x14ac:dyDescent="0.25">
      <c r="B23" s="3">
        <v>16</v>
      </c>
      <c r="C23" s="4">
        <f>62925.02875728*'[1]Salary Schedules'!F1</f>
        <v>64183.529332425605</v>
      </c>
      <c r="D23" s="5">
        <f t="shared" si="0"/>
        <v>2674.3137221844004</v>
      </c>
      <c r="E23" s="4">
        <f>67440.9357288*'[1]Salary Schedules'!F1</f>
        <v>68789.754443376005</v>
      </c>
      <c r="F23" s="5">
        <f t="shared" si="1"/>
        <v>2866.2397684740004</v>
      </c>
      <c r="G23" s="4">
        <f>74368.5015528*'[1]Salary Schedules'!F1</f>
        <v>75855.871583855987</v>
      </c>
      <c r="H23" s="5">
        <f t="shared" si="4"/>
        <v>3160.6613159939993</v>
      </c>
      <c r="I23" s="4">
        <f>75150.01757232*'[1]Salary Schedules'!F1</f>
        <v>76653.017923766398</v>
      </c>
      <c r="J23" s="5">
        <f t="shared" si="2"/>
        <v>3193.8757468235999</v>
      </c>
      <c r="K23" s="4">
        <f>77092.98329952*'[1]Salary Schedules'!F1</f>
        <v>78634.842965510397</v>
      </c>
      <c r="L23" s="5">
        <f t="shared" si="3"/>
        <v>3276.4517902295997</v>
      </c>
    </row>
    <row r="24" spans="2:12" x14ac:dyDescent="0.25">
      <c r="B24" s="3">
        <v>17</v>
      </c>
      <c r="C24" s="4">
        <f>63548.50968144*'[1]Salary Schedules'!F1</f>
        <v>64819.479875068806</v>
      </c>
      <c r="D24" s="5">
        <f t="shared" si="0"/>
        <v>2700.8116614612004</v>
      </c>
      <c r="E24" s="4">
        <f>68064.41665296*'[1]Salary Schedules'!F1</f>
        <v>69425.704986019206</v>
      </c>
      <c r="F24" s="5">
        <f t="shared" si="1"/>
        <v>2892.7377077508004</v>
      </c>
      <c r="G24" s="4">
        <f>74990.9000448*'[1]Salary Schedules'!F1</f>
        <v>76490.718045696005</v>
      </c>
      <c r="H24" s="5">
        <f t="shared" si="4"/>
        <v>3187.1132519040002</v>
      </c>
      <c r="I24" s="4">
        <f>75772.41606432*'[1]Salary Schedules'!F1</f>
        <v>77287.864385606401</v>
      </c>
      <c r="J24" s="5">
        <f t="shared" si="2"/>
        <v>3220.3276827335999</v>
      </c>
      <c r="K24" s="4">
        <f>77714.29935936*'[1]Salary Schedules'!F1</f>
        <v>79268.585346547203</v>
      </c>
      <c r="L24" s="5">
        <f t="shared" si="3"/>
        <v>3302.8577227728001</v>
      </c>
    </row>
    <row r="25" spans="2:12" x14ac:dyDescent="0.25">
      <c r="B25" s="3">
        <v>18</v>
      </c>
      <c r="C25" s="4">
        <f>64423.11486672*'[1]Salary Schedules'!F1</f>
        <v>65711.577164054397</v>
      </c>
      <c r="D25" s="5">
        <f t="shared" si="0"/>
        <v>2737.9823818355999</v>
      </c>
      <c r="E25" s="4">
        <f>69032.111004*'[1]Salary Schedules'!F1</f>
        <v>70412.753224080006</v>
      </c>
      <c r="F25" s="5">
        <f t="shared" si="1"/>
        <v>2933.8647176700001</v>
      </c>
      <c r="G25" s="4">
        <f>76099.31057664*'[1]Salary Schedules'!F1</f>
        <v>77621.296788172796</v>
      </c>
      <c r="H25" s="5">
        <f t="shared" si="4"/>
        <v>3234.2206995071997</v>
      </c>
      <c r="I25" s="4">
        <f>76897.06307856*'[1]Salary Schedules'!F1</f>
        <v>78435.0043401312</v>
      </c>
      <c r="J25" s="5">
        <f t="shared" si="2"/>
        <v>3268.1251808388001</v>
      </c>
      <c r="K25" s="4">
        <f>78876.8314992*'[1]Salary Schedules'!F1</f>
        <v>80454.368129183989</v>
      </c>
      <c r="L25" s="5">
        <f t="shared" si="3"/>
        <v>3352.2653387159994</v>
      </c>
    </row>
    <row r="26" spans="2:12" x14ac:dyDescent="0.25">
      <c r="B26" s="3">
        <v>19</v>
      </c>
      <c r="C26" s="6">
        <f>65711.5771640544*'[1]Salary Schedules'!F1</f>
        <v>67025.808707335484</v>
      </c>
      <c r="D26" s="5">
        <f t="shared" si="0"/>
        <v>2792.742029472312</v>
      </c>
      <c r="E26" s="6">
        <f>70412.75322408*'[1]Salary Schedules'!F1</f>
        <v>71821.008288561614</v>
      </c>
      <c r="F26" s="5">
        <f t="shared" si="1"/>
        <v>2992.5420120234007</v>
      </c>
      <c r="G26" s="6">
        <f>77621.2967881728*'[1]Salary Schedules'!F1</f>
        <v>79173.722723936255</v>
      </c>
      <c r="H26" s="5">
        <f t="shared" si="4"/>
        <v>3298.9051134973438</v>
      </c>
      <c r="I26" s="6">
        <f>78435.0043401312*'[1]Salary Schedules'!F1</f>
        <v>80003.704426933822</v>
      </c>
      <c r="J26" s="5">
        <f t="shared" si="2"/>
        <v>3333.4876844555761</v>
      </c>
      <c r="K26" s="6">
        <f>80454.368129184*'[1]Salary Schedules'!F1</f>
        <v>82063.455491767687</v>
      </c>
      <c r="L26" s="5">
        <f t="shared" si="3"/>
        <v>3419.3106454903204</v>
      </c>
    </row>
    <row r="28" spans="2:12" x14ac:dyDescent="0.25">
      <c r="B28" s="9" t="s">
        <v>9</v>
      </c>
      <c r="C28" s="9"/>
      <c r="D28" s="9"/>
      <c r="E28" s="9"/>
      <c r="F28" s="9"/>
      <c r="G28" s="9"/>
      <c r="H28" s="9"/>
      <c r="I28" s="9"/>
      <c r="J28" s="9"/>
      <c r="K28" s="9"/>
      <c r="L28" s="9"/>
    </row>
  </sheetData>
  <mergeCells count="8">
    <mergeCell ref="B28:L28"/>
    <mergeCell ref="B1:L1"/>
    <mergeCell ref="B2:L2"/>
    <mergeCell ref="C5:D5"/>
    <mergeCell ref="E5:F5"/>
    <mergeCell ref="G5:H5"/>
    <mergeCell ref="I5:J5"/>
    <mergeCell ref="K5:L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Cannady</dc:creator>
  <cp:lastModifiedBy>Amelia Floyd</cp:lastModifiedBy>
  <dcterms:created xsi:type="dcterms:W3CDTF">2022-06-29T16:30:20Z</dcterms:created>
  <dcterms:modified xsi:type="dcterms:W3CDTF">2022-07-27T20:03:22Z</dcterms:modified>
</cp:coreProperties>
</file>