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30" windowWidth="22995" windowHeight="10050" activeTab="1"/>
  </bookViews>
  <sheets>
    <sheet name="RA1" sheetId="1" r:id="rId1"/>
    <sheet name="RA 2" sheetId="2" r:id="rId2"/>
    <sheet name="RA 3" sheetId="3" r:id="rId3"/>
    <sheet name="RA 3 Measurement" sheetId="4" r:id="rId4"/>
    <sheet name="RA 3 BBS" sheetId="5" r:id="rId5"/>
  </sheets>
  <definedNames>
    <definedName name="_xlnm.Print_Area" localSheetId="1">'RA 2'!$A$1:$N$30</definedName>
    <definedName name="_xlnm.Print_Area" localSheetId="2">'RA 3'!$A$1:$N$30</definedName>
    <definedName name="_xlnm.Print_Area" localSheetId="4">'RA 3 BBS'!$A$1:$N$40</definedName>
    <definedName name="_xlnm.Print_Area" localSheetId="3">'RA 3 Measurement'!$A$1:$I$60</definedName>
    <definedName name="_xlnm.Print_Area" localSheetId="0">'RA1'!$A$1:$N$27</definedName>
    <definedName name="_xlnm.Print_Titles" localSheetId="1">'RA 2'!$1:$6</definedName>
    <definedName name="_xlnm.Print_Titles" localSheetId="2">'RA 3'!$1:$6</definedName>
    <definedName name="_xlnm.Print_Titles" localSheetId="3">'RA 3 Measurement'!$1:$5</definedName>
    <definedName name="_xlnm.Print_Titles" localSheetId="0">'RA1'!$1:$9</definedName>
  </definedNames>
  <calcPr calcId="144525"/>
</workbook>
</file>

<file path=xl/calcChain.xml><?xml version="1.0" encoding="utf-8"?>
<calcChain xmlns="http://schemas.openxmlformats.org/spreadsheetml/2006/main">
  <c r="L36" i="2" l="1"/>
  <c r="L35" i="2"/>
  <c r="L34" i="2"/>
  <c r="L34" i="1"/>
  <c r="L27" i="3" l="1"/>
  <c r="L28" i="3"/>
  <c r="L19" i="3"/>
  <c r="L20" i="3"/>
  <c r="K27" i="3"/>
  <c r="K19" i="3"/>
  <c r="M19" i="3" s="1"/>
  <c r="N19" i="3" s="1"/>
  <c r="K15" i="3"/>
  <c r="L15" i="3" s="1"/>
  <c r="K13" i="3"/>
  <c r="L13" i="3" s="1"/>
  <c r="L14" i="3"/>
  <c r="L16" i="3"/>
  <c r="L8" i="3"/>
  <c r="L10" i="3"/>
  <c r="J21" i="3"/>
  <c r="J15" i="3"/>
  <c r="J16" i="3"/>
  <c r="J17" i="3"/>
  <c r="J11" i="3"/>
  <c r="E29" i="3"/>
  <c r="L29" i="3" s="1"/>
  <c r="E28" i="3"/>
  <c r="M27" i="3"/>
  <c r="N27" i="3" s="1"/>
  <c r="M25" i="3"/>
  <c r="N25" i="3" s="1"/>
  <c r="M24" i="3"/>
  <c r="N24" i="3" s="1"/>
  <c r="M23" i="3"/>
  <c r="N23" i="3" s="1"/>
  <c r="D23" i="3"/>
  <c r="D24" i="3" s="1"/>
  <c r="D25" i="3" s="1"/>
  <c r="D27" i="3" s="1"/>
  <c r="M21" i="3"/>
  <c r="E21" i="3"/>
  <c r="M20" i="3"/>
  <c r="E20" i="3"/>
  <c r="M17" i="3"/>
  <c r="N17" i="3" s="1"/>
  <c r="L17" i="3"/>
  <c r="E17" i="3"/>
  <c r="M16" i="3"/>
  <c r="N16" i="3" s="1"/>
  <c r="F16" i="3"/>
  <c r="F17" i="3" s="1"/>
  <c r="E16" i="3"/>
  <c r="M15" i="3"/>
  <c r="N15" i="3" s="1"/>
  <c r="M14" i="3"/>
  <c r="J14" i="3"/>
  <c r="F14" i="3"/>
  <c r="E14" i="3"/>
  <c r="D14" i="3"/>
  <c r="N13" i="3"/>
  <c r="M13" i="3"/>
  <c r="D11" i="3"/>
  <c r="M10" i="3"/>
  <c r="N10" i="3" s="1"/>
  <c r="J10" i="3"/>
  <c r="M8" i="3"/>
  <c r="N8" i="3" s="1"/>
  <c r="N14" i="3" l="1"/>
  <c r="N21" i="3"/>
  <c r="N20" i="3"/>
  <c r="D29" i="3"/>
  <c r="D28" i="3"/>
  <c r="J20" i="3"/>
  <c r="J30" i="3" s="1"/>
  <c r="L21" i="3"/>
  <c r="N35" i="5"/>
  <c r="M35" i="5"/>
  <c r="L35" i="5"/>
  <c r="K35" i="5"/>
  <c r="J35" i="5"/>
  <c r="I35" i="5"/>
  <c r="H35" i="5"/>
  <c r="N34" i="5"/>
  <c r="M34" i="5"/>
  <c r="L34" i="5"/>
  <c r="K34" i="5"/>
  <c r="J34" i="5"/>
  <c r="I34" i="5"/>
  <c r="H34" i="5"/>
  <c r="N33" i="5"/>
  <c r="M33" i="5"/>
  <c r="L33" i="5"/>
  <c r="K33" i="5"/>
  <c r="J33" i="5"/>
  <c r="H33" i="5"/>
  <c r="G33" i="5"/>
  <c r="I33" i="5" s="1"/>
  <c r="N32" i="5"/>
  <c r="M32" i="5"/>
  <c r="L32" i="5"/>
  <c r="K32" i="5"/>
  <c r="J32" i="5"/>
  <c r="I32" i="5"/>
  <c r="H32" i="5"/>
  <c r="N31" i="5"/>
  <c r="M31" i="5"/>
  <c r="K31" i="5"/>
  <c r="J31" i="5"/>
  <c r="I31" i="5"/>
  <c r="H31" i="5"/>
  <c r="F31" i="5"/>
  <c r="E31" i="5"/>
  <c r="L31" i="5" s="1"/>
  <c r="N30" i="5"/>
  <c r="M30" i="5"/>
  <c r="K30" i="5"/>
  <c r="J30" i="5"/>
  <c r="I30" i="5"/>
  <c r="H30" i="5"/>
  <c r="G30" i="5"/>
  <c r="L30" i="5" s="1"/>
  <c r="N29" i="5"/>
  <c r="M29" i="5"/>
  <c r="L29" i="5"/>
  <c r="K29" i="5"/>
  <c r="J29" i="5"/>
  <c r="I29" i="5"/>
  <c r="H29" i="5"/>
  <c r="N28" i="5"/>
  <c r="M28" i="5"/>
  <c r="L28" i="5"/>
  <c r="K28" i="5"/>
  <c r="J28" i="5"/>
  <c r="I28" i="5"/>
  <c r="H28" i="5"/>
  <c r="G28" i="5"/>
  <c r="N27" i="5"/>
  <c r="M27" i="5"/>
  <c r="L27" i="5"/>
  <c r="J27" i="5"/>
  <c r="I27" i="5"/>
  <c r="H27" i="5"/>
  <c r="G27" i="5"/>
  <c r="K27" i="5" s="1"/>
  <c r="N26" i="5"/>
  <c r="M26" i="5"/>
  <c r="L26" i="5"/>
  <c r="K26" i="5"/>
  <c r="J26" i="5"/>
  <c r="I26" i="5"/>
  <c r="H26" i="5"/>
  <c r="N25" i="5"/>
  <c r="M25" i="5"/>
  <c r="K25" i="5"/>
  <c r="J25" i="5"/>
  <c r="I25" i="5"/>
  <c r="H25" i="5"/>
  <c r="G25" i="5"/>
  <c r="L25" i="5" s="1"/>
  <c r="N24" i="5"/>
  <c r="M24" i="5"/>
  <c r="L24" i="5"/>
  <c r="K24" i="5"/>
  <c r="J24" i="5"/>
  <c r="I24" i="5"/>
  <c r="H24" i="5"/>
  <c r="N23" i="5"/>
  <c r="M23" i="5"/>
  <c r="L23" i="5"/>
  <c r="K23" i="5"/>
  <c r="J23" i="5"/>
  <c r="H23" i="5"/>
  <c r="G23" i="5"/>
  <c r="I23" i="5" s="1"/>
  <c r="N22" i="5"/>
  <c r="M22" i="5"/>
  <c r="L22" i="5"/>
  <c r="K22" i="5"/>
  <c r="J22" i="5"/>
  <c r="H22" i="5"/>
  <c r="G22" i="5"/>
  <c r="I22" i="5" s="1"/>
  <c r="N21" i="5"/>
  <c r="M21" i="5"/>
  <c r="L21" i="5"/>
  <c r="K21" i="5"/>
  <c r="J21" i="5"/>
  <c r="I21" i="5"/>
  <c r="H21" i="5"/>
  <c r="N20" i="5"/>
  <c r="M20" i="5"/>
  <c r="L20" i="5"/>
  <c r="K20" i="5"/>
  <c r="J20" i="5"/>
  <c r="I20" i="5"/>
  <c r="H20" i="5"/>
  <c r="N19" i="5"/>
  <c r="M19" i="5"/>
  <c r="L19" i="5"/>
  <c r="K19" i="5"/>
  <c r="J19" i="5"/>
  <c r="I19" i="5"/>
  <c r="H19" i="5"/>
  <c r="N18" i="5"/>
  <c r="M18" i="5"/>
  <c r="L18" i="5"/>
  <c r="K18" i="5"/>
  <c r="J18" i="5"/>
  <c r="H18" i="5"/>
  <c r="G18" i="5"/>
  <c r="I18" i="5" s="1"/>
  <c r="N17" i="5"/>
  <c r="M17" i="5"/>
  <c r="L17" i="5"/>
  <c r="K17" i="5"/>
  <c r="J17" i="5"/>
  <c r="H17" i="5"/>
  <c r="G17" i="5"/>
  <c r="I17" i="5" s="1"/>
  <c r="N16" i="5"/>
  <c r="M16" i="5"/>
  <c r="L16" i="5"/>
  <c r="K16" i="5"/>
  <c r="J16" i="5"/>
  <c r="I16" i="5"/>
  <c r="H16" i="5"/>
  <c r="N15" i="5"/>
  <c r="M15" i="5"/>
  <c r="L15" i="5"/>
  <c r="K15" i="5"/>
  <c r="J15" i="5"/>
  <c r="I15" i="5"/>
  <c r="H15" i="5"/>
  <c r="N14" i="5"/>
  <c r="M14" i="5"/>
  <c r="L14" i="5"/>
  <c r="K14" i="5"/>
  <c r="J14" i="5"/>
  <c r="I14" i="5"/>
  <c r="H14" i="5"/>
  <c r="N13" i="5"/>
  <c r="M13" i="5"/>
  <c r="L13" i="5"/>
  <c r="K13" i="5"/>
  <c r="J13" i="5"/>
  <c r="I13" i="5"/>
  <c r="H13" i="5"/>
  <c r="N12" i="5"/>
  <c r="M12" i="5"/>
  <c r="L12" i="5"/>
  <c r="K12" i="5"/>
  <c r="J12" i="5"/>
  <c r="H12" i="5"/>
  <c r="G12" i="5"/>
  <c r="I12" i="5" s="1"/>
  <c r="N11" i="5"/>
  <c r="M11" i="5"/>
  <c r="L11" i="5"/>
  <c r="K11" i="5"/>
  <c r="J11" i="5"/>
  <c r="I11" i="5"/>
  <c r="H11" i="5"/>
  <c r="N10" i="5"/>
  <c r="M10" i="5"/>
  <c r="L10" i="5"/>
  <c r="K10" i="5"/>
  <c r="J10" i="5"/>
  <c r="I10" i="5"/>
  <c r="H10" i="5"/>
  <c r="N9" i="5"/>
  <c r="M9" i="5"/>
  <c r="L9" i="5"/>
  <c r="K9" i="5"/>
  <c r="J9" i="5"/>
  <c r="I9" i="5"/>
  <c r="H9" i="5"/>
  <c r="N8" i="5"/>
  <c r="M8" i="5"/>
  <c r="L8" i="5"/>
  <c r="K8" i="5"/>
  <c r="J8" i="5"/>
  <c r="I8" i="5"/>
  <c r="H8" i="5"/>
  <c r="N7" i="5"/>
  <c r="N36" i="5" s="1"/>
  <c r="N38" i="5" s="1"/>
  <c r="M7" i="5"/>
  <c r="M36" i="5" s="1"/>
  <c r="M38" i="5" s="1"/>
  <c r="L7" i="5"/>
  <c r="L36" i="5" s="1"/>
  <c r="L38" i="5" s="1"/>
  <c r="K7" i="5"/>
  <c r="K36" i="5" s="1"/>
  <c r="K38" i="5" s="1"/>
  <c r="J7" i="5"/>
  <c r="J36" i="5" s="1"/>
  <c r="J38" i="5" s="1"/>
  <c r="I7" i="5"/>
  <c r="I36" i="5" s="1"/>
  <c r="I38" i="5" s="1"/>
  <c r="H7" i="5"/>
  <c r="H36" i="5" s="1"/>
  <c r="H38" i="5" s="1"/>
  <c r="J39" i="5" s="1"/>
  <c r="J40" i="5" s="1"/>
  <c r="H59" i="4"/>
  <c r="H58" i="4"/>
  <c r="E57" i="4"/>
  <c r="H57" i="4" s="1"/>
  <c r="E56" i="4"/>
  <c r="H56" i="4" s="1"/>
  <c r="H55" i="4"/>
  <c r="H54" i="4"/>
  <c r="H53" i="4"/>
  <c r="G53" i="4"/>
  <c r="G52" i="4"/>
  <c r="H52" i="4" s="1"/>
  <c r="H51" i="4"/>
  <c r="G51" i="4"/>
  <c r="H50" i="4"/>
  <c r="H49" i="4"/>
  <c r="H48" i="4"/>
  <c r="H47" i="4"/>
  <c r="H46" i="4"/>
  <c r="H42" i="4"/>
  <c r="H41" i="4"/>
  <c r="H40" i="4"/>
  <c r="E40" i="4"/>
  <c r="E39" i="4"/>
  <c r="H39" i="4" s="1"/>
  <c r="H38" i="4"/>
  <c r="H37" i="4"/>
  <c r="G36" i="4"/>
  <c r="H36" i="4" s="1"/>
  <c r="G35" i="4"/>
  <c r="H35" i="4" s="1"/>
  <c r="H34" i="4"/>
  <c r="G34" i="4"/>
  <c r="H33" i="4"/>
  <c r="H32" i="4"/>
  <c r="B32" i="4"/>
  <c r="A32" i="4"/>
  <c r="A33" i="4" s="1"/>
  <c r="A34" i="4" s="1"/>
  <c r="A35" i="4" s="1"/>
  <c r="A36" i="4" s="1"/>
  <c r="A37" i="4" s="1"/>
  <c r="A38" i="4" s="1"/>
  <c r="A39" i="4" s="1"/>
  <c r="A40" i="4" s="1"/>
  <c r="A41" i="4" s="1"/>
  <c r="A42" i="4" s="1"/>
  <c r="H31" i="4"/>
  <c r="H27" i="4"/>
  <c r="H26" i="4"/>
  <c r="E26" i="4"/>
  <c r="H25" i="4"/>
  <c r="H24" i="4"/>
  <c r="H20" i="4"/>
  <c r="E19" i="4"/>
  <c r="H19" i="4" s="1"/>
  <c r="H18" i="4"/>
  <c r="H17" i="4"/>
  <c r="H7" i="4"/>
  <c r="H14" i="4" s="1"/>
  <c r="K9" i="3" s="1"/>
  <c r="M9" i="3" l="1"/>
  <c r="N9" i="3" s="1"/>
  <c r="L9" i="3"/>
  <c r="H28" i="4"/>
  <c r="H21" i="4"/>
  <c r="K11" i="3" s="1"/>
  <c r="H43" i="4"/>
  <c r="H60" i="4"/>
  <c r="L30" i="2"/>
  <c r="L11" i="3" l="1"/>
  <c r="L30" i="3" s="1"/>
  <c r="M11" i="3"/>
  <c r="N11" i="3" s="1"/>
  <c r="N30" i="3" s="1"/>
  <c r="X13" i="2"/>
  <c r="W13" i="2"/>
  <c r="V13" i="2"/>
  <c r="J10" i="2"/>
  <c r="L29" i="2"/>
  <c r="E29" i="2"/>
  <c r="E28" i="2"/>
  <c r="M21" i="2"/>
  <c r="E21" i="2"/>
  <c r="L21" i="2" s="1"/>
  <c r="M15" i="2"/>
  <c r="N15" i="2" s="1"/>
  <c r="M16" i="2"/>
  <c r="M17" i="2"/>
  <c r="E17" i="2"/>
  <c r="L17" i="2" s="1"/>
  <c r="M11" i="2"/>
  <c r="N11" i="2" s="1"/>
  <c r="L11" i="2"/>
  <c r="D11" i="2"/>
  <c r="N21" i="2" l="1"/>
  <c r="N17" i="2"/>
  <c r="E20" i="1" l="1"/>
  <c r="E16" i="1"/>
  <c r="E16" i="2" l="1"/>
  <c r="N16" i="2" s="1"/>
  <c r="M27" i="2"/>
  <c r="N27" i="2" s="1"/>
  <c r="M25" i="2"/>
  <c r="N25" i="2" s="1"/>
  <c r="M24" i="2"/>
  <c r="N24" i="2" s="1"/>
  <c r="M23" i="2"/>
  <c r="N23" i="2" s="1"/>
  <c r="D23" i="2"/>
  <c r="D24" i="2" s="1"/>
  <c r="D25" i="2" s="1"/>
  <c r="D27" i="2" s="1"/>
  <c r="M20" i="2"/>
  <c r="E20" i="2"/>
  <c r="J20" i="2" s="1"/>
  <c r="M19" i="2"/>
  <c r="N19" i="2" s="1"/>
  <c r="F16" i="2"/>
  <c r="F17" i="2" s="1"/>
  <c r="M14" i="2"/>
  <c r="F14" i="2"/>
  <c r="E14" i="2"/>
  <c r="J14" i="2" s="1"/>
  <c r="J30" i="2" s="1"/>
  <c r="D14" i="2"/>
  <c r="M13" i="2"/>
  <c r="N13" i="2" s="1"/>
  <c r="M10" i="2"/>
  <c r="N10" i="2" s="1"/>
  <c r="M9" i="2"/>
  <c r="N9" i="2" s="1"/>
  <c r="M8" i="2"/>
  <c r="N8" i="2" s="1"/>
  <c r="M16" i="1"/>
  <c r="N16" i="1" s="1"/>
  <c r="L13" i="1"/>
  <c r="L20" i="1"/>
  <c r="F16" i="1"/>
  <c r="L16" i="1"/>
  <c r="D16" i="1"/>
  <c r="D23" i="1"/>
  <c r="D24" i="1" s="1"/>
  <c r="D26" i="1" s="1"/>
  <c r="D22" i="1"/>
  <c r="J27" i="1"/>
  <c r="M26" i="1"/>
  <c r="N26" i="1" s="1"/>
  <c r="N24" i="1"/>
  <c r="M24" i="1"/>
  <c r="M23" i="1"/>
  <c r="N23" i="1" s="1"/>
  <c r="M22" i="1"/>
  <c r="N22" i="1" s="1"/>
  <c r="M20" i="1"/>
  <c r="N20" i="1" s="1"/>
  <c r="M19" i="1"/>
  <c r="N19" i="1" s="1"/>
  <c r="M17" i="1"/>
  <c r="N17" i="1" s="1"/>
  <c r="M15" i="1"/>
  <c r="N15" i="1" s="1"/>
  <c r="M13" i="1"/>
  <c r="N13" i="1" s="1"/>
  <c r="M12" i="1"/>
  <c r="N12" i="1" s="1"/>
  <c r="M11" i="1"/>
  <c r="N11" i="1" s="1"/>
  <c r="D29" i="2" l="1"/>
  <c r="D28" i="2"/>
  <c r="N20" i="2"/>
  <c r="N14" i="2"/>
  <c r="L27" i="1"/>
  <c r="N27" i="1"/>
  <c r="N30" i="2" l="1"/>
</calcChain>
</file>

<file path=xl/sharedStrings.xml><?xml version="1.0" encoding="utf-8"?>
<sst xmlns="http://schemas.openxmlformats.org/spreadsheetml/2006/main" count="373" uniqueCount="154">
  <si>
    <t xml:space="preserve">Nakoda Pipe Implex </t>
  </si>
  <si>
    <t>Tilda, Chattisgarh</t>
  </si>
  <si>
    <t>Work order No: SNIPIPL/WO/2022-23/041</t>
  </si>
  <si>
    <t>Date of Finalizing-10th August 2023</t>
  </si>
  <si>
    <t>Sl No</t>
  </si>
  <si>
    <t>Item no</t>
  </si>
  <si>
    <t>Description</t>
  </si>
  <si>
    <t>Block</t>
  </si>
  <si>
    <t>Rate</t>
  </si>
  <si>
    <t xml:space="preserve">Unit </t>
  </si>
  <si>
    <t>As per Work order</t>
  </si>
  <si>
    <t>Upto last bill</t>
  </si>
  <si>
    <t>This Bill</t>
  </si>
  <si>
    <t>Total</t>
  </si>
  <si>
    <t>Quantity</t>
  </si>
  <si>
    <t>Amount</t>
  </si>
  <si>
    <t>A</t>
  </si>
  <si>
    <t>Earthwork &amp; Filling</t>
  </si>
  <si>
    <t>1 (a)</t>
  </si>
  <si>
    <t xml:space="preserve"> Earthwork in Excavation in all type of soil/soft rock &amp; Disposal of the surplus excavated material in spoil dumps, till area at all hieghts and descents within a lead upto 1000 Mtr including all</t>
  </si>
  <si>
    <t>m3</t>
  </si>
  <si>
    <t>Backfilling in all posisison &amp; hieeght &amp; descent in foundation, pits, pie trenches, tunnel, sewer line around foundation &amp; structures etc with approved material within a lead f 1000 M including reclaiming from spoil heapsat all hieght transporting, depositing and dressing completed as directed</t>
  </si>
  <si>
    <t>2 (a)</t>
  </si>
  <si>
    <t>Watering &amp; Consolidation</t>
  </si>
  <si>
    <t>B</t>
  </si>
  <si>
    <t>Plain &amp; reinforced Cement Concrete</t>
  </si>
  <si>
    <t>Supplying, laying reinforced cement concrete (all grade) as defined by IS 456 up to +/- 3 M heights/depth with proper compaction and curing</t>
  </si>
  <si>
    <t>E</t>
  </si>
  <si>
    <t xml:space="preserve"> Formwork (Shuttering)</t>
  </si>
  <si>
    <t>m2</t>
  </si>
  <si>
    <t>Soling Hardcore &amp; Others</t>
  </si>
  <si>
    <t>Providing and fixing of PVC water bar 230</t>
  </si>
  <si>
    <t>M</t>
  </si>
  <si>
    <t>Trimix flooring with vaccum dewatering including finishing power trowel</t>
  </si>
  <si>
    <t>Pocket Fixing work</t>
  </si>
  <si>
    <t>Nos</t>
  </si>
  <si>
    <t>C</t>
  </si>
  <si>
    <t>REINFORCEMENT WORK</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</si>
  <si>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t>
  </si>
  <si>
    <t>MT</t>
  </si>
  <si>
    <t>*</t>
  </si>
  <si>
    <t>Day Bin</t>
  </si>
  <si>
    <t>Supplying, laying and compacting plain cement concrete (all grade) as defined by IS 456 with graded stone aggregates in all foundation and bed blocks, manholes, chambers, tunnels, floor, pavement, screedings etc. As per the drawings, specification and instruction of the engineer at all heights and depths above and below plniths to require materials, tools and plants, labour complete (use vibrator) (0--3)Mtr</t>
  </si>
  <si>
    <t>Supplying, laying and compacting plain cement concrete (all grade) as defined by IS 456 with graded stone aggregates in all foundation and bed blocks, manholes, chambers, tunnels, floor, pavement, screedings etc. As per the drawings, specification and instruction of the engineer at all heights and depths above and below plniths to require materials, tools and plants, labour complete (use vibrator) (3--6) Mtr</t>
  </si>
  <si>
    <t>Provinding and fixing qhuttering in postion with necessary centring, branches , droppings etc. And removing the same after specification periods for all type shuttering for all plain and reinforced cement concrete including all chambers, splays, keys, wedges, nails, brackets, cutting holes for embedded steel/pipes and applying shuttering oil in shuttering surface in contact with concrete, all materials tools , plants and labour complete, shuttering for +/- 3M.</t>
  </si>
  <si>
    <t>Provinding and fixing qhuttering in postion with necessary centring, branches , droppings etc. And removing the same after specification periods for all type shuttering for all plain and reinforced cement concrete including all chambers, splays, keys, wedges, nails, brackets, cutting holes for embedded steel/pipes and applying shuttering oil in shuttering surface in contact with concrete, all materials tools , plants and labour complete, shuttering for +/- 3M to +/- 6 Mtr</t>
  </si>
  <si>
    <t>Bill No RA1</t>
  </si>
  <si>
    <t>Date of Submission-8th July 2023</t>
  </si>
  <si>
    <t>Date of Submission-8th August 2023</t>
  </si>
  <si>
    <t>Bill No RA2</t>
  </si>
  <si>
    <t>RCC Work(0--3)Mtr</t>
  </si>
  <si>
    <t>RCC Work(3--6)Mtr</t>
  </si>
  <si>
    <t>Backfilling in all posisison &amp; hieght &amp; descent in foundation, pits, pie trenches, tunnel, sewer line around foundation &amp; structures etc with approved material within a lead f 1000 M including reclaiming from spoil heapsat all hieght transporting, depositing and dressing completed as directed</t>
  </si>
  <si>
    <t>Ordinary filling (Typeof Backfilling) in layers in 300 mm of thickness as specified with watering and normal compaction</t>
  </si>
  <si>
    <t>Soil Dressing</t>
  </si>
  <si>
    <t>Provinding and fixing qhuttering in postion with necessary centring, branches , droppings etc. And removing the same after specification periods for all type shuttering for all plain and reinforced cement concrete including all chambers, splays, keys, wedges, nails, brackets, cutting holes for embedded steel/pipes and applying shuttering oil in shuttering surface in contact with concrete, all materials tools , plants and labour complete, shuttering for +/- 6M to +/- 9 Mtr</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</si>
  <si>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complete.(0--3)Mtr</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</si>
  <si>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complete.(3--6)Mtr</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</si>
  <si>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 (6--9) Mtr</t>
  </si>
  <si>
    <t>\</t>
  </si>
  <si>
    <t>DESCRIPTION</t>
  </si>
  <si>
    <t>Structure</t>
  </si>
  <si>
    <t>Grid</t>
  </si>
  <si>
    <t>NOS</t>
  </si>
  <si>
    <t>L</t>
  </si>
  <si>
    <t>H/D</t>
  </si>
  <si>
    <t>QTY</t>
  </si>
  <si>
    <t>REMARK</t>
  </si>
  <si>
    <t>1. Back Filling Work</t>
  </si>
  <si>
    <t>D-Bin Building</t>
  </si>
  <si>
    <t>Cum</t>
  </si>
  <si>
    <t>Deduction For Pcc Qty.</t>
  </si>
  <si>
    <t>Deduction For RCC Raft Qty.</t>
  </si>
  <si>
    <t>Deduction For RCC Raft Beam Qty.</t>
  </si>
  <si>
    <t>Deduction For RCC Column Qty.</t>
  </si>
  <si>
    <t>Deduction For PCC Plinth Beam Qty.</t>
  </si>
  <si>
    <t>Deduction For RCC Plinth Beam Qty.</t>
  </si>
  <si>
    <t>Total Qty. for Back Filling Work</t>
  </si>
  <si>
    <t>2. Dressing Work</t>
  </si>
  <si>
    <t>Below Plinth Beam PB1-Grid-1-A-B-10-A-B</t>
  </si>
  <si>
    <t>Below Plinth Beam PB1-Grid-A-B-2-9</t>
  </si>
  <si>
    <t>Below Plinth Beam PB1-Grid-A-B-11</t>
  </si>
  <si>
    <t>Below Plinth Beam PB1-Grid-A-B</t>
  </si>
  <si>
    <t>Total Qty. for Dressing Work</t>
  </si>
  <si>
    <t>Sqm</t>
  </si>
  <si>
    <t>3. PCC Work</t>
  </si>
  <si>
    <t>0--3 Mtr</t>
  </si>
  <si>
    <t>Below Plinth Beam PB2-Grid-A-B</t>
  </si>
  <si>
    <t>Total Qty. for PCC Work</t>
  </si>
  <si>
    <t>CUM</t>
  </si>
  <si>
    <t>4. RCC Work</t>
  </si>
  <si>
    <t>Raft Beam -RB1</t>
  </si>
  <si>
    <t>A1/A11 &amp; B1/B11</t>
  </si>
  <si>
    <t>Column Deduction C1</t>
  </si>
  <si>
    <t>1st Lift Column C1up to plinth beam top(0.90+0.75=1.65)</t>
  </si>
  <si>
    <t>1st Lift Column C2up to plinth beam top</t>
  </si>
  <si>
    <t>1st Lift Column C3up to plinth beam top</t>
  </si>
  <si>
    <t xml:space="preserve"> Plinth Beam PB1-Grid-1-A-B-10-A-B</t>
  </si>
  <si>
    <t xml:space="preserve"> Plinth Beam PB1-Grid-A-B-2 TO 9</t>
  </si>
  <si>
    <t xml:space="preserve"> Plinth Beam PB1-Grid-A-B-11</t>
  </si>
  <si>
    <t xml:space="preserve"> Plinth Beam PB2-Grid-A-B-1-2-9-10</t>
  </si>
  <si>
    <t xml:space="preserve"> Plinth Beam PB2-Grid-A-B-2 to9</t>
  </si>
  <si>
    <t xml:space="preserve"> Plinth Beam PB2-Grid-A-B-10-11</t>
  </si>
  <si>
    <t>5. Shuttring Work</t>
  </si>
  <si>
    <t>Raft Beam -RB1 Grid -A-B</t>
  </si>
  <si>
    <t>Stoper</t>
  </si>
  <si>
    <t>Inner side Beam Deduction</t>
  </si>
  <si>
    <t>Raft Beam -RB1 Grid -A-B-1 to 11</t>
  </si>
  <si>
    <t>1st Lift Column C1up to plinth beam top(0.90+0.75=1.65)(1.1+1.1+1+1=4.20)</t>
  </si>
  <si>
    <t>1st Lift Column C2up to plinth beam top(1+1+0.95+0.95=3.90)</t>
  </si>
  <si>
    <t>1st Lift Column C3up to plinth beam top(0.65+0.65+0.85+0.85=3.0)</t>
  </si>
  <si>
    <t>Total Qty. for Shuttring Work</t>
  </si>
  <si>
    <t>SQM</t>
  </si>
  <si>
    <t>BAR BENDING SCHEDULE (D-BIN)-3RD RA AUG-2023</t>
  </si>
  <si>
    <t>S.No</t>
  </si>
  <si>
    <t>Dia in
MM</t>
  </si>
  <si>
    <t>No of member</t>
  </si>
  <si>
    <t>No.
of Bar</t>
  </si>
  <si>
    <t>Cutting
Length</t>
  </si>
  <si>
    <t>DIA WISE LENGTH OF REINFORCEMENT IN METER</t>
  </si>
  <si>
    <t>8MM</t>
  </si>
  <si>
    <t>10MM</t>
  </si>
  <si>
    <t>12MM</t>
  </si>
  <si>
    <t>16MM</t>
  </si>
  <si>
    <t>20MM</t>
  </si>
  <si>
    <t>25MM</t>
  </si>
  <si>
    <t>32MM</t>
  </si>
  <si>
    <t>C1</t>
  </si>
  <si>
    <t>Up To Plinth Beam Top</t>
  </si>
  <si>
    <t>VERTICAL BAR</t>
  </si>
  <si>
    <t>RING-10 MM DIA-200 C/C TO RAFT TOP</t>
  </si>
  <si>
    <t>RING-10 MM DIA-200 C/C</t>
  </si>
  <si>
    <t>COLUMN -C2</t>
  </si>
  <si>
    <t>(1.0X0.95)</t>
  </si>
  <si>
    <t>COLUMN -C3(0.65X0.85)</t>
  </si>
  <si>
    <t>PLINTH BEAM PB1</t>
  </si>
  <si>
    <t>BOTTOM &amp; TOP BAR</t>
  </si>
  <si>
    <t>SPACER BAR</t>
  </si>
  <si>
    <t>MIDDLE BAR</t>
  </si>
  <si>
    <t>RING-200 C/C</t>
  </si>
  <si>
    <t>PLINTH BEAM PB2</t>
  </si>
  <si>
    <t>OVERLAP</t>
  </si>
  <si>
    <t>RMT</t>
  </si>
  <si>
    <t>UNIT. W</t>
  </si>
  <si>
    <t>TOTAL.MT</t>
  </si>
  <si>
    <t xml:space="preserve"> Total Qty.Mt </t>
  </si>
  <si>
    <t>Date of Submission-8th September 2023</t>
  </si>
  <si>
    <t>Date of Finalizing-8th September 2023</t>
  </si>
  <si>
    <t>Bill No RA3</t>
  </si>
  <si>
    <t>To Nakoda Pipe Impex Pvt Ltd</t>
  </si>
  <si>
    <t>Structure:- Day Bin</t>
  </si>
  <si>
    <t>Vendor:- AGI</t>
  </si>
  <si>
    <t>Bill No:- RA 5</t>
  </si>
  <si>
    <t>Mill Month:- August 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</si>
</sst>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0\ ;&quot; -&quot;#,##0.00\ ;&quot; -&quot;#\ ;@\ "/>
    <numFmt numFmtId="165" formatCode="#,##0.000\ ;&quot; -&quot;#,##0.000\ ;&quot; -&quot;#.0\ ;@\ "/>
    <numFmt numFmtId="166" formatCode="0.0"/>
    <numFmt numFmtId="167" formatCode="#,##0.00\ ;&quot; -&quot;#,##0.00\ ;&quot; -&quot;#.00\ ;@\ "/>
  </numFmts>
  <fonts count="2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i/>
      <u/>
      <sz val="11"/>
      <color theme="1"/>
      <name val="Calibri"/>
      <family val="2"/>
      <scheme val="minor"/>
    </font>
    <font>
      <u/>
      <sz val="11"/>
      <color theme="1"/>
      <name val="Calibri"/>
      <family val="2"/>
      <scheme val="minor"/>
    </font>
    <font>
      <b/>
      <i/>
      <sz val="11"/>
      <color theme="0"/>
      <name val="Calibri"/>
      <family val="2"/>
      <scheme val="minor"/>
    </font>
    <font>
      <i/>
      <sz val="11"/>
      <color theme="1"/>
      <name val="Calibri"/>
      <family val="2"/>
      <scheme val="minor"/>
    </font>
    <font>
      <i/>
      <sz val="12"/>
      <color theme="1"/>
      <name val="Calibri"/>
      <family val="2"/>
      <scheme val="minor"/>
    </font>
    <font>
      <i/>
      <sz val="12"/>
      <color indexed="8"/>
      <name val="Calibri"/>
      <family val="2"/>
      <scheme val="minor"/>
    </font>
    <font>
      <b/>
      <i/>
      <sz val="12"/>
      <color theme="0"/>
      <name val="Calibri"/>
      <family val="2"/>
      <scheme val="minor"/>
    </font>
    <font>
      <i/>
      <sz val="11"/>
      <color theme="0"/>
      <name val="Calibri"/>
      <family val="2"/>
      <scheme val="minor"/>
    </font>
    <font>
      <i/>
      <sz val="12"/>
      <color theme="0"/>
      <name val="Calibri"/>
      <family val="2"/>
      <scheme val="minor"/>
    </font>
    <font>
      <b/>
      <sz val="14"/>
      <color theme="0"/>
      <name val="Artifakt Element Heavy"/>
      <family val="2"/>
    </font>
    <font>
      <b/>
      <sz val="12"/>
      <name val="Artifakt Element Heavy"/>
      <family val="2"/>
    </font>
    <font>
      <sz val="12"/>
      <name val="Artifakt Element Heavy"/>
      <family val="2"/>
    </font>
    <font>
      <sz val="10"/>
      <color theme="1"/>
      <name val="Bahnschrift SemiBold"/>
      <family val="2"/>
    </font>
    <font>
      <b/>
      <sz val="14"/>
      <name val="Cambria"/>
      <family val="1"/>
      <scheme val="major"/>
    </font>
    <font>
      <b/>
      <sz val="12"/>
      <name val="Cambria"/>
      <family val="1"/>
      <scheme val="major"/>
    </font>
    <font>
      <sz val="11"/>
      <color indexed="8"/>
      <name val="Calibri"/>
      <family val="2"/>
    </font>
    <font>
      <sz val="12"/>
      <name val="Cambria"/>
      <family val="1"/>
      <scheme val="major"/>
    </font>
    <font>
      <sz val="11"/>
      <color indexed="8"/>
      <name val="Arial1"/>
    </font>
    <font>
      <sz val="10"/>
      <color theme="1"/>
      <name val="Cambria"/>
      <family val="1"/>
      <scheme val="major"/>
    </font>
    <font>
      <sz val="11"/>
      <color theme="1"/>
      <name val="Artifakt Element Heavy"/>
      <family val="2"/>
    </font>
  </fonts>
  <fills count="9">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26"/>
      </patternFill>
    </fill>
    <fill>
      <patternFill patternType="solid">
        <fgColor rgb="FFFFFF00"/>
        <bgColor indexed="64"/>
      </patternFill>
    </fill>
    <fill>
      <patternFill patternType="solid">
        <fgColor theme="6" tint="0.39997558519241921"/>
        <bgColor indexed="64"/>
      </patternFill>
    </fill>
  </fills>
  <borders count="32">
    <border>
      <left/>
      <right/>
      <top/>
      <bottom/>
      <diagonal/>
    </border>
    <border>
      <left/>
      <right/>
      <top style="double">
        <color theme="0"/>
      </top>
      <bottom style="double">
        <color theme="0"/>
      </bottom>
      <diagonal/>
    </border>
    <border>
      <left style="dotted">
        <color indexed="64"/>
      </left>
      <right style="dotted">
        <color indexed="64"/>
      </right>
      <top/>
      <bottom style="double">
        <color indexed="64"/>
      </bottom>
      <diagonal/>
    </border>
    <border>
      <left style="dotted">
        <color indexed="64"/>
      </left>
      <right style="dotted">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style="dotted">
        <color indexed="64"/>
      </left>
      <right style="dotted">
        <color indexed="64"/>
      </right>
      <top style="double">
        <color indexed="64"/>
      </top>
      <bottom/>
      <diagonal/>
    </border>
    <border>
      <left style="dotted">
        <color indexed="64"/>
      </left>
      <right style="dotted">
        <color indexed="64"/>
      </right>
      <top/>
      <bottom/>
      <diagonal/>
    </border>
    <border>
      <left/>
      <right/>
      <top/>
      <bottom style="double">
        <color indexed="64"/>
      </bottom>
      <diagonal/>
    </border>
    <border>
      <left style="dotted">
        <color indexed="64"/>
      </left>
      <right/>
      <top/>
      <bottom style="double">
        <color indexed="64"/>
      </bottom>
      <diagonal/>
    </border>
    <border>
      <left/>
      <right/>
      <top style="double">
        <color theme="0"/>
      </top>
      <bottom/>
      <diagonal/>
    </border>
    <border>
      <left/>
      <right/>
      <top/>
      <bottom style="double">
        <color theme="0"/>
      </bottom>
      <diagonal/>
    </border>
    <border>
      <left style="dotted">
        <color indexed="64"/>
      </left>
      <right style="dotted">
        <color indexed="64"/>
      </right>
      <top style="dotted">
        <color indexed="64"/>
      </top>
      <bottom style="dotted">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style="hair">
        <color indexed="64"/>
      </right>
      <top style="hair">
        <color indexed="64"/>
      </top>
      <bottom style="hair">
        <color indexed="64"/>
      </bottom>
      <diagonal/>
    </border>
  </borders>
  <cellStyleXfs count="5">
    <xf numFmtId="0" fontId="0" fillId="0" borderId="0"/>
    <xf numFmtId="43" fontId="1" fillId="0" borderId="0" applyFont="0" applyFill="0" applyBorder="0" applyAlignment="0" applyProtection="0"/>
    <xf numFmtId="0" fontId="21" fillId="0" borderId="0" applyBorder="0" applyProtection="0"/>
    <xf numFmtId="166" fontId="23" fillId="0" borderId="0" applyBorder="0" applyProtection="0"/>
    <xf numFmtId="167" fontId="23" fillId="0" borderId="0" applyBorder="0" applyProtection="0"/>
  </cellStyleXfs>
  <cellXfs count="211">
    <xf numFmtId="0" fontId="0" fillId="0" borderId="0" xfId="0"/>
    <xf numFmtId="0" fontId="5" fillId="0" borderId="0" xfId="0" applyFont="1"/>
    <xf numFmtId="0" fontId="6" fillId="0" borderId="0" xfId="0" applyFont="1"/>
    <xf numFmtId="0" fontId="6" fillId="0" borderId="0" xfId="0" applyFont="1" applyAlignment="1">
      <alignment horizontal="right"/>
    </xf>
    <xf numFmtId="0" fontId="7" fillId="0" borderId="0" xfId="0" applyFont="1"/>
    <xf numFmtId="0" fontId="8" fillId="2" borderId="1" xfId="0" applyFont="1" applyFill="1" applyBorder="1"/>
    <xf numFmtId="0" fontId="8" fillId="2" borderId="1" xfId="0" applyFont="1" applyFill="1" applyBorder="1" applyAlignment="1">
      <alignment horizontal="center"/>
    </xf>
    <xf numFmtId="0" fontId="5" fillId="0" borderId="2" xfId="0" applyFont="1" applyBorder="1" applyAlignment="1">
      <alignment vertical="center"/>
    </xf>
    <xf numFmtId="0" fontId="5" fillId="0" borderId="2" xfId="0" applyFont="1" applyBorder="1" applyAlignment="1">
      <alignment horizontal="center" vertical="center"/>
    </xf>
    <xf numFmtId="0" fontId="5" fillId="0" borderId="2" xfId="0" applyFont="1" applyBorder="1" applyAlignment="1">
      <alignment vertical="center" wrapText="1"/>
    </xf>
    <xf numFmtId="0" fontId="3" fillId="0" borderId="2" xfId="0" applyFont="1" applyBorder="1" applyAlignment="1">
      <alignment horizontal="left" vertical="center"/>
    </xf>
    <xf numFmtId="0" fontId="0" fillId="0" borderId="2" xfId="0" applyBorder="1" applyAlignment="1">
      <alignment horizontal="center" vertical="center"/>
    </xf>
    <xf numFmtId="0" fontId="9" fillId="0" borderId="2" xfId="0" applyFont="1" applyFill="1" applyBorder="1" applyAlignment="1">
      <alignment horizontal="center" vertical="center"/>
    </xf>
    <xf numFmtId="0" fontId="9" fillId="0" borderId="2" xfId="0" applyFont="1" applyBorder="1" applyAlignment="1">
      <alignment horizontal="center" vertical="center"/>
    </xf>
    <xf numFmtId="0" fontId="10" fillId="0" borderId="2" xfId="0" applyFont="1" applyBorder="1" applyAlignment="1">
      <alignment horizontal="center" vertical="center"/>
    </xf>
    <xf numFmtId="0" fontId="5" fillId="0" borderId="3" xfId="0" applyFont="1" applyBorder="1" applyAlignment="1">
      <alignment vertical="center"/>
    </xf>
    <xf numFmtId="0" fontId="5" fillId="0" borderId="3" xfId="0" applyFont="1" applyBorder="1" applyAlignment="1">
      <alignment horizontal="center" vertical="center"/>
    </xf>
    <xf numFmtId="0" fontId="5" fillId="0" borderId="3" xfId="0" applyFont="1" applyBorder="1" applyAlignment="1">
      <alignment vertical="center" wrapText="1"/>
    </xf>
    <xf numFmtId="0" fontId="3" fillId="0" borderId="3" xfId="0" applyFont="1" applyBorder="1" applyAlignment="1">
      <alignment horizontal="left" vertical="center"/>
    </xf>
    <xf numFmtId="0" fontId="0" fillId="0" borderId="3" xfId="0" applyBorder="1" applyAlignment="1">
      <alignment horizontal="center" vertical="center"/>
    </xf>
    <xf numFmtId="0" fontId="9" fillId="0" borderId="3" xfId="0" applyFont="1" applyFill="1" applyBorder="1" applyAlignment="1">
      <alignment horizontal="center" vertical="center"/>
    </xf>
    <xf numFmtId="2" fontId="11" fillId="0" borderId="4" xfId="0" applyNumberFormat="1" applyFont="1" applyFill="1" applyBorder="1" applyAlignment="1">
      <alignment horizontal="center" vertical="center" shrinkToFit="1"/>
    </xf>
    <xf numFmtId="0" fontId="10" fillId="0" borderId="3" xfId="0" applyFont="1" applyBorder="1" applyAlignment="1">
      <alignment horizontal="center" vertical="center"/>
    </xf>
    <xf numFmtId="0" fontId="9" fillId="0" borderId="3" xfId="0" applyFont="1" applyBorder="1" applyAlignment="1">
      <alignment horizontal="center" vertical="center"/>
    </xf>
    <xf numFmtId="0" fontId="5" fillId="0" borderId="5" xfId="0" applyFont="1" applyBorder="1" applyAlignment="1">
      <alignment vertical="center"/>
    </xf>
    <xf numFmtId="0" fontId="5" fillId="0" borderId="5" xfId="0" applyFont="1" applyBorder="1" applyAlignment="1">
      <alignment horizontal="center" vertical="center"/>
    </xf>
    <xf numFmtId="0" fontId="5" fillId="0" borderId="5" xfId="0" applyFont="1" applyBorder="1" applyAlignment="1">
      <alignment vertical="center" wrapText="1"/>
    </xf>
    <xf numFmtId="0" fontId="3" fillId="0" borderId="5" xfId="0" applyFont="1" applyBorder="1" applyAlignment="1">
      <alignment horizontal="left" vertical="center"/>
    </xf>
    <xf numFmtId="0" fontId="0" fillId="0" borderId="5" xfId="0" applyBorder="1" applyAlignment="1">
      <alignment horizontal="center" vertical="center"/>
    </xf>
    <xf numFmtId="0" fontId="9" fillId="0" borderId="5" xfId="0" applyFont="1" applyFill="1" applyBorder="1" applyAlignment="1">
      <alignment horizontal="center" vertical="center"/>
    </xf>
    <xf numFmtId="0" fontId="10" fillId="0" borderId="5" xfId="0" applyFont="1" applyFill="1" applyBorder="1" applyAlignment="1">
      <alignment horizontal="center" vertical="center"/>
    </xf>
    <xf numFmtId="0" fontId="10" fillId="0" borderId="5" xfId="0" applyFont="1" applyBorder="1" applyAlignment="1">
      <alignment horizontal="center" vertical="center"/>
    </xf>
    <xf numFmtId="0" fontId="9" fillId="0" borderId="5" xfId="0" applyFont="1" applyBorder="1" applyAlignment="1">
      <alignment horizontal="center" vertical="center"/>
    </xf>
    <xf numFmtId="0" fontId="8" fillId="2" borderId="1" xfId="0" applyFont="1" applyFill="1" applyBorder="1" applyAlignment="1">
      <alignment vertical="center"/>
    </xf>
    <xf numFmtId="0" fontId="8" fillId="2" borderId="1" xfId="0" applyFont="1" applyFill="1" applyBorder="1" applyAlignment="1">
      <alignment horizontal="center" vertical="center"/>
    </xf>
    <xf numFmtId="0" fontId="8" fillId="2" borderId="1" xfId="0" applyFont="1" applyFill="1" applyBorder="1" applyAlignment="1">
      <alignment wrapText="1"/>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0" fillId="0" borderId="3" xfId="0" applyFont="1" applyFill="1" applyBorder="1" applyAlignment="1">
      <alignment horizontal="center" vertical="center"/>
    </xf>
    <xf numFmtId="0" fontId="0" fillId="0" borderId="0" xfId="0" applyAlignment="1">
      <alignment vertical="center"/>
    </xf>
    <xf numFmtId="0" fontId="4"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5" fillId="0" borderId="2" xfId="0" applyFont="1" applyFill="1" applyBorder="1" applyAlignment="1">
      <alignment vertical="center"/>
    </xf>
    <xf numFmtId="0" fontId="5" fillId="0" borderId="2" xfId="0" applyFont="1" applyFill="1" applyBorder="1" applyAlignment="1">
      <alignment horizontal="center" vertical="center"/>
    </xf>
    <xf numFmtId="0" fontId="5" fillId="0" borderId="2" xfId="0" applyFont="1" applyFill="1" applyBorder="1" applyAlignment="1">
      <alignment vertical="center" wrapText="1"/>
    </xf>
    <xf numFmtId="0" fontId="3" fillId="0" borderId="2" xfId="0" applyFont="1" applyFill="1" applyBorder="1" applyAlignment="1">
      <alignment horizontal="left" vertical="center"/>
    </xf>
    <xf numFmtId="0" fontId="0" fillId="0" borderId="2" xfId="0" applyFill="1" applyBorder="1" applyAlignment="1">
      <alignment horizontal="center" vertical="center"/>
    </xf>
    <xf numFmtId="0" fontId="10" fillId="0" borderId="2" xfId="0" applyFont="1" applyFill="1" applyBorder="1" applyAlignment="1">
      <alignment horizontal="center" vertical="center"/>
    </xf>
    <xf numFmtId="0" fontId="5" fillId="0" borderId="2" xfId="0" applyFont="1" applyBorder="1"/>
    <xf numFmtId="0" fontId="5" fillId="0" borderId="3" xfId="0" applyFont="1" applyBorder="1" applyAlignment="1">
      <alignment wrapText="1"/>
    </xf>
    <xf numFmtId="0" fontId="5" fillId="0" borderId="5" xfId="0" applyFont="1" applyBorder="1" applyAlignment="1">
      <alignment wrapText="1"/>
    </xf>
    <xf numFmtId="0" fontId="5" fillId="0" borderId="6" xfId="0" applyFont="1" applyFill="1" applyBorder="1" applyAlignment="1">
      <alignment vertical="center"/>
    </xf>
    <xf numFmtId="0" fontId="9" fillId="0" borderId="0" xfId="0" applyFont="1" applyAlignment="1">
      <alignment horizontal="center" vertical="center"/>
    </xf>
    <xf numFmtId="0" fontId="5" fillId="0" borderId="0" xfId="0" applyFont="1" applyAlignment="1">
      <alignment wrapText="1"/>
    </xf>
    <xf numFmtId="0" fontId="3" fillId="0" borderId="6" xfId="0" applyFont="1"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center" vertical="center"/>
    </xf>
    <xf numFmtId="0" fontId="4" fillId="2" borderId="1" xfId="0" applyFont="1" applyFill="1" applyBorder="1"/>
    <xf numFmtId="2" fontId="8" fillId="2" borderId="1" xfId="1" applyNumberFormat="1" applyFont="1" applyFill="1" applyBorder="1" applyAlignment="1">
      <alignment horizontal="center" vertical="center"/>
    </xf>
    <xf numFmtId="2" fontId="13" fillId="2" borderId="1" xfId="1" applyNumberFormat="1" applyFont="1" applyFill="1" applyBorder="1" applyAlignment="1">
      <alignment horizontal="center"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5" xfId="0" applyFont="1" applyBorder="1" applyAlignment="1">
      <alignment horizontal="left" vertical="center"/>
    </xf>
    <xf numFmtId="0" fontId="8" fillId="2" borderId="1" xfId="0" applyFont="1" applyFill="1" applyBorder="1" applyAlignment="1">
      <alignment horizontal="left" vertical="center"/>
    </xf>
    <xf numFmtId="0" fontId="5" fillId="0" borderId="2" xfId="0" applyFont="1" applyFill="1" applyBorder="1" applyAlignment="1">
      <alignment horizontal="left" vertical="center"/>
    </xf>
    <xf numFmtId="0" fontId="8" fillId="2" borderId="9" xfId="0" applyFont="1" applyFill="1" applyBorder="1"/>
    <xf numFmtId="0" fontId="8" fillId="2" borderId="9" xfId="0" applyFont="1" applyFill="1" applyBorder="1" applyAlignment="1">
      <alignment horizontal="center"/>
    </xf>
    <xf numFmtId="0" fontId="8" fillId="2" borderId="0" xfId="0" applyFont="1" applyFill="1" applyBorder="1" applyAlignment="1">
      <alignment vertical="center"/>
    </xf>
    <xf numFmtId="0" fontId="8" fillId="2" borderId="0" xfId="0" applyFont="1" applyFill="1" applyBorder="1" applyAlignment="1">
      <alignment horizontal="center" vertical="center"/>
    </xf>
    <xf numFmtId="0" fontId="8" fillId="2" borderId="0" xfId="0" applyFont="1" applyFill="1" applyBorder="1" applyAlignment="1">
      <alignment wrapText="1"/>
    </xf>
    <xf numFmtId="0" fontId="2" fillId="2" borderId="0" xfId="0" applyFont="1" applyFill="1" applyBorder="1" applyAlignment="1">
      <alignment horizontal="left" vertical="center"/>
    </xf>
    <xf numFmtId="0" fontId="8" fillId="2" borderId="0" xfId="0" applyFont="1" applyFill="1" applyBorder="1" applyAlignment="1">
      <alignment horizontal="left" vertical="center"/>
    </xf>
    <xf numFmtId="0" fontId="2" fillId="2" borderId="0" xfId="0" applyFont="1" applyFill="1" applyBorder="1" applyAlignment="1">
      <alignment horizontal="center" vertical="center"/>
    </xf>
    <xf numFmtId="0" fontId="12" fillId="2" borderId="0"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0" xfId="0" applyFont="1" applyFill="1" applyBorder="1" applyAlignment="1">
      <alignment horizontal="center" vertical="center"/>
    </xf>
    <xf numFmtId="0" fontId="13" fillId="2" borderId="0" xfId="0" applyFont="1" applyFill="1" applyBorder="1" applyAlignment="1">
      <alignment horizontal="center" vertical="center"/>
    </xf>
    <xf numFmtId="0" fontId="14" fillId="2" borderId="0" xfId="0" applyFont="1" applyFill="1" applyBorder="1" applyAlignment="1">
      <alignment horizontal="center" vertical="center"/>
    </xf>
    <xf numFmtId="0" fontId="8" fillId="2" borderId="10" xfId="0" applyFont="1" applyFill="1" applyBorder="1"/>
    <xf numFmtId="0" fontId="8" fillId="2" borderId="0" xfId="0" applyFont="1" applyFill="1" applyBorder="1"/>
    <xf numFmtId="0" fontId="4" fillId="2" borderId="10" xfId="0" applyFont="1" applyFill="1" applyBorder="1"/>
    <xf numFmtId="2" fontId="8" fillId="2" borderId="10" xfId="1" applyNumberFormat="1" applyFont="1" applyFill="1" applyBorder="1" applyAlignment="1">
      <alignment horizontal="center" vertical="center"/>
    </xf>
    <xf numFmtId="2" fontId="13" fillId="2" borderId="10" xfId="1" applyNumberFormat="1" applyFont="1" applyFill="1" applyBorder="1" applyAlignment="1">
      <alignment horizontal="center" vertical="center"/>
    </xf>
    <xf numFmtId="0" fontId="5" fillId="0" borderId="11" xfId="0" applyFont="1" applyBorder="1" applyAlignment="1">
      <alignment vertical="center"/>
    </xf>
    <xf numFmtId="0" fontId="5" fillId="0" borderId="11" xfId="0" applyFont="1" applyBorder="1" applyAlignment="1">
      <alignment horizontal="center" vertical="center"/>
    </xf>
    <xf numFmtId="0" fontId="5" fillId="0" borderId="11" xfId="0" applyFont="1" applyBorder="1" applyAlignment="1">
      <alignment vertical="center" wrapText="1"/>
    </xf>
    <xf numFmtId="0" fontId="3" fillId="0" borderId="11" xfId="0" applyFont="1" applyBorder="1" applyAlignment="1">
      <alignment horizontal="left" vertical="center"/>
    </xf>
    <xf numFmtId="0" fontId="5" fillId="0" borderId="11" xfId="0" applyFont="1" applyBorder="1" applyAlignment="1">
      <alignment horizontal="left" vertical="center"/>
    </xf>
    <xf numFmtId="0" fontId="0" fillId="0" borderId="11" xfId="0" applyBorder="1" applyAlignment="1">
      <alignment horizontal="center" vertical="center"/>
    </xf>
    <xf numFmtId="0" fontId="9" fillId="0" borderId="11" xfId="0" applyFont="1" applyFill="1" applyBorder="1" applyAlignment="1">
      <alignment horizontal="center" vertical="center"/>
    </xf>
    <xf numFmtId="0" fontId="9" fillId="0" borderId="11" xfId="0" applyFont="1" applyBorder="1" applyAlignment="1">
      <alignment horizontal="center" vertical="center"/>
    </xf>
    <xf numFmtId="0" fontId="10" fillId="0" borderId="11" xfId="0" applyFont="1" applyBorder="1" applyAlignment="1">
      <alignment horizontal="center" vertical="center"/>
    </xf>
    <xf numFmtId="0" fontId="0" fillId="0" borderId="11" xfId="0" applyBorder="1"/>
    <xf numFmtId="2" fontId="11" fillId="0" borderId="11" xfId="0" applyNumberFormat="1" applyFont="1" applyFill="1" applyBorder="1" applyAlignment="1">
      <alignment horizontal="center" vertical="center" shrinkToFit="1"/>
    </xf>
    <xf numFmtId="0" fontId="10" fillId="0" borderId="11" xfId="0" applyFont="1" applyFill="1" applyBorder="1" applyAlignment="1">
      <alignment horizontal="center" vertical="center"/>
    </xf>
    <xf numFmtId="0" fontId="5" fillId="0" borderId="11" xfId="0" applyFont="1" applyBorder="1" applyAlignment="1">
      <alignment horizontal="center" vertical="center" wrapText="1"/>
    </xf>
    <xf numFmtId="0" fontId="0" fillId="0" borderId="11" xfId="0" applyBorder="1" applyAlignment="1">
      <alignment vertical="center"/>
    </xf>
    <xf numFmtId="0" fontId="5" fillId="0" borderId="11" xfId="0" applyFont="1" applyFill="1" applyBorder="1" applyAlignment="1">
      <alignment vertical="center"/>
    </xf>
    <xf numFmtId="0" fontId="5" fillId="0" borderId="11" xfId="0" applyFont="1" applyFill="1" applyBorder="1" applyAlignment="1">
      <alignment horizontal="center" vertical="center"/>
    </xf>
    <xf numFmtId="0" fontId="5" fillId="0" borderId="11" xfId="0" applyFont="1" applyFill="1" applyBorder="1" applyAlignment="1">
      <alignment vertical="center" wrapText="1"/>
    </xf>
    <xf numFmtId="0" fontId="3" fillId="0" borderId="11" xfId="0" applyFont="1" applyFill="1" applyBorder="1" applyAlignment="1">
      <alignment horizontal="left" vertical="center"/>
    </xf>
    <xf numFmtId="0" fontId="5" fillId="0" borderId="11" xfId="0" applyFont="1" applyFill="1" applyBorder="1" applyAlignment="1">
      <alignment horizontal="left" vertical="center"/>
    </xf>
    <xf numFmtId="0" fontId="0" fillId="0" borderId="11" xfId="0" applyFill="1" applyBorder="1" applyAlignment="1">
      <alignment horizontal="center" vertical="center"/>
    </xf>
    <xf numFmtId="0" fontId="5" fillId="0" borderId="11" xfId="0" applyFont="1" applyBorder="1"/>
    <xf numFmtId="0" fontId="5" fillId="0" borderId="11" xfId="0" applyFont="1" applyBorder="1" applyAlignment="1">
      <alignment wrapText="1"/>
    </xf>
    <xf numFmtId="0" fontId="6" fillId="0" borderId="0" xfId="0" applyFont="1" applyAlignment="1">
      <alignment horizontal="right"/>
    </xf>
    <xf numFmtId="0" fontId="15" fillId="2" borderId="0" xfId="0" applyFont="1" applyFill="1" applyBorder="1" applyAlignment="1">
      <alignment horizontal="left" vertical="center"/>
    </xf>
    <xf numFmtId="0" fontId="15" fillId="2" borderId="0" xfId="0" applyFont="1" applyFill="1" applyBorder="1" applyAlignment="1">
      <alignment horizontal="center" vertical="center"/>
    </xf>
    <xf numFmtId="0" fontId="15" fillId="2" borderId="0" xfId="0" applyFont="1" applyFill="1" applyBorder="1" applyAlignment="1">
      <alignment horizontal="center" vertical="center" wrapText="1"/>
    </xf>
    <xf numFmtId="0" fontId="16" fillId="3" borderId="0" xfId="0" applyFont="1" applyFill="1" applyBorder="1" applyAlignment="1">
      <alignment horizontal="left" vertical="center"/>
    </xf>
    <xf numFmtId="0" fontId="16" fillId="3" borderId="0" xfId="0" applyFont="1" applyFill="1" applyBorder="1" applyAlignment="1">
      <alignment horizontal="center" vertical="center"/>
    </xf>
    <xf numFmtId="0" fontId="17" fillId="3" borderId="0" xfId="0" applyFont="1" applyFill="1" applyBorder="1" applyAlignment="1">
      <alignment vertical="center"/>
    </xf>
    <xf numFmtId="0" fontId="18" fillId="0" borderId="0" xfId="0" applyFont="1" applyBorder="1"/>
    <xf numFmtId="0" fontId="18" fillId="0" borderId="0" xfId="0" applyFont="1" applyBorder="1" applyAlignment="1">
      <alignment horizontal="left"/>
    </xf>
    <xf numFmtId="2" fontId="16" fillId="3" borderId="0" xfId="0" applyNumberFormat="1" applyFont="1" applyFill="1" applyBorder="1" applyAlignment="1">
      <alignment horizontal="center" vertical="center"/>
    </xf>
    <xf numFmtId="164" fontId="20" fillId="0" borderId="16" xfId="0" applyNumberFormat="1" applyFont="1" applyFill="1" applyBorder="1" applyAlignment="1">
      <alignment horizontal="center" vertical="center" wrapText="1"/>
    </xf>
    <xf numFmtId="164" fontId="20" fillId="0" borderId="16" xfId="0" applyNumberFormat="1" applyFont="1" applyFill="1" applyBorder="1" applyAlignment="1">
      <alignment horizontal="center" vertical="center"/>
    </xf>
    <xf numFmtId="164" fontId="20" fillId="0" borderId="22" xfId="0" applyNumberFormat="1" applyFont="1" applyFill="1" applyBorder="1" applyAlignment="1">
      <alignment horizontal="center" vertical="center"/>
    </xf>
    <xf numFmtId="0" fontId="20" fillId="0" borderId="4" xfId="0" applyFont="1" applyBorder="1" applyAlignment="1">
      <alignment horizontal="center" vertical="center"/>
    </xf>
    <xf numFmtId="0" fontId="20" fillId="0" borderId="23" xfId="0" applyFont="1" applyBorder="1" applyAlignment="1">
      <alignment horizontal="center" vertical="center"/>
    </xf>
    <xf numFmtId="0" fontId="20" fillId="0" borderId="15" xfId="0" applyNumberFormat="1" applyFont="1" applyFill="1" applyBorder="1" applyAlignment="1">
      <alignment horizontal="center" vertical="center"/>
    </xf>
    <xf numFmtId="0" fontId="20" fillId="0" borderId="24" xfId="0" applyNumberFormat="1" applyFont="1" applyFill="1" applyBorder="1" applyAlignment="1">
      <alignment horizontal="center" vertical="center"/>
    </xf>
    <xf numFmtId="0" fontId="20" fillId="7" borderId="4" xfId="0" applyNumberFormat="1" applyFont="1" applyFill="1" applyBorder="1" applyAlignment="1">
      <alignment horizontal="left" vertical="center" wrapText="1"/>
    </xf>
    <xf numFmtId="0" fontId="22" fillId="0" borderId="4" xfId="2" applyNumberFormat="1" applyFont="1" applyFill="1" applyBorder="1" applyAlignment="1">
      <alignment horizontal="center"/>
    </xf>
    <xf numFmtId="2" fontId="22" fillId="0" borderId="4" xfId="2" applyNumberFormat="1" applyFont="1" applyFill="1" applyBorder="1" applyAlignment="1">
      <alignment horizontal="center"/>
    </xf>
    <xf numFmtId="165" fontId="22" fillId="0" borderId="4" xfId="0" applyNumberFormat="1" applyFont="1" applyFill="1" applyBorder="1" applyAlignment="1">
      <alignment horizontal="center" vertical="center" wrapText="1"/>
    </xf>
    <xf numFmtId="165" fontId="22" fillId="0" borderId="4" xfId="3" applyNumberFormat="1" applyFont="1" applyFill="1" applyBorder="1" applyAlignment="1" applyProtection="1">
      <alignment horizontal="center"/>
    </xf>
    <xf numFmtId="165" fontId="22" fillId="0" borderId="17" xfId="0" applyNumberFormat="1" applyFont="1" applyFill="1" applyBorder="1" applyAlignment="1">
      <alignment horizontal="center" vertical="center"/>
    </xf>
    <xf numFmtId="165" fontId="22" fillId="0" borderId="23" xfId="3" applyNumberFormat="1" applyFont="1" applyFill="1" applyBorder="1" applyAlignment="1" applyProtection="1">
      <alignment horizontal="center"/>
    </xf>
    <xf numFmtId="0" fontId="20" fillId="5" borderId="15" xfId="0" applyNumberFormat="1" applyFont="1" applyFill="1" applyBorder="1" applyAlignment="1">
      <alignment horizontal="center" vertical="center"/>
    </xf>
    <xf numFmtId="0" fontId="20" fillId="5" borderId="24" xfId="0" applyNumberFormat="1" applyFont="1" applyFill="1" applyBorder="1" applyAlignment="1">
      <alignment horizontal="center" vertical="center"/>
    </xf>
    <xf numFmtId="0" fontId="22" fillId="5" borderId="4" xfId="0" applyNumberFormat="1" applyFont="1" applyFill="1" applyBorder="1" applyAlignment="1">
      <alignment horizontal="left" vertical="center"/>
    </xf>
    <xf numFmtId="0" fontId="22" fillId="5" borderId="4" xfId="2" applyNumberFormat="1" applyFont="1" applyFill="1" applyBorder="1" applyAlignment="1">
      <alignment horizontal="center"/>
    </xf>
    <xf numFmtId="2" fontId="22" fillId="5" borderId="4" xfId="2" applyNumberFormat="1" applyFont="1" applyFill="1" applyBorder="1" applyAlignment="1">
      <alignment horizontal="center"/>
    </xf>
    <xf numFmtId="165" fontId="22" fillId="5" borderId="4" xfId="0" applyNumberFormat="1" applyFont="1" applyFill="1" applyBorder="1" applyAlignment="1">
      <alignment horizontal="center" vertical="center" wrapText="1"/>
    </xf>
    <xf numFmtId="165" fontId="22" fillId="5" borderId="4" xfId="3" applyNumberFormat="1" applyFont="1" applyFill="1" applyBorder="1" applyAlignment="1" applyProtection="1">
      <alignment horizontal="center"/>
    </xf>
    <xf numFmtId="165" fontId="22" fillId="5" borderId="17" xfId="0" applyNumberFormat="1" applyFont="1" applyFill="1" applyBorder="1" applyAlignment="1">
      <alignment horizontal="center" vertical="center"/>
    </xf>
    <xf numFmtId="165" fontId="22" fillId="5" borderId="23" xfId="3" applyNumberFormat="1" applyFont="1" applyFill="1" applyBorder="1" applyAlignment="1" applyProtection="1">
      <alignment horizontal="center"/>
    </xf>
    <xf numFmtId="0" fontId="20" fillId="0" borderId="4" xfId="0" applyNumberFormat="1" applyFont="1" applyFill="1" applyBorder="1" applyAlignment="1">
      <alignment horizontal="center" vertical="center"/>
    </xf>
    <xf numFmtId="0" fontId="20" fillId="8" borderId="15" xfId="0" applyNumberFormat="1" applyFont="1" applyFill="1" applyBorder="1" applyAlignment="1">
      <alignment horizontal="center" vertical="center"/>
    </xf>
    <xf numFmtId="0" fontId="20" fillId="8" borderId="24" xfId="0" applyNumberFormat="1" applyFont="1" applyFill="1" applyBorder="1" applyAlignment="1">
      <alignment horizontal="center" vertical="center"/>
    </xf>
    <xf numFmtId="0" fontId="22" fillId="8" borderId="4" xfId="0" applyNumberFormat="1" applyFont="1" applyFill="1" applyBorder="1" applyAlignment="1">
      <alignment horizontal="left" vertical="center"/>
    </xf>
    <xf numFmtId="0" fontId="22" fillId="8" borderId="4" xfId="2" applyNumberFormat="1" applyFont="1" applyFill="1" applyBorder="1" applyAlignment="1">
      <alignment horizontal="center"/>
    </xf>
    <xf numFmtId="2" fontId="22" fillId="8" borderId="4" xfId="2" applyNumberFormat="1" applyFont="1" applyFill="1" applyBorder="1" applyAlignment="1">
      <alignment horizontal="center"/>
    </xf>
    <xf numFmtId="165" fontId="22" fillId="8" borderId="4" xfId="0" applyNumberFormat="1" applyFont="1" applyFill="1" applyBorder="1" applyAlignment="1">
      <alignment horizontal="center" vertical="center" wrapText="1"/>
    </xf>
    <xf numFmtId="165" fontId="22" fillId="8" borderId="4" xfId="3" applyNumberFormat="1" applyFont="1" applyFill="1" applyBorder="1" applyAlignment="1" applyProtection="1">
      <alignment horizontal="center"/>
    </xf>
    <xf numFmtId="165" fontId="22" fillId="8" borderId="17" xfId="0" applyNumberFormat="1" applyFont="1" applyFill="1" applyBorder="1" applyAlignment="1">
      <alignment horizontal="center" vertical="center"/>
    </xf>
    <xf numFmtId="165" fontId="22" fillId="8" borderId="23" xfId="3" applyNumberFormat="1" applyFont="1" applyFill="1" applyBorder="1" applyAlignment="1" applyProtection="1">
      <alignment horizontal="center"/>
    </xf>
    <xf numFmtId="0" fontId="22" fillId="0" borderId="4" xfId="0" applyNumberFormat="1" applyFont="1" applyFill="1" applyBorder="1" applyAlignment="1">
      <alignment horizontal="left" vertical="center"/>
    </xf>
    <xf numFmtId="0" fontId="22" fillId="0" borderId="4" xfId="0" applyNumberFormat="1" applyFont="1" applyFill="1" applyBorder="1" applyAlignment="1">
      <alignment horizontal="center" vertical="center"/>
    </xf>
    <xf numFmtId="165" fontId="22" fillId="0" borderId="4" xfId="3" applyNumberFormat="1" applyFont="1" applyFill="1" applyBorder="1" applyAlignment="1" applyProtection="1">
      <alignment horizontal="center" vertical="center"/>
    </xf>
    <xf numFmtId="165" fontId="22" fillId="0" borderId="23" xfId="3" applyNumberFormat="1" applyFont="1" applyFill="1" applyBorder="1" applyAlignment="1" applyProtection="1">
      <alignment horizontal="center" vertical="center"/>
    </xf>
    <xf numFmtId="164" fontId="22" fillId="0" borderId="4" xfId="3" applyNumberFormat="1" applyFont="1" applyFill="1" applyBorder="1" applyAlignment="1" applyProtection="1">
      <alignment horizontal="center"/>
    </xf>
    <xf numFmtId="165" fontId="22" fillId="0" borderId="17" xfId="3" applyNumberFormat="1" applyFont="1" applyFill="1" applyBorder="1" applyAlignment="1" applyProtection="1">
      <alignment horizontal="center" vertical="center"/>
    </xf>
    <xf numFmtId="165" fontId="22" fillId="0" borderId="4" xfId="0" applyNumberFormat="1" applyFont="1" applyBorder="1" applyAlignment="1">
      <alignment horizontal="center" vertical="center"/>
    </xf>
    <xf numFmtId="165" fontId="22" fillId="0" borderId="23" xfId="0" applyNumberFormat="1" applyFont="1" applyBorder="1" applyAlignment="1">
      <alignment horizontal="center" vertical="center"/>
    </xf>
    <xf numFmtId="164" fontId="22" fillId="0" borderId="4" xfId="3" applyNumberFormat="1" applyFont="1" applyFill="1" applyBorder="1" applyAlignment="1" applyProtection="1">
      <alignment horizontal="center" vertical="center"/>
    </xf>
    <xf numFmtId="164" fontId="22" fillId="0" borderId="23" xfId="3" applyNumberFormat="1" applyFont="1" applyFill="1" applyBorder="1" applyAlignment="1" applyProtection="1">
      <alignment horizontal="center" vertical="center"/>
    </xf>
    <xf numFmtId="164" fontId="20" fillId="0" borderId="4" xfId="3" applyNumberFormat="1" applyFont="1" applyFill="1" applyBorder="1" applyAlignment="1" applyProtection="1">
      <alignment horizontal="center"/>
    </xf>
    <xf numFmtId="164" fontId="20" fillId="0" borderId="4" xfId="0" applyNumberFormat="1" applyFont="1" applyFill="1" applyBorder="1" applyAlignment="1">
      <alignment horizontal="center" vertical="center" wrapText="1"/>
    </xf>
    <xf numFmtId="164" fontId="20" fillId="0" borderId="4" xfId="3" applyNumberFormat="1" applyFont="1" applyFill="1" applyBorder="1" applyAlignment="1" applyProtection="1">
      <alignment horizontal="center" vertical="center"/>
    </xf>
    <xf numFmtId="164" fontId="20" fillId="0" borderId="17" xfId="3" applyNumberFormat="1" applyFont="1" applyFill="1" applyBorder="1" applyAlignment="1" applyProtection="1">
      <alignment horizontal="center"/>
    </xf>
    <xf numFmtId="0" fontId="22" fillId="0" borderId="4" xfId="0" applyFont="1" applyBorder="1"/>
    <xf numFmtId="0" fontId="22" fillId="0" borderId="23" xfId="0" applyFont="1" applyBorder="1"/>
    <xf numFmtId="0" fontId="20" fillId="0" borderId="25" xfId="0" applyNumberFormat="1" applyFont="1" applyFill="1" applyBorder="1" applyAlignment="1">
      <alignment horizontal="center" vertical="center"/>
    </xf>
    <xf numFmtId="0" fontId="20" fillId="0" borderId="26" xfId="0" applyNumberFormat="1" applyFont="1" applyFill="1" applyBorder="1" applyAlignment="1">
      <alignment horizontal="center" vertical="center"/>
    </xf>
    <xf numFmtId="0" fontId="22" fillId="0" borderId="27" xfId="0" applyNumberFormat="1" applyFont="1" applyFill="1" applyBorder="1" applyAlignment="1">
      <alignment horizontal="left" vertical="center"/>
    </xf>
    <xf numFmtId="0" fontId="22" fillId="0" borderId="27" xfId="0" applyNumberFormat="1" applyFont="1" applyFill="1" applyBorder="1" applyAlignment="1">
      <alignment horizontal="center" vertical="center"/>
    </xf>
    <xf numFmtId="164" fontId="20" fillId="7" borderId="27" xfId="0" applyNumberFormat="1" applyFont="1" applyFill="1" applyBorder="1" applyAlignment="1">
      <alignment horizontal="center" vertical="center" wrapText="1"/>
    </xf>
    <xf numFmtId="165" fontId="20" fillId="7" borderId="27" xfId="3" applyNumberFormat="1" applyFont="1" applyFill="1" applyBorder="1" applyAlignment="1" applyProtection="1">
      <alignment horizontal="center" vertical="center"/>
    </xf>
    <xf numFmtId="164" fontId="22" fillId="0" borderId="28" xfId="3" applyNumberFormat="1" applyFont="1" applyFill="1" applyBorder="1" applyAlignment="1" applyProtection="1">
      <alignment horizontal="center"/>
    </xf>
    <xf numFmtId="0" fontId="22" fillId="0" borderId="27" xfId="0" applyFont="1" applyBorder="1"/>
    <xf numFmtId="0" fontId="22" fillId="0" borderId="30" xfId="0" applyFont="1" applyBorder="1"/>
    <xf numFmtId="2" fontId="10" fillId="0" borderId="11" xfId="0" applyNumberFormat="1" applyFont="1" applyFill="1" applyBorder="1" applyAlignment="1">
      <alignment horizontal="center" vertical="center"/>
    </xf>
    <xf numFmtId="2" fontId="10" fillId="0" borderId="11" xfId="0" applyNumberFormat="1" applyFont="1" applyBorder="1" applyAlignment="1">
      <alignment horizontal="center" vertical="center"/>
    </xf>
    <xf numFmtId="2" fontId="24" fillId="4" borderId="22" xfId="0" applyNumberFormat="1" applyFont="1" applyFill="1" applyBorder="1" applyAlignment="1">
      <alignment horizontal="center" vertical="center"/>
    </xf>
    <xf numFmtId="2" fontId="0" fillId="0" borderId="0" xfId="0" applyNumberFormat="1"/>
    <xf numFmtId="0" fontId="18" fillId="0" borderId="31" xfId="0" applyFont="1" applyBorder="1" applyAlignment="1">
      <alignment horizontal="left" wrapText="1"/>
    </xf>
    <xf numFmtId="0" fontId="18" fillId="0" borderId="31" xfId="0" applyFont="1" applyBorder="1" applyAlignment="1">
      <alignment wrapText="1"/>
    </xf>
    <xf numFmtId="0" fontId="18" fillId="0" borderId="31" xfId="0" applyFont="1" applyBorder="1" applyAlignment="1">
      <alignment horizontal="center"/>
    </xf>
    <xf numFmtId="2" fontId="18" fillId="0" borderId="31" xfId="0" applyNumberFormat="1" applyFont="1" applyBorder="1" applyAlignment="1">
      <alignment horizontal="center"/>
    </xf>
    <xf numFmtId="0" fontId="18" fillId="0" borderId="31" xfId="0" applyFont="1" applyBorder="1"/>
    <xf numFmtId="0" fontId="18" fillId="0" borderId="31" xfId="0" applyFont="1" applyBorder="1" applyAlignment="1">
      <alignment horizontal="left"/>
    </xf>
    <xf numFmtId="0" fontId="18" fillId="4" borderId="31" xfId="0" applyFont="1" applyFill="1" applyBorder="1" applyAlignment="1">
      <alignment horizontal="left"/>
    </xf>
    <xf numFmtId="0" fontId="25" fillId="0" borderId="0" xfId="0" applyFont="1"/>
    <xf numFmtId="0" fontId="25" fillId="0" borderId="0" xfId="0" applyFont="1" applyAlignment="1">
      <alignment horizontal="right"/>
    </xf>
    <xf numFmtId="0" fontId="18" fillId="0" borderId="31" xfId="0" applyFont="1" applyFill="1" applyBorder="1" applyAlignment="1">
      <alignment horizontal="left"/>
    </xf>
    <xf numFmtId="0" fontId="18" fillId="0" borderId="31" xfId="0" applyFont="1" applyFill="1" applyBorder="1" applyAlignment="1">
      <alignment horizontal="left" wrapText="1"/>
    </xf>
    <xf numFmtId="0" fontId="18" fillId="0" borderId="31" xfId="0" applyFont="1" applyFill="1" applyBorder="1" applyAlignment="1">
      <alignment horizontal="center"/>
    </xf>
    <xf numFmtId="2" fontId="18" fillId="0" borderId="31" xfId="0" applyNumberFormat="1" applyFont="1" applyFill="1" applyBorder="1" applyAlignment="1">
      <alignment horizontal="center"/>
    </xf>
    <xf numFmtId="0" fontId="18" fillId="0" borderId="31" xfId="0" applyFont="1" applyFill="1" applyBorder="1"/>
    <xf numFmtId="0" fontId="18" fillId="0" borderId="31" xfId="0" applyFont="1" applyFill="1" applyBorder="1" applyAlignment="1">
      <alignment horizontal="right"/>
    </xf>
    <xf numFmtId="0" fontId="6" fillId="0" borderId="0" xfId="0" applyFont="1" applyAlignment="1">
      <alignment horizontal="right"/>
    </xf>
    <xf numFmtId="0" fontId="8" fillId="2" borderId="1" xfId="0" applyFont="1" applyFill="1" applyBorder="1" applyAlignment="1">
      <alignment horizontal="center"/>
    </xf>
    <xf numFmtId="0" fontId="20" fillId="7" borderId="28" xfId="0" applyFont="1" applyFill="1" applyBorder="1" applyAlignment="1">
      <alignment horizontal="center" vertical="center" wrapText="1"/>
    </xf>
    <xf numFmtId="0" fontId="20" fillId="7" borderId="29" xfId="0" applyFont="1" applyFill="1" applyBorder="1" applyAlignment="1">
      <alignment horizontal="center" vertical="center" wrapText="1"/>
    </xf>
    <xf numFmtId="0" fontId="20" fillId="7" borderId="26" xfId="0" applyFont="1" applyFill="1" applyBorder="1" applyAlignment="1">
      <alignment horizontal="center" vertical="center" wrapText="1"/>
    </xf>
    <xf numFmtId="0" fontId="19" fillId="0" borderId="12" xfId="0" applyNumberFormat="1" applyFont="1" applyFill="1" applyBorder="1" applyAlignment="1">
      <alignment horizontal="center" vertical="center"/>
    </xf>
    <xf numFmtId="0" fontId="19" fillId="0" borderId="13" xfId="0" applyNumberFormat="1" applyFont="1" applyFill="1" applyBorder="1" applyAlignment="1">
      <alignment horizontal="center" vertical="center"/>
    </xf>
    <xf numFmtId="0" fontId="19" fillId="0" borderId="14" xfId="0" applyNumberFormat="1" applyFont="1" applyFill="1" applyBorder="1" applyAlignment="1">
      <alignment horizontal="center" vertical="center"/>
    </xf>
    <xf numFmtId="0" fontId="20" fillId="0" borderId="15" xfId="0" applyNumberFormat="1" applyFont="1" applyFill="1" applyBorder="1" applyAlignment="1">
      <alignment horizontal="center" vertical="center"/>
    </xf>
    <xf numFmtId="0" fontId="20" fillId="0" borderId="20" xfId="0" applyNumberFormat="1" applyFont="1" applyFill="1" applyBorder="1" applyAlignment="1">
      <alignment horizontal="center" vertical="center"/>
    </xf>
    <xf numFmtId="0" fontId="20" fillId="0" borderId="16" xfId="0" applyNumberFormat="1" applyFont="1" applyFill="1" applyBorder="1" applyAlignment="1">
      <alignment horizontal="center" vertical="center"/>
    </xf>
    <xf numFmtId="0" fontId="20" fillId="0" borderId="21" xfId="0" applyNumberFormat="1" applyFont="1" applyFill="1" applyBorder="1" applyAlignment="1">
      <alignment horizontal="center" vertical="center"/>
    </xf>
    <xf numFmtId="0" fontId="20" fillId="6" borderId="4" xfId="0" applyNumberFormat="1" applyFont="1" applyFill="1" applyBorder="1" applyAlignment="1">
      <alignment horizontal="center" vertical="center" wrapText="1"/>
    </xf>
    <xf numFmtId="0" fontId="20" fillId="0" borderId="4" xfId="0" applyNumberFormat="1" applyFont="1" applyFill="1" applyBorder="1" applyAlignment="1">
      <alignment horizontal="center" vertical="center" wrapText="1"/>
    </xf>
    <xf numFmtId="164" fontId="20" fillId="0" borderId="17" xfId="0" applyNumberFormat="1" applyFont="1" applyFill="1" applyBorder="1" applyAlignment="1">
      <alignment horizontal="center" vertical="center" wrapText="1"/>
    </xf>
    <xf numFmtId="164" fontId="20" fillId="0" borderId="18" xfId="0" applyNumberFormat="1" applyFont="1" applyFill="1" applyBorder="1" applyAlignment="1">
      <alignment horizontal="center" vertical="center" wrapText="1"/>
    </xf>
    <xf numFmtId="164" fontId="20" fillId="0" borderId="19" xfId="0" applyNumberFormat="1" applyFont="1" applyFill="1" applyBorder="1" applyAlignment="1">
      <alignment horizontal="center" vertical="center" wrapText="1"/>
    </xf>
  </cellXfs>
  <cellStyles count="5">
    <cellStyle name="Comma" xfId="1" builtinId="3"/>
    <cellStyle name="Comma 2" xfId="3"/>
    <cellStyle name="Comma 2 2" xfId="4"/>
    <cellStyle name="Normal" xfId="0" builtinId="0"/>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view="pageBreakPreview" zoomScaleNormal="100" zoomScaleSheetLayoutView="100" workbookViewId="0">
      <pane ySplit="9" topLeftCell="A16" activePane="bottomLeft" state="frozen"/>
      <selection pane="bottomLeft" activeCell="K13" sqref="K13"/>
    </sheetView>
  </sheetViews>
  <sheetFormatPr defaultRowHeight="15"/>
  <cols>
    <col min="1" max="1" width="5.85546875" customWidth="1"/>
    <col min="2" max="2" width="8.42578125" customWidth="1"/>
    <col min="3" max="3" width="63.85546875" customWidth="1"/>
    <col min="4" max="4" width="12" customWidth="1"/>
    <col min="5" max="5" width="6.42578125" customWidth="1"/>
    <col min="6" max="6" width="5.7109375" customWidth="1"/>
    <col min="10" max="10" width="12.140625" customWidth="1"/>
    <col min="12" max="12" width="12.7109375" customWidth="1"/>
    <col min="14" max="14" width="12.5703125" bestFit="1" customWidth="1"/>
  </cols>
  <sheetData>
    <row r="1" spans="1:14">
      <c r="A1" s="1" t="s">
        <v>0</v>
      </c>
      <c r="B1" s="1"/>
      <c r="C1" s="1"/>
      <c r="D1" s="1"/>
      <c r="E1" s="1"/>
      <c r="F1" s="1"/>
      <c r="G1" s="1"/>
      <c r="H1" s="1"/>
      <c r="I1" s="1"/>
      <c r="J1" s="1"/>
      <c r="K1" s="1"/>
      <c r="L1" s="1"/>
      <c r="M1" s="1"/>
      <c r="N1" s="1"/>
    </row>
    <row r="2" spans="1:14">
      <c r="A2" s="2" t="s">
        <v>1</v>
      </c>
      <c r="B2" s="2"/>
      <c r="C2" s="2"/>
      <c r="D2" s="2"/>
      <c r="E2" s="2"/>
      <c r="F2" s="2"/>
      <c r="G2" s="2"/>
      <c r="H2" s="2"/>
      <c r="I2" s="2"/>
      <c r="J2" s="2"/>
      <c r="K2" s="194" t="s">
        <v>47</v>
      </c>
      <c r="L2" s="194"/>
      <c r="M2" s="194"/>
      <c r="N2" s="194"/>
    </row>
    <row r="3" spans="1:14">
      <c r="A3" s="2" t="s">
        <v>2</v>
      </c>
      <c r="B3" s="2"/>
      <c r="C3" s="2"/>
      <c r="D3" s="2"/>
      <c r="E3" s="2"/>
      <c r="F3" s="2"/>
      <c r="G3" s="2"/>
      <c r="H3" s="2"/>
      <c r="I3" s="2"/>
      <c r="J3" s="2"/>
      <c r="K3" s="194" t="s">
        <v>3</v>
      </c>
      <c r="L3" s="194"/>
      <c r="M3" s="194"/>
      <c r="N3" s="194"/>
    </row>
    <row r="4" spans="1:14">
      <c r="A4" s="4"/>
      <c r="B4" s="4"/>
      <c r="C4" s="4"/>
      <c r="D4" s="4"/>
      <c r="E4" s="4"/>
      <c r="F4" s="4"/>
      <c r="G4" s="4"/>
      <c r="H4" s="4"/>
      <c r="I4" s="4"/>
      <c r="J4" s="4"/>
      <c r="K4" s="4"/>
      <c r="L4" s="4"/>
      <c r="M4" s="4"/>
      <c r="N4" s="4"/>
    </row>
    <row r="5" spans="1:14">
      <c r="A5" s="2" t="s">
        <v>46</v>
      </c>
      <c r="B5" s="2"/>
      <c r="C5" s="2"/>
      <c r="D5" s="2"/>
      <c r="E5" s="2"/>
      <c r="F5" s="2"/>
      <c r="G5" s="2"/>
      <c r="H5" s="2"/>
      <c r="I5" s="2"/>
      <c r="J5" s="2"/>
      <c r="K5" s="2"/>
      <c r="L5" s="2"/>
      <c r="M5" s="2"/>
      <c r="N5" s="2"/>
    </row>
    <row r="6" spans="1:14">
      <c r="A6" s="2"/>
      <c r="B6" s="2"/>
      <c r="C6" s="2"/>
      <c r="D6" s="2"/>
      <c r="E6" s="2"/>
      <c r="F6" s="2"/>
      <c r="G6" s="2"/>
      <c r="H6" s="2"/>
      <c r="I6" s="2"/>
      <c r="J6" s="2"/>
      <c r="K6" s="2"/>
      <c r="L6" s="2"/>
      <c r="M6" s="2"/>
      <c r="N6" s="2"/>
    </row>
    <row r="7" spans="1:14" ht="15.75" thickBot="1"/>
    <row r="8" spans="1:14" ht="16.5" thickTop="1" thickBot="1">
      <c r="A8" s="5" t="s">
        <v>4</v>
      </c>
      <c r="B8" s="5" t="s">
        <v>5</v>
      </c>
      <c r="C8" s="5" t="s">
        <v>6</v>
      </c>
      <c r="D8" s="5" t="s">
        <v>7</v>
      </c>
      <c r="E8" s="5" t="s">
        <v>8</v>
      </c>
      <c r="F8" s="5" t="s">
        <v>9</v>
      </c>
      <c r="G8" s="195" t="s">
        <v>10</v>
      </c>
      <c r="H8" s="195"/>
      <c r="I8" s="195" t="s">
        <v>11</v>
      </c>
      <c r="J8" s="195"/>
      <c r="K8" s="195" t="s">
        <v>12</v>
      </c>
      <c r="L8" s="195"/>
      <c r="M8" s="195" t="s">
        <v>13</v>
      </c>
      <c r="N8" s="195"/>
    </row>
    <row r="9" spans="1:14" ht="16.5" thickTop="1" thickBot="1">
      <c r="A9" s="5"/>
      <c r="B9" s="5"/>
      <c r="C9" s="5"/>
      <c r="D9" s="5"/>
      <c r="E9" s="5"/>
      <c r="F9" s="5"/>
      <c r="G9" s="5" t="s">
        <v>14</v>
      </c>
      <c r="H9" s="5" t="s">
        <v>15</v>
      </c>
      <c r="I9" s="5" t="s">
        <v>14</v>
      </c>
      <c r="J9" s="5" t="s">
        <v>15</v>
      </c>
      <c r="K9" s="5" t="s">
        <v>14</v>
      </c>
      <c r="L9" s="5" t="s">
        <v>15</v>
      </c>
      <c r="M9" s="5" t="s">
        <v>14</v>
      </c>
      <c r="N9" s="5" t="s">
        <v>15</v>
      </c>
    </row>
    <row r="10" spans="1:14" ht="16.5" thickTop="1" thickBot="1">
      <c r="A10" s="5"/>
      <c r="B10" s="6" t="s">
        <v>16</v>
      </c>
      <c r="C10" s="5" t="s">
        <v>17</v>
      </c>
      <c r="D10" s="5"/>
      <c r="E10" s="5"/>
      <c r="F10" s="5"/>
      <c r="G10" s="5"/>
      <c r="H10" s="5"/>
      <c r="I10" s="5"/>
      <c r="J10" s="5"/>
      <c r="K10" s="5"/>
      <c r="L10" s="5"/>
      <c r="M10" s="5"/>
      <c r="N10" s="5"/>
    </row>
    <row r="11" spans="1:14" ht="46.5" thickTop="1" thickBot="1">
      <c r="A11" s="7">
        <v>1</v>
      </c>
      <c r="B11" s="8" t="s">
        <v>18</v>
      </c>
      <c r="C11" s="9" t="s">
        <v>19</v>
      </c>
      <c r="D11" s="9" t="s">
        <v>41</v>
      </c>
      <c r="E11" s="10">
        <v>160</v>
      </c>
      <c r="F11" s="62" t="s">
        <v>20</v>
      </c>
      <c r="G11" s="11"/>
      <c r="H11" s="11"/>
      <c r="I11" s="12"/>
      <c r="J11" s="13"/>
      <c r="K11" s="14"/>
      <c r="L11" s="14"/>
      <c r="M11" s="12">
        <f>K11+I11</f>
        <v>0</v>
      </c>
      <c r="N11" s="13">
        <f>M11*E11</f>
        <v>0</v>
      </c>
    </row>
    <row r="12" spans="1:14" ht="76.5" thickTop="1" thickBot="1">
      <c r="A12" s="15">
        <v>2</v>
      </c>
      <c r="B12" s="16">
        <v>2</v>
      </c>
      <c r="C12" s="17" t="s">
        <v>52</v>
      </c>
      <c r="D12" s="9" t="s">
        <v>41</v>
      </c>
      <c r="E12" s="18">
        <v>85</v>
      </c>
      <c r="F12" s="63" t="s">
        <v>20</v>
      </c>
      <c r="G12" s="19"/>
      <c r="H12" s="19"/>
      <c r="I12" s="20"/>
      <c r="J12" s="13"/>
      <c r="K12" s="21"/>
      <c r="L12" s="22"/>
      <c r="M12" s="20">
        <f t="shared" ref="M12:M13" si="0">K12+I12</f>
        <v>0</v>
      </c>
      <c r="N12" s="23">
        <f t="shared" ref="N12:N13" si="1">M12*E12</f>
        <v>0</v>
      </c>
    </row>
    <row r="13" spans="1:14" ht="31.5" thickTop="1" thickBot="1">
      <c r="A13" s="24">
        <v>3</v>
      </c>
      <c r="B13" s="25" t="s">
        <v>22</v>
      </c>
      <c r="C13" s="26" t="s">
        <v>53</v>
      </c>
      <c r="D13" s="9" t="s">
        <v>41</v>
      </c>
      <c r="E13" s="27">
        <v>60</v>
      </c>
      <c r="F13" s="64" t="s">
        <v>20</v>
      </c>
      <c r="G13" s="28"/>
      <c r="H13" s="28"/>
      <c r="I13" s="29"/>
      <c r="J13" s="13"/>
      <c r="K13" s="30">
        <v>151.37</v>
      </c>
      <c r="L13" s="31">
        <f>K13*E13</f>
        <v>9082.2000000000007</v>
      </c>
      <c r="M13" s="29">
        <f t="shared" si="0"/>
        <v>151.37</v>
      </c>
      <c r="N13" s="32">
        <f t="shared" si="1"/>
        <v>9082.2000000000007</v>
      </c>
    </row>
    <row r="14" spans="1:14" ht="17.25" thickTop="1" thickBot="1">
      <c r="A14" s="33"/>
      <c r="B14" s="34" t="s">
        <v>24</v>
      </c>
      <c r="C14" s="35" t="s">
        <v>25</v>
      </c>
      <c r="D14" s="35"/>
      <c r="E14" s="36"/>
      <c r="F14" s="65"/>
      <c r="G14" s="37"/>
      <c r="H14" s="37"/>
      <c r="I14" s="34"/>
      <c r="J14" s="34"/>
      <c r="K14" s="38"/>
      <c r="L14" s="38"/>
      <c r="M14" s="34"/>
      <c r="N14" s="34"/>
    </row>
    <row r="15" spans="1:14" ht="106.5" thickTop="1" thickBot="1">
      <c r="A15" s="7">
        <v>4</v>
      </c>
      <c r="B15" s="8">
        <v>6</v>
      </c>
      <c r="C15" s="9" t="s">
        <v>42</v>
      </c>
      <c r="D15" s="9" t="s">
        <v>41</v>
      </c>
      <c r="E15" s="10">
        <v>2300</v>
      </c>
      <c r="F15" s="62" t="s">
        <v>20</v>
      </c>
      <c r="G15" s="11"/>
      <c r="H15" s="11"/>
      <c r="I15" s="12"/>
      <c r="J15" s="13"/>
      <c r="K15" s="14"/>
      <c r="L15" s="14"/>
      <c r="M15" s="12">
        <f>K15+I15</f>
        <v>0</v>
      </c>
      <c r="N15" s="13">
        <f>M15*E15</f>
        <v>0</v>
      </c>
    </row>
    <row r="16" spans="1:14" s="40" customFormat="1" ht="106.5" thickTop="1" thickBot="1">
      <c r="A16" s="7"/>
      <c r="B16" s="8"/>
      <c r="C16" s="9" t="s">
        <v>43</v>
      </c>
      <c r="D16" s="9" t="str">
        <f>D15</f>
        <v>Day Bin</v>
      </c>
      <c r="E16" s="10">
        <f>E15+(E15*10%)</f>
        <v>2530</v>
      </c>
      <c r="F16" s="62" t="str">
        <f>F15</f>
        <v>m3</v>
      </c>
      <c r="G16" s="11"/>
      <c r="H16" s="11"/>
      <c r="I16" s="12"/>
      <c r="J16" s="13"/>
      <c r="K16" s="14">
        <v>74.06</v>
      </c>
      <c r="L16" s="14">
        <f>K16*E16</f>
        <v>187371.80000000002</v>
      </c>
      <c r="M16" s="12">
        <f>K16+I16</f>
        <v>74.06</v>
      </c>
      <c r="N16" s="13">
        <f>M16*E16</f>
        <v>187371.80000000002</v>
      </c>
    </row>
    <row r="17" spans="1:14" ht="46.5" thickTop="1" thickBot="1">
      <c r="A17" s="15">
        <v>5</v>
      </c>
      <c r="B17" s="16">
        <v>7</v>
      </c>
      <c r="C17" s="17" t="s">
        <v>26</v>
      </c>
      <c r="D17" s="9" t="s">
        <v>41</v>
      </c>
      <c r="E17" s="18">
        <v>2750</v>
      </c>
      <c r="F17" s="63" t="s">
        <v>20</v>
      </c>
      <c r="G17" s="19"/>
      <c r="H17" s="19"/>
      <c r="I17" s="20"/>
      <c r="J17" s="13"/>
      <c r="K17" s="39"/>
      <c r="L17" s="22"/>
      <c r="M17" s="20">
        <f t="shared" ref="M17" si="2">K17+I17</f>
        <v>0</v>
      </c>
      <c r="N17" s="23">
        <f t="shared" ref="N17" si="3">M17*E17</f>
        <v>0</v>
      </c>
    </row>
    <row r="18" spans="1:14" ht="17.25" thickTop="1" thickBot="1">
      <c r="A18" s="33"/>
      <c r="B18" s="34" t="s">
        <v>27</v>
      </c>
      <c r="C18" s="35" t="s">
        <v>28</v>
      </c>
      <c r="D18" s="35"/>
      <c r="E18" s="36"/>
      <c r="F18" s="65"/>
      <c r="G18" s="41"/>
      <c r="H18" s="41"/>
      <c r="I18" s="42"/>
      <c r="J18" s="42"/>
      <c r="K18" s="43"/>
      <c r="L18" s="43"/>
      <c r="M18" s="42"/>
      <c r="N18" s="42"/>
    </row>
    <row r="19" spans="1:14" ht="106.5" thickTop="1" thickBot="1">
      <c r="A19" s="44">
        <v>8</v>
      </c>
      <c r="B19" s="45"/>
      <c r="C19" s="46" t="s">
        <v>44</v>
      </c>
      <c r="D19" s="9" t="s">
        <v>41</v>
      </c>
      <c r="E19" s="47">
        <v>400</v>
      </c>
      <c r="F19" s="66" t="s">
        <v>29</v>
      </c>
      <c r="G19" s="48"/>
      <c r="H19" s="48"/>
      <c r="I19" s="12"/>
      <c r="J19" s="12"/>
      <c r="K19" s="49"/>
      <c r="L19" s="49"/>
      <c r="M19" s="12">
        <f>K19+I19</f>
        <v>0</v>
      </c>
      <c r="N19" s="12">
        <f>M19*E19</f>
        <v>0</v>
      </c>
    </row>
    <row r="20" spans="1:14" ht="121.5" thickTop="1" thickBot="1">
      <c r="A20" s="24">
        <v>9</v>
      </c>
      <c r="B20" s="25">
        <v>21</v>
      </c>
      <c r="C20" s="26" t="s">
        <v>45</v>
      </c>
      <c r="D20" s="9" t="s">
        <v>41</v>
      </c>
      <c r="E20" s="27">
        <f>E19+(E19*10%)</f>
        <v>440</v>
      </c>
      <c r="F20" s="64" t="s">
        <v>29</v>
      </c>
      <c r="G20" s="28"/>
      <c r="H20" s="28"/>
      <c r="I20" s="29"/>
      <c r="J20" s="32"/>
      <c r="K20" s="31">
        <v>16.170000000000002</v>
      </c>
      <c r="L20" s="30">
        <f>K20*E20</f>
        <v>7114.8000000000011</v>
      </c>
      <c r="M20" s="29">
        <f>K20+I20</f>
        <v>16.170000000000002</v>
      </c>
      <c r="N20" s="29">
        <f>M20*E20</f>
        <v>7114.8000000000011</v>
      </c>
    </row>
    <row r="21" spans="1:14" ht="17.25" thickTop="1" thickBot="1">
      <c r="A21" s="33"/>
      <c r="B21" s="34"/>
      <c r="C21" s="35" t="s">
        <v>30</v>
      </c>
      <c r="D21" s="35"/>
      <c r="E21" s="36"/>
      <c r="F21" s="65"/>
      <c r="G21" s="41"/>
      <c r="H21" s="41"/>
      <c r="I21" s="42"/>
      <c r="J21" s="42"/>
      <c r="K21" s="43"/>
      <c r="L21" s="43"/>
      <c r="M21" s="42"/>
      <c r="N21" s="42"/>
    </row>
    <row r="22" spans="1:14" ht="17.25" thickTop="1" thickBot="1">
      <c r="A22" s="7">
        <v>10</v>
      </c>
      <c r="B22" s="8">
        <v>33</v>
      </c>
      <c r="C22" s="50" t="s">
        <v>31</v>
      </c>
      <c r="D22" s="9" t="str">
        <f>D20</f>
        <v>Day Bin</v>
      </c>
      <c r="E22" s="10"/>
      <c r="F22" s="62" t="s">
        <v>32</v>
      </c>
      <c r="G22" s="11"/>
      <c r="H22" s="11"/>
      <c r="I22" s="12"/>
      <c r="J22" s="13"/>
      <c r="K22" s="14"/>
      <c r="L22" s="14"/>
      <c r="M22" s="12">
        <f>K22+I22</f>
        <v>0</v>
      </c>
      <c r="N22" s="13">
        <f>M22*E22</f>
        <v>0</v>
      </c>
    </row>
    <row r="23" spans="1:14" ht="31.5" thickTop="1" thickBot="1">
      <c r="A23" s="15">
        <v>11</v>
      </c>
      <c r="B23" s="16">
        <v>57</v>
      </c>
      <c r="C23" s="51" t="s">
        <v>33</v>
      </c>
      <c r="D23" s="17" t="str">
        <f>D22</f>
        <v>Day Bin</v>
      </c>
      <c r="E23" s="18"/>
      <c r="F23" s="63" t="s">
        <v>29</v>
      </c>
      <c r="G23" s="19"/>
      <c r="H23" s="19"/>
      <c r="I23" s="20"/>
      <c r="J23" s="23"/>
      <c r="K23" s="22"/>
      <c r="L23" s="22"/>
      <c r="M23" s="20">
        <f t="shared" ref="M23:M24" si="4">K23+I23</f>
        <v>0</v>
      </c>
      <c r="N23" s="23">
        <f t="shared" ref="N23:N24" si="5">M23*E23</f>
        <v>0</v>
      </c>
    </row>
    <row r="24" spans="1:14" ht="17.25" thickTop="1" thickBot="1">
      <c r="A24" s="24">
        <v>12</v>
      </c>
      <c r="B24" s="25"/>
      <c r="C24" s="52" t="s">
        <v>34</v>
      </c>
      <c r="D24" s="26" t="str">
        <f>D23</f>
        <v>Day Bin</v>
      </c>
      <c r="E24" s="27"/>
      <c r="F24" s="64" t="s">
        <v>35</v>
      </c>
      <c r="G24" s="28"/>
      <c r="H24" s="28"/>
      <c r="I24" s="29"/>
      <c r="J24" s="23"/>
      <c r="K24" s="31"/>
      <c r="L24" s="31"/>
      <c r="M24" s="29">
        <f t="shared" si="4"/>
        <v>0</v>
      </c>
      <c r="N24" s="32">
        <f t="shared" si="5"/>
        <v>0</v>
      </c>
    </row>
    <row r="25" spans="1:14" ht="16.5" thickTop="1" thickBot="1">
      <c r="A25" s="33"/>
      <c r="B25" s="34" t="s">
        <v>36</v>
      </c>
      <c r="C25" s="5" t="s">
        <v>37</v>
      </c>
      <c r="D25" s="5"/>
      <c r="E25" s="36"/>
      <c r="F25" s="65"/>
      <c r="G25" s="41"/>
      <c r="H25" s="41"/>
      <c r="I25" s="42"/>
      <c r="J25" s="42"/>
      <c r="K25" s="42"/>
      <c r="L25" s="42"/>
      <c r="M25" s="42"/>
      <c r="N25" s="42"/>
    </row>
    <row r="26" spans="1:14" ht="121.5" thickTop="1" thickBot="1">
      <c r="A26" s="53">
        <v>13</v>
      </c>
      <c r="B26" s="54">
        <v>16</v>
      </c>
      <c r="C26" s="55" t="s">
        <v>38</v>
      </c>
      <c r="D26" s="9" t="str">
        <f>D24</f>
        <v>Day Bin</v>
      </c>
      <c r="E26" s="56"/>
      <c r="F26" s="66" t="s">
        <v>39</v>
      </c>
      <c r="G26" s="11"/>
      <c r="H26" s="11"/>
      <c r="I26" s="11"/>
      <c r="J26" s="57"/>
      <c r="K26" s="58"/>
      <c r="L26" s="58"/>
      <c r="M26" s="58">
        <f>K26+I26</f>
        <v>0</v>
      </c>
      <c r="N26" s="11">
        <f>M26*E26</f>
        <v>0</v>
      </c>
    </row>
    <row r="27" spans="1:14" ht="16.5" thickTop="1" thickBot="1">
      <c r="A27" s="59"/>
      <c r="B27" s="59" t="s">
        <v>40</v>
      </c>
      <c r="C27" s="5" t="s">
        <v>13</v>
      </c>
      <c r="D27" s="5"/>
      <c r="E27" s="59"/>
      <c r="F27" s="59"/>
      <c r="G27" s="41"/>
      <c r="H27" s="41"/>
      <c r="I27" s="41"/>
      <c r="J27" s="60">
        <f>SUM(J11:J26)</f>
        <v>0</v>
      </c>
      <c r="K27" s="61"/>
      <c r="L27" s="60">
        <f>SUM(L11:L26)</f>
        <v>203568.80000000002</v>
      </c>
      <c r="M27" s="60"/>
      <c r="N27" s="60">
        <f>SUM(N11:N26)</f>
        <v>203568.80000000002</v>
      </c>
    </row>
    <row r="28" spans="1:14" ht="15.75" thickTop="1"/>
    <row r="34" spans="12:12">
      <c r="L34" s="178">
        <f>L27+'RA 2'!L30</f>
        <v>2234195.1428888887</v>
      </c>
    </row>
  </sheetData>
  <mergeCells count="6">
    <mergeCell ref="K2:N2"/>
    <mergeCell ref="K3:N3"/>
    <mergeCell ref="G8:H8"/>
    <mergeCell ref="I8:J8"/>
    <mergeCell ref="K8:L8"/>
    <mergeCell ref="M8:N8"/>
  </mergeCells>
  <printOptions horizontalCentered="1"/>
  <pageMargins left="0" right="0" top="0.25" bottom="0.25" header="0.3" footer="0.3"/>
  <pageSetup paperSize="9" scale="77"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tabSelected="1" view="pageBreakPreview" topLeftCell="B1" zoomScale="85" zoomScaleNormal="100" zoomScaleSheetLayoutView="85" workbookViewId="0">
      <pane ySplit="6" topLeftCell="A10" activePane="bottomLeft" state="frozen"/>
      <selection pane="bottomLeft" activeCell="I13" sqref="I13:I17"/>
    </sheetView>
  </sheetViews>
  <sheetFormatPr defaultRowHeight="15"/>
  <cols>
    <col min="1" max="1" width="5.85546875" customWidth="1"/>
    <col min="2" max="2" width="8.42578125" customWidth="1"/>
    <col min="3" max="3" width="63.85546875" customWidth="1"/>
    <col min="4" max="4" width="12" customWidth="1"/>
    <col min="5" max="5" width="6.42578125" customWidth="1"/>
    <col min="6" max="6" width="5.7109375" customWidth="1"/>
    <col min="10" max="10" width="12.140625" customWidth="1"/>
    <col min="12" max="12" width="12.7109375" customWidth="1"/>
    <col min="14" max="14" width="12.5703125" bestFit="1" customWidth="1"/>
  </cols>
  <sheetData>
    <row r="1" spans="1:26">
      <c r="A1" s="1" t="s">
        <v>0</v>
      </c>
      <c r="B1" s="1"/>
      <c r="C1" s="1"/>
      <c r="D1" s="1"/>
      <c r="E1" s="1"/>
      <c r="F1" s="1"/>
      <c r="G1" s="1"/>
      <c r="H1" s="1"/>
      <c r="I1" s="1"/>
      <c r="J1" s="1"/>
      <c r="K1" s="1"/>
      <c r="L1" s="1"/>
      <c r="M1" s="1"/>
      <c r="N1" s="3" t="s">
        <v>49</v>
      </c>
    </row>
    <row r="2" spans="1:26">
      <c r="A2" s="2" t="s">
        <v>1</v>
      </c>
      <c r="B2" s="2"/>
      <c r="C2" s="2"/>
      <c r="D2" s="2"/>
      <c r="E2" s="2"/>
      <c r="F2" s="2"/>
      <c r="G2" s="2"/>
      <c r="H2" s="2"/>
      <c r="I2" s="2"/>
      <c r="J2" s="2"/>
      <c r="K2" s="194" t="s">
        <v>48</v>
      </c>
      <c r="L2" s="194"/>
      <c r="M2" s="194"/>
      <c r="N2" s="194"/>
    </row>
    <row r="3" spans="1:26">
      <c r="A3" s="2" t="s">
        <v>2</v>
      </c>
      <c r="B3" s="2"/>
      <c r="C3" s="2"/>
      <c r="D3" s="2"/>
      <c r="E3" s="2"/>
      <c r="F3" s="2"/>
      <c r="G3" s="2"/>
      <c r="H3" s="2"/>
      <c r="I3" s="2"/>
      <c r="J3" s="2"/>
      <c r="K3" s="194" t="s">
        <v>3</v>
      </c>
      <c r="L3" s="194"/>
      <c r="M3" s="194"/>
      <c r="N3" s="194"/>
    </row>
    <row r="4" spans="1:26" ht="15.75" thickBot="1"/>
    <row r="5" spans="1:26" ht="16.5" thickTop="1" thickBot="1">
      <c r="A5" s="5" t="s">
        <v>4</v>
      </c>
      <c r="B5" s="5" t="s">
        <v>5</v>
      </c>
      <c r="C5" s="5" t="s">
        <v>6</v>
      </c>
      <c r="D5" s="5" t="s">
        <v>7</v>
      </c>
      <c r="E5" s="5" t="s">
        <v>8</v>
      </c>
      <c r="F5" s="5" t="s">
        <v>9</v>
      </c>
      <c r="G5" s="195" t="s">
        <v>10</v>
      </c>
      <c r="H5" s="195"/>
      <c r="I5" s="195" t="s">
        <v>11</v>
      </c>
      <c r="J5" s="195"/>
      <c r="K5" s="195" t="s">
        <v>12</v>
      </c>
      <c r="L5" s="195"/>
      <c r="M5" s="195" t="s">
        <v>13</v>
      </c>
      <c r="N5" s="195"/>
    </row>
    <row r="6" spans="1:26" ht="16.5" thickTop="1" thickBot="1">
      <c r="A6" s="5"/>
      <c r="B6" s="5"/>
      <c r="C6" s="5"/>
      <c r="D6" s="5"/>
      <c r="E6" s="5"/>
      <c r="F6" s="5"/>
      <c r="G6" s="5" t="s">
        <v>14</v>
      </c>
      <c r="H6" s="5" t="s">
        <v>15</v>
      </c>
      <c r="I6" s="5" t="s">
        <v>14</v>
      </c>
      <c r="J6" s="5" t="s">
        <v>15</v>
      </c>
      <c r="K6" s="5" t="s">
        <v>14</v>
      </c>
      <c r="L6" s="5" t="s">
        <v>15</v>
      </c>
      <c r="M6" s="5" t="s">
        <v>14</v>
      </c>
      <c r="N6" s="5" t="s">
        <v>15</v>
      </c>
    </row>
    <row r="7" spans="1:26" ht="15.75" thickTop="1">
      <c r="A7" s="67"/>
      <c r="B7" s="68" t="s">
        <v>16</v>
      </c>
      <c r="C7" s="67" t="s">
        <v>17</v>
      </c>
      <c r="D7" s="67"/>
      <c r="E7" s="67"/>
      <c r="F7" s="67"/>
      <c r="G7" s="67"/>
      <c r="H7" s="67"/>
      <c r="I7" s="67"/>
      <c r="J7" s="67"/>
      <c r="K7" s="67"/>
      <c r="L7" s="67"/>
      <c r="M7" s="67"/>
      <c r="N7" s="67"/>
    </row>
    <row r="8" spans="1:26" s="94" customFormat="1" ht="45">
      <c r="A8" s="85">
        <v>1</v>
      </c>
      <c r="B8" s="86" t="s">
        <v>18</v>
      </c>
      <c r="C8" s="87" t="s">
        <v>19</v>
      </c>
      <c r="D8" s="87" t="s">
        <v>41</v>
      </c>
      <c r="E8" s="88">
        <v>180</v>
      </c>
      <c r="F8" s="89" t="s">
        <v>20</v>
      </c>
      <c r="G8" s="90"/>
      <c r="H8" s="90"/>
      <c r="I8" s="91"/>
      <c r="J8" s="92"/>
      <c r="K8" s="93"/>
      <c r="L8" s="93"/>
      <c r="M8" s="91">
        <f>K8+I8</f>
        <v>0</v>
      </c>
      <c r="N8" s="92">
        <f>M8*E8</f>
        <v>0</v>
      </c>
    </row>
    <row r="9" spans="1:26" s="94" customFormat="1" ht="75">
      <c r="A9" s="85">
        <v>2</v>
      </c>
      <c r="B9" s="86">
        <v>2</v>
      </c>
      <c r="C9" s="87" t="s">
        <v>21</v>
      </c>
      <c r="D9" s="87" t="s">
        <v>41</v>
      </c>
      <c r="E9" s="88">
        <v>85</v>
      </c>
      <c r="F9" s="89" t="s">
        <v>20</v>
      </c>
      <c r="G9" s="90"/>
      <c r="H9" s="90"/>
      <c r="I9" s="91"/>
      <c r="J9" s="92"/>
      <c r="K9" s="95"/>
      <c r="L9" s="93"/>
      <c r="M9" s="91">
        <f t="shared" ref="M9:M10" si="0">K9+I9</f>
        <v>0</v>
      </c>
      <c r="N9" s="92">
        <f t="shared" ref="N9:N10" si="1">M9*E9</f>
        <v>0</v>
      </c>
    </row>
    <row r="10" spans="1:26" s="94" customFormat="1" ht="15.75">
      <c r="A10" s="85">
        <v>3</v>
      </c>
      <c r="B10" s="86" t="s">
        <v>22</v>
      </c>
      <c r="C10" s="87" t="s">
        <v>23</v>
      </c>
      <c r="D10" s="87" t="s">
        <v>41</v>
      </c>
      <c r="E10" s="88">
        <v>60</v>
      </c>
      <c r="F10" s="89" t="s">
        <v>20</v>
      </c>
      <c r="G10" s="90"/>
      <c r="H10" s="90"/>
      <c r="I10" s="91">
        <v>151.37</v>
      </c>
      <c r="J10" s="92">
        <f>I10*E10</f>
        <v>9082.2000000000007</v>
      </c>
      <c r="K10" s="96"/>
      <c r="L10" s="93"/>
      <c r="M10" s="91">
        <f t="shared" si="0"/>
        <v>151.37</v>
      </c>
      <c r="N10" s="92">
        <f t="shared" si="1"/>
        <v>9082.2000000000007</v>
      </c>
    </row>
    <row r="11" spans="1:26" s="94" customFormat="1" ht="15.75">
      <c r="A11" s="85"/>
      <c r="B11" s="86"/>
      <c r="C11" s="87" t="s">
        <v>54</v>
      </c>
      <c r="D11" s="87" t="str">
        <f>D10</f>
        <v>Day Bin</v>
      </c>
      <c r="E11" s="88">
        <v>25</v>
      </c>
      <c r="F11" s="89" t="s">
        <v>29</v>
      </c>
      <c r="G11" s="90"/>
      <c r="H11" s="90"/>
      <c r="I11" s="91"/>
      <c r="J11" s="92"/>
      <c r="K11" s="96">
        <v>504.56</v>
      </c>
      <c r="L11" s="93">
        <f>K11*E11</f>
        <v>12614</v>
      </c>
      <c r="M11" s="91">
        <f t="shared" ref="M11" si="2">K11+I11</f>
        <v>504.56</v>
      </c>
      <c r="N11" s="92">
        <f t="shared" ref="N11" si="3">M11*E11</f>
        <v>12614</v>
      </c>
    </row>
    <row r="12" spans="1:26" ht="15.75">
      <c r="A12" s="69"/>
      <c r="B12" s="70" t="s">
        <v>24</v>
      </c>
      <c r="C12" s="71" t="s">
        <v>25</v>
      </c>
      <c r="D12" s="71"/>
      <c r="E12" s="72"/>
      <c r="F12" s="73"/>
      <c r="G12" s="74"/>
      <c r="H12" s="74"/>
      <c r="I12" s="70"/>
      <c r="J12" s="70"/>
      <c r="K12" s="75"/>
      <c r="L12" s="75"/>
      <c r="M12" s="70"/>
      <c r="N12" s="70"/>
    </row>
    <row r="13" spans="1:26" s="94" customFormat="1" ht="105">
      <c r="A13" s="85">
        <v>4</v>
      </c>
      <c r="B13" s="86">
        <v>6</v>
      </c>
      <c r="C13" s="87" t="s">
        <v>42</v>
      </c>
      <c r="D13" s="87" t="s">
        <v>41</v>
      </c>
      <c r="E13" s="88">
        <v>2300</v>
      </c>
      <c r="F13" s="89" t="s">
        <v>20</v>
      </c>
      <c r="G13" s="90"/>
      <c r="H13" s="90"/>
      <c r="I13" s="91"/>
      <c r="J13" s="92"/>
      <c r="K13" s="93"/>
      <c r="L13" s="93"/>
      <c r="M13" s="91">
        <f>K13+I13</f>
        <v>0</v>
      </c>
      <c r="N13" s="92">
        <f>M13*E13</f>
        <v>0</v>
      </c>
      <c r="V13" s="94">
        <f>914.5/1.18</f>
        <v>775</v>
      </c>
      <c r="W13" s="94">
        <f>V13*0.18</f>
        <v>139.5</v>
      </c>
      <c r="X13" s="94">
        <f>W13+V13</f>
        <v>914.5</v>
      </c>
    </row>
    <row r="14" spans="1:26" s="94" customFormat="1" ht="105">
      <c r="A14" s="85"/>
      <c r="B14" s="97"/>
      <c r="C14" s="87" t="s">
        <v>43</v>
      </c>
      <c r="D14" s="87" t="str">
        <f>D13</f>
        <v>Day Bin</v>
      </c>
      <c r="E14" s="88">
        <f>E13+(E13*10%)</f>
        <v>2530</v>
      </c>
      <c r="F14" s="89" t="str">
        <f>F13</f>
        <v>m3</v>
      </c>
      <c r="G14" s="90"/>
      <c r="H14" s="90"/>
      <c r="I14" s="91">
        <v>74.06</v>
      </c>
      <c r="J14" s="92">
        <f>I14*E14</f>
        <v>187371.80000000002</v>
      </c>
      <c r="K14" s="93"/>
      <c r="L14" s="93"/>
      <c r="M14" s="91">
        <f>K14+I14</f>
        <v>74.06</v>
      </c>
      <c r="N14" s="92">
        <f>M14*E14</f>
        <v>187371.80000000002</v>
      </c>
      <c r="Z14" s="94" t="s">
        <v>59</v>
      </c>
    </row>
    <row r="15" spans="1:26" s="94" customFormat="1" ht="15.75">
      <c r="A15" s="85">
        <v>6</v>
      </c>
      <c r="B15" s="86">
        <v>13</v>
      </c>
      <c r="C15" s="87" t="s">
        <v>50</v>
      </c>
      <c r="D15" s="87" t="s">
        <v>41</v>
      </c>
      <c r="E15" s="88">
        <v>2750</v>
      </c>
      <c r="F15" s="89" t="s">
        <v>20</v>
      </c>
      <c r="G15" s="90"/>
      <c r="H15" s="90"/>
      <c r="I15" s="91"/>
      <c r="J15" s="92"/>
      <c r="K15" s="96"/>
      <c r="L15" s="93"/>
      <c r="M15" s="91">
        <f t="shared" ref="M15:M17" si="4">K15+I15</f>
        <v>0</v>
      </c>
      <c r="N15" s="92">
        <f t="shared" ref="N15:N17" si="5">M15*E15</f>
        <v>0</v>
      </c>
    </row>
    <row r="16" spans="1:26" s="94" customFormat="1" ht="15.75">
      <c r="A16" s="85">
        <v>7</v>
      </c>
      <c r="B16" s="86">
        <v>11</v>
      </c>
      <c r="C16" s="87" t="s">
        <v>51</v>
      </c>
      <c r="D16" s="87" t="s">
        <v>41</v>
      </c>
      <c r="E16" s="89">
        <f>E15+(E15*10%)</f>
        <v>3025</v>
      </c>
      <c r="F16" s="89" t="str">
        <f>F15</f>
        <v>m3</v>
      </c>
      <c r="G16" s="90"/>
      <c r="H16" s="90"/>
      <c r="I16" s="91"/>
      <c r="J16" s="98"/>
      <c r="K16" s="92"/>
      <c r="L16" s="96"/>
      <c r="M16" s="91">
        <f t="shared" si="4"/>
        <v>0</v>
      </c>
      <c r="N16" s="92">
        <f t="shared" si="5"/>
        <v>0</v>
      </c>
    </row>
    <row r="17" spans="1:14" s="94" customFormat="1" ht="15.75">
      <c r="A17" s="85">
        <v>7</v>
      </c>
      <c r="B17" s="86">
        <v>11</v>
      </c>
      <c r="C17" s="87" t="s">
        <v>51</v>
      </c>
      <c r="D17" s="87" t="s">
        <v>41</v>
      </c>
      <c r="E17" s="89">
        <f>E15+(E15*20%)</f>
        <v>3300</v>
      </c>
      <c r="F17" s="89" t="str">
        <f>F16</f>
        <v>m3</v>
      </c>
      <c r="G17" s="90"/>
      <c r="H17" s="90"/>
      <c r="I17" s="91"/>
      <c r="J17" s="98"/>
      <c r="K17" s="92">
        <v>289.8</v>
      </c>
      <c r="L17" s="96">
        <f>K17*E17</f>
        <v>956340</v>
      </c>
      <c r="M17" s="91">
        <f t="shared" si="4"/>
        <v>289.8</v>
      </c>
      <c r="N17" s="92">
        <f t="shared" si="5"/>
        <v>956340</v>
      </c>
    </row>
    <row r="18" spans="1:14" ht="15.75">
      <c r="A18" s="69"/>
      <c r="B18" s="70" t="s">
        <v>27</v>
      </c>
      <c r="C18" s="71" t="s">
        <v>28</v>
      </c>
      <c r="D18" s="71"/>
      <c r="E18" s="72"/>
      <c r="F18" s="73"/>
      <c r="G18" s="77"/>
      <c r="H18" s="77"/>
      <c r="I18" s="78"/>
      <c r="J18" s="78"/>
      <c r="K18" s="79"/>
      <c r="L18" s="79"/>
      <c r="M18" s="78"/>
      <c r="N18" s="78"/>
    </row>
    <row r="19" spans="1:14" s="94" customFormat="1" ht="105">
      <c r="A19" s="99">
        <v>8</v>
      </c>
      <c r="B19" s="100"/>
      <c r="C19" s="101" t="s">
        <v>44</v>
      </c>
      <c r="D19" s="87" t="s">
        <v>41</v>
      </c>
      <c r="E19" s="102">
        <v>400</v>
      </c>
      <c r="F19" s="103" t="s">
        <v>29</v>
      </c>
      <c r="G19" s="104"/>
      <c r="H19" s="104"/>
      <c r="I19" s="91"/>
      <c r="J19" s="91"/>
      <c r="K19" s="96"/>
      <c r="L19" s="96"/>
      <c r="M19" s="91">
        <f>K19+I19</f>
        <v>0</v>
      </c>
      <c r="N19" s="91">
        <f>M19*E19</f>
        <v>0</v>
      </c>
    </row>
    <row r="20" spans="1:14" s="94" customFormat="1" ht="120">
      <c r="A20" s="85">
        <v>9</v>
      </c>
      <c r="B20" s="86">
        <v>21</v>
      </c>
      <c r="C20" s="87" t="s">
        <v>45</v>
      </c>
      <c r="D20" s="87" t="s">
        <v>41</v>
      </c>
      <c r="E20" s="88">
        <f>E19+(E19*10%)</f>
        <v>440</v>
      </c>
      <c r="F20" s="89" t="s">
        <v>29</v>
      </c>
      <c r="G20" s="90"/>
      <c r="H20" s="90"/>
      <c r="I20" s="91">
        <v>16.170000000000002</v>
      </c>
      <c r="J20" s="92">
        <f>I20*E20</f>
        <v>7114.8000000000011</v>
      </c>
      <c r="K20" s="93"/>
      <c r="L20" s="96"/>
      <c r="M20" s="91">
        <f>K20+I20</f>
        <v>16.170000000000002</v>
      </c>
      <c r="N20" s="91">
        <f>M20*E20</f>
        <v>7114.8000000000011</v>
      </c>
    </row>
    <row r="21" spans="1:14" s="94" customFormat="1" ht="120">
      <c r="A21" s="85"/>
      <c r="B21" s="86"/>
      <c r="C21" s="87" t="s">
        <v>55</v>
      </c>
      <c r="D21" s="87" t="s">
        <v>41</v>
      </c>
      <c r="E21" s="88">
        <f>E19+(E19*20%)</f>
        <v>480</v>
      </c>
      <c r="F21" s="89" t="s">
        <v>29</v>
      </c>
      <c r="G21" s="90"/>
      <c r="H21" s="90"/>
      <c r="I21" s="91"/>
      <c r="J21" s="92"/>
      <c r="K21" s="93">
        <v>80.669999999999987</v>
      </c>
      <c r="L21" s="96">
        <f>K21*E21</f>
        <v>38721.599999999991</v>
      </c>
      <c r="M21" s="91">
        <f>K21+I21</f>
        <v>80.669999999999987</v>
      </c>
      <c r="N21" s="91">
        <f>M21*E21</f>
        <v>38721.599999999991</v>
      </c>
    </row>
    <row r="22" spans="1:14" ht="15.75">
      <c r="A22" s="69"/>
      <c r="B22" s="70"/>
      <c r="C22" s="71" t="s">
        <v>30</v>
      </c>
      <c r="D22" s="71"/>
      <c r="E22" s="72"/>
      <c r="F22" s="73"/>
      <c r="G22" s="77"/>
      <c r="H22" s="77"/>
      <c r="I22" s="78"/>
      <c r="J22" s="78"/>
      <c r="K22" s="79"/>
      <c r="L22" s="79"/>
      <c r="M22" s="78"/>
      <c r="N22" s="78"/>
    </row>
    <row r="23" spans="1:14" s="94" customFormat="1" ht="15.75">
      <c r="A23" s="85">
        <v>10</v>
      </c>
      <c r="B23" s="86">
        <v>33</v>
      </c>
      <c r="C23" s="105" t="s">
        <v>31</v>
      </c>
      <c r="D23" s="87" t="str">
        <f>D20</f>
        <v>Day Bin</v>
      </c>
      <c r="E23" s="88">
        <v>220</v>
      </c>
      <c r="F23" s="89" t="s">
        <v>32</v>
      </c>
      <c r="G23" s="90"/>
      <c r="H23" s="90"/>
      <c r="I23" s="91"/>
      <c r="J23" s="92"/>
      <c r="K23" s="93"/>
      <c r="L23" s="93"/>
      <c r="M23" s="91">
        <f>K23+I23</f>
        <v>0</v>
      </c>
      <c r="N23" s="92">
        <f>M23*E23</f>
        <v>0</v>
      </c>
    </row>
    <row r="24" spans="1:14" s="94" customFormat="1" ht="30">
      <c r="A24" s="85">
        <v>11</v>
      </c>
      <c r="B24" s="86">
        <v>57</v>
      </c>
      <c r="C24" s="106" t="s">
        <v>33</v>
      </c>
      <c r="D24" s="87" t="str">
        <f>D23</f>
        <v>Day Bin</v>
      </c>
      <c r="E24" s="88">
        <v>130</v>
      </c>
      <c r="F24" s="89" t="s">
        <v>29</v>
      </c>
      <c r="G24" s="90"/>
      <c r="H24" s="90"/>
      <c r="I24" s="91"/>
      <c r="J24" s="92"/>
      <c r="K24" s="93"/>
      <c r="L24" s="93"/>
      <c r="M24" s="91">
        <f t="shared" ref="M24:M25" si="6">K24+I24</f>
        <v>0</v>
      </c>
      <c r="N24" s="92">
        <f t="shared" ref="N24:N25" si="7">M24*E24</f>
        <v>0</v>
      </c>
    </row>
    <row r="25" spans="1:14" s="94" customFormat="1" ht="15.75">
      <c r="A25" s="85">
        <v>12</v>
      </c>
      <c r="B25" s="86"/>
      <c r="C25" s="106" t="s">
        <v>34</v>
      </c>
      <c r="D25" s="87" t="str">
        <f>D24</f>
        <v>Day Bin</v>
      </c>
      <c r="E25" s="88">
        <v>500</v>
      </c>
      <c r="F25" s="89" t="s">
        <v>35</v>
      </c>
      <c r="G25" s="90"/>
      <c r="H25" s="90"/>
      <c r="I25" s="91"/>
      <c r="J25" s="92"/>
      <c r="K25" s="93"/>
      <c r="L25" s="93"/>
      <c r="M25" s="91">
        <f t="shared" si="6"/>
        <v>0</v>
      </c>
      <c r="N25" s="92">
        <f t="shared" si="7"/>
        <v>0</v>
      </c>
    </row>
    <row r="26" spans="1:14">
      <c r="A26" s="69"/>
      <c r="B26" s="70" t="s">
        <v>36</v>
      </c>
      <c r="C26" s="81" t="s">
        <v>37</v>
      </c>
      <c r="D26" s="81"/>
      <c r="E26" s="72"/>
      <c r="F26" s="73"/>
      <c r="G26" s="77"/>
      <c r="H26" s="77"/>
      <c r="I26" s="78"/>
      <c r="J26" s="78"/>
      <c r="K26" s="78"/>
      <c r="L26" s="78"/>
      <c r="M26" s="78"/>
      <c r="N26" s="78"/>
    </row>
    <row r="27" spans="1:14" s="94" customFormat="1" ht="135">
      <c r="A27" s="99">
        <v>13</v>
      </c>
      <c r="B27" s="92">
        <v>16</v>
      </c>
      <c r="C27" s="106" t="s">
        <v>56</v>
      </c>
      <c r="D27" s="87" t="str">
        <f>D25</f>
        <v>Day Bin</v>
      </c>
      <c r="E27" s="102">
        <v>8500</v>
      </c>
      <c r="F27" s="103" t="s">
        <v>39</v>
      </c>
      <c r="G27" s="90"/>
      <c r="H27" s="90"/>
      <c r="I27" s="90"/>
      <c r="J27" s="90"/>
      <c r="K27" s="90"/>
      <c r="L27" s="90"/>
      <c r="M27" s="90">
        <f>K27+I27</f>
        <v>0</v>
      </c>
      <c r="N27" s="90">
        <f>M27*E27</f>
        <v>0</v>
      </c>
    </row>
    <row r="28" spans="1:14" s="94" customFormat="1" ht="135">
      <c r="A28" s="99"/>
      <c r="B28" s="92"/>
      <c r="C28" s="106" t="s">
        <v>57</v>
      </c>
      <c r="D28" s="87" t="str">
        <f>D27</f>
        <v>Day Bin</v>
      </c>
      <c r="E28" s="102">
        <f>E27+(E27*10%)</f>
        <v>9350</v>
      </c>
      <c r="F28" s="103" t="s">
        <v>39</v>
      </c>
      <c r="G28" s="90"/>
      <c r="H28" s="90"/>
      <c r="I28" s="90"/>
      <c r="J28" s="90"/>
      <c r="K28" s="90"/>
      <c r="L28" s="90"/>
      <c r="M28" s="90"/>
      <c r="N28" s="90"/>
    </row>
    <row r="29" spans="1:14" s="94" customFormat="1" ht="135">
      <c r="A29" s="99"/>
      <c r="B29" s="92"/>
      <c r="C29" s="106" t="s">
        <v>58</v>
      </c>
      <c r="D29" s="87" t="str">
        <f t="shared" ref="D29" si="8">D27</f>
        <v>Day Bin</v>
      </c>
      <c r="E29" s="102">
        <f>E27+(E27*20%)</f>
        <v>10200</v>
      </c>
      <c r="F29" s="103" t="s">
        <v>39</v>
      </c>
      <c r="G29" s="90"/>
      <c r="H29" s="90"/>
      <c r="I29" s="90"/>
      <c r="J29" s="90"/>
      <c r="K29" s="90">
        <v>100.28928851851853</v>
      </c>
      <c r="L29" s="90">
        <f>K29*E29</f>
        <v>1022950.742888889</v>
      </c>
      <c r="M29" s="90"/>
      <c r="N29" s="90"/>
    </row>
    <row r="30" spans="1:14" ht="15.75" thickBot="1">
      <c r="A30" s="82"/>
      <c r="B30" s="82" t="s">
        <v>40</v>
      </c>
      <c r="C30" s="80" t="s">
        <v>13</v>
      </c>
      <c r="D30" s="80"/>
      <c r="E30" s="82"/>
      <c r="F30" s="82"/>
      <c r="G30" s="76"/>
      <c r="H30" s="76"/>
      <c r="I30" s="76"/>
      <c r="J30" s="83">
        <f>SUM(J8:J27)</f>
        <v>203568.80000000002</v>
      </c>
      <c r="K30" s="84"/>
      <c r="L30" s="83">
        <f>SUM(L8:L29)</f>
        <v>2030626.3428888889</v>
      </c>
      <c r="M30" s="83"/>
      <c r="N30" s="83">
        <f>SUM(N8:N27)</f>
        <v>1211244.4000000001</v>
      </c>
    </row>
    <row r="31" spans="1:14" ht="15.75" thickTop="1"/>
    <row r="34" spans="12:12">
      <c r="L34" s="178">
        <f>L30+'RA1'!L27</f>
        <v>2234195.1428888887</v>
      </c>
    </row>
    <row r="35" spans="12:12">
      <c r="L35">
        <f>2130508.57+9990.29</f>
        <v>2140498.86</v>
      </c>
    </row>
    <row r="36" spans="12:12">
      <c r="L36" s="178">
        <f>L34-L35</f>
        <v>93696.282888888847</v>
      </c>
    </row>
  </sheetData>
  <mergeCells count="6">
    <mergeCell ref="K2:N2"/>
    <mergeCell ref="K3:N3"/>
    <mergeCell ref="G5:H5"/>
    <mergeCell ref="I5:J5"/>
    <mergeCell ref="K5:L5"/>
    <mergeCell ref="M5:N5"/>
  </mergeCells>
  <printOptions horizontalCentered="1"/>
  <pageMargins left="0" right="0" top="0.5" bottom="0.25" header="0.3" footer="0.3"/>
  <pageSetup paperSize="9" scale="77" orientation="landscape" r:id="rId1"/>
  <rowBreaks count="2" manualBreakCount="2">
    <brk id="17" max="13" man="1"/>
    <brk id="25" max="1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view="pageBreakPreview" zoomScaleNormal="100" zoomScaleSheetLayoutView="100" workbookViewId="0">
      <pane ySplit="6" topLeftCell="A28" activePane="bottomLeft" state="frozen"/>
      <selection pane="bottomLeft" activeCell="J30" sqref="J30"/>
    </sheetView>
  </sheetViews>
  <sheetFormatPr defaultRowHeight="15"/>
  <cols>
    <col min="1" max="1" width="5.85546875" customWidth="1"/>
    <col min="2" max="2" width="8.42578125" customWidth="1"/>
    <col min="3" max="3" width="63.85546875" customWidth="1"/>
    <col min="4" max="4" width="12" customWidth="1"/>
    <col min="5" max="5" width="6.42578125" customWidth="1"/>
    <col min="6" max="6" width="5.7109375" customWidth="1"/>
    <col min="10" max="10" width="12.140625" customWidth="1"/>
    <col min="12" max="12" width="12.7109375" customWidth="1"/>
    <col min="14" max="14" width="12.5703125" bestFit="1" customWidth="1"/>
  </cols>
  <sheetData>
    <row r="1" spans="1:14">
      <c r="A1" s="1" t="s">
        <v>0</v>
      </c>
      <c r="B1" s="1"/>
      <c r="C1" s="1"/>
      <c r="D1" s="1"/>
      <c r="E1" s="1"/>
      <c r="F1" s="1"/>
      <c r="G1" s="1"/>
      <c r="H1" s="1"/>
      <c r="I1" s="1"/>
      <c r="J1" s="1"/>
      <c r="K1" s="1"/>
      <c r="L1" s="1"/>
      <c r="M1" s="1"/>
      <c r="N1" s="107" t="s">
        <v>148</v>
      </c>
    </row>
    <row r="2" spans="1:14">
      <c r="A2" s="2" t="s">
        <v>1</v>
      </c>
      <c r="B2" s="2"/>
      <c r="C2" s="2"/>
      <c r="D2" s="2"/>
      <c r="E2" s="2"/>
      <c r="F2" s="2"/>
      <c r="G2" s="2"/>
      <c r="H2" s="2"/>
      <c r="I2" s="2"/>
      <c r="J2" s="2"/>
      <c r="K2" s="194" t="s">
        <v>146</v>
      </c>
      <c r="L2" s="194"/>
      <c r="M2" s="194"/>
      <c r="N2" s="194"/>
    </row>
    <row r="3" spans="1:14">
      <c r="A3" s="2" t="s">
        <v>2</v>
      </c>
      <c r="B3" s="2"/>
      <c r="C3" s="2"/>
      <c r="D3" s="2"/>
      <c r="E3" s="2"/>
      <c r="F3" s="2"/>
      <c r="G3" s="2"/>
      <c r="H3" s="2"/>
      <c r="I3" s="2"/>
      <c r="J3" s="2"/>
      <c r="K3" s="194" t="s">
        <v>147</v>
      </c>
      <c r="L3" s="194"/>
      <c r="M3" s="194"/>
      <c r="N3" s="194"/>
    </row>
    <row r="4" spans="1:14" ht="15.75" thickBot="1"/>
    <row r="5" spans="1:14" ht="16.5" thickTop="1" thickBot="1">
      <c r="A5" s="5" t="s">
        <v>4</v>
      </c>
      <c r="B5" s="5" t="s">
        <v>5</v>
      </c>
      <c r="C5" s="5" t="s">
        <v>6</v>
      </c>
      <c r="D5" s="5" t="s">
        <v>7</v>
      </c>
      <c r="E5" s="5" t="s">
        <v>8</v>
      </c>
      <c r="F5" s="5" t="s">
        <v>9</v>
      </c>
      <c r="G5" s="195" t="s">
        <v>10</v>
      </c>
      <c r="H5" s="195"/>
      <c r="I5" s="195" t="s">
        <v>11</v>
      </c>
      <c r="J5" s="195"/>
      <c r="K5" s="195" t="s">
        <v>12</v>
      </c>
      <c r="L5" s="195"/>
      <c r="M5" s="195" t="s">
        <v>13</v>
      </c>
      <c r="N5" s="195"/>
    </row>
    <row r="6" spans="1:14" ht="16.5" thickTop="1" thickBot="1">
      <c r="A6" s="5"/>
      <c r="B6" s="5"/>
      <c r="C6" s="5"/>
      <c r="D6" s="5"/>
      <c r="E6" s="5"/>
      <c r="F6" s="5"/>
      <c r="G6" s="5" t="s">
        <v>14</v>
      </c>
      <c r="H6" s="5" t="s">
        <v>15</v>
      </c>
      <c r="I6" s="5" t="s">
        <v>14</v>
      </c>
      <c r="J6" s="5" t="s">
        <v>15</v>
      </c>
      <c r="K6" s="5" t="s">
        <v>14</v>
      </c>
      <c r="L6" s="5" t="s">
        <v>15</v>
      </c>
      <c r="M6" s="5" t="s">
        <v>14</v>
      </c>
      <c r="N6" s="5" t="s">
        <v>15</v>
      </c>
    </row>
    <row r="7" spans="1:14" ht="15.75" thickTop="1">
      <c r="A7" s="67"/>
      <c r="B7" s="68" t="s">
        <v>16</v>
      </c>
      <c r="C7" s="67" t="s">
        <v>17</v>
      </c>
      <c r="D7" s="67"/>
      <c r="E7" s="67"/>
      <c r="F7" s="67"/>
      <c r="G7" s="67"/>
      <c r="H7" s="67"/>
      <c r="I7" s="67"/>
      <c r="J7" s="67"/>
      <c r="K7" s="67"/>
      <c r="L7" s="67"/>
      <c r="M7" s="67"/>
      <c r="N7" s="67"/>
    </row>
    <row r="8" spans="1:14" ht="45">
      <c r="A8" s="85">
        <v>1</v>
      </c>
      <c r="B8" s="86" t="s">
        <v>18</v>
      </c>
      <c r="C8" s="87" t="s">
        <v>19</v>
      </c>
      <c r="D8" s="87" t="s">
        <v>41</v>
      </c>
      <c r="E8" s="88">
        <v>180</v>
      </c>
      <c r="F8" s="89" t="s">
        <v>20</v>
      </c>
      <c r="G8" s="90"/>
      <c r="H8" s="90"/>
      <c r="I8" s="91">
        <v>0</v>
      </c>
      <c r="J8" s="92"/>
      <c r="K8" s="93"/>
      <c r="L8" s="93">
        <f t="shared" ref="L8:L10" si="0">K8*E8</f>
        <v>0</v>
      </c>
      <c r="M8" s="91">
        <f>K8+I8</f>
        <v>0</v>
      </c>
      <c r="N8" s="92">
        <f>M8*E8</f>
        <v>0</v>
      </c>
    </row>
    <row r="9" spans="1:14" ht="75">
      <c r="A9" s="85">
        <v>2</v>
      </c>
      <c r="B9" s="86">
        <v>2</v>
      </c>
      <c r="C9" s="87" t="s">
        <v>21</v>
      </c>
      <c r="D9" s="87" t="s">
        <v>41</v>
      </c>
      <c r="E9" s="88">
        <v>85</v>
      </c>
      <c r="F9" s="89" t="s">
        <v>20</v>
      </c>
      <c r="G9" s="90"/>
      <c r="H9" s="90"/>
      <c r="I9" s="91">
        <v>0</v>
      </c>
      <c r="J9" s="92"/>
      <c r="K9" s="95">
        <f>'RA 3 Measurement'!H14</f>
        <v>2311.6889999999999</v>
      </c>
      <c r="L9" s="93">
        <f t="shared" si="0"/>
        <v>196493.56499999997</v>
      </c>
      <c r="M9" s="91">
        <f t="shared" ref="M9:M11" si="1">K9+I9</f>
        <v>2311.6889999999999</v>
      </c>
      <c r="N9" s="92">
        <f t="shared" ref="N9:N11" si="2">M9*E9</f>
        <v>196493.56499999997</v>
      </c>
    </row>
    <row r="10" spans="1:14" ht="15.75">
      <c r="A10" s="85">
        <v>3</v>
      </c>
      <c r="B10" s="86" t="s">
        <v>22</v>
      </c>
      <c r="C10" s="87" t="s">
        <v>23</v>
      </c>
      <c r="D10" s="87" t="s">
        <v>41</v>
      </c>
      <c r="E10" s="88">
        <v>60</v>
      </c>
      <c r="F10" s="89" t="s">
        <v>20</v>
      </c>
      <c r="G10" s="90"/>
      <c r="H10" s="90"/>
      <c r="I10" s="91">
        <v>151.37</v>
      </c>
      <c r="J10" s="92">
        <f>I10*E10</f>
        <v>9082.2000000000007</v>
      </c>
      <c r="K10" s="96"/>
      <c r="L10" s="93">
        <f t="shared" si="0"/>
        <v>0</v>
      </c>
      <c r="M10" s="91">
        <f t="shared" si="1"/>
        <v>151.37</v>
      </c>
      <c r="N10" s="92">
        <f t="shared" si="2"/>
        <v>9082.2000000000007</v>
      </c>
    </row>
    <row r="11" spans="1:14" ht="15.75">
      <c r="A11" s="85"/>
      <c r="B11" s="86"/>
      <c r="C11" s="87" t="s">
        <v>54</v>
      </c>
      <c r="D11" s="87" t="str">
        <f>D10</f>
        <v>Day Bin</v>
      </c>
      <c r="E11" s="88">
        <v>25</v>
      </c>
      <c r="F11" s="89" t="s">
        <v>29</v>
      </c>
      <c r="G11" s="90"/>
      <c r="H11" s="90"/>
      <c r="I11" s="91">
        <v>504.56</v>
      </c>
      <c r="J11" s="92">
        <f>I11*E11</f>
        <v>12614</v>
      </c>
      <c r="K11" s="175">
        <f>'RA 3 Measurement'!H21</f>
        <v>104.20500000000001</v>
      </c>
      <c r="L11" s="93">
        <f>K11*E11</f>
        <v>2605.1250000000005</v>
      </c>
      <c r="M11" s="91">
        <f t="shared" si="1"/>
        <v>608.76499999999999</v>
      </c>
      <c r="N11" s="92">
        <f t="shared" si="2"/>
        <v>15219.125</v>
      </c>
    </row>
    <row r="12" spans="1:14" ht="15.75">
      <c r="A12" s="69"/>
      <c r="B12" s="70" t="s">
        <v>24</v>
      </c>
      <c r="C12" s="71" t="s">
        <v>25</v>
      </c>
      <c r="D12" s="71"/>
      <c r="E12" s="72"/>
      <c r="F12" s="73"/>
      <c r="G12" s="74"/>
      <c r="H12" s="74"/>
      <c r="I12" s="70"/>
      <c r="J12" s="70"/>
      <c r="K12" s="75"/>
      <c r="L12" s="75"/>
      <c r="M12" s="70"/>
      <c r="N12" s="70"/>
    </row>
    <row r="13" spans="1:14" ht="105">
      <c r="A13" s="85">
        <v>4</v>
      </c>
      <c r="B13" s="86">
        <v>6</v>
      </c>
      <c r="C13" s="87" t="s">
        <v>42</v>
      </c>
      <c r="D13" s="87" t="s">
        <v>41</v>
      </c>
      <c r="E13" s="88">
        <v>2300</v>
      </c>
      <c r="F13" s="89" t="s">
        <v>20</v>
      </c>
      <c r="G13" s="90"/>
      <c r="H13" s="90"/>
      <c r="I13" s="91">
        <v>0</v>
      </c>
      <c r="J13" s="92"/>
      <c r="K13" s="176">
        <f>'RA 3 Measurement'!H28</f>
        <v>7.7435000000000009</v>
      </c>
      <c r="L13" s="96">
        <f t="shared" ref="L13:L16" si="3">K13*E13</f>
        <v>17810.050000000003</v>
      </c>
      <c r="M13" s="91">
        <f>K13+I13</f>
        <v>7.7435000000000009</v>
      </c>
      <c r="N13" s="92">
        <f>M13*E13</f>
        <v>17810.050000000003</v>
      </c>
    </row>
    <row r="14" spans="1:14" ht="105">
      <c r="A14" s="85"/>
      <c r="B14" s="97"/>
      <c r="C14" s="87" t="s">
        <v>43</v>
      </c>
      <c r="D14" s="87" t="str">
        <f>D13</f>
        <v>Day Bin</v>
      </c>
      <c r="E14" s="88">
        <f>E13+(E13*10%)</f>
        <v>2530</v>
      </c>
      <c r="F14" s="89" t="str">
        <f>F13</f>
        <v>m3</v>
      </c>
      <c r="G14" s="90"/>
      <c r="H14" s="90"/>
      <c r="I14" s="91">
        <v>74.06</v>
      </c>
      <c r="J14" s="92">
        <f>I14*E14</f>
        <v>187371.80000000002</v>
      </c>
      <c r="K14" s="93"/>
      <c r="L14" s="96">
        <f t="shared" si="3"/>
        <v>0</v>
      </c>
      <c r="M14" s="91">
        <f>K14+I14</f>
        <v>74.06</v>
      </c>
      <c r="N14" s="92">
        <f>M14*E14</f>
        <v>187371.80000000002</v>
      </c>
    </row>
    <row r="15" spans="1:14" ht="15.75">
      <c r="A15" s="85">
        <v>6</v>
      </c>
      <c r="B15" s="86">
        <v>13</v>
      </c>
      <c r="C15" s="87" t="s">
        <v>50</v>
      </c>
      <c r="D15" s="87" t="s">
        <v>41</v>
      </c>
      <c r="E15" s="88">
        <v>2750</v>
      </c>
      <c r="F15" s="89" t="s">
        <v>20</v>
      </c>
      <c r="G15" s="90"/>
      <c r="H15" s="90"/>
      <c r="I15" s="91">
        <v>0</v>
      </c>
      <c r="J15" s="92">
        <f t="shared" ref="J15:J17" si="4">I15*E15</f>
        <v>0</v>
      </c>
      <c r="K15" s="175">
        <f>'RA 3 Measurement'!H43</f>
        <v>205.31774999999999</v>
      </c>
      <c r="L15" s="96">
        <f t="shared" si="3"/>
        <v>564623.8125</v>
      </c>
      <c r="M15" s="91">
        <f t="shared" ref="M15:M17" si="5">K15+I15</f>
        <v>205.31774999999999</v>
      </c>
      <c r="N15" s="92">
        <f t="shared" ref="N15:N17" si="6">M15*E15</f>
        <v>564623.8125</v>
      </c>
    </row>
    <row r="16" spans="1:14" ht="15.75">
      <c r="A16" s="85">
        <v>7</v>
      </c>
      <c r="B16" s="86">
        <v>11</v>
      </c>
      <c r="C16" s="87" t="s">
        <v>51</v>
      </c>
      <c r="D16" s="87" t="s">
        <v>41</v>
      </c>
      <c r="E16" s="89">
        <f>E15+(E15*10%)</f>
        <v>3025</v>
      </c>
      <c r="F16" s="89" t="str">
        <f>F15</f>
        <v>m3</v>
      </c>
      <c r="G16" s="90"/>
      <c r="H16" s="90"/>
      <c r="I16" s="91">
        <v>0</v>
      </c>
      <c r="J16" s="92">
        <f t="shared" si="4"/>
        <v>0</v>
      </c>
      <c r="K16" s="92"/>
      <c r="L16" s="96">
        <f t="shared" si="3"/>
        <v>0</v>
      </c>
      <c r="M16" s="91">
        <f t="shared" si="5"/>
        <v>0</v>
      </c>
      <c r="N16" s="92">
        <f t="shared" si="6"/>
        <v>0</v>
      </c>
    </row>
    <row r="17" spans="1:14" ht="15.75">
      <c r="A17" s="85">
        <v>7</v>
      </c>
      <c r="B17" s="86">
        <v>11</v>
      </c>
      <c r="C17" s="87" t="s">
        <v>51</v>
      </c>
      <c r="D17" s="87" t="s">
        <v>41</v>
      </c>
      <c r="E17" s="89">
        <f>E15+(E15*20%)</f>
        <v>3300</v>
      </c>
      <c r="F17" s="89" t="str">
        <f>F16</f>
        <v>m3</v>
      </c>
      <c r="G17" s="90"/>
      <c r="H17" s="90"/>
      <c r="I17" s="91">
        <v>289.8</v>
      </c>
      <c r="J17" s="92">
        <f t="shared" si="4"/>
        <v>956340</v>
      </c>
      <c r="K17" s="92"/>
      <c r="L17" s="96">
        <f>K17*E17</f>
        <v>0</v>
      </c>
      <c r="M17" s="91">
        <f t="shared" si="5"/>
        <v>289.8</v>
      </c>
      <c r="N17" s="92">
        <f t="shared" si="6"/>
        <v>956340</v>
      </c>
    </row>
    <row r="18" spans="1:14" ht="15.75">
      <c r="A18" s="69"/>
      <c r="B18" s="70" t="s">
        <v>27</v>
      </c>
      <c r="C18" s="71" t="s">
        <v>28</v>
      </c>
      <c r="D18" s="71"/>
      <c r="E18" s="72"/>
      <c r="F18" s="73"/>
      <c r="G18" s="77"/>
      <c r="H18" s="77"/>
      <c r="I18" s="78"/>
      <c r="J18" s="78"/>
      <c r="K18" s="79"/>
      <c r="L18" s="79"/>
      <c r="M18" s="78"/>
      <c r="N18" s="78"/>
    </row>
    <row r="19" spans="1:14" ht="105">
      <c r="A19" s="99">
        <v>8</v>
      </c>
      <c r="B19" s="100"/>
      <c r="C19" s="101" t="s">
        <v>44</v>
      </c>
      <c r="D19" s="87" t="s">
        <v>41</v>
      </c>
      <c r="E19" s="102">
        <v>400</v>
      </c>
      <c r="F19" s="103" t="s">
        <v>29</v>
      </c>
      <c r="G19" s="104"/>
      <c r="H19" s="104"/>
      <c r="I19" s="91">
        <v>0</v>
      </c>
      <c r="J19" s="91"/>
      <c r="K19" s="175">
        <f>'RA 3 Measurement'!H60</f>
        <v>558.50700000000006</v>
      </c>
      <c r="L19" s="96">
        <f t="shared" ref="L19:L20" si="7">K19*E19</f>
        <v>223402.80000000002</v>
      </c>
      <c r="M19" s="91">
        <f>K19+I19</f>
        <v>558.50700000000006</v>
      </c>
      <c r="N19" s="91">
        <f>M19*E19</f>
        <v>223402.80000000002</v>
      </c>
    </row>
    <row r="20" spans="1:14" ht="120">
      <c r="A20" s="85">
        <v>9</v>
      </c>
      <c r="B20" s="86">
        <v>21</v>
      </c>
      <c r="C20" s="87" t="s">
        <v>45</v>
      </c>
      <c r="D20" s="87" t="s">
        <v>41</v>
      </c>
      <c r="E20" s="88">
        <f>E19+(E19*10%)</f>
        <v>440</v>
      </c>
      <c r="F20" s="89" t="s">
        <v>29</v>
      </c>
      <c r="G20" s="90"/>
      <c r="H20" s="90"/>
      <c r="I20" s="91">
        <v>16.170000000000002</v>
      </c>
      <c r="J20" s="92">
        <f>I20*E20</f>
        <v>7114.8000000000011</v>
      </c>
      <c r="K20" s="93"/>
      <c r="L20" s="96">
        <f t="shared" si="7"/>
        <v>0</v>
      </c>
      <c r="M20" s="91">
        <f>K20+I20</f>
        <v>16.170000000000002</v>
      </c>
      <c r="N20" s="91">
        <f>M20*E20</f>
        <v>7114.8000000000011</v>
      </c>
    </row>
    <row r="21" spans="1:14" ht="120">
      <c r="A21" s="85"/>
      <c r="B21" s="86"/>
      <c r="C21" s="87" t="s">
        <v>55</v>
      </c>
      <c r="D21" s="87" t="s">
        <v>41</v>
      </c>
      <c r="E21" s="88">
        <f>E19+(E19*20%)</f>
        <v>480</v>
      </c>
      <c r="F21" s="89" t="s">
        <v>29</v>
      </c>
      <c r="G21" s="90"/>
      <c r="H21" s="90"/>
      <c r="I21" s="91">
        <v>80.669999999999987</v>
      </c>
      <c r="J21" s="92">
        <f>I21*E21</f>
        <v>38721.599999999991</v>
      </c>
      <c r="K21" s="93"/>
      <c r="L21" s="96">
        <f>K21*E21</f>
        <v>0</v>
      </c>
      <c r="M21" s="91">
        <f>K21+I21</f>
        <v>80.669999999999987</v>
      </c>
      <c r="N21" s="91">
        <f>M21*E21</f>
        <v>38721.599999999991</v>
      </c>
    </row>
    <row r="22" spans="1:14" ht="15.75">
      <c r="A22" s="69"/>
      <c r="B22" s="70"/>
      <c r="C22" s="71" t="s">
        <v>30</v>
      </c>
      <c r="D22" s="71"/>
      <c r="E22" s="72"/>
      <c r="F22" s="73"/>
      <c r="G22" s="77"/>
      <c r="H22" s="77"/>
      <c r="I22" s="78"/>
      <c r="J22" s="78"/>
      <c r="K22" s="79"/>
      <c r="L22" s="79"/>
      <c r="M22" s="78"/>
      <c r="N22" s="78"/>
    </row>
    <row r="23" spans="1:14" ht="15.75">
      <c r="A23" s="85">
        <v>10</v>
      </c>
      <c r="B23" s="86">
        <v>33</v>
      </c>
      <c r="C23" s="105" t="s">
        <v>31</v>
      </c>
      <c r="D23" s="87" t="str">
        <f>D20</f>
        <v>Day Bin</v>
      </c>
      <c r="E23" s="88">
        <v>220</v>
      </c>
      <c r="F23" s="89" t="s">
        <v>32</v>
      </c>
      <c r="G23" s="90"/>
      <c r="H23" s="90"/>
      <c r="I23" s="91">
        <v>0</v>
      </c>
      <c r="J23" s="92"/>
      <c r="K23" s="93"/>
      <c r="L23" s="93"/>
      <c r="M23" s="91">
        <f>K23+I23</f>
        <v>0</v>
      </c>
      <c r="N23" s="92">
        <f>M23*E23</f>
        <v>0</v>
      </c>
    </row>
    <row r="24" spans="1:14" ht="30">
      <c r="A24" s="85">
        <v>11</v>
      </c>
      <c r="B24" s="86">
        <v>57</v>
      </c>
      <c r="C24" s="106" t="s">
        <v>33</v>
      </c>
      <c r="D24" s="87" t="str">
        <f>D23</f>
        <v>Day Bin</v>
      </c>
      <c r="E24" s="88">
        <v>130</v>
      </c>
      <c r="F24" s="89" t="s">
        <v>29</v>
      </c>
      <c r="G24" s="90"/>
      <c r="H24" s="90"/>
      <c r="I24" s="91">
        <v>0</v>
      </c>
      <c r="J24" s="92"/>
      <c r="K24" s="93"/>
      <c r="L24" s="93"/>
      <c r="M24" s="91">
        <f t="shared" ref="M24:M25" si="8">K24+I24</f>
        <v>0</v>
      </c>
      <c r="N24" s="92">
        <f t="shared" ref="N24:N25" si="9">M24*E24</f>
        <v>0</v>
      </c>
    </row>
    <row r="25" spans="1:14" ht="15.75">
      <c r="A25" s="85">
        <v>12</v>
      </c>
      <c r="B25" s="86"/>
      <c r="C25" s="106" t="s">
        <v>34</v>
      </c>
      <c r="D25" s="87" t="str">
        <f>D24</f>
        <v>Day Bin</v>
      </c>
      <c r="E25" s="88">
        <v>500</v>
      </c>
      <c r="F25" s="89" t="s">
        <v>35</v>
      </c>
      <c r="G25" s="90"/>
      <c r="H25" s="90"/>
      <c r="I25" s="91">
        <v>0</v>
      </c>
      <c r="J25" s="92"/>
      <c r="K25" s="93"/>
      <c r="L25" s="93"/>
      <c r="M25" s="91">
        <f t="shared" si="8"/>
        <v>0</v>
      </c>
      <c r="N25" s="92">
        <f t="shared" si="9"/>
        <v>0</v>
      </c>
    </row>
    <row r="26" spans="1:14">
      <c r="A26" s="69"/>
      <c r="B26" s="70" t="s">
        <v>36</v>
      </c>
      <c r="C26" s="81" t="s">
        <v>37</v>
      </c>
      <c r="D26" s="81"/>
      <c r="E26" s="72"/>
      <c r="F26" s="73"/>
      <c r="G26" s="77"/>
      <c r="H26" s="77"/>
      <c r="I26" s="78"/>
      <c r="J26" s="78"/>
      <c r="K26" s="78"/>
      <c r="L26" s="78"/>
      <c r="M26" s="78"/>
      <c r="N26" s="78"/>
    </row>
    <row r="27" spans="1:14" ht="135">
      <c r="A27" s="99">
        <v>13</v>
      </c>
      <c r="B27" s="92">
        <v>16</v>
      </c>
      <c r="C27" s="106" t="s">
        <v>56</v>
      </c>
      <c r="D27" s="87" t="str">
        <f>D25</f>
        <v>Day Bin</v>
      </c>
      <c r="E27" s="102">
        <v>8500</v>
      </c>
      <c r="F27" s="103" t="s">
        <v>39</v>
      </c>
      <c r="G27" s="90"/>
      <c r="H27" s="90"/>
      <c r="I27" s="90">
        <v>0</v>
      </c>
      <c r="J27" s="90"/>
      <c r="K27" s="90">
        <f>'RA 3 BBS'!J40</f>
        <v>14.14860444</v>
      </c>
      <c r="L27" s="90">
        <f t="shared" ref="L27:L28" si="10">K27*E27</f>
        <v>120263.13773999999</v>
      </c>
      <c r="M27" s="90">
        <f>K27+I27</f>
        <v>14.14860444</v>
      </c>
      <c r="N27" s="90">
        <f>M27*E27</f>
        <v>120263.13773999999</v>
      </c>
    </row>
    <row r="28" spans="1:14" ht="135">
      <c r="A28" s="99"/>
      <c r="B28" s="92"/>
      <c r="C28" s="106" t="s">
        <v>57</v>
      </c>
      <c r="D28" s="87" t="str">
        <f>D27</f>
        <v>Day Bin</v>
      </c>
      <c r="E28" s="102">
        <f>E27+(E27*10%)</f>
        <v>9350</v>
      </c>
      <c r="F28" s="103" t="s">
        <v>39</v>
      </c>
      <c r="G28" s="90"/>
      <c r="H28" s="90"/>
      <c r="I28" s="90"/>
      <c r="J28" s="90"/>
      <c r="K28" s="90"/>
      <c r="L28" s="90">
        <f t="shared" si="10"/>
        <v>0</v>
      </c>
      <c r="M28" s="90"/>
      <c r="N28" s="90"/>
    </row>
    <row r="29" spans="1:14" ht="135">
      <c r="A29" s="99"/>
      <c r="B29" s="92"/>
      <c r="C29" s="106" t="s">
        <v>58</v>
      </c>
      <c r="D29" s="87" t="str">
        <f t="shared" ref="D29" si="11">D27</f>
        <v>Day Bin</v>
      </c>
      <c r="E29" s="102">
        <f>E27+(E27*20%)</f>
        <v>10200</v>
      </c>
      <c r="F29" s="103" t="s">
        <v>39</v>
      </c>
      <c r="G29" s="90"/>
      <c r="H29" s="90"/>
      <c r="I29" s="90"/>
      <c r="J29" s="90"/>
      <c r="K29" s="90"/>
      <c r="L29" s="90">
        <f>K29*E29</f>
        <v>0</v>
      </c>
      <c r="M29" s="90"/>
      <c r="N29" s="90"/>
    </row>
    <row r="30" spans="1:14" ht="15.75" thickBot="1">
      <c r="A30" s="82"/>
      <c r="B30" s="82" t="s">
        <v>40</v>
      </c>
      <c r="C30" s="80" t="s">
        <v>13</v>
      </c>
      <c r="D30" s="80"/>
      <c r="E30" s="82"/>
      <c r="F30" s="82"/>
      <c r="G30" s="76"/>
      <c r="H30" s="76"/>
      <c r="I30" s="76"/>
      <c r="J30" s="83">
        <f>SUM(J8:J27)</f>
        <v>1211244.4000000001</v>
      </c>
      <c r="K30" s="84"/>
      <c r="L30" s="83">
        <f>SUM(L8:L29)</f>
        <v>1125198.49024</v>
      </c>
      <c r="M30" s="83"/>
      <c r="N30" s="83">
        <f>SUM(N8:N27)</f>
        <v>2336442.8902400001</v>
      </c>
    </row>
    <row r="31" spans="1:14" ht="15.75" thickTop="1"/>
    <row r="33" spans="12:12">
      <c r="L33" s="177"/>
    </row>
    <row r="34" spans="12:12">
      <c r="L34" s="178"/>
    </row>
  </sheetData>
  <mergeCells count="6">
    <mergeCell ref="K2:N2"/>
    <mergeCell ref="K3:N3"/>
    <mergeCell ref="G5:H5"/>
    <mergeCell ref="I5:J5"/>
    <mergeCell ref="K5:L5"/>
    <mergeCell ref="M5:N5"/>
  </mergeCells>
  <printOptions horizontalCentered="1"/>
  <pageMargins left="0" right="0" top="0.5" bottom="0.5" header="0.3" footer="0.3"/>
  <pageSetup paperSize="9" scale="77"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view="pageBreakPreview" topLeftCell="A7" zoomScale="60" zoomScaleNormal="100" workbookViewId="0">
      <selection sqref="A1:I60"/>
    </sheetView>
  </sheetViews>
  <sheetFormatPr defaultRowHeight="15"/>
  <cols>
    <col min="1" max="1" width="20.28515625" customWidth="1"/>
    <col min="2" max="2" width="32.42578125" customWidth="1"/>
    <col min="3" max="3" width="10.7109375" customWidth="1"/>
    <col min="5" max="5" width="11.85546875" customWidth="1"/>
    <col min="6" max="7" width="10.42578125" customWidth="1"/>
    <col min="8" max="8" width="12.28515625" customWidth="1"/>
    <col min="9" max="9" width="11.5703125" bestFit="1" customWidth="1"/>
  </cols>
  <sheetData>
    <row r="1" spans="1:9" s="186" customFormat="1" ht="17.25">
      <c r="A1" s="186" t="s">
        <v>149</v>
      </c>
      <c r="I1" s="187" t="s">
        <v>152</v>
      </c>
    </row>
    <row r="2" spans="1:9" s="186" customFormat="1" ht="17.25">
      <c r="A2" s="186" t="s">
        <v>150</v>
      </c>
      <c r="I2" s="187" t="s">
        <v>153</v>
      </c>
    </row>
    <row r="3" spans="1:9" s="186" customFormat="1" ht="17.25">
      <c r="A3" s="186" t="s">
        <v>151</v>
      </c>
    </row>
    <row r="5" spans="1:9" ht="21.75">
      <c r="A5" s="108" t="s">
        <v>60</v>
      </c>
      <c r="B5" s="109" t="s">
        <v>61</v>
      </c>
      <c r="C5" s="109" t="s">
        <v>62</v>
      </c>
      <c r="D5" s="109" t="s">
        <v>63</v>
      </c>
      <c r="E5" s="110" t="s">
        <v>64</v>
      </c>
      <c r="F5" s="110" t="s">
        <v>24</v>
      </c>
      <c r="G5" s="110" t="s">
        <v>65</v>
      </c>
      <c r="H5" s="109" t="s">
        <v>66</v>
      </c>
      <c r="I5" s="109" t="s">
        <v>67</v>
      </c>
    </row>
    <row r="6" spans="1:9" ht="18.75">
      <c r="A6" s="111" t="s">
        <v>68</v>
      </c>
      <c r="B6" s="112"/>
      <c r="C6" s="112"/>
      <c r="D6" s="113"/>
      <c r="E6" s="113"/>
      <c r="F6" s="113"/>
      <c r="G6" s="113"/>
      <c r="H6" s="113"/>
      <c r="I6" s="113"/>
    </row>
    <row r="7" spans="1:9">
      <c r="A7" s="179"/>
      <c r="B7" s="180" t="s">
        <v>69</v>
      </c>
      <c r="C7" s="180"/>
      <c r="D7" s="181">
        <v>1</v>
      </c>
      <c r="E7" s="182">
        <v>49</v>
      </c>
      <c r="F7" s="182">
        <v>16.7</v>
      </c>
      <c r="G7" s="182">
        <v>3.53</v>
      </c>
      <c r="H7" s="182">
        <f>G7*F7*E7*D7</f>
        <v>2888.5989999999997</v>
      </c>
      <c r="I7" s="183" t="s">
        <v>70</v>
      </c>
    </row>
    <row r="8" spans="1:9">
      <c r="A8" s="184"/>
      <c r="B8" s="183" t="s">
        <v>71</v>
      </c>
      <c r="C8" s="183"/>
      <c r="D8" s="181"/>
      <c r="E8" s="182"/>
      <c r="F8" s="182"/>
      <c r="G8" s="182"/>
      <c r="H8" s="182">
        <v>-74.06</v>
      </c>
      <c r="I8" s="183" t="s">
        <v>70</v>
      </c>
    </row>
    <row r="9" spans="1:9">
      <c r="A9" s="184"/>
      <c r="B9" s="183" t="s">
        <v>72</v>
      </c>
      <c r="C9" s="183"/>
      <c r="D9" s="181"/>
      <c r="E9" s="182"/>
      <c r="F9" s="182"/>
      <c r="G9" s="182"/>
      <c r="H9" s="182">
        <v>-289.8</v>
      </c>
      <c r="I9" s="183" t="s">
        <v>70</v>
      </c>
    </row>
    <row r="10" spans="1:9">
      <c r="A10" s="184"/>
      <c r="B10" s="183" t="s">
        <v>73</v>
      </c>
      <c r="C10" s="183"/>
      <c r="D10" s="183"/>
      <c r="E10" s="183"/>
      <c r="F10" s="183"/>
      <c r="G10" s="183"/>
      <c r="H10" s="181">
        <v>-133.19999999999999</v>
      </c>
      <c r="I10" s="183" t="s">
        <v>70</v>
      </c>
    </row>
    <row r="11" spans="1:9">
      <c r="A11" s="184"/>
      <c r="B11" s="183" t="s">
        <v>74</v>
      </c>
      <c r="C11" s="183"/>
      <c r="D11" s="183"/>
      <c r="E11" s="183"/>
      <c r="F11" s="183"/>
      <c r="G11" s="183"/>
      <c r="H11" s="181">
        <v>-37.130000000000003</v>
      </c>
      <c r="I11" s="183" t="s">
        <v>70</v>
      </c>
    </row>
    <row r="12" spans="1:9">
      <c r="A12" s="184"/>
      <c r="B12" s="183" t="s">
        <v>75</v>
      </c>
      <c r="C12" s="183"/>
      <c r="D12" s="183"/>
      <c r="E12" s="183"/>
      <c r="F12" s="183"/>
      <c r="G12" s="183"/>
      <c r="H12" s="181">
        <v>-7.74</v>
      </c>
      <c r="I12" s="183" t="s">
        <v>70</v>
      </c>
    </row>
    <row r="13" spans="1:9">
      <c r="A13" s="184"/>
      <c r="B13" s="183" t="s">
        <v>76</v>
      </c>
      <c r="C13" s="183"/>
      <c r="D13" s="183"/>
      <c r="E13" s="183"/>
      <c r="F13" s="183"/>
      <c r="G13" s="183"/>
      <c r="H13" s="181">
        <v>-34.979999999999997</v>
      </c>
      <c r="I13" s="183" t="s">
        <v>70</v>
      </c>
    </row>
    <row r="14" spans="1:9" ht="18.75">
      <c r="A14" s="111" t="s">
        <v>77</v>
      </c>
      <c r="B14" s="111"/>
      <c r="C14" s="111"/>
      <c r="D14" s="113"/>
      <c r="E14" s="113"/>
      <c r="F14" s="113"/>
      <c r="G14" s="113"/>
      <c r="H14" s="116">
        <f>SUM(H7:H13)</f>
        <v>2311.6889999999999</v>
      </c>
      <c r="I14" s="112" t="s">
        <v>70</v>
      </c>
    </row>
    <row r="15" spans="1:9">
      <c r="A15" s="115"/>
      <c r="B15" s="114"/>
      <c r="C15" s="114"/>
      <c r="D15" s="114"/>
      <c r="E15" s="114"/>
      <c r="F15" s="114"/>
      <c r="G15" s="114"/>
      <c r="H15" s="114"/>
      <c r="I15" s="114"/>
    </row>
    <row r="16" spans="1:9" ht="18.75">
      <c r="A16" s="111" t="s">
        <v>78</v>
      </c>
      <c r="B16" s="112"/>
      <c r="C16" s="112"/>
      <c r="D16" s="113"/>
      <c r="E16" s="113"/>
      <c r="F16" s="113"/>
      <c r="G16" s="113"/>
      <c r="H16" s="113"/>
      <c r="I16" s="113"/>
    </row>
    <row r="17" spans="1:9">
      <c r="A17" s="185"/>
      <c r="B17" s="185" t="s">
        <v>79</v>
      </c>
      <c r="C17" s="185"/>
      <c r="D17" s="181">
        <v>2</v>
      </c>
      <c r="E17" s="182">
        <v>7</v>
      </c>
      <c r="F17" s="182">
        <v>0.8</v>
      </c>
      <c r="G17" s="182"/>
      <c r="H17" s="182">
        <f>D17*E17*F17</f>
        <v>11.200000000000001</v>
      </c>
      <c r="I17" s="183"/>
    </row>
    <row r="18" spans="1:9">
      <c r="A18" s="185"/>
      <c r="B18" s="185" t="s">
        <v>80</v>
      </c>
      <c r="C18" s="185"/>
      <c r="D18" s="181">
        <v>8</v>
      </c>
      <c r="E18" s="182">
        <v>6.9</v>
      </c>
      <c r="F18" s="182">
        <v>0.8</v>
      </c>
      <c r="G18" s="182"/>
      <c r="H18" s="182">
        <f t="shared" ref="H18:H20" si="0">D18*E18*F18</f>
        <v>44.160000000000004</v>
      </c>
      <c r="I18" s="183"/>
    </row>
    <row r="19" spans="1:9">
      <c r="A19" s="185"/>
      <c r="B19" s="185" t="s">
        <v>81</v>
      </c>
      <c r="C19" s="185"/>
      <c r="D19" s="181">
        <v>1</v>
      </c>
      <c r="E19" s="182">
        <f>8-0.85</f>
        <v>7.15</v>
      </c>
      <c r="F19" s="182">
        <v>0.8</v>
      </c>
      <c r="G19" s="182"/>
      <c r="H19" s="182">
        <f t="shared" si="0"/>
        <v>5.7200000000000006</v>
      </c>
      <c r="I19" s="183"/>
    </row>
    <row r="20" spans="1:9">
      <c r="A20" s="185"/>
      <c r="B20" s="185" t="s">
        <v>82</v>
      </c>
      <c r="C20" s="185"/>
      <c r="D20" s="181">
        <v>2</v>
      </c>
      <c r="E20" s="182">
        <v>28.75</v>
      </c>
      <c r="F20" s="182">
        <v>0.75</v>
      </c>
      <c r="G20" s="182"/>
      <c r="H20" s="182">
        <f t="shared" si="0"/>
        <v>43.125</v>
      </c>
      <c r="I20" s="183"/>
    </row>
    <row r="21" spans="1:9" ht="18.75">
      <c r="A21" s="111" t="s">
        <v>83</v>
      </c>
      <c r="B21" s="111"/>
      <c r="C21" s="111"/>
      <c r="D21" s="112"/>
      <c r="E21" s="116"/>
      <c r="F21" s="116"/>
      <c r="G21" s="116"/>
      <c r="H21" s="116">
        <f>SUM(H17:H20)</f>
        <v>104.20500000000001</v>
      </c>
      <c r="I21" s="112" t="s">
        <v>84</v>
      </c>
    </row>
    <row r="22" spans="1:9">
      <c r="A22" s="115"/>
      <c r="B22" s="114"/>
      <c r="C22" s="114"/>
      <c r="D22" s="114"/>
      <c r="E22" s="114"/>
      <c r="F22" s="114"/>
      <c r="G22" s="114"/>
      <c r="H22" s="114"/>
      <c r="I22" s="114"/>
    </row>
    <row r="23" spans="1:9" ht="18.75">
      <c r="A23" s="111" t="s">
        <v>85</v>
      </c>
      <c r="B23" s="112"/>
      <c r="C23" s="112"/>
      <c r="D23" s="113"/>
      <c r="E23" s="113"/>
      <c r="F23" s="113"/>
      <c r="G23" s="113"/>
      <c r="H23" s="113"/>
      <c r="I23" s="113"/>
    </row>
    <row r="24" spans="1:9">
      <c r="A24" s="185" t="s">
        <v>86</v>
      </c>
      <c r="B24" s="185" t="s">
        <v>79</v>
      </c>
      <c r="C24" s="185"/>
      <c r="D24" s="181">
        <v>2</v>
      </c>
      <c r="E24" s="182">
        <v>7</v>
      </c>
      <c r="F24" s="182">
        <v>0.6</v>
      </c>
      <c r="G24" s="182">
        <v>0.1</v>
      </c>
      <c r="H24" s="182">
        <f>D24*E24*F24*G24</f>
        <v>0.84000000000000008</v>
      </c>
      <c r="I24" s="183"/>
    </row>
    <row r="25" spans="1:9">
      <c r="A25" s="185" t="s">
        <v>86</v>
      </c>
      <c r="B25" s="185" t="s">
        <v>80</v>
      </c>
      <c r="C25" s="185"/>
      <c r="D25" s="181">
        <v>8</v>
      </c>
      <c r="E25" s="182">
        <v>6.9</v>
      </c>
      <c r="F25" s="182">
        <v>0.6</v>
      </c>
      <c r="G25" s="182">
        <v>0.1</v>
      </c>
      <c r="H25" s="182">
        <f t="shared" ref="H25:H27" si="1">D25*E25*F25*G25</f>
        <v>3.3119999999999998</v>
      </c>
      <c r="I25" s="183"/>
    </row>
    <row r="26" spans="1:9">
      <c r="A26" s="185" t="s">
        <v>86</v>
      </c>
      <c r="B26" s="185" t="s">
        <v>81</v>
      </c>
      <c r="C26" s="185"/>
      <c r="D26" s="181">
        <v>1</v>
      </c>
      <c r="E26" s="182">
        <f>8-0.85</f>
        <v>7.15</v>
      </c>
      <c r="F26" s="182">
        <v>0.6</v>
      </c>
      <c r="G26" s="182">
        <v>0.1</v>
      </c>
      <c r="H26" s="182">
        <f t="shared" si="1"/>
        <v>0.42900000000000005</v>
      </c>
      <c r="I26" s="183"/>
    </row>
    <row r="27" spans="1:9">
      <c r="A27" s="185" t="s">
        <v>86</v>
      </c>
      <c r="B27" s="185" t="s">
        <v>87</v>
      </c>
      <c r="C27" s="185"/>
      <c r="D27" s="181">
        <v>2</v>
      </c>
      <c r="E27" s="182">
        <v>28.75</v>
      </c>
      <c r="F27" s="182">
        <v>0.55000000000000004</v>
      </c>
      <c r="G27" s="182">
        <v>0.1</v>
      </c>
      <c r="H27" s="182">
        <f t="shared" si="1"/>
        <v>3.1625000000000005</v>
      </c>
      <c r="I27" s="183"/>
    </row>
    <row r="28" spans="1:9" ht="18.75">
      <c r="A28" s="111" t="s">
        <v>88</v>
      </c>
      <c r="B28" s="111"/>
      <c r="C28" s="111"/>
      <c r="D28" s="112"/>
      <c r="E28" s="116"/>
      <c r="F28" s="116"/>
      <c r="G28" s="116"/>
      <c r="H28" s="116">
        <f>SUM(H24:H27)</f>
        <v>7.7435000000000009</v>
      </c>
      <c r="I28" s="112" t="s">
        <v>89</v>
      </c>
    </row>
    <row r="29" spans="1:9">
      <c r="A29" s="115"/>
      <c r="B29" s="114"/>
      <c r="C29" s="114"/>
      <c r="D29" s="114"/>
      <c r="E29" s="114"/>
      <c r="F29" s="114"/>
      <c r="G29" s="114"/>
      <c r="H29" s="114"/>
      <c r="I29" s="114"/>
    </row>
    <row r="30" spans="1:9" ht="18.75">
      <c r="A30" s="111" t="s">
        <v>90</v>
      </c>
      <c r="B30" s="112"/>
      <c r="C30" s="112"/>
      <c r="D30" s="113"/>
      <c r="E30" s="113"/>
      <c r="F30" s="113"/>
      <c r="G30" s="113"/>
      <c r="H30" s="113"/>
      <c r="I30" s="113"/>
    </row>
    <row r="31" spans="1:9" ht="26.25">
      <c r="A31" s="188" t="s">
        <v>86</v>
      </c>
      <c r="B31" s="188" t="s">
        <v>91</v>
      </c>
      <c r="C31" s="189" t="s">
        <v>92</v>
      </c>
      <c r="D31" s="190">
        <v>2</v>
      </c>
      <c r="E31" s="191">
        <v>42</v>
      </c>
      <c r="F31" s="191">
        <v>1.1000000000000001</v>
      </c>
      <c r="G31" s="191">
        <v>0.65</v>
      </c>
      <c r="H31" s="191">
        <f>PRODUCT(D31:G31)</f>
        <v>60.06</v>
      </c>
      <c r="I31" s="192"/>
    </row>
    <row r="32" spans="1:9">
      <c r="A32" s="188" t="str">
        <f>A31</f>
        <v>0--3 Mtr</v>
      </c>
      <c r="B32" s="188" t="str">
        <f>B31</f>
        <v>Raft Beam -RB1</v>
      </c>
      <c r="C32" s="188"/>
      <c r="D32" s="190">
        <v>11</v>
      </c>
      <c r="E32" s="191">
        <v>11.5</v>
      </c>
      <c r="F32" s="191">
        <v>1.1000000000000001</v>
      </c>
      <c r="G32" s="191">
        <v>0.65</v>
      </c>
      <c r="H32" s="191">
        <f t="shared" ref="H32:H42" si="2">PRODUCT(D32:G32)</f>
        <v>90.447500000000005</v>
      </c>
      <c r="I32" s="192"/>
    </row>
    <row r="33" spans="1:9">
      <c r="A33" s="188" t="str">
        <f t="shared" ref="A33:A42" si="3">A32</f>
        <v>0--3 Mtr</v>
      </c>
      <c r="B33" s="193" t="s">
        <v>93</v>
      </c>
      <c r="C33" s="193"/>
      <c r="D33" s="190">
        <v>-22</v>
      </c>
      <c r="E33" s="191">
        <v>1.1000000000000001</v>
      </c>
      <c r="F33" s="191">
        <v>1.1000000000000001</v>
      </c>
      <c r="G33" s="191">
        <v>0.65</v>
      </c>
      <c r="H33" s="191">
        <f t="shared" si="2"/>
        <v>-17.303000000000004</v>
      </c>
      <c r="I33" s="192"/>
    </row>
    <row r="34" spans="1:9">
      <c r="A34" s="188" t="str">
        <f t="shared" si="3"/>
        <v>0--3 Mtr</v>
      </c>
      <c r="B34" s="188" t="s">
        <v>94</v>
      </c>
      <c r="C34" s="188"/>
      <c r="D34" s="190">
        <v>16</v>
      </c>
      <c r="E34" s="191">
        <v>1.1000000000000001</v>
      </c>
      <c r="F34" s="191">
        <v>1</v>
      </c>
      <c r="G34" s="191">
        <f>0.9+0.75</f>
        <v>1.65</v>
      </c>
      <c r="H34" s="191">
        <f t="shared" si="2"/>
        <v>29.04</v>
      </c>
      <c r="I34" s="192"/>
    </row>
    <row r="35" spans="1:9">
      <c r="A35" s="188" t="str">
        <f t="shared" si="3"/>
        <v>0--3 Mtr</v>
      </c>
      <c r="B35" s="188" t="s">
        <v>95</v>
      </c>
      <c r="C35" s="188"/>
      <c r="D35" s="190">
        <v>4</v>
      </c>
      <c r="E35" s="191">
        <v>1</v>
      </c>
      <c r="F35" s="191">
        <v>0.95</v>
      </c>
      <c r="G35" s="191">
        <f t="shared" ref="G35:G36" si="4">0.9+0.75</f>
        <v>1.65</v>
      </c>
      <c r="H35" s="191">
        <f t="shared" si="2"/>
        <v>6.27</v>
      </c>
      <c r="I35" s="192"/>
    </row>
    <row r="36" spans="1:9">
      <c r="A36" s="188" t="str">
        <f t="shared" si="3"/>
        <v>0--3 Mtr</v>
      </c>
      <c r="B36" s="188" t="s">
        <v>96</v>
      </c>
      <c r="C36" s="188"/>
      <c r="D36" s="190">
        <v>2</v>
      </c>
      <c r="E36" s="191">
        <v>0.65</v>
      </c>
      <c r="F36" s="191">
        <v>0.85</v>
      </c>
      <c r="G36" s="191">
        <f t="shared" si="4"/>
        <v>1.65</v>
      </c>
      <c r="H36" s="191">
        <f t="shared" si="2"/>
        <v>1.8232499999999998</v>
      </c>
      <c r="I36" s="192"/>
    </row>
    <row r="37" spans="1:9">
      <c r="A37" s="188" t="str">
        <f t="shared" si="3"/>
        <v>0--3 Mtr</v>
      </c>
      <c r="B37" s="188" t="s">
        <v>97</v>
      </c>
      <c r="C37" s="188"/>
      <c r="D37" s="190">
        <v>2</v>
      </c>
      <c r="E37" s="191">
        <v>7</v>
      </c>
      <c r="F37" s="191">
        <v>0.4</v>
      </c>
      <c r="G37" s="191">
        <v>0.75</v>
      </c>
      <c r="H37" s="191">
        <f t="shared" si="2"/>
        <v>4.2</v>
      </c>
      <c r="I37" s="192"/>
    </row>
    <row r="38" spans="1:9">
      <c r="A38" s="188" t="str">
        <f t="shared" si="3"/>
        <v>0--3 Mtr</v>
      </c>
      <c r="B38" s="188" t="s">
        <v>98</v>
      </c>
      <c r="C38" s="188"/>
      <c r="D38" s="190">
        <v>8</v>
      </c>
      <c r="E38" s="191">
        <v>6.9</v>
      </c>
      <c r="F38" s="191">
        <v>0.4</v>
      </c>
      <c r="G38" s="191">
        <v>0.75</v>
      </c>
      <c r="H38" s="191">
        <f t="shared" si="2"/>
        <v>16.560000000000002</v>
      </c>
      <c r="I38" s="192"/>
    </row>
    <row r="39" spans="1:9">
      <c r="A39" s="188" t="str">
        <f t="shared" si="3"/>
        <v>0--3 Mtr</v>
      </c>
      <c r="B39" s="188" t="s">
        <v>99</v>
      </c>
      <c r="C39" s="188"/>
      <c r="D39" s="190">
        <v>1</v>
      </c>
      <c r="E39" s="191">
        <f>8-0.85</f>
        <v>7.15</v>
      </c>
      <c r="F39" s="191">
        <v>0.4</v>
      </c>
      <c r="G39" s="191">
        <v>0.75</v>
      </c>
      <c r="H39" s="191">
        <f t="shared" si="2"/>
        <v>2.1450000000000005</v>
      </c>
      <c r="I39" s="192"/>
    </row>
    <row r="40" spans="1:9">
      <c r="A40" s="188" t="str">
        <f t="shared" si="3"/>
        <v>0--3 Mtr</v>
      </c>
      <c r="B40" s="188" t="s">
        <v>100</v>
      </c>
      <c r="C40" s="188"/>
      <c r="D40" s="190">
        <v>4</v>
      </c>
      <c r="E40" s="191">
        <f>3.025</f>
        <v>3.0249999999999999</v>
      </c>
      <c r="F40" s="191">
        <v>0.35</v>
      </c>
      <c r="G40" s="191">
        <v>0.6</v>
      </c>
      <c r="H40" s="191">
        <f t="shared" si="2"/>
        <v>2.5409999999999995</v>
      </c>
      <c r="I40" s="192"/>
    </row>
    <row r="41" spans="1:9">
      <c r="A41" s="188" t="str">
        <f t="shared" si="3"/>
        <v>0--3 Mtr</v>
      </c>
      <c r="B41" s="188" t="s">
        <v>101</v>
      </c>
      <c r="C41" s="188"/>
      <c r="D41" s="190">
        <v>14</v>
      </c>
      <c r="E41" s="191">
        <v>3</v>
      </c>
      <c r="F41" s="191">
        <v>0.35</v>
      </c>
      <c r="G41" s="191">
        <v>0.6</v>
      </c>
      <c r="H41" s="191">
        <f t="shared" si="2"/>
        <v>8.8199999999999985</v>
      </c>
      <c r="I41" s="192"/>
    </row>
    <row r="42" spans="1:9">
      <c r="A42" s="188" t="str">
        <f t="shared" si="3"/>
        <v>0--3 Mtr</v>
      </c>
      <c r="B42" s="188" t="s">
        <v>102</v>
      </c>
      <c r="C42" s="188"/>
      <c r="D42" s="190">
        <v>2</v>
      </c>
      <c r="E42" s="191">
        <v>1.7</v>
      </c>
      <c r="F42" s="191">
        <v>0.35</v>
      </c>
      <c r="G42" s="191">
        <v>0.6</v>
      </c>
      <c r="H42" s="191">
        <f t="shared" si="2"/>
        <v>0.71399999999999997</v>
      </c>
      <c r="I42" s="192"/>
    </row>
    <row r="43" spans="1:9" ht="18.75">
      <c r="A43" s="111" t="s">
        <v>88</v>
      </c>
      <c r="B43" s="111"/>
      <c r="C43" s="111"/>
      <c r="D43" s="112"/>
      <c r="E43" s="116"/>
      <c r="F43" s="116"/>
      <c r="G43" s="116"/>
      <c r="H43" s="116">
        <f>SUM(H31:H42)</f>
        <v>205.31774999999999</v>
      </c>
      <c r="I43" s="112" t="s">
        <v>89</v>
      </c>
    </row>
    <row r="44" spans="1:9">
      <c r="A44" s="115"/>
      <c r="B44" s="114"/>
      <c r="C44" s="114"/>
      <c r="D44" s="114"/>
      <c r="E44" s="114"/>
      <c r="F44" s="114"/>
      <c r="G44" s="114"/>
      <c r="H44" s="114"/>
      <c r="I44" s="114"/>
    </row>
    <row r="45" spans="1:9" ht="18.75">
      <c r="A45" s="111" t="s">
        <v>103</v>
      </c>
      <c r="B45" s="112"/>
      <c r="C45" s="112"/>
      <c r="D45" s="113"/>
      <c r="E45" s="113"/>
      <c r="F45" s="113"/>
      <c r="G45" s="113"/>
      <c r="H45" s="113"/>
      <c r="I45" s="113"/>
    </row>
    <row r="46" spans="1:9">
      <c r="A46" s="188" t="s">
        <v>86</v>
      </c>
      <c r="B46" s="188" t="s">
        <v>104</v>
      </c>
      <c r="C46" s="188"/>
      <c r="D46" s="190">
        <v>4</v>
      </c>
      <c r="E46" s="191">
        <v>42</v>
      </c>
      <c r="F46" s="191"/>
      <c r="G46" s="191">
        <v>0.65</v>
      </c>
      <c r="H46" s="191">
        <f>D46*E46*G46</f>
        <v>109.2</v>
      </c>
      <c r="I46" s="192"/>
    </row>
    <row r="47" spans="1:9">
      <c r="A47" s="188" t="s">
        <v>86</v>
      </c>
      <c r="B47" s="188" t="s">
        <v>105</v>
      </c>
      <c r="C47" s="188"/>
      <c r="D47" s="190">
        <v>4</v>
      </c>
      <c r="E47" s="191">
        <v>1.1000000000000001</v>
      </c>
      <c r="F47" s="191"/>
      <c r="G47" s="191">
        <v>0.65</v>
      </c>
      <c r="H47" s="191">
        <f t="shared" ref="H47:H59" si="5">D47*E47*G47</f>
        <v>2.8600000000000003</v>
      </c>
      <c r="I47" s="192"/>
    </row>
    <row r="48" spans="1:9">
      <c r="A48" s="188" t="s">
        <v>86</v>
      </c>
      <c r="B48" s="193" t="s">
        <v>106</v>
      </c>
      <c r="C48" s="193"/>
      <c r="D48" s="190">
        <v>-22</v>
      </c>
      <c r="E48" s="191">
        <v>1.1599999999999999</v>
      </c>
      <c r="F48" s="191"/>
      <c r="G48" s="191">
        <v>0.65</v>
      </c>
      <c r="H48" s="191">
        <f t="shared" si="5"/>
        <v>-16.588000000000001</v>
      </c>
      <c r="I48" s="192"/>
    </row>
    <row r="49" spans="1:9">
      <c r="A49" s="188" t="s">
        <v>86</v>
      </c>
      <c r="B49" s="188" t="s">
        <v>107</v>
      </c>
      <c r="C49" s="188"/>
      <c r="D49" s="190">
        <v>22</v>
      </c>
      <c r="E49" s="191">
        <v>11.5</v>
      </c>
      <c r="F49" s="191"/>
      <c r="G49" s="191">
        <v>0.65</v>
      </c>
      <c r="H49" s="191">
        <f t="shared" si="5"/>
        <v>164.45000000000002</v>
      </c>
      <c r="I49" s="192"/>
    </row>
    <row r="50" spans="1:9">
      <c r="A50" s="188" t="s">
        <v>86</v>
      </c>
      <c r="B50" s="188"/>
      <c r="C50" s="188"/>
      <c r="D50" s="190">
        <v>-44</v>
      </c>
      <c r="E50" s="191">
        <v>1.1000000000000001</v>
      </c>
      <c r="F50" s="191"/>
      <c r="G50" s="191">
        <v>0.65</v>
      </c>
      <c r="H50" s="191">
        <f t="shared" si="5"/>
        <v>-31.460000000000004</v>
      </c>
      <c r="I50" s="192"/>
    </row>
    <row r="51" spans="1:9" ht="26.25">
      <c r="A51" s="188" t="s">
        <v>86</v>
      </c>
      <c r="B51" s="189" t="s">
        <v>108</v>
      </c>
      <c r="C51" s="189"/>
      <c r="D51" s="190">
        <v>16</v>
      </c>
      <c r="E51" s="191">
        <v>4.2</v>
      </c>
      <c r="F51" s="191"/>
      <c r="G51" s="191">
        <f>0.9+0.75</f>
        <v>1.65</v>
      </c>
      <c r="H51" s="191">
        <f t="shared" si="5"/>
        <v>110.88</v>
      </c>
      <c r="I51" s="192"/>
    </row>
    <row r="52" spans="1:9">
      <c r="A52" s="188" t="s">
        <v>86</v>
      </c>
      <c r="B52" s="188" t="s">
        <v>109</v>
      </c>
      <c r="C52" s="188"/>
      <c r="D52" s="190">
        <v>4</v>
      </c>
      <c r="E52" s="191">
        <v>3.9</v>
      </c>
      <c r="F52" s="191"/>
      <c r="G52" s="191">
        <f t="shared" ref="G52:G53" si="6">0.9+0.75</f>
        <v>1.65</v>
      </c>
      <c r="H52" s="191">
        <f t="shared" si="5"/>
        <v>25.74</v>
      </c>
      <c r="I52" s="192"/>
    </row>
    <row r="53" spans="1:9">
      <c r="A53" s="188" t="s">
        <v>86</v>
      </c>
      <c r="B53" s="188" t="s">
        <v>110</v>
      </c>
      <c r="C53" s="188"/>
      <c r="D53" s="190">
        <v>2</v>
      </c>
      <c r="E53" s="191">
        <v>3</v>
      </c>
      <c r="F53" s="191"/>
      <c r="G53" s="191">
        <f t="shared" si="6"/>
        <v>1.65</v>
      </c>
      <c r="H53" s="191">
        <f t="shared" si="5"/>
        <v>9.8999999999999986</v>
      </c>
      <c r="I53" s="192"/>
    </row>
    <row r="54" spans="1:9">
      <c r="A54" s="188" t="s">
        <v>86</v>
      </c>
      <c r="B54" s="188" t="s">
        <v>97</v>
      </c>
      <c r="C54" s="188"/>
      <c r="D54" s="190">
        <v>4</v>
      </c>
      <c r="E54" s="191">
        <v>7</v>
      </c>
      <c r="F54" s="191"/>
      <c r="G54" s="191">
        <v>0.75</v>
      </c>
      <c r="H54" s="191">
        <f t="shared" si="5"/>
        <v>21</v>
      </c>
      <c r="I54" s="192"/>
    </row>
    <row r="55" spans="1:9" ht="15" customHeight="1">
      <c r="A55" s="188" t="s">
        <v>86</v>
      </c>
      <c r="B55" s="188" t="s">
        <v>98</v>
      </c>
      <c r="C55" s="188"/>
      <c r="D55" s="190">
        <v>16</v>
      </c>
      <c r="E55" s="191">
        <v>6.9</v>
      </c>
      <c r="F55" s="191"/>
      <c r="G55" s="191">
        <v>0.75</v>
      </c>
      <c r="H55" s="191">
        <f t="shared" si="5"/>
        <v>82.800000000000011</v>
      </c>
      <c r="I55" s="192"/>
    </row>
    <row r="56" spans="1:9" ht="15" customHeight="1">
      <c r="A56" s="188" t="s">
        <v>86</v>
      </c>
      <c r="B56" s="188" t="s">
        <v>99</v>
      </c>
      <c r="C56" s="188"/>
      <c r="D56" s="190">
        <v>2</v>
      </c>
      <c r="E56" s="191">
        <f>8-0.85</f>
        <v>7.15</v>
      </c>
      <c r="F56" s="191"/>
      <c r="G56" s="191">
        <v>0.75</v>
      </c>
      <c r="H56" s="191">
        <f t="shared" si="5"/>
        <v>10.725000000000001</v>
      </c>
      <c r="I56" s="192"/>
    </row>
    <row r="57" spans="1:9" ht="15" customHeight="1">
      <c r="A57" s="188" t="s">
        <v>86</v>
      </c>
      <c r="B57" s="188" t="s">
        <v>100</v>
      </c>
      <c r="C57" s="188"/>
      <c r="D57" s="190">
        <v>8</v>
      </c>
      <c r="E57" s="191">
        <f>3.025</f>
        <v>3.0249999999999999</v>
      </c>
      <c r="F57" s="191"/>
      <c r="G57" s="191">
        <v>0.6</v>
      </c>
      <c r="H57" s="191">
        <f t="shared" si="5"/>
        <v>14.52</v>
      </c>
      <c r="I57" s="192"/>
    </row>
    <row r="58" spans="1:9" ht="15" customHeight="1">
      <c r="A58" s="188" t="s">
        <v>86</v>
      </c>
      <c r="B58" s="188" t="s">
        <v>101</v>
      </c>
      <c r="C58" s="188"/>
      <c r="D58" s="190">
        <v>28</v>
      </c>
      <c r="E58" s="191">
        <v>3</v>
      </c>
      <c r="F58" s="191"/>
      <c r="G58" s="191">
        <v>0.6</v>
      </c>
      <c r="H58" s="191">
        <f t="shared" si="5"/>
        <v>50.4</v>
      </c>
      <c r="I58" s="192"/>
    </row>
    <row r="59" spans="1:9" ht="15" customHeight="1">
      <c r="A59" s="188" t="s">
        <v>86</v>
      </c>
      <c r="B59" s="188" t="s">
        <v>102</v>
      </c>
      <c r="C59" s="188"/>
      <c r="D59" s="190">
        <v>4</v>
      </c>
      <c r="E59" s="191">
        <v>1.7</v>
      </c>
      <c r="F59" s="191"/>
      <c r="G59" s="191">
        <v>0.6</v>
      </c>
      <c r="H59" s="191">
        <f t="shared" si="5"/>
        <v>4.08</v>
      </c>
      <c r="I59" s="192"/>
    </row>
    <row r="60" spans="1:9" ht="18.75">
      <c r="A60" s="111" t="s">
        <v>111</v>
      </c>
      <c r="B60" s="111"/>
      <c r="C60" s="111"/>
      <c r="D60" s="112"/>
      <c r="E60" s="116"/>
      <c r="F60" s="116"/>
      <c r="G60" s="116"/>
      <c r="H60" s="116">
        <f>SUM(H46:H59)</f>
        <v>558.50700000000006</v>
      </c>
      <c r="I60" s="112" t="s">
        <v>112</v>
      </c>
    </row>
    <row r="70" ht="15" customHeight="1"/>
  </sheetData>
  <printOptions horizontalCentered="1"/>
  <pageMargins left="0" right="0" top="0.25" bottom="0.5" header="0.3" footer="0.3"/>
  <pageSetup paperSize="9" scale="77"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40"/>
  <sheetViews>
    <sheetView view="pageBreakPreview" zoomScale="60" zoomScaleNormal="100" workbookViewId="0">
      <selection activeCell="K30" sqref="K30"/>
    </sheetView>
  </sheetViews>
  <sheetFormatPr defaultRowHeight="15"/>
  <cols>
    <col min="1" max="1" width="6.140625" customWidth="1"/>
    <col min="2" max="2" width="14" customWidth="1"/>
    <col min="3" max="3" width="46.85546875" customWidth="1"/>
    <col min="4" max="4" width="8" customWidth="1"/>
    <col min="5" max="5" width="10.140625" customWidth="1"/>
    <col min="6" max="6" width="7.85546875" customWidth="1"/>
    <col min="7" max="7" width="10.42578125" customWidth="1"/>
    <col min="8" max="9" width="12.7109375" customWidth="1"/>
    <col min="10" max="10" width="13.85546875" bestFit="1" customWidth="1"/>
    <col min="11" max="14" width="12.7109375" customWidth="1"/>
  </cols>
  <sheetData>
    <row r="3" spans="1:14" ht="15.75" thickBot="1"/>
    <row r="4" spans="1:14" ht="18">
      <c r="A4" s="199" t="s">
        <v>113</v>
      </c>
      <c r="B4" s="200"/>
      <c r="C4" s="200"/>
      <c r="D4" s="200"/>
      <c r="E4" s="200"/>
      <c r="F4" s="200"/>
      <c r="G4" s="200"/>
      <c r="H4" s="200"/>
      <c r="I4" s="200"/>
      <c r="J4" s="200"/>
      <c r="K4" s="200"/>
      <c r="L4" s="200"/>
      <c r="M4" s="200"/>
      <c r="N4" s="201"/>
    </row>
    <row r="5" spans="1:14" ht="15.75">
      <c r="A5" s="202" t="s">
        <v>114</v>
      </c>
      <c r="B5" s="204" t="s">
        <v>61</v>
      </c>
      <c r="C5" s="206" t="s">
        <v>6</v>
      </c>
      <c r="D5" s="206" t="s">
        <v>115</v>
      </c>
      <c r="E5" s="206" t="s">
        <v>116</v>
      </c>
      <c r="F5" s="207" t="s">
        <v>117</v>
      </c>
      <c r="G5" s="207" t="s">
        <v>118</v>
      </c>
      <c r="H5" s="208" t="s">
        <v>119</v>
      </c>
      <c r="I5" s="209"/>
      <c r="J5" s="209"/>
      <c r="K5" s="209"/>
      <c r="L5" s="209"/>
      <c r="M5" s="209"/>
      <c r="N5" s="210"/>
    </row>
    <row r="6" spans="1:14" ht="15.75">
      <c r="A6" s="203"/>
      <c r="B6" s="205"/>
      <c r="C6" s="204"/>
      <c r="D6" s="204"/>
      <c r="E6" s="204"/>
      <c r="F6" s="204"/>
      <c r="G6" s="204"/>
      <c r="H6" s="117" t="s">
        <v>120</v>
      </c>
      <c r="I6" s="117" t="s">
        <v>121</v>
      </c>
      <c r="J6" s="118" t="s">
        <v>122</v>
      </c>
      <c r="K6" s="119" t="s">
        <v>123</v>
      </c>
      <c r="L6" s="120" t="s">
        <v>124</v>
      </c>
      <c r="M6" s="120" t="s">
        <v>125</v>
      </c>
      <c r="N6" s="121" t="s">
        <v>126</v>
      </c>
    </row>
    <row r="7" spans="1:14" ht="15.75">
      <c r="A7" s="122"/>
      <c r="B7" s="123" t="s">
        <v>127</v>
      </c>
      <c r="C7" s="124" t="s">
        <v>128</v>
      </c>
      <c r="D7" s="125"/>
      <c r="E7" s="125"/>
      <c r="F7" s="125"/>
      <c r="G7" s="126"/>
      <c r="H7" s="127" t="str">
        <f t="shared" ref="H7:H35" si="0">IF(D7=8,(E7*F7*G7),"")</f>
        <v/>
      </c>
      <c r="I7" s="127" t="str">
        <f t="shared" ref="I7:I35" si="1">IF(D7=10,(E7*F7*G7),"")</f>
        <v/>
      </c>
      <c r="J7" s="128" t="str">
        <f t="shared" ref="J7:J35" si="2">IF(D7=12,(E7*F7*G7),"")</f>
        <v/>
      </c>
      <c r="K7" s="129" t="str">
        <f t="shared" ref="K7:K35" si="3">IF(D7=16,(E7*F7*G7),"")</f>
        <v/>
      </c>
      <c r="L7" s="127" t="str">
        <f t="shared" ref="L7:L35" si="4">IF(D7=20,(E7*F7*G7),"")</f>
        <v/>
      </c>
      <c r="M7" s="127" t="str">
        <f t="shared" ref="M7:M35" si="5">IF(D7=25,(E7*F7*G7),"")</f>
        <v/>
      </c>
      <c r="N7" s="130" t="str">
        <f t="shared" ref="N7:N35" si="6">IF(D7=32,(E7*F7*G7),"")</f>
        <v/>
      </c>
    </row>
    <row r="8" spans="1:14" ht="15.75">
      <c r="A8" s="131"/>
      <c r="B8" s="132"/>
      <c r="C8" s="133" t="s">
        <v>129</v>
      </c>
      <c r="D8" s="134">
        <v>25</v>
      </c>
      <c r="E8" s="134">
        <v>16</v>
      </c>
      <c r="F8" s="134">
        <v>13</v>
      </c>
      <c r="G8" s="135">
        <v>3.35</v>
      </c>
      <c r="H8" s="136" t="str">
        <f t="shared" si="0"/>
        <v/>
      </c>
      <c r="I8" s="136" t="str">
        <f t="shared" si="1"/>
        <v/>
      </c>
      <c r="J8" s="137" t="str">
        <f t="shared" si="2"/>
        <v/>
      </c>
      <c r="K8" s="138" t="str">
        <f t="shared" si="3"/>
        <v/>
      </c>
      <c r="L8" s="136" t="str">
        <f t="shared" si="4"/>
        <v/>
      </c>
      <c r="M8" s="136">
        <f t="shared" si="5"/>
        <v>696.80000000000007</v>
      </c>
      <c r="N8" s="139" t="str">
        <f t="shared" si="6"/>
        <v/>
      </c>
    </row>
    <row r="9" spans="1:14" ht="15.75">
      <c r="A9" s="131"/>
      <c r="B9" s="132"/>
      <c r="C9" s="133" t="s">
        <v>129</v>
      </c>
      <c r="D9" s="134">
        <v>25</v>
      </c>
      <c r="E9" s="134">
        <v>16</v>
      </c>
      <c r="F9" s="134">
        <v>13</v>
      </c>
      <c r="G9" s="135">
        <v>3.35</v>
      </c>
      <c r="H9" s="136" t="str">
        <f t="shared" si="0"/>
        <v/>
      </c>
      <c r="I9" s="136" t="str">
        <f t="shared" si="1"/>
        <v/>
      </c>
      <c r="J9" s="137" t="str">
        <f t="shared" si="2"/>
        <v/>
      </c>
      <c r="K9" s="138" t="str">
        <f t="shared" si="3"/>
        <v/>
      </c>
      <c r="L9" s="136" t="str">
        <f t="shared" si="4"/>
        <v/>
      </c>
      <c r="M9" s="136">
        <f t="shared" si="5"/>
        <v>696.80000000000007</v>
      </c>
      <c r="N9" s="139" t="str">
        <f t="shared" si="6"/>
        <v/>
      </c>
    </row>
    <row r="10" spans="1:14" ht="15.75">
      <c r="A10" s="131"/>
      <c r="B10" s="132"/>
      <c r="C10" s="133" t="s">
        <v>130</v>
      </c>
      <c r="D10" s="134">
        <v>10</v>
      </c>
      <c r="E10" s="134">
        <v>16</v>
      </c>
      <c r="F10" s="134">
        <v>6</v>
      </c>
      <c r="G10" s="135">
        <v>4.08</v>
      </c>
      <c r="H10" s="136" t="str">
        <f t="shared" si="0"/>
        <v/>
      </c>
      <c r="I10" s="136">
        <f t="shared" si="1"/>
        <v>391.68</v>
      </c>
      <c r="J10" s="137" t="str">
        <f t="shared" si="2"/>
        <v/>
      </c>
      <c r="K10" s="138" t="str">
        <f t="shared" si="3"/>
        <v/>
      </c>
      <c r="L10" s="136" t="str">
        <f t="shared" si="4"/>
        <v/>
      </c>
      <c r="M10" s="136" t="str">
        <f t="shared" si="5"/>
        <v/>
      </c>
      <c r="N10" s="139" t="str">
        <f t="shared" si="6"/>
        <v/>
      </c>
    </row>
    <row r="11" spans="1:14" ht="15.75">
      <c r="A11" s="131"/>
      <c r="B11" s="132"/>
      <c r="C11" s="133" t="s">
        <v>131</v>
      </c>
      <c r="D11" s="134">
        <v>10</v>
      </c>
      <c r="E11" s="134">
        <v>16</v>
      </c>
      <c r="F11" s="134">
        <v>5</v>
      </c>
      <c r="G11" s="135">
        <v>2.91</v>
      </c>
      <c r="H11" s="136" t="str">
        <f t="shared" si="0"/>
        <v/>
      </c>
      <c r="I11" s="136">
        <f t="shared" si="1"/>
        <v>232.8</v>
      </c>
      <c r="J11" s="137" t="str">
        <f t="shared" si="2"/>
        <v/>
      </c>
      <c r="K11" s="138" t="str">
        <f t="shared" si="3"/>
        <v/>
      </c>
      <c r="L11" s="136" t="str">
        <f t="shared" si="4"/>
        <v/>
      </c>
      <c r="M11" s="136" t="str">
        <f t="shared" si="5"/>
        <v/>
      </c>
      <c r="N11" s="139" t="str">
        <f t="shared" si="6"/>
        <v/>
      </c>
    </row>
    <row r="12" spans="1:14" ht="15.75">
      <c r="A12" s="131"/>
      <c r="B12" s="132"/>
      <c r="C12" s="133" t="s">
        <v>131</v>
      </c>
      <c r="D12" s="134">
        <v>10</v>
      </c>
      <c r="E12" s="134">
        <v>16</v>
      </c>
      <c r="F12" s="134">
        <v>5</v>
      </c>
      <c r="G12" s="135">
        <f>1.02+1.02+0.306+0.306+0.2</f>
        <v>2.8520000000000003</v>
      </c>
      <c r="H12" s="136" t="str">
        <f t="shared" si="0"/>
        <v/>
      </c>
      <c r="I12" s="136">
        <f t="shared" si="1"/>
        <v>228.16000000000003</v>
      </c>
      <c r="J12" s="137" t="str">
        <f t="shared" si="2"/>
        <v/>
      </c>
      <c r="K12" s="138" t="str">
        <f t="shared" si="3"/>
        <v/>
      </c>
      <c r="L12" s="136" t="str">
        <f t="shared" si="4"/>
        <v/>
      </c>
      <c r="M12" s="136" t="str">
        <f t="shared" si="5"/>
        <v/>
      </c>
      <c r="N12" s="139" t="str">
        <f t="shared" si="6"/>
        <v/>
      </c>
    </row>
    <row r="13" spans="1:14" ht="15.75">
      <c r="A13" s="122"/>
      <c r="B13" s="123" t="s">
        <v>132</v>
      </c>
      <c r="C13" s="140" t="s">
        <v>133</v>
      </c>
      <c r="D13" s="125"/>
      <c r="E13" s="125"/>
      <c r="F13" s="125"/>
      <c r="G13" s="126"/>
      <c r="H13" s="127" t="str">
        <f t="shared" si="0"/>
        <v/>
      </c>
      <c r="I13" s="127" t="str">
        <f t="shared" si="1"/>
        <v/>
      </c>
      <c r="J13" s="128" t="str">
        <f t="shared" si="2"/>
        <v/>
      </c>
      <c r="K13" s="129" t="str">
        <f t="shared" si="3"/>
        <v/>
      </c>
      <c r="L13" s="127" t="str">
        <f t="shared" si="4"/>
        <v/>
      </c>
      <c r="M13" s="127" t="str">
        <f t="shared" si="5"/>
        <v/>
      </c>
      <c r="N13" s="130" t="str">
        <f t="shared" si="6"/>
        <v/>
      </c>
    </row>
    <row r="14" spans="1:14" ht="15.75">
      <c r="A14" s="131"/>
      <c r="B14" s="132"/>
      <c r="C14" s="133" t="s">
        <v>129</v>
      </c>
      <c r="D14" s="134">
        <v>25</v>
      </c>
      <c r="E14" s="134">
        <v>4</v>
      </c>
      <c r="F14" s="134">
        <v>12</v>
      </c>
      <c r="G14" s="135">
        <v>3.35</v>
      </c>
      <c r="H14" s="136" t="str">
        <f t="shared" si="0"/>
        <v/>
      </c>
      <c r="I14" s="136" t="str">
        <f t="shared" si="1"/>
        <v/>
      </c>
      <c r="J14" s="137" t="str">
        <f t="shared" si="2"/>
        <v/>
      </c>
      <c r="K14" s="138" t="str">
        <f t="shared" si="3"/>
        <v/>
      </c>
      <c r="L14" s="136" t="str">
        <f t="shared" si="4"/>
        <v/>
      </c>
      <c r="M14" s="136">
        <f t="shared" si="5"/>
        <v>160.80000000000001</v>
      </c>
      <c r="N14" s="139" t="str">
        <f t="shared" si="6"/>
        <v/>
      </c>
    </row>
    <row r="15" spans="1:14" ht="15.75">
      <c r="A15" s="131"/>
      <c r="B15" s="132"/>
      <c r="C15" s="133" t="s">
        <v>129</v>
      </c>
      <c r="D15" s="134">
        <v>25</v>
      </c>
      <c r="E15" s="134">
        <v>4</v>
      </c>
      <c r="F15" s="134">
        <v>12</v>
      </c>
      <c r="G15" s="135">
        <v>3.35</v>
      </c>
      <c r="H15" s="136" t="str">
        <f t="shared" si="0"/>
        <v/>
      </c>
      <c r="I15" s="136" t="str">
        <f t="shared" si="1"/>
        <v/>
      </c>
      <c r="J15" s="137" t="str">
        <f t="shared" si="2"/>
        <v/>
      </c>
      <c r="K15" s="138" t="str">
        <f t="shared" si="3"/>
        <v/>
      </c>
      <c r="L15" s="136" t="str">
        <f t="shared" si="4"/>
        <v/>
      </c>
      <c r="M15" s="136">
        <f t="shared" si="5"/>
        <v>160.80000000000001</v>
      </c>
      <c r="N15" s="139" t="str">
        <f t="shared" si="6"/>
        <v/>
      </c>
    </row>
    <row r="16" spans="1:14" ht="15.75">
      <c r="A16" s="131"/>
      <c r="B16" s="132"/>
      <c r="C16" s="133" t="s">
        <v>130</v>
      </c>
      <c r="D16" s="134">
        <v>10</v>
      </c>
      <c r="E16" s="134">
        <v>4</v>
      </c>
      <c r="F16" s="134">
        <v>6</v>
      </c>
      <c r="G16" s="135">
        <v>3.7399999999999998</v>
      </c>
      <c r="H16" s="136" t="str">
        <f t="shared" si="0"/>
        <v/>
      </c>
      <c r="I16" s="136">
        <f t="shared" si="1"/>
        <v>89.759999999999991</v>
      </c>
      <c r="J16" s="137" t="str">
        <f t="shared" si="2"/>
        <v/>
      </c>
      <c r="K16" s="138" t="str">
        <f t="shared" si="3"/>
        <v/>
      </c>
      <c r="L16" s="136" t="str">
        <f t="shared" si="4"/>
        <v/>
      </c>
      <c r="M16" s="136" t="str">
        <f t="shared" si="5"/>
        <v/>
      </c>
      <c r="N16" s="139" t="str">
        <f t="shared" si="6"/>
        <v/>
      </c>
    </row>
    <row r="17" spans="1:14" ht="15.75">
      <c r="A17" s="131"/>
      <c r="B17" s="132"/>
      <c r="C17" s="133" t="s">
        <v>131</v>
      </c>
      <c r="D17" s="134">
        <v>10</v>
      </c>
      <c r="E17" s="134">
        <v>4</v>
      </c>
      <c r="F17" s="134">
        <v>5</v>
      </c>
      <c r="G17" s="135">
        <f>0.87+0.87+0.2+0.306+0.306</f>
        <v>2.552</v>
      </c>
      <c r="H17" s="136" t="str">
        <f t="shared" si="0"/>
        <v/>
      </c>
      <c r="I17" s="136">
        <f t="shared" si="1"/>
        <v>51.04</v>
      </c>
      <c r="J17" s="137" t="str">
        <f t="shared" si="2"/>
        <v/>
      </c>
      <c r="K17" s="138" t="str">
        <f t="shared" si="3"/>
        <v/>
      </c>
      <c r="L17" s="136" t="str">
        <f t="shared" si="4"/>
        <v/>
      </c>
      <c r="M17" s="136" t="str">
        <f t="shared" si="5"/>
        <v/>
      </c>
      <c r="N17" s="139" t="str">
        <f t="shared" si="6"/>
        <v/>
      </c>
    </row>
    <row r="18" spans="1:14" ht="15.75">
      <c r="A18" s="131"/>
      <c r="B18" s="132"/>
      <c r="C18" s="133" t="s">
        <v>131</v>
      </c>
      <c r="D18" s="134">
        <v>10</v>
      </c>
      <c r="E18" s="134">
        <v>4</v>
      </c>
      <c r="F18" s="134">
        <v>5</v>
      </c>
      <c r="G18" s="135">
        <f>0.92+0.92+0.2+0.29+0.29</f>
        <v>2.62</v>
      </c>
      <c r="H18" s="136" t="str">
        <f t="shared" si="0"/>
        <v/>
      </c>
      <c r="I18" s="136">
        <f t="shared" si="1"/>
        <v>52.400000000000006</v>
      </c>
      <c r="J18" s="137" t="str">
        <f t="shared" si="2"/>
        <v/>
      </c>
      <c r="K18" s="138" t="str">
        <f t="shared" si="3"/>
        <v/>
      </c>
      <c r="L18" s="136" t="str">
        <f t="shared" si="4"/>
        <v/>
      </c>
      <c r="M18" s="136" t="str">
        <f t="shared" si="5"/>
        <v/>
      </c>
      <c r="N18" s="139" t="str">
        <f t="shared" si="6"/>
        <v/>
      </c>
    </row>
    <row r="19" spans="1:14" ht="15.75">
      <c r="A19" s="122"/>
      <c r="B19" s="123"/>
      <c r="C19" s="140" t="s">
        <v>134</v>
      </c>
      <c r="D19" s="125"/>
      <c r="E19" s="125"/>
      <c r="F19" s="125"/>
      <c r="G19" s="126"/>
      <c r="H19" s="127" t="str">
        <f t="shared" si="0"/>
        <v/>
      </c>
      <c r="I19" s="127" t="str">
        <f t="shared" si="1"/>
        <v/>
      </c>
      <c r="J19" s="128" t="str">
        <f t="shared" si="2"/>
        <v/>
      </c>
      <c r="K19" s="129" t="str">
        <f t="shared" si="3"/>
        <v/>
      </c>
      <c r="L19" s="127" t="str">
        <f t="shared" si="4"/>
        <v/>
      </c>
      <c r="M19" s="127" t="str">
        <f t="shared" si="5"/>
        <v/>
      </c>
      <c r="N19" s="130" t="str">
        <f t="shared" si="6"/>
        <v/>
      </c>
    </row>
    <row r="20" spans="1:14" ht="15.75">
      <c r="A20" s="131"/>
      <c r="B20" s="132"/>
      <c r="C20" s="133" t="s">
        <v>129</v>
      </c>
      <c r="D20" s="134">
        <v>20</v>
      </c>
      <c r="E20" s="134">
        <v>2</v>
      </c>
      <c r="F20" s="134">
        <v>10</v>
      </c>
      <c r="G20" s="135">
        <v>3.35</v>
      </c>
      <c r="H20" s="136" t="str">
        <f t="shared" si="0"/>
        <v/>
      </c>
      <c r="I20" s="136" t="str">
        <f t="shared" si="1"/>
        <v/>
      </c>
      <c r="J20" s="137" t="str">
        <f t="shared" si="2"/>
        <v/>
      </c>
      <c r="K20" s="138" t="str">
        <f t="shared" si="3"/>
        <v/>
      </c>
      <c r="L20" s="136">
        <f t="shared" si="4"/>
        <v>67</v>
      </c>
      <c r="M20" s="136" t="str">
        <f t="shared" si="5"/>
        <v/>
      </c>
      <c r="N20" s="139" t="str">
        <f t="shared" si="6"/>
        <v/>
      </c>
    </row>
    <row r="21" spans="1:14" ht="15.75">
      <c r="A21" s="131"/>
      <c r="B21" s="132"/>
      <c r="C21" s="133" t="s">
        <v>129</v>
      </c>
      <c r="D21" s="134">
        <v>20</v>
      </c>
      <c r="E21" s="134">
        <v>2</v>
      </c>
      <c r="F21" s="134">
        <v>10</v>
      </c>
      <c r="G21" s="135">
        <v>3.35</v>
      </c>
      <c r="H21" s="136" t="str">
        <f t="shared" si="0"/>
        <v/>
      </c>
      <c r="I21" s="136" t="str">
        <f t="shared" si="1"/>
        <v/>
      </c>
      <c r="J21" s="137" t="str">
        <f t="shared" si="2"/>
        <v/>
      </c>
      <c r="K21" s="138" t="str">
        <f t="shared" si="3"/>
        <v/>
      </c>
      <c r="L21" s="136">
        <f t="shared" si="4"/>
        <v>67</v>
      </c>
      <c r="M21" s="136" t="str">
        <f t="shared" si="5"/>
        <v/>
      </c>
      <c r="N21" s="139" t="str">
        <f t="shared" si="6"/>
        <v/>
      </c>
    </row>
    <row r="22" spans="1:14" ht="15.75">
      <c r="A22" s="131"/>
      <c r="B22" s="132"/>
      <c r="C22" s="133" t="s">
        <v>130</v>
      </c>
      <c r="D22" s="134">
        <v>10</v>
      </c>
      <c r="E22" s="134">
        <v>2</v>
      </c>
      <c r="F22" s="134">
        <v>6</v>
      </c>
      <c r="G22" s="135">
        <f>0.77+0.77+0.57+0.57+0.2</f>
        <v>2.88</v>
      </c>
      <c r="H22" s="136" t="str">
        <f t="shared" si="0"/>
        <v/>
      </c>
      <c r="I22" s="136">
        <f t="shared" si="1"/>
        <v>34.56</v>
      </c>
      <c r="J22" s="137" t="str">
        <f t="shared" si="2"/>
        <v/>
      </c>
      <c r="K22" s="138" t="str">
        <f t="shared" si="3"/>
        <v/>
      </c>
      <c r="L22" s="136" t="str">
        <f t="shared" si="4"/>
        <v/>
      </c>
      <c r="M22" s="136" t="str">
        <f t="shared" si="5"/>
        <v/>
      </c>
      <c r="N22" s="139" t="str">
        <f t="shared" si="6"/>
        <v/>
      </c>
    </row>
    <row r="23" spans="1:14" ht="15.75">
      <c r="A23" s="131"/>
      <c r="B23" s="132"/>
      <c r="C23" s="133" t="s">
        <v>131</v>
      </c>
      <c r="D23" s="134">
        <v>10</v>
      </c>
      <c r="E23" s="134">
        <v>2</v>
      </c>
      <c r="F23" s="134">
        <v>5</v>
      </c>
      <c r="G23" s="135">
        <f>0.57+0.57+0.256+0.256+0.2</f>
        <v>1.8519999999999999</v>
      </c>
      <c r="H23" s="136" t="str">
        <f t="shared" si="0"/>
        <v/>
      </c>
      <c r="I23" s="136">
        <f t="shared" si="1"/>
        <v>18.52</v>
      </c>
      <c r="J23" s="137" t="str">
        <f t="shared" si="2"/>
        <v/>
      </c>
      <c r="K23" s="138" t="str">
        <f t="shared" si="3"/>
        <v/>
      </c>
      <c r="L23" s="136" t="str">
        <f t="shared" si="4"/>
        <v/>
      </c>
      <c r="M23" s="136" t="str">
        <f t="shared" si="5"/>
        <v/>
      </c>
      <c r="N23" s="139" t="str">
        <f t="shared" si="6"/>
        <v/>
      </c>
    </row>
    <row r="24" spans="1:14" ht="15.75">
      <c r="A24" s="122"/>
      <c r="B24" s="123"/>
      <c r="C24" s="140" t="s">
        <v>135</v>
      </c>
      <c r="D24" s="125"/>
      <c r="E24" s="125"/>
      <c r="F24" s="125"/>
      <c r="G24" s="126"/>
      <c r="H24" s="127" t="str">
        <f t="shared" si="0"/>
        <v/>
      </c>
      <c r="I24" s="127" t="str">
        <f t="shared" si="1"/>
        <v/>
      </c>
      <c r="J24" s="128" t="str">
        <f t="shared" si="2"/>
        <v/>
      </c>
      <c r="K24" s="129" t="str">
        <f t="shared" si="3"/>
        <v/>
      </c>
      <c r="L24" s="127" t="str">
        <f t="shared" si="4"/>
        <v/>
      </c>
      <c r="M24" s="127" t="str">
        <f t="shared" si="5"/>
        <v/>
      </c>
      <c r="N24" s="130" t="str">
        <f t="shared" si="6"/>
        <v/>
      </c>
    </row>
    <row r="25" spans="1:14" ht="15.75">
      <c r="A25" s="141"/>
      <c r="B25" s="142"/>
      <c r="C25" s="143" t="s">
        <v>136</v>
      </c>
      <c r="D25" s="144">
        <v>20</v>
      </c>
      <c r="E25" s="144">
        <v>11</v>
      </c>
      <c r="F25" s="144">
        <v>12</v>
      </c>
      <c r="G25" s="145">
        <f>8+1+0.4+0.4-0.1</f>
        <v>9.7000000000000011</v>
      </c>
      <c r="H25" s="146" t="str">
        <f t="shared" si="0"/>
        <v/>
      </c>
      <c r="I25" s="146" t="str">
        <f t="shared" si="1"/>
        <v/>
      </c>
      <c r="J25" s="147" t="str">
        <f t="shared" si="2"/>
        <v/>
      </c>
      <c r="K25" s="148" t="str">
        <f t="shared" si="3"/>
        <v/>
      </c>
      <c r="L25" s="146">
        <f t="shared" si="4"/>
        <v>1280.4000000000001</v>
      </c>
      <c r="M25" s="146" t="str">
        <f t="shared" si="5"/>
        <v/>
      </c>
      <c r="N25" s="149" t="str">
        <f t="shared" si="6"/>
        <v/>
      </c>
    </row>
    <row r="26" spans="1:14" ht="15.75">
      <c r="A26" s="141"/>
      <c r="B26" s="142"/>
      <c r="C26" s="143" t="s">
        <v>137</v>
      </c>
      <c r="D26" s="144">
        <v>20</v>
      </c>
      <c r="E26" s="144">
        <v>11</v>
      </c>
      <c r="F26" s="144">
        <v>8</v>
      </c>
      <c r="G26" s="145">
        <v>0.4</v>
      </c>
      <c r="H26" s="146" t="str">
        <f t="shared" si="0"/>
        <v/>
      </c>
      <c r="I26" s="146" t="str">
        <f t="shared" si="1"/>
        <v/>
      </c>
      <c r="J26" s="147" t="str">
        <f t="shared" si="2"/>
        <v/>
      </c>
      <c r="K26" s="148" t="str">
        <f t="shared" si="3"/>
        <v/>
      </c>
      <c r="L26" s="146">
        <f t="shared" si="4"/>
        <v>35.200000000000003</v>
      </c>
      <c r="M26" s="146" t="str">
        <f t="shared" si="5"/>
        <v/>
      </c>
      <c r="N26" s="149" t="str">
        <f t="shared" si="6"/>
        <v/>
      </c>
    </row>
    <row r="27" spans="1:14" ht="15.75">
      <c r="A27" s="141"/>
      <c r="B27" s="142"/>
      <c r="C27" s="143" t="s">
        <v>138</v>
      </c>
      <c r="D27" s="144">
        <v>16</v>
      </c>
      <c r="E27" s="144">
        <v>11</v>
      </c>
      <c r="F27" s="144">
        <v>4</v>
      </c>
      <c r="G27" s="145">
        <f>9-0.1</f>
        <v>8.9</v>
      </c>
      <c r="H27" s="146" t="str">
        <f t="shared" si="0"/>
        <v/>
      </c>
      <c r="I27" s="146" t="str">
        <f t="shared" si="1"/>
        <v/>
      </c>
      <c r="J27" s="147" t="str">
        <f t="shared" si="2"/>
        <v/>
      </c>
      <c r="K27" s="148">
        <f t="shared" si="3"/>
        <v>391.6</v>
      </c>
      <c r="L27" s="146" t="str">
        <f t="shared" si="4"/>
        <v/>
      </c>
      <c r="M27" s="146" t="str">
        <f t="shared" si="5"/>
        <v/>
      </c>
      <c r="N27" s="149" t="str">
        <f t="shared" si="6"/>
        <v/>
      </c>
    </row>
    <row r="28" spans="1:14" ht="15.75">
      <c r="A28" s="141"/>
      <c r="B28" s="142"/>
      <c r="C28" s="143" t="s">
        <v>139</v>
      </c>
      <c r="D28" s="144">
        <v>10</v>
      </c>
      <c r="E28" s="144">
        <v>11</v>
      </c>
      <c r="F28" s="144">
        <v>36</v>
      </c>
      <c r="G28" s="145">
        <f>0.7+0.7+0.35+0.35+0.2</f>
        <v>2.3000000000000003</v>
      </c>
      <c r="H28" s="146" t="str">
        <f t="shared" si="0"/>
        <v/>
      </c>
      <c r="I28" s="146">
        <f t="shared" si="1"/>
        <v>910.80000000000007</v>
      </c>
      <c r="J28" s="147" t="str">
        <f t="shared" si="2"/>
        <v/>
      </c>
      <c r="K28" s="148" t="str">
        <f t="shared" si="3"/>
        <v/>
      </c>
      <c r="L28" s="146" t="str">
        <f t="shared" si="4"/>
        <v/>
      </c>
      <c r="M28" s="146" t="str">
        <f t="shared" si="5"/>
        <v/>
      </c>
      <c r="N28" s="149" t="str">
        <f t="shared" si="6"/>
        <v/>
      </c>
    </row>
    <row r="29" spans="1:14" ht="15.75">
      <c r="A29" s="122"/>
      <c r="B29" s="123"/>
      <c r="C29" s="140" t="s">
        <v>140</v>
      </c>
      <c r="D29" s="125"/>
      <c r="E29" s="125"/>
      <c r="F29" s="125"/>
      <c r="G29" s="126"/>
      <c r="H29" s="127" t="str">
        <f t="shared" si="0"/>
        <v/>
      </c>
      <c r="I29" s="127" t="str">
        <f t="shared" si="1"/>
        <v/>
      </c>
      <c r="J29" s="128" t="str">
        <f t="shared" si="2"/>
        <v/>
      </c>
      <c r="K29" s="129" t="str">
        <f t="shared" si="3"/>
        <v/>
      </c>
      <c r="L29" s="127" t="str">
        <f t="shared" si="4"/>
        <v/>
      </c>
      <c r="M29" s="127" t="str">
        <f t="shared" si="5"/>
        <v/>
      </c>
      <c r="N29" s="130" t="str">
        <f t="shared" si="6"/>
        <v/>
      </c>
    </row>
    <row r="30" spans="1:14" ht="15.75">
      <c r="A30" s="141"/>
      <c r="B30" s="142"/>
      <c r="C30" s="143" t="s">
        <v>136</v>
      </c>
      <c r="D30" s="144">
        <v>20</v>
      </c>
      <c r="E30" s="144">
        <v>2</v>
      </c>
      <c r="F30" s="144">
        <v>8</v>
      </c>
      <c r="G30" s="145">
        <f>39.2+0.8</f>
        <v>40</v>
      </c>
      <c r="H30" s="146" t="str">
        <f t="shared" si="0"/>
        <v/>
      </c>
      <c r="I30" s="146" t="str">
        <f t="shared" si="1"/>
        <v/>
      </c>
      <c r="J30" s="147" t="str">
        <f t="shared" si="2"/>
        <v/>
      </c>
      <c r="K30" s="148" t="str">
        <f t="shared" si="3"/>
        <v/>
      </c>
      <c r="L30" s="146">
        <f t="shared" si="4"/>
        <v>640</v>
      </c>
      <c r="M30" s="146" t="str">
        <f t="shared" si="5"/>
        <v/>
      </c>
      <c r="N30" s="149" t="str">
        <f t="shared" si="6"/>
        <v/>
      </c>
    </row>
    <row r="31" spans="1:14" ht="15.75">
      <c r="A31" s="141"/>
      <c r="B31" s="142"/>
      <c r="C31" s="143" t="s">
        <v>141</v>
      </c>
      <c r="D31" s="144">
        <v>20</v>
      </c>
      <c r="E31" s="144">
        <f>E30</f>
        <v>2</v>
      </c>
      <c r="F31" s="144">
        <f>F30*3</f>
        <v>24</v>
      </c>
      <c r="G31" s="145">
        <v>1</v>
      </c>
      <c r="H31" s="146" t="str">
        <f t="shared" si="0"/>
        <v/>
      </c>
      <c r="I31" s="146" t="str">
        <f t="shared" si="1"/>
        <v/>
      </c>
      <c r="J31" s="147" t="str">
        <f t="shared" si="2"/>
        <v/>
      </c>
      <c r="K31" s="148" t="str">
        <f t="shared" si="3"/>
        <v/>
      </c>
      <c r="L31" s="146">
        <f t="shared" si="4"/>
        <v>48</v>
      </c>
      <c r="M31" s="146" t="str">
        <f t="shared" si="5"/>
        <v/>
      </c>
      <c r="N31" s="149" t="str">
        <f t="shared" si="6"/>
        <v/>
      </c>
    </row>
    <row r="32" spans="1:14" ht="15.75">
      <c r="A32" s="141"/>
      <c r="B32" s="142"/>
      <c r="C32" s="143" t="s">
        <v>137</v>
      </c>
      <c r="D32" s="144">
        <v>20</v>
      </c>
      <c r="E32" s="144">
        <v>2</v>
      </c>
      <c r="F32" s="144">
        <v>29</v>
      </c>
      <c r="G32" s="145">
        <v>0.4</v>
      </c>
      <c r="H32" s="146" t="str">
        <f t="shared" si="0"/>
        <v/>
      </c>
      <c r="I32" s="146" t="str">
        <f t="shared" si="1"/>
        <v/>
      </c>
      <c r="J32" s="147" t="str">
        <f t="shared" si="2"/>
        <v/>
      </c>
      <c r="K32" s="148" t="str">
        <f t="shared" si="3"/>
        <v/>
      </c>
      <c r="L32" s="146">
        <f t="shared" si="4"/>
        <v>23.200000000000003</v>
      </c>
      <c r="M32" s="146" t="str">
        <f t="shared" si="5"/>
        <v/>
      </c>
      <c r="N32" s="149" t="str">
        <f t="shared" si="6"/>
        <v/>
      </c>
    </row>
    <row r="33" spans="1:14" ht="15.75">
      <c r="A33" s="141"/>
      <c r="B33" s="142"/>
      <c r="C33" s="143" t="s">
        <v>139</v>
      </c>
      <c r="D33" s="144">
        <v>10</v>
      </c>
      <c r="E33" s="144">
        <v>2</v>
      </c>
      <c r="F33" s="144">
        <v>144</v>
      </c>
      <c r="G33" s="145">
        <f>0.55+0.55+0.3+0.3+0.2</f>
        <v>1.9000000000000001</v>
      </c>
      <c r="H33" s="146" t="str">
        <f t="shared" si="0"/>
        <v/>
      </c>
      <c r="I33" s="146">
        <f t="shared" si="1"/>
        <v>547.20000000000005</v>
      </c>
      <c r="J33" s="147" t="str">
        <f t="shared" si="2"/>
        <v/>
      </c>
      <c r="K33" s="148" t="str">
        <f t="shared" si="3"/>
        <v/>
      </c>
      <c r="L33" s="146" t="str">
        <f t="shared" si="4"/>
        <v/>
      </c>
      <c r="M33" s="146" t="str">
        <f t="shared" si="5"/>
        <v/>
      </c>
      <c r="N33" s="149" t="str">
        <f t="shared" si="6"/>
        <v/>
      </c>
    </row>
    <row r="34" spans="1:14" ht="15.75">
      <c r="A34" s="122"/>
      <c r="B34" s="123"/>
      <c r="C34" s="150"/>
      <c r="D34" s="125"/>
      <c r="E34" s="125"/>
      <c r="F34" s="125"/>
      <c r="G34" s="126"/>
      <c r="H34" s="127" t="str">
        <f t="shared" si="0"/>
        <v/>
      </c>
      <c r="I34" s="127" t="str">
        <f t="shared" si="1"/>
        <v/>
      </c>
      <c r="J34" s="128" t="str">
        <f t="shared" si="2"/>
        <v/>
      </c>
      <c r="K34" s="129" t="str">
        <f t="shared" si="3"/>
        <v/>
      </c>
      <c r="L34" s="127" t="str">
        <f t="shared" si="4"/>
        <v/>
      </c>
      <c r="M34" s="127" t="str">
        <f t="shared" si="5"/>
        <v/>
      </c>
      <c r="N34" s="130" t="str">
        <f t="shared" si="6"/>
        <v/>
      </c>
    </row>
    <row r="35" spans="1:14" ht="15.75">
      <c r="A35" s="122"/>
      <c r="B35" s="123"/>
      <c r="C35" s="150"/>
      <c r="D35" s="125"/>
      <c r="E35" s="125"/>
      <c r="F35" s="125"/>
      <c r="G35" s="126"/>
      <c r="H35" s="127" t="str">
        <f t="shared" si="0"/>
        <v/>
      </c>
      <c r="I35" s="127" t="str">
        <f t="shared" si="1"/>
        <v/>
      </c>
      <c r="J35" s="128" t="str">
        <f t="shared" si="2"/>
        <v/>
      </c>
      <c r="K35" s="129" t="str">
        <f t="shared" si="3"/>
        <v/>
      </c>
      <c r="L35" s="127" t="str">
        <f t="shared" si="4"/>
        <v/>
      </c>
      <c r="M35" s="127" t="str">
        <f t="shared" si="5"/>
        <v/>
      </c>
      <c r="N35" s="130" t="str">
        <f t="shared" si="6"/>
        <v/>
      </c>
    </row>
    <row r="36" spans="1:14" ht="15.75">
      <c r="A36" s="122"/>
      <c r="B36" s="123"/>
      <c r="C36" s="150"/>
      <c r="D36" s="151"/>
      <c r="E36" s="151"/>
      <c r="F36" s="151"/>
      <c r="G36" s="151" t="s">
        <v>142</v>
      </c>
      <c r="H36" s="152">
        <f t="shared" ref="H36:N36" si="7">SUM(H7:H35)</f>
        <v>0</v>
      </c>
      <c r="I36" s="152">
        <f t="shared" si="7"/>
        <v>2556.92</v>
      </c>
      <c r="J36" s="152">
        <f t="shared" si="7"/>
        <v>0</v>
      </c>
      <c r="K36" s="152">
        <f t="shared" si="7"/>
        <v>391.6</v>
      </c>
      <c r="L36" s="152">
        <f t="shared" si="7"/>
        <v>2160.8000000000002</v>
      </c>
      <c r="M36" s="152">
        <f t="shared" si="7"/>
        <v>1715.2</v>
      </c>
      <c r="N36" s="153">
        <f t="shared" si="7"/>
        <v>0</v>
      </c>
    </row>
    <row r="37" spans="1:14" ht="15.75">
      <c r="A37" s="122"/>
      <c r="B37" s="123"/>
      <c r="C37" s="150"/>
      <c r="D37" s="151"/>
      <c r="E37" s="151"/>
      <c r="F37" s="151"/>
      <c r="G37" s="154" t="s">
        <v>143</v>
      </c>
      <c r="H37" s="152">
        <v>0.39500000000000002</v>
      </c>
      <c r="I37" s="127">
        <v>0.61699999999999999</v>
      </c>
      <c r="J37" s="152">
        <v>0.88800000000000001</v>
      </c>
      <c r="K37" s="155">
        <v>1.58</v>
      </c>
      <c r="L37" s="156">
        <v>2.4689999999999999</v>
      </c>
      <c r="M37" s="156">
        <v>3.8580000000000001</v>
      </c>
      <c r="N37" s="157">
        <v>6.32</v>
      </c>
    </row>
    <row r="38" spans="1:14" ht="15.75">
      <c r="A38" s="122"/>
      <c r="B38" s="123"/>
      <c r="C38" s="150"/>
      <c r="D38" s="151"/>
      <c r="E38" s="151"/>
      <c r="F38" s="151"/>
      <c r="G38" s="154"/>
      <c r="H38" s="158">
        <f>H36*H37</f>
        <v>0</v>
      </c>
      <c r="I38" s="158">
        <f t="shared" ref="I38:N38" si="8">I36*I37</f>
        <v>1577.6196400000001</v>
      </c>
      <c r="J38" s="158">
        <f t="shared" si="8"/>
        <v>0</v>
      </c>
      <c r="K38" s="158">
        <f t="shared" si="8"/>
        <v>618.72800000000007</v>
      </c>
      <c r="L38" s="158">
        <f t="shared" si="8"/>
        <v>5335.0151999999998</v>
      </c>
      <c r="M38" s="158">
        <f t="shared" si="8"/>
        <v>6617.2416000000003</v>
      </c>
      <c r="N38" s="159">
        <f t="shared" si="8"/>
        <v>0</v>
      </c>
    </row>
    <row r="39" spans="1:14" ht="15.75">
      <c r="A39" s="122"/>
      <c r="B39" s="123"/>
      <c r="C39" s="150"/>
      <c r="D39" s="151"/>
      <c r="E39" s="151"/>
      <c r="F39" s="140"/>
      <c r="G39" s="140"/>
      <c r="H39" s="160" t="s">
        <v>144</v>
      </c>
      <c r="I39" s="161"/>
      <c r="J39" s="162">
        <f>SUM(H38:N38)</f>
        <v>14148.604439999999</v>
      </c>
      <c r="K39" s="163"/>
      <c r="L39" s="164"/>
      <c r="M39" s="164"/>
      <c r="N39" s="165"/>
    </row>
    <row r="40" spans="1:14" ht="16.5" thickBot="1">
      <c r="A40" s="166"/>
      <c r="B40" s="167"/>
      <c r="C40" s="168"/>
      <c r="D40" s="169"/>
      <c r="E40" s="169"/>
      <c r="F40" s="196" t="s">
        <v>145</v>
      </c>
      <c r="G40" s="197"/>
      <c r="H40" s="198"/>
      <c r="I40" s="170" t="s">
        <v>16</v>
      </c>
      <c r="J40" s="171">
        <f>J39/1000</f>
        <v>14.14860444</v>
      </c>
      <c r="K40" s="172"/>
      <c r="L40" s="173"/>
      <c r="M40" s="173"/>
      <c r="N40" s="174"/>
    </row>
  </sheetData>
  <mergeCells count="10">
    <mergeCell ref="F40:H40"/>
    <mergeCell ref="A4:N4"/>
    <mergeCell ref="A5:A6"/>
    <mergeCell ref="B5:B6"/>
    <mergeCell ref="C5:C6"/>
    <mergeCell ref="D5:D6"/>
    <mergeCell ref="E5:E6"/>
    <mergeCell ref="F5:F6"/>
    <mergeCell ref="G5:G6"/>
    <mergeCell ref="H5:N5"/>
  </mergeCells>
  <printOptions horizontalCentered="1"/>
  <pageMargins left="0" right="0" top="0.5" bottom="0.5" header="0.3" footer="0.3"/>
  <pageSetup paperSize="9" scale="74"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RA1</vt:lpstr>
      <vt:lpstr>RA 2</vt:lpstr>
      <vt:lpstr>RA 3</vt:lpstr>
      <vt:lpstr>RA 3 Measurement</vt:lpstr>
      <vt:lpstr>RA 3 BBS</vt:lpstr>
      <vt:lpstr>'RA 2'!Print_Area</vt:lpstr>
      <vt:lpstr>'RA 3'!Print_Area</vt:lpstr>
      <vt:lpstr>'RA 3 BBS'!Print_Area</vt:lpstr>
      <vt:lpstr>'RA 3 Measurement'!Print_Area</vt:lpstr>
      <vt:lpstr>'RA1'!Print_Area</vt:lpstr>
      <vt:lpstr>'RA 2'!Print_Titles</vt:lpstr>
      <vt:lpstr>'RA 3'!Print_Titles</vt:lpstr>
      <vt:lpstr>'RA 3 Measurement'!Print_Titles</vt:lpstr>
      <vt:lpstr>'RA1'!Print_Titles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2023-09-13T06:34:46Z</cp:lastPrinted>
  <dcterms:created xsi:type="dcterms:W3CDTF">2023-08-10T11:49:35Z</dcterms:created>
  <dcterms:modified xsi:type="dcterms:W3CDTF">2023-09-15T11:07:17Z</dcterms:modified>
</cp:coreProperties>
</file>