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bstract + 10%" sheetId="2" r:id="rId1"/>
    <sheet name="Measurement Sheet" sheetId="1" r:id="rId2"/>
    <sheet name="RA 4 Measurement" sheetId="3" r:id="rId3"/>
  </sheets>
  <definedNames>
    <definedName name="_xlnm.Print_Area" localSheetId="2">'RA 4 Measurement'!$A$1:$N$138</definedName>
    <definedName name="_xlnm.Print_Titles" localSheetId="2">'RA 4 Measurement'!$1:$6</definedName>
  </definedNames>
  <calcPr calcId="162913"/>
</workbook>
</file>

<file path=xl/calcChain.xml><?xml version="1.0" encoding="utf-8"?>
<calcChain xmlns="http://schemas.openxmlformats.org/spreadsheetml/2006/main">
  <c r="N209" i="1" l="1"/>
  <c r="N222" i="1"/>
  <c r="N221" i="1"/>
  <c r="N220" i="1"/>
  <c r="N194" i="1"/>
  <c r="S66" i="1" l="1"/>
  <c r="S67" i="1" s="1"/>
  <c r="S68" i="1" s="1"/>
  <c r="S69" i="1" s="1"/>
  <c r="S70" i="1" s="1"/>
  <c r="S71" i="1" s="1"/>
  <c r="S65" i="1"/>
  <c r="S59" i="1"/>
  <c r="S60" i="1" s="1"/>
  <c r="S48" i="1"/>
  <c r="Q29" i="2" l="1"/>
  <c r="P24" i="2"/>
  <c r="G38" i="1" l="1"/>
  <c r="G37" i="1"/>
  <c r="F37" i="1" s="1"/>
  <c r="F34" i="1" l="1"/>
  <c r="N9" i="1" l="1"/>
  <c r="N11" i="1"/>
  <c r="N15" i="1"/>
  <c r="N17" i="1"/>
  <c r="N22" i="1"/>
  <c r="N24" i="1"/>
  <c r="N30" i="1"/>
  <c r="N36" i="1"/>
  <c r="N39" i="1"/>
  <c r="B80" i="3" l="1"/>
  <c r="J79" i="3"/>
  <c r="L79" i="3" s="1"/>
  <c r="N78" i="3"/>
  <c r="N79" i="3" s="1"/>
  <c r="N80" i="3" s="1"/>
  <c r="M78" i="3"/>
  <c r="M79" i="3" s="1"/>
  <c r="M80" i="3" s="1"/>
  <c r="L78" i="3"/>
  <c r="I77" i="3"/>
  <c r="L77" i="3" s="1"/>
  <c r="L80" i="3" s="1"/>
  <c r="J277" i="1"/>
  <c r="L277" i="1"/>
  <c r="L276" i="1"/>
  <c r="N276" i="1"/>
  <c r="N277" i="1" s="1"/>
  <c r="L275" i="1"/>
  <c r="M276" i="1"/>
  <c r="M277" i="1" s="1"/>
  <c r="I275" i="1"/>
  <c r="B274" i="1"/>
  <c r="G276" i="1"/>
  <c r="F276" i="1"/>
  <c r="G275" i="1"/>
  <c r="F275" i="1"/>
  <c r="N75" i="3"/>
  <c r="M75" i="3"/>
  <c r="L74" i="3"/>
  <c r="L73" i="3"/>
  <c r="L72" i="3"/>
  <c r="L71" i="3"/>
  <c r="L70" i="3"/>
  <c r="L69" i="3"/>
  <c r="L68" i="3"/>
  <c r="L67" i="3"/>
  <c r="L66" i="3"/>
  <c r="K65" i="3"/>
  <c r="L65" i="3" s="1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M47" i="3"/>
  <c r="L46" i="3"/>
  <c r="L44" i="3"/>
  <c r="L43" i="3"/>
  <c r="L42" i="3"/>
  <c r="L40" i="3"/>
  <c r="L39" i="3"/>
  <c r="L38" i="3"/>
  <c r="L37" i="3"/>
  <c r="L36" i="3"/>
  <c r="L35" i="3"/>
  <c r="L34" i="3"/>
  <c r="L33" i="3"/>
  <c r="B161" i="1"/>
  <c r="M161" i="1"/>
  <c r="L133" i="1"/>
  <c r="L159" i="1"/>
  <c r="L157" i="1"/>
  <c r="L155" i="1"/>
  <c r="L156" i="1"/>
  <c r="L158" i="1"/>
  <c r="L160" i="1"/>
  <c r="L154" i="1"/>
  <c r="L130" i="1"/>
  <c r="L131" i="1"/>
  <c r="L132" i="1"/>
  <c r="L134" i="1"/>
  <c r="L129" i="1"/>
  <c r="M127" i="1"/>
  <c r="L153" i="1"/>
  <c r="K151" i="1"/>
  <c r="L151" i="1" s="1"/>
  <c r="L150" i="1"/>
  <c r="L152" i="1"/>
  <c r="L149" i="1"/>
  <c r="L148" i="1"/>
  <c r="L123" i="1"/>
  <c r="L124" i="1"/>
  <c r="L125" i="1"/>
  <c r="L122" i="1"/>
  <c r="L135" i="1"/>
  <c r="L136" i="1"/>
  <c r="L137" i="1"/>
  <c r="L138" i="1"/>
  <c r="L139" i="1"/>
  <c r="L140" i="1"/>
  <c r="L141" i="1"/>
  <c r="L142" i="1"/>
  <c r="L116" i="1"/>
  <c r="L117" i="1"/>
  <c r="L110" i="1"/>
  <c r="N31" i="3"/>
  <c r="M31" i="3"/>
  <c r="N65" i="1"/>
  <c r="L65" i="1"/>
  <c r="J64" i="1"/>
  <c r="I64" i="1"/>
  <c r="H64" i="1"/>
  <c r="H63" i="1"/>
  <c r="L62" i="1"/>
  <c r="I20" i="3"/>
  <c r="H20" i="3"/>
  <c r="J19" i="3"/>
  <c r="L19" i="3" s="1"/>
  <c r="M18" i="3"/>
  <c r="M19" i="3" s="1"/>
  <c r="M20" i="3" s="1"/>
  <c r="L18" i="3"/>
  <c r="H17" i="3"/>
  <c r="L17" i="3" s="1"/>
  <c r="H15" i="3"/>
  <c r="H14" i="3"/>
  <c r="H13" i="3"/>
  <c r="D13" i="3"/>
  <c r="D14" i="3" s="1"/>
  <c r="D15" i="3" s="1"/>
  <c r="H12" i="3"/>
  <c r="I11" i="3"/>
  <c r="I12" i="3" s="1"/>
  <c r="I13" i="3" s="1"/>
  <c r="H11" i="3"/>
  <c r="I10" i="3"/>
  <c r="H10" i="3"/>
  <c r="E10" i="3"/>
  <c r="D10" i="3"/>
  <c r="J9" i="3"/>
  <c r="J10" i="3" s="1"/>
  <c r="F10" i="3" s="1"/>
  <c r="H9" i="3"/>
  <c r="J8" i="3"/>
  <c r="F8" i="3" s="1"/>
  <c r="H8" i="3"/>
  <c r="H48" i="1"/>
  <c r="H53" i="1"/>
  <c r="H47" i="1"/>
  <c r="J41" i="1"/>
  <c r="H44" i="1"/>
  <c r="H41" i="1"/>
  <c r="J42" i="1"/>
  <c r="H45" i="1"/>
  <c r="H46" i="1"/>
  <c r="N43" i="1"/>
  <c r="N44" i="1" s="1"/>
  <c r="N46" i="1" s="1"/>
  <c r="J43" i="1"/>
  <c r="J45" i="1" s="1"/>
  <c r="H43" i="1"/>
  <c r="H42" i="1"/>
  <c r="L64" i="1" l="1"/>
  <c r="L9" i="3"/>
  <c r="L47" i="3"/>
  <c r="L75" i="3" s="1"/>
  <c r="L8" i="3"/>
  <c r="L127" i="1"/>
  <c r="J44" i="1"/>
  <c r="N45" i="1"/>
  <c r="N47" i="1" s="1"/>
  <c r="N49" i="1" s="1"/>
  <c r="L10" i="3"/>
  <c r="L20" i="3"/>
  <c r="L22" i="3" s="1"/>
  <c r="F9" i="3"/>
  <c r="I14" i="3"/>
  <c r="I15" i="3" s="1"/>
  <c r="J11" i="3"/>
  <c r="L11" i="3" s="1"/>
  <c r="J12" i="3"/>
  <c r="J13" i="3" s="1"/>
  <c r="J14" i="3" s="1"/>
  <c r="J15" i="3" s="1"/>
  <c r="M271" i="1"/>
  <c r="B271" i="1"/>
  <c r="L270" i="1"/>
  <c r="L269" i="1"/>
  <c r="M268" i="1"/>
  <c r="B268" i="1"/>
  <c r="L267" i="1"/>
  <c r="L266" i="1"/>
  <c r="L265" i="1"/>
  <c r="L264" i="1"/>
  <c r="M263" i="1"/>
  <c r="L263" i="1"/>
  <c r="B263" i="1"/>
  <c r="M258" i="1"/>
  <c r="B258" i="1"/>
  <c r="L257" i="1"/>
  <c r="L256" i="1"/>
  <c r="L255" i="1"/>
  <c r="L254" i="1"/>
  <c r="M251" i="1"/>
  <c r="B251" i="1"/>
  <c r="M250" i="1"/>
  <c r="H250" i="1"/>
  <c r="G250" i="1"/>
  <c r="F250" i="1"/>
  <c r="H249" i="1"/>
  <c r="G249" i="1"/>
  <c r="F249" i="1"/>
  <c r="M248" i="1"/>
  <c r="B248" i="1"/>
  <c r="G247" i="1"/>
  <c r="F247" i="1"/>
  <c r="D247" i="1"/>
  <c r="G246" i="1"/>
  <c r="F246" i="1"/>
  <c r="J245" i="1"/>
  <c r="L245" i="1" s="1"/>
  <c r="J244" i="1"/>
  <c r="L244" i="1" s="1"/>
  <c r="B243" i="1"/>
  <c r="J242" i="1"/>
  <c r="L242" i="1" s="1"/>
  <c r="J241" i="1"/>
  <c r="L241" i="1" s="1"/>
  <c r="G240" i="1"/>
  <c r="J240" i="1" s="1"/>
  <c r="L240" i="1" s="1"/>
  <c r="G239" i="1"/>
  <c r="J239" i="1" s="1"/>
  <c r="L239" i="1" s="1"/>
  <c r="M238" i="1"/>
  <c r="M239" i="1" s="1"/>
  <c r="M240" i="1" s="1"/>
  <c r="M241" i="1" s="1"/>
  <c r="B238" i="1"/>
  <c r="J237" i="1"/>
  <c r="J236" i="1"/>
  <c r="H236" i="1"/>
  <c r="H235" i="1"/>
  <c r="H237" i="1" s="1"/>
  <c r="G235" i="1"/>
  <c r="F235" i="1"/>
  <c r="H234" i="1"/>
  <c r="G234" i="1"/>
  <c r="F234" i="1"/>
  <c r="M230" i="1"/>
  <c r="B230" i="1"/>
  <c r="L229" i="1"/>
  <c r="L228" i="1"/>
  <c r="L227" i="1"/>
  <c r="L225" i="1"/>
  <c r="L224" i="1"/>
  <c r="M223" i="1"/>
  <c r="B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M190" i="1"/>
  <c r="B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46" i="1"/>
  <c r="L145" i="1"/>
  <c r="L144" i="1"/>
  <c r="L143" i="1"/>
  <c r="L121" i="1"/>
  <c r="L120" i="1"/>
  <c r="L119" i="1"/>
  <c r="L118" i="1"/>
  <c r="L115" i="1"/>
  <c r="L114" i="1"/>
  <c r="L113" i="1"/>
  <c r="L112" i="1"/>
  <c r="L111" i="1"/>
  <c r="M107" i="1"/>
  <c r="B107" i="1"/>
  <c r="L106" i="1"/>
  <c r="G106" i="1"/>
  <c r="F106" i="1" s="1"/>
  <c r="H105" i="1"/>
  <c r="L105" i="1" s="1"/>
  <c r="F105" i="1"/>
  <c r="M104" i="1"/>
  <c r="B104" i="1"/>
  <c r="G103" i="1"/>
  <c r="J103" i="1" s="1"/>
  <c r="L103" i="1" s="1"/>
  <c r="G102" i="1"/>
  <c r="J102" i="1" s="1"/>
  <c r="L102" i="1" s="1"/>
  <c r="M101" i="1"/>
  <c r="G100" i="1"/>
  <c r="J100" i="1" s="1"/>
  <c r="L100" i="1" s="1"/>
  <c r="G99" i="1"/>
  <c r="J99" i="1" s="1"/>
  <c r="L99" i="1" s="1"/>
  <c r="F98" i="1"/>
  <c r="J98" i="1" s="1"/>
  <c r="L98" i="1" s="1"/>
  <c r="F97" i="1"/>
  <c r="J97" i="1" s="1"/>
  <c r="L97" i="1" s="1"/>
  <c r="L96" i="1"/>
  <c r="F96" i="1"/>
  <c r="L95" i="1"/>
  <c r="F95" i="1"/>
  <c r="L94" i="1"/>
  <c r="F94" i="1"/>
  <c r="L93" i="1"/>
  <c r="F93" i="1"/>
  <c r="L92" i="1"/>
  <c r="F92" i="1"/>
  <c r="L91" i="1"/>
  <c r="F91" i="1"/>
  <c r="L90" i="1"/>
  <c r="G90" i="1"/>
  <c r="F90" i="1" s="1"/>
  <c r="G89" i="1"/>
  <c r="J89" i="1" s="1"/>
  <c r="L89" i="1" s="1"/>
  <c r="G88" i="1"/>
  <c r="J88" i="1" s="1"/>
  <c r="L88" i="1" s="1"/>
  <c r="L87" i="1"/>
  <c r="G87" i="1"/>
  <c r="L86" i="1"/>
  <c r="G86" i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J85" i="1"/>
  <c r="I85" i="1"/>
  <c r="H85" i="1"/>
  <c r="G85" i="1"/>
  <c r="K79" i="1"/>
  <c r="I79" i="1"/>
  <c r="F78" i="1"/>
  <c r="F79" i="1" s="1"/>
  <c r="I77" i="1"/>
  <c r="H78" i="1" s="1"/>
  <c r="G77" i="1"/>
  <c r="G78" i="1" s="1"/>
  <c r="G79" i="1" s="1"/>
  <c r="L76" i="1"/>
  <c r="F76" i="1"/>
  <c r="L75" i="1"/>
  <c r="F75" i="1"/>
  <c r="L74" i="1"/>
  <c r="F74" i="1"/>
  <c r="L73" i="1"/>
  <c r="F73" i="1"/>
  <c r="L72" i="1"/>
  <c r="F72" i="1"/>
  <c r="L71" i="1"/>
  <c r="G71" i="1"/>
  <c r="F71" i="1" s="1"/>
  <c r="I70" i="1"/>
  <c r="H70" i="1"/>
  <c r="G70" i="1"/>
  <c r="F70" i="1" s="1"/>
  <c r="H69" i="1"/>
  <c r="L69" i="1" s="1"/>
  <c r="G69" i="1"/>
  <c r="F69" i="1" s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F68" i="1"/>
  <c r="J67" i="1"/>
  <c r="G67" i="1" s="1"/>
  <c r="M66" i="1"/>
  <c r="B66" i="1"/>
  <c r="L63" i="1"/>
  <c r="L61" i="1"/>
  <c r="L60" i="1"/>
  <c r="L53" i="1"/>
  <c r="J52" i="1"/>
  <c r="L52" i="1" s="1"/>
  <c r="J51" i="1"/>
  <c r="L51" i="1" s="1"/>
  <c r="G50" i="1"/>
  <c r="J50" i="1" s="1"/>
  <c r="L50" i="1" s="1"/>
  <c r="J49" i="1"/>
  <c r="L49" i="1" s="1"/>
  <c r="D46" i="1"/>
  <c r="D47" i="1" s="1"/>
  <c r="D48" i="1" s="1"/>
  <c r="J46" i="1"/>
  <c r="J47" i="1" s="1"/>
  <c r="J48" i="1" s="1"/>
  <c r="I44" i="1"/>
  <c r="I45" i="1" s="1"/>
  <c r="I46" i="1" s="1"/>
  <c r="I43" i="1"/>
  <c r="E43" i="1"/>
  <c r="D43" i="1"/>
  <c r="F42" i="1"/>
  <c r="L42" i="1"/>
  <c r="L41" i="1"/>
  <c r="F41" i="1"/>
  <c r="M39" i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4" i="1" s="1"/>
  <c r="J38" i="1"/>
  <c r="F38" i="1" s="1"/>
  <c r="I38" i="1"/>
  <c r="L37" i="1"/>
  <c r="M36" i="1"/>
  <c r="J35" i="1"/>
  <c r="F35" i="1" s="1"/>
  <c r="H35" i="1"/>
  <c r="B35" i="1"/>
  <c r="I34" i="1"/>
  <c r="H34" i="1"/>
  <c r="M30" i="1"/>
  <c r="M24" i="1"/>
  <c r="L23" i="1"/>
  <c r="L24" i="1" s="1"/>
  <c r="M22" i="1"/>
  <c r="I21" i="1"/>
  <c r="H21" i="1"/>
  <c r="F21" i="1"/>
  <c r="I20" i="1"/>
  <c r="H20" i="1"/>
  <c r="F20" i="1"/>
  <c r="I19" i="1"/>
  <c r="H19" i="1"/>
  <c r="F19" i="1"/>
  <c r="I18" i="1"/>
  <c r="H18" i="1"/>
  <c r="F18" i="1"/>
  <c r="M17" i="1"/>
  <c r="J16" i="1"/>
  <c r="L16" i="1" s="1"/>
  <c r="L17" i="1" s="1"/>
  <c r="L27" i="1" s="1"/>
  <c r="M15" i="1"/>
  <c r="I14" i="1"/>
  <c r="H14" i="1"/>
  <c r="F14" i="1"/>
  <c r="I13" i="1"/>
  <c r="H13" i="1"/>
  <c r="F13" i="1"/>
  <c r="G12" i="1"/>
  <c r="M11" i="1"/>
  <c r="I10" i="1"/>
  <c r="H10" i="1"/>
  <c r="M9" i="1"/>
  <c r="I8" i="1"/>
  <c r="I12" i="1" s="1"/>
  <c r="H8" i="1"/>
  <c r="H12" i="1" s="1"/>
  <c r="F8" i="1"/>
  <c r="J8" i="1" s="1"/>
  <c r="F52" i="2"/>
  <c r="M52" i="2" s="1"/>
  <c r="B52" i="2"/>
  <c r="F51" i="2"/>
  <c r="M51" i="2" s="1"/>
  <c r="F50" i="2"/>
  <c r="M50" i="2" s="1"/>
  <c r="F49" i="2"/>
  <c r="M49" i="2" s="1"/>
  <c r="M48" i="2"/>
  <c r="F46" i="2"/>
  <c r="M46" i="2" s="1"/>
  <c r="E46" i="2"/>
  <c r="F45" i="2"/>
  <c r="M45" i="2" s="1"/>
  <c r="F44" i="2"/>
  <c r="M44" i="2" s="1"/>
  <c r="M43" i="2"/>
  <c r="F41" i="2"/>
  <c r="M41" i="2" s="1"/>
  <c r="F40" i="2"/>
  <c r="M40" i="2" s="1"/>
  <c r="F39" i="2"/>
  <c r="M39" i="2" s="1"/>
  <c r="M38" i="2"/>
  <c r="F38" i="2"/>
  <c r="M37" i="2"/>
  <c r="F35" i="2"/>
  <c r="M35" i="2" s="1"/>
  <c r="M34" i="2"/>
  <c r="F34" i="2"/>
  <c r="F33" i="2"/>
  <c r="M33" i="2" s="1"/>
  <c r="F32" i="2"/>
  <c r="M32" i="2" s="1"/>
  <c r="M31" i="2"/>
  <c r="F29" i="2"/>
  <c r="M29" i="2" s="1"/>
  <c r="F28" i="2"/>
  <c r="M28" i="2" s="1"/>
  <c r="F27" i="2"/>
  <c r="M27" i="2" s="1"/>
  <c r="F26" i="2"/>
  <c r="M26" i="2" s="1"/>
  <c r="M25" i="2"/>
  <c r="F23" i="2"/>
  <c r="M23" i="2" s="1"/>
  <c r="F22" i="2"/>
  <c r="M22" i="2" s="1"/>
  <c r="M19" i="2"/>
  <c r="M18" i="2"/>
  <c r="M16" i="2"/>
  <c r="F15" i="2"/>
  <c r="M13" i="2"/>
  <c r="M12" i="2"/>
  <c r="F11" i="2"/>
  <c r="M10" i="2"/>
  <c r="M9" i="2"/>
  <c r="N50" i="1" l="1"/>
  <c r="N51" i="1"/>
  <c r="L161" i="1"/>
  <c r="M53" i="2"/>
  <c r="N48" i="1"/>
  <c r="L18" i="1"/>
  <c r="L34" i="1"/>
  <c r="L237" i="1"/>
  <c r="L13" i="1"/>
  <c r="L85" i="1"/>
  <c r="L101" i="1" s="1"/>
  <c r="L29" i="1" s="1"/>
  <c r="L223" i="1"/>
  <c r="J249" i="1"/>
  <c r="L249" i="1" s="1"/>
  <c r="L268" i="1"/>
  <c r="L107" i="1"/>
  <c r="L14" i="3"/>
  <c r="L12" i="3"/>
  <c r="L15" i="3"/>
  <c r="L13" i="3"/>
  <c r="L46" i="1"/>
  <c r="I47" i="1"/>
  <c r="L10" i="1"/>
  <c r="L11" i="1" s="1"/>
  <c r="L243" i="1"/>
  <c r="L12" i="1"/>
  <c r="G10" i="1"/>
  <c r="L19" i="1"/>
  <c r="L70" i="1"/>
  <c r="L230" i="1"/>
  <c r="J234" i="1"/>
  <c r="L234" i="1" s="1"/>
  <c r="J247" i="1"/>
  <c r="L247" i="1" s="1"/>
  <c r="J250" i="1"/>
  <c r="L250" i="1" s="1"/>
  <c r="L271" i="1"/>
  <c r="L14" i="1"/>
  <c r="L44" i="1"/>
  <c r="L190" i="1"/>
  <c r="J235" i="1"/>
  <c r="L235" i="1" s="1"/>
  <c r="L236" i="1"/>
  <c r="J246" i="1"/>
  <c r="L246" i="1" s="1"/>
  <c r="L248" i="1" s="1"/>
  <c r="L258" i="1"/>
  <c r="H79" i="1"/>
  <c r="L79" i="1" s="1"/>
  <c r="L78" i="1"/>
  <c r="L45" i="1"/>
  <c r="L104" i="1"/>
  <c r="M243" i="1"/>
  <c r="M242" i="1"/>
  <c r="L8" i="1"/>
  <c r="L9" i="1" s="1"/>
  <c r="L35" i="1"/>
  <c r="L38" i="1"/>
  <c r="L39" i="1" s="1"/>
  <c r="F43" i="1"/>
  <c r="L67" i="1"/>
  <c r="J68" i="1"/>
  <c r="L77" i="1"/>
  <c r="N53" i="1" l="1"/>
  <c r="N52" i="1"/>
  <c r="L22" i="1"/>
  <c r="L31" i="3"/>
  <c r="L15" i="1"/>
  <c r="L26" i="1"/>
  <c r="L238" i="1"/>
  <c r="L36" i="1"/>
  <c r="L28" i="1" s="1"/>
  <c r="L47" i="1"/>
  <c r="I48" i="1"/>
  <c r="L48" i="1" s="1"/>
  <c r="L251" i="1"/>
  <c r="L43" i="1"/>
  <c r="G68" i="1"/>
  <c r="L68" i="1"/>
  <c r="L84" i="1" s="1"/>
  <c r="L30" i="1" l="1"/>
  <c r="L66" i="1"/>
  <c r="N54" i="1" l="1"/>
  <c r="N55" i="1"/>
  <c r="N56" i="1" l="1"/>
  <c r="N57" i="1"/>
  <c r="N58" i="1" l="1"/>
  <c r="N59" i="1"/>
</calcChain>
</file>

<file path=xl/sharedStrings.xml><?xml version="1.0" encoding="utf-8"?>
<sst xmlns="http://schemas.openxmlformats.org/spreadsheetml/2006/main" count="1546" uniqueCount="146">
  <si>
    <t>Nakoda Pipe Impex Pvt Ltd</t>
  </si>
  <si>
    <t>Civil Work Estimate</t>
  </si>
  <si>
    <t>Division: -S.I.D</t>
  </si>
  <si>
    <t xml:space="preserve">Sl No </t>
  </si>
  <si>
    <t>Item No</t>
  </si>
  <si>
    <t>Description</t>
  </si>
  <si>
    <t>Block</t>
  </si>
  <si>
    <t>UOM</t>
  </si>
  <si>
    <t>Rate</t>
  </si>
  <si>
    <t>Division</t>
  </si>
  <si>
    <t>Upto Prev Bill</t>
  </si>
  <si>
    <t>This Bill</t>
  </si>
  <si>
    <t>Estimated Value</t>
  </si>
  <si>
    <t>Quantity</t>
  </si>
  <si>
    <t>Amount</t>
  </si>
  <si>
    <t>Excavation &amp; Backfilling</t>
  </si>
  <si>
    <t>Excavation 0-3 Mtr</t>
  </si>
  <si>
    <t>DRI</t>
  </si>
  <si>
    <t>m3</t>
  </si>
  <si>
    <t>SID</t>
  </si>
  <si>
    <t>Excavation 3-6 Mtr</t>
  </si>
  <si>
    <t>Excavation 6-9 Mtr</t>
  </si>
  <si>
    <t>Soil Dressing</t>
  </si>
  <si>
    <t>m2</t>
  </si>
  <si>
    <t>Hard Rock breaking 0-3</t>
  </si>
  <si>
    <t>Hard Rock breaking 3-6</t>
  </si>
  <si>
    <t>Hard Rock breaking 6-9</t>
  </si>
  <si>
    <t>Sand Filling</t>
  </si>
  <si>
    <t>Aggregate Filling</t>
  </si>
  <si>
    <t>Rock Soling</t>
  </si>
  <si>
    <t>Backfilling</t>
  </si>
  <si>
    <t>Plain cement concrete</t>
  </si>
  <si>
    <t>PCC 0-3 Mtr</t>
  </si>
  <si>
    <t>PCC 3-6 Mtr</t>
  </si>
  <si>
    <t>PCC 3-9 Mtr</t>
  </si>
  <si>
    <t>Reinforced cement concrete</t>
  </si>
  <si>
    <t>RCC 0-3 Mtr</t>
  </si>
  <si>
    <t>RCC 3-6 Mtr</t>
  </si>
  <si>
    <t>RCC 6-9 Mtr</t>
  </si>
  <si>
    <t>RCC 9-12 Mtr</t>
  </si>
  <si>
    <t>RCC 12-15 Mtr</t>
  </si>
  <si>
    <t>Formwork &amp; Shuttering</t>
  </si>
  <si>
    <t>0--3 Mtr</t>
  </si>
  <si>
    <t>3--6 Mtr</t>
  </si>
  <si>
    <t>6--9 Mtr</t>
  </si>
  <si>
    <t>9--12 Mtr</t>
  </si>
  <si>
    <t>MT</t>
  </si>
  <si>
    <t>12--15 Mtr</t>
  </si>
  <si>
    <t>Reinforcement of TMT Bars</t>
  </si>
  <si>
    <t>Brickwork</t>
  </si>
  <si>
    <t>0--3</t>
  </si>
  <si>
    <t>Cum</t>
  </si>
  <si>
    <t>3--6</t>
  </si>
  <si>
    <t>6--9</t>
  </si>
  <si>
    <t>9--12</t>
  </si>
  <si>
    <t>Plaster</t>
  </si>
  <si>
    <t>Sqm</t>
  </si>
  <si>
    <t>12--15</t>
  </si>
  <si>
    <t>Estimate value sheet</t>
  </si>
  <si>
    <t>Division: SID</t>
  </si>
  <si>
    <t>Sl No</t>
  </si>
  <si>
    <t>Structure</t>
  </si>
  <si>
    <t>Grid</t>
  </si>
  <si>
    <t>Reduced Level</t>
  </si>
  <si>
    <t>L</t>
  </si>
  <si>
    <t>B</t>
  </si>
  <si>
    <t>H</t>
  </si>
  <si>
    <t>Nos</t>
  </si>
  <si>
    <t>Unit</t>
  </si>
  <si>
    <t>From</t>
  </si>
  <si>
    <t>To</t>
  </si>
  <si>
    <t>Raft</t>
  </si>
  <si>
    <t>Total</t>
  </si>
  <si>
    <t>Beam</t>
  </si>
  <si>
    <t>Hard Rock Excavation 0-3 Mtr</t>
  </si>
  <si>
    <t>F1</t>
  </si>
  <si>
    <t>A-B</t>
  </si>
  <si>
    <t>F2</t>
  </si>
  <si>
    <t>B-E</t>
  </si>
  <si>
    <t>Floor Slab</t>
  </si>
  <si>
    <t>Total Excavation</t>
  </si>
  <si>
    <t>Total Hard Rock</t>
  </si>
  <si>
    <t>Total PCC</t>
  </si>
  <si>
    <t>Total RCC</t>
  </si>
  <si>
    <t>Plain &amp; reinforced Cement Concrete</t>
  </si>
  <si>
    <t>PCC</t>
  </si>
  <si>
    <t>Total 3-6 Mtr</t>
  </si>
  <si>
    <t>RCC</t>
  </si>
  <si>
    <t>B1</t>
  </si>
  <si>
    <t>B2</t>
  </si>
  <si>
    <t>A1 (Cantilever)</t>
  </si>
  <si>
    <t>B3</t>
  </si>
  <si>
    <t>C1</t>
  </si>
  <si>
    <t>C2</t>
  </si>
  <si>
    <t>Roof slab</t>
  </si>
  <si>
    <t>Wiast Slab</t>
  </si>
  <si>
    <t xml:space="preserve">NA </t>
  </si>
  <si>
    <t>Stair Slab</t>
  </si>
  <si>
    <t>Stair Steps</t>
  </si>
  <si>
    <t>Stair</t>
  </si>
  <si>
    <t>Pyramydal frustrum volume</t>
  </si>
  <si>
    <t>Brick Work &amp; Plaster</t>
  </si>
  <si>
    <t>Brick Work</t>
  </si>
  <si>
    <t>Parapet</t>
  </si>
  <si>
    <t>Claimed IN</t>
  </si>
  <si>
    <t>RA 4</t>
  </si>
  <si>
    <t>2'A'</t>
  </si>
  <si>
    <t>8'A'</t>
  </si>
  <si>
    <t>7'A-8'A</t>
  </si>
  <si>
    <t>9'A'</t>
  </si>
  <si>
    <t>Allthrough (Longer Span)</t>
  </si>
  <si>
    <t>Volume Remaining of roof slab</t>
  </si>
  <si>
    <t>Roof slab (1st Level)</t>
  </si>
  <si>
    <t>Deduction of Cutouts</t>
  </si>
  <si>
    <t>Deduction of Staricase</t>
  </si>
  <si>
    <t>Landing 1</t>
  </si>
  <si>
    <t>Landing 2</t>
  </si>
  <si>
    <t>0.9 Claimed By Aua</t>
  </si>
  <si>
    <t>Stair Beam</t>
  </si>
  <si>
    <t>Staircase</t>
  </si>
  <si>
    <t>Waist Slab</t>
  </si>
  <si>
    <t>(-) Deduction of Cutouts</t>
  </si>
  <si>
    <t>(-) Deduction of Staricase</t>
  </si>
  <si>
    <t>Area Remaining of roof slab</t>
  </si>
  <si>
    <t>Cutouts</t>
  </si>
  <si>
    <t>Side Shuttering</t>
  </si>
  <si>
    <t>Stair Steps {Riser}</t>
  </si>
  <si>
    <t>Shuttering {0--3} Mtr</t>
  </si>
  <si>
    <t>RCC {0--3} Mtr</t>
  </si>
  <si>
    <t>Reduced level DRI:- +94.00 M= {0.00}</t>
  </si>
  <si>
    <t>To Nakoda Pipe Impex Pvt Ltd</t>
  </si>
  <si>
    <t>Bill No:- RA 4</t>
  </si>
  <si>
    <t>Financial Year:-2023-2024</t>
  </si>
  <si>
    <t>Vendor: Aquaplast Infracon Pvt Ltd</t>
  </si>
  <si>
    <t>Bill Name: DRI</t>
  </si>
  <si>
    <t>Division:- S.I.D</t>
  </si>
  <si>
    <t>Biling Month:- August 2023</t>
  </si>
  <si>
    <t>RCC {Total 0--3 Mtr}</t>
  </si>
  <si>
    <t>Shuttering {Total 0--3 Mtr}</t>
  </si>
  <si>
    <t>Insert Plate</t>
  </si>
  <si>
    <t>Fixing of Insert &amp; Jigs</t>
  </si>
  <si>
    <t>ISA 75*75*8</t>
  </si>
  <si>
    <t>Total 0-3 Mtr</t>
  </si>
  <si>
    <t>162.8-</t>
  </si>
  <si>
    <t>RA5</t>
  </si>
  <si>
    <t>RA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</si>
</sst>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tifakt Element Heavy"/>
      <family val="2"/>
    </font>
    <font>
      <sz val="11"/>
      <color theme="0"/>
      <name val="Artifakt Element Heavy"/>
      <family val="2"/>
    </font>
    <font>
      <sz val="11"/>
      <color theme="1"/>
      <name val="Artifakt Element Heavy"/>
      <family val="2"/>
    </font>
    <font>
      <u/>
      <sz val="11"/>
      <color theme="1"/>
      <name val="Artifakt Element Heavy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2" xfId="0" applyFont="1" applyFill="1" applyBorder="1"/>
    <xf numFmtId="0" fontId="4" fillId="2" borderId="2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2" fillId="0" borderId="0" xfId="0" applyFont="1" applyFill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2" fillId="3" borderId="1" xfId="0" applyFont="1" applyFill="1" applyBorder="1"/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12" fillId="2" borderId="0" xfId="0" applyFont="1" applyFill="1"/>
    <xf numFmtId="0" fontId="0" fillId="0" borderId="10" xfId="0" applyFill="1" applyBorder="1"/>
    <xf numFmtId="0" fontId="1" fillId="0" borderId="10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left" vertical="center"/>
    </xf>
    <xf numFmtId="0" fontId="1" fillId="0" borderId="10" xfId="0" applyFont="1" applyFill="1" applyBorder="1"/>
    <xf numFmtId="0" fontId="9" fillId="0" borderId="10" xfId="0" applyFont="1" applyFill="1" applyBorder="1" applyAlignment="1">
      <alignment horizontal="left" vertical="center"/>
    </xf>
    <xf numFmtId="0" fontId="0" fillId="0" borderId="10" xfId="0" applyBorder="1"/>
    <xf numFmtId="0" fontId="1" fillId="0" borderId="10" xfId="0" applyFont="1" applyBorder="1"/>
    <xf numFmtId="0" fontId="6" fillId="4" borderId="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/>
    <xf numFmtId="0" fontId="8" fillId="5" borderId="0" xfId="0" applyFont="1" applyFill="1" applyBorder="1" applyAlignment="1">
      <alignment horizontal="left" vertical="center"/>
    </xf>
    <xf numFmtId="0" fontId="0" fillId="0" borderId="0" xfId="0" applyBorder="1"/>
    <xf numFmtId="0" fontId="1" fillId="6" borderId="0" xfId="0" applyFont="1" applyFill="1" applyBorder="1" applyAlignment="1">
      <alignment vertical="center" wrapText="1"/>
    </xf>
    <xf numFmtId="0" fontId="13" fillId="0" borderId="0" xfId="0" applyFont="1" applyAlignment="1">
      <alignment horizontal="right"/>
    </xf>
    <xf numFmtId="0" fontId="1" fillId="0" borderId="10" xfId="0" applyFont="1" applyFill="1" applyBorder="1" applyAlignment="1">
      <alignment horizontal="right" vertical="center"/>
    </xf>
    <xf numFmtId="0" fontId="0" fillId="0" borderId="10" xfId="0" applyBorder="1" applyAlignment="1">
      <alignment horizontal="right"/>
    </xf>
    <xf numFmtId="0" fontId="12" fillId="2" borderId="0" xfId="0" applyFont="1" applyFill="1" applyAlignment="1">
      <alignment horizontal="right"/>
    </xf>
    <xf numFmtId="0" fontId="1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6" fillId="4" borderId="0" xfId="0" applyFont="1" applyFill="1" applyBorder="1" applyAlignment="1">
      <alignment horizontal="left" vertical="center" wrapText="1"/>
    </xf>
    <xf numFmtId="0" fontId="13" fillId="0" borderId="0" xfId="0" applyFont="1"/>
    <xf numFmtId="0" fontId="14" fillId="0" borderId="0" xfId="0" applyFont="1" applyAlignment="1">
      <alignment horizontal="right"/>
    </xf>
    <xf numFmtId="0" fontId="1" fillId="0" borderId="11" xfId="0" applyFont="1" applyBorder="1"/>
    <xf numFmtId="0" fontId="1" fillId="0" borderId="11" xfId="0" applyFont="1" applyFill="1" applyBorder="1" applyAlignment="1">
      <alignment horizontal="right" vertical="center"/>
    </xf>
    <xf numFmtId="0" fontId="9" fillId="6" borderId="11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right" vertical="center"/>
    </xf>
    <xf numFmtId="0" fontId="9" fillId="6" borderId="11" xfId="0" applyFont="1" applyFill="1" applyBorder="1"/>
    <xf numFmtId="0" fontId="1" fillId="0" borderId="13" xfId="0" applyFont="1" applyBorder="1"/>
    <xf numFmtId="0" fontId="1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right" vertical="center"/>
    </xf>
    <xf numFmtId="0" fontId="1" fillId="0" borderId="13" xfId="0" applyFont="1" applyFill="1" applyBorder="1"/>
    <xf numFmtId="0" fontId="8" fillId="5" borderId="12" xfId="0" applyFont="1" applyFill="1" applyBorder="1" applyAlignment="1">
      <alignment horizontal="left" vertical="center"/>
    </xf>
    <xf numFmtId="0" fontId="0" fillId="0" borderId="12" xfId="0" applyBorder="1"/>
    <xf numFmtId="0" fontId="1" fillId="0" borderId="0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2" fontId="1" fillId="0" borderId="6" xfId="0" applyNumberFormat="1" applyFont="1" applyFill="1" applyBorder="1" applyAlignment="1">
      <alignment horizontal="left" vertical="center"/>
    </xf>
    <xf numFmtId="2" fontId="1" fillId="0" borderId="6" xfId="0" applyNumberFormat="1" applyFont="1" applyBorder="1" applyAlignment="1">
      <alignment horizontal="left" vertical="center"/>
    </xf>
    <xf numFmtId="2" fontId="9" fillId="0" borderId="6" xfId="0" applyNumberFormat="1" applyFont="1" applyFill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1" fillId="0" borderId="10" xfId="0" applyNumberFormat="1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left" vertical="center"/>
    </xf>
    <xf numFmtId="2" fontId="1" fillId="6" borderId="0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vertical="center" wrapText="1"/>
    </xf>
    <xf numFmtId="2" fontId="9" fillId="0" borderId="7" xfId="0" applyNumberFormat="1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2" fontId="1" fillId="0" borderId="9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2" fontId="1" fillId="0" borderId="8" xfId="0" applyNumberFormat="1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2" fontId="1" fillId="0" borderId="8" xfId="0" applyNumberFormat="1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left" vertical="center"/>
    </xf>
    <xf numFmtId="0" fontId="1" fillId="5" borderId="9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horizontal="left" vertical="center"/>
    </xf>
    <xf numFmtId="2" fontId="9" fillId="0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left" vertical="center"/>
    </xf>
    <xf numFmtId="2" fontId="8" fillId="5" borderId="0" xfId="0" applyNumberFormat="1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/>
    <xf numFmtId="0" fontId="0" fillId="6" borderId="0" xfId="0" applyFill="1" applyBorder="1"/>
    <xf numFmtId="0" fontId="9" fillId="0" borderId="0" xfId="0" applyFont="1" applyFill="1"/>
    <xf numFmtId="0" fontId="10" fillId="0" borderId="0" xfId="0" applyFont="1" applyFill="1"/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 wrapText="1"/>
    </xf>
    <xf numFmtId="2" fontId="1" fillId="0" borderId="11" xfId="0" applyNumberFormat="1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 wrapText="1"/>
    </xf>
    <xf numFmtId="2" fontId="1" fillId="0" borderId="13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O32" sqref="O32"/>
    </sheetView>
  </sheetViews>
  <sheetFormatPr defaultRowHeight="15"/>
  <cols>
    <col min="1" max="1" width="5.28515625" customWidth="1"/>
    <col min="2" max="2" width="7.140625" customWidth="1"/>
    <col min="3" max="3" width="39.140625" customWidth="1"/>
    <col min="4" max="4" width="8.28515625" customWidth="1"/>
    <col min="6" max="6" width="8" customWidth="1"/>
    <col min="7" max="7" width="10.7109375" customWidth="1"/>
    <col min="12" max="12" width="10.140625" bestFit="1" customWidth="1"/>
    <col min="13" max="13" width="16" customWidth="1"/>
  </cols>
  <sheetData>
    <row r="1" spans="1:13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 t="s">
        <v>1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</row>
    <row r="3" spans="1:13">
      <c r="A3" s="1" t="s">
        <v>2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</row>
    <row r="4" spans="1:13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</row>
    <row r="5" spans="1:13" ht="37.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134" t="s">
        <v>10</v>
      </c>
      <c r="I5" s="134"/>
      <c r="J5" s="134" t="s">
        <v>11</v>
      </c>
      <c r="K5" s="134"/>
      <c r="L5" s="134" t="s">
        <v>12</v>
      </c>
      <c r="M5" s="134"/>
    </row>
    <row r="6" spans="1:13">
      <c r="A6" s="4"/>
      <c r="B6" s="4"/>
      <c r="C6" s="4"/>
      <c r="D6" s="4"/>
      <c r="E6" s="5"/>
      <c r="F6" s="5"/>
      <c r="G6" s="5"/>
      <c r="H6" s="5" t="s">
        <v>13</v>
      </c>
      <c r="I6" s="5" t="s">
        <v>14</v>
      </c>
      <c r="J6" s="5" t="s">
        <v>13</v>
      </c>
      <c r="K6" s="5" t="s">
        <v>14</v>
      </c>
      <c r="L6" s="5" t="s">
        <v>13</v>
      </c>
      <c r="M6" s="5" t="s">
        <v>14</v>
      </c>
    </row>
    <row r="7" spans="1:13">
      <c r="A7" s="6"/>
      <c r="B7" s="6"/>
      <c r="C7" s="6"/>
      <c r="D7" s="6"/>
      <c r="E7" s="7"/>
      <c r="F7" s="7"/>
      <c r="G7" s="7"/>
      <c r="H7" s="7"/>
      <c r="I7" s="7"/>
      <c r="J7" s="7"/>
      <c r="K7" s="7"/>
      <c r="L7" s="7"/>
      <c r="M7" s="7"/>
    </row>
    <row r="8" spans="1:13">
      <c r="A8" s="8"/>
      <c r="B8" s="8"/>
      <c r="C8" s="8" t="s">
        <v>15</v>
      </c>
      <c r="D8" s="8"/>
      <c r="E8" s="9"/>
      <c r="F8" s="9"/>
      <c r="G8" s="9"/>
      <c r="H8" s="9"/>
      <c r="I8" s="9"/>
      <c r="J8" s="9"/>
      <c r="K8" s="9"/>
      <c r="L8" s="9"/>
      <c r="M8" s="9"/>
    </row>
    <row r="9" spans="1:13">
      <c r="A9" s="10">
        <v>1</v>
      </c>
      <c r="B9" s="11"/>
      <c r="C9" s="12" t="s">
        <v>16</v>
      </c>
      <c r="D9" s="12" t="s">
        <v>17</v>
      </c>
      <c r="E9" s="13" t="s">
        <v>18</v>
      </c>
      <c r="F9" s="13">
        <v>180</v>
      </c>
      <c r="G9" s="13" t="s">
        <v>19</v>
      </c>
      <c r="H9" s="13"/>
      <c r="I9" s="13"/>
      <c r="J9" s="13"/>
      <c r="K9" s="13"/>
      <c r="L9" s="14">
        <v>1872.8531250000087</v>
      </c>
      <c r="M9" s="14">
        <f>L9*F9</f>
        <v>337113.56250000157</v>
      </c>
    </row>
    <row r="10" spans="1:13">
      <c r="A10" s="10">
        <v>2</v>
      </c>
      <c r="B10" s="11"/>
      <c r="C10" s="12" t="s">
        <v>20</v>
      </c>
      <c r="D10" s="12" t="s">
        <v>17</v>
      </c>
      <c r="E10" s="13" t="s">
        <v>18</v>
      </c>
      <c r="F10" s="13">
        <v>220</v>
      </c>
      <c r="G10" s="13" t="s">
        <v>19</v>
      </c>
      <c r="H10" s="13"/>
      <c r="I10" s="13"/>
      <c r="J10" s="13"/>
      <c r="K10" s="13"/>
      <c r="L10" s="13">
        <v>55.561309375</v>
      </c>
      <c r="M10" s="14">
        <f t="shared" ref="M10:M41" si="0">L10*F10</f>
        <v>12223.488062500001</v>
      </c>
    </row>
    <row r="11" spans="1:13">
      <c r="A11" s="10">
        <v>3</v>
      </c>
      <c r="B11" s="11"/>
      <c r="C11" s="12" t="s">
        <v>21</v>
      </c>
      <c r="D11" s="12" t="s">
        <v>17</v>
      </c>
      <c r="E11" s="13" t="s">
        <v>18</v>
      </c>
      <c r="F11" s="13">
        <f>F9+(F9*13%)</f>
        <v>203.4</v>
      </c>
      <c r="G11" s="13" t="s">
        <v>19</v>
      </c>
      <c r="H11" s="13"/>
      <c r="I11" s="13"/>
      <c r="J11" s="13"/>
      <c r="K11" s="13"/>
      <c r="L11" s="15"/>
      <c r="M11" s="14"/>
    </row>
    <row r="12" spans="1:13">
      <c r="A12" s="10">
        <v>4</v>
      </c>
      <c r="B12" s="11"/>
      <c r="C12" s="12" t="s">
        <v>22</v>
      </c>
      <c r="D12" s="12" t="s">
        <v>17</v>
      </c>
      <c r="E12" s="13" t="s">
        <v>23</v>
      </c>
      <c r="F12" s="13">
        <v>25</v>
      </c>
      <c r="G12" s="13" t="s">
        <v>19</v>
      </c>
      <c r="H12" s="13"/>
      <c r="I12" s="13"/>
      <c r="J12" s="13"/>
      <c r="K12" s="13"/>
      <c r="L12" s="13">
        <v>709.12352500000009</v>
      </c>
      <c r="M12" s="14">
        <f t="shared" si="0"/>
        <v>17728.088125000002</v>
      </c>
    </row>
    <row r="13" spans="1:13">
      <c r="A13" s="10">
        <v>5</v>
      </c>
      <c r="B13" s="11"/>
      <c r="C13" s="12" t="s">
        <v>24</v>
      </c>
      <c r="D13" s="12" t="s">
        <v>17</v>
      </c>
      <c r="E13" s="13" t="s">
        <v>18</v>
      </c>
      <c r="F13" s="13">
        <v>1050</v>
      </c>
      <c r="G13" s="13" t="s">
        <v>19</v>
      </c>
      <c r="H13" s="13"/>
      <c r="I13" s="13"/>
      <c r="J13" s="13"/>
      <c r="K13" s="13"/>
      <c r="L13" s="13">
        <v>56.174140000000698</v>
      </c>
      <c r="M13" s="14">
        <f t="shared" si="0"/>
        <v>58982.847000000729</v>
      </c>
    </row>
    <row r="14" spans="1:13">
      <c r="A14" s="10">
        <v>6</v>
      </c>
      <c r="B14" s="11"/>
      <c r="C14" s="12" t="s">
        <v>25</v>
      </c>
      <c r="D14" s="12" t="s">
        <v>17</v>
      </c>
      <c r="E14" s="13" t="s">
        <v>18</v>
      </c>
      <c r="F14" s="13">
        <v>1150</v>
      </c>
      <c r="G14" s="13" t="s">
        <v>19</v>
      </c>
      <c r="H14" s="13"/>
      <c r="I14" s="13"/>
      <c r="J14" s="13"/>
      <c r="K14" s="13"/>
      <c r="L14" s="13"/>
      <c r="M14" s="14"/>
    </row>
    <row r="15" spans="1:13">
      <c r="A15" s="10">
        <v>7</v>
      </c>
      <c r="B15" s="11"/>
      <c r="C15" s="12" t="s">
        <v>26</v>
      </c>
      <c r="D15" s="12" t="s">
        <v>17</v>
      </c>
      <c r="E15" s="13" t="s">
        <v>18</v>
      </c>
      <c r="F15" s="13">
        <f>F13+(F13*13%)</f>
        <v>1186.5</v>
      </c>
      <c r="G15" s="13" t="s">
        <v>19</v>
      </c>
      <c r="H15" s="13"/>
      <c r="I15" s="13"/>
      <c r="J15" s="13"/>
      <c r="K15" s="13"/>
      <c r="L15" s="13"/>
      <c r="M15" s="14"/>
    </row>
    <row r="16" spans="1:13">
      <c r="A16" s="10">
        <v>8</v>
      </c>
      <c r="B16" s="11"/>
      <c r="C16" s="12" t="s">
        <v>27</v>
      </c>
      <c r="D16" s="12" t="s">
        <v>17</v>
      </c>
      <c r="E16" s="13" t="s">
        <v>18</v>
      </c>
      <c r="F16" s="13">
        <v>1180</v>
      </c>
      <c r="G16" s="13" t="s">
        <v>19</v>
      </c>
      <c r="H16" s="13"/>
      <c r="I16" s="13"/>
      <c r="J16" s="13"/>
      <c r="K16" s="13"/>
      <c r="L16" s="13">
        <v>12.140353500000003</v>
      </c>
      <c r="M16" s="14">
        <f t="shared" si="0"/>
        <v>14325.617130000004</v>
      </c>
    </row>
    <row r="17" spans="1:17">
      <c r="A17" s="10">
        <v>9</v>
      </c>
      <c r="B17" s="11"/>
      <c r="C17" s="12" t="s">
        <v>28</v>
      </c>
      <c r="D17" s="12" t="s">
        <v>17</v>
      </c>
      <c r="E17" s="13" t="s">
        <v>18</v>
      </c>
      <c r="F17" s="13">
        <v>1700</v>
      </c>
      <c r="G17" s="13" t="s">
        <v>19</v>
      </c>
      <c r="H17" s="13"/>
      <c r="I17" s="13"/>
      <c r="J17" s="13"/>
      <c r="K17" s="13"/>
      <c r="L17" s="13"/>
      <c r="M17" s="14"/>
    </row>
    <row r="18" spans="1:17">
      <c r="A18" s="10">
        <v>10</v>
      </c>
      <c r="B18" s="11"/>
      <c r="C18" s="12" t="s">
        <v>29</v>
      </c>
      <c r="D18" s="12" t="s">
        <v>17</v>
      </c>
      <c r="E18" s="13" t="s">
        <v>18</v>
      </c>
      <c r="F18" s="13">
        <v>900</v>
      </c>
      <c r="G18" s="13" t="s">
        <v>19</v>
      </c>
      <c r="H18" s="13"/>
      <c r="I18" s="13"/>
      <c r="J18" s="13"/>
      <c r="K18" s="13"/>
      <c r="L18" s="13">
        <v>73.58986250000001</v>
      </c>
      <c r="M18" s="14">
        <f t="shared" si="0"/>
        <v>66230.876250000016</v>
      </c>
    </row>
    <row r="19" spans="1:17">
      <c r="A19" s="10">
        <v>11</v>
      </c>
      <c r="B19" s="11"/>
      <c r="C19" s="12" t="s">
        <v>30</v>
      </c>
      <c r="D19" s="12" t="s">
        <v>17</v>
      </c>
      <c r="E19" s="13" t="s">
        <v>18</v>
      </c>
      <c r="F19" s="13">
        <v>80</v>
      </c>
      <c r="G19" s="13" t="s">
        <v>19</v>
      </c>
      <c r="H19" s="11"/>
      <c r="I19" s="13"/>
      <c r="J19" s="13"/>
      <c r="K19" s="13"/>
      <c r="L19" s="13">
        <v>1647.3409252057161</v>
      </c>
      <c r="M19" s="14">
        <f t="shared" si="0"/>
        <v>131787.27401645729</v>
      </c>
    </row>
    <row r="20" spans="1:17">
      <c r="A20" s="16"/>
      <c r="B20" s="16"/>
      <c r="C20" s="16" t="s">
        <v>31</v>
      </c>
      <c r="D20" s="16"/>
      <c r="E20" s="17"/>
      <c r="F20" s="17"/>
      <c r="G20" s="17"/>
      <c r="H20" s="17"/>
      <c r="I20" s="17"/>
      <c r="J20" s="17"/>
      <c r="K20" s="17"/>
      <c r="L20" s="9"/>
      <c r="M20" s="9"/>
    </row>
    <row r="21" spans="1:17">
      <c r="A21" s="10">
        <v>12</v>
      </c>
      <c r="B21" s="11"/>
      <c r="C21" s="12" t="s">
        <v>32</v>
      </c>
      <c r="D21" s="12" t="s">
        <v>17</v>
      </c>
      <c r="E21" s="13" t="s">
        <v>18</v>
      </c>
      <c r="F21" s="13">
        <v>2300</v>
      </c>
      <c r="G21" s="13" t="s">
        <v>19</v>
      </c>
      <c r="H21" s="18"/>
      <c r="I21" s="13"/>
      <c r="J21" s="13"/>
      <c r="K21" s="13"/>
      <c r="L21" s="13"/>
      <c r="M21" s="14"/>
    </row>
    <row r="22" spans="1:17">
      <c r="A22" s="10">
        <v>13</v>
      </c>
      <c r="B22" s="11"/>
      <c r="C22" s="12" t="s">
        <v>33</v>
      </c>
      <c r="D22" s="12" t="s">
        <v>17</v>
      </c>
      <c r="E22" s="13" t="s">
        <v>18</v>
      </c>
      <c r="F22" s="13">
        <f>F21+(F21*13%)</f>
        <v>2599</v>
      </c>
      <c r="G22" s="13" t="s">
        <v>19</v>
      </c>
      <c r="H22" s="13"/>
      <c r="I22" s="13"/>
      <c r="J22" s="13"/>
      <c r="K22" s="13"/>
      <c r="L22" s="13">
        <v>8.2582500000000003</v>
      </c>
      <c r="M22" s="14">
        <f t="shared" si="0"/>
        <v>21463.191750000002</v>
      </c>
    </row>
    <row r="23" spans="1:17">
      <c r="A23" s="10">
        <v>14</v>
      </c>
      <c r="B23" s="11"/>
      <c r="C23" s="12" t="s">
        <v>34</v>
      </c>
      <c r="D23" s="12" t="s">
        <v>17</v>
      </c>
      <c r="E23" s="13" t="s">
        <v>18</v>
      </c>
      <c r="F23" s="13">
        <f>F21+(F21*26%)</f>
        <v>2898</v>
      </c>
      <c r="G23" s="13" t="s">
        <v>19</v>
      </c>
      <c r="H23" s="13"/>
      <c r="I23" s="13"/>
      <c r="J23" s="13"/>
      <c r="K23" s="13"/>
      <c r="L23" s="13">
        <v>33.240350000000007</v>
      </c>
      <c r="M23" s="14">
        <f t="shared" si="0"/>
        <v>96330.534300000014</v>
      </c>
    </row>
    <row r="24" spans="1:17">
      <c r="A24" s="16"/>
      <c r="B24" s="16"/>
      <c r="C24" s="16" t="s">
        <v>35</v>
      </c>
      <c r="D24" s="16"/>
      <c r="E24" s="17"/>
      <c r="F24" s="17"/>
      <c r="G24" s="17"/>
      <c r="H24" s="17"/>
      <c r="I24" s="17"/>
      <c r="J24" s="17"/>
      <c r="K24" s="17"/>
      <c r="L24" s="9"/>
      <c r="M24" s="9"/>
      <c r="P24">
        <f>SUM(L22:L23)</f>
        <v>41.49860000000001</v>
      </c>
    </row>
    <row r="25" spans="1:17">
      <c r="A25" s="10">
        <v>15</v>
      </c>
      <c r="B25" s="11"/>
      <c r="C25" s="12" t="s">
        <v>36</v>
      </c>
      <c r="D25" s="12" t="s">
        <v>17</v>
      </c>
      <c r="E25" s="13" t="s">
        <v>18</v>
      </c>
      <c r="F25" s="13">
        <v>2750</v>
      </c>
      <c r="G25" s="13" t="s">
        <v>19</v>
      </c>
      <c r="H25" s="13"/>
      <c r="I25" s="13"/>
      <c r="J25" s="13"/>
      <c r="K25" s="13"/>
      <c r="L25" s="13">
        <v>143.95184099999994</v>
      </c>
      <c r="M25" s="14">
        <f t="shared" si="0"/>
        <v>395867.56274999987</v>
      </c>
    </row>
    <row r="26" spans="1:17">
      <c r="A26" s="10">
        <v>16</v>
      </c>
      <c r="B26" s="11"/>
      <c r="C26" s="12" t="s">
        <v>37</v>
      </c>
      <c r="D26" s="12" t="s">
        <v>17</v>
      </c>
      <c r="E26" s="13" t="s">
        <v>18</v>
      </c>
      <c r="F26" s="13">
        <f>F25+(F25*13%)</f>
        <v>3107.5</v>
      </c>
      <c r="G26" s="13" t="s">
        <v>19</v>
      </c>
      <c r="H26" s="13"/>
      <c r="I26" s="13"/>
      <c r="J26" s="13"/>
      <c r="K26" s="13"/>
      <c r="L26" s="13">
        <v>176.46115849999998</v>
      </c>
      <c r="M26" s="14">
        <f t="shared" si="0"/>
        <v>548353.05003874993</v>
      </c>
    </row>
    <row r="27" spans="1:17">
      <c r="A27" s="10">
        <v>17</v>
      </c>
      <c r="B27" s="11"/>
      <c r="C27" s="12" t="s">
        <v>38</v>
      </c>
      <c r="D27" s="12" t="s">
        <v>17</v>
      </c>
      <c r="E27" s="13" t="s">
        <v>18</v>
      </c>
      <c r="F27" s="13">
        <f>F25+(F25*26%)</f>
        <v>3465</v>
      </c>
      <c r="G27" s="13" t="s">
        <v>19</v>
      </c>
      <c r="H27" s="13"/>
      <c r="I27" s="13"/>
      <c r="J27" s="13"/>
      <c r="K27" s="13"/>
      <c r="L27" s="13">
        <v>295.74904916929324</v>
      </c>
      <c r="M27" s="14">
        <f t="shared" si="0"/>
        <v>1024770.455371601</v>
      </c>
    </row>
    <row r="28" spans="1:17">
      <c r="A28" s="10">
        <v>18</v>
      </c>
      <c r="B28" s="11"/>
      <c r="C28" s="12" t="s">
        <v>39</v>
      </c>
      <c r="D28" s="12" t="s">
        <v>17</v>
      </c>
      <c r="E28" s="13" t="s">
        <v>18</v>
      </c>
      <c r="F28" s="13">
        <f>F25+(F25*39%)</f>
        <v>3822.5</v>
      </c>
      <c r="G28" s="13" t="s">
        <v>19</v>
      </c>
      <c r="H28" s="13"/>
      <c r="I28" s="13"/>
      <c r="J28" s="13"/>
      <c r="K28" s="13"/>
      <c r="L28" s="14">
        <v>4.774</v>
      </c>
      <c r="M28" s="14">
        <f t="shared" si="0"/>
        <v>18248.615000000002</v>
      </c>
    </row>
    <row r="29" spans="1:17">
      <c r="A29" s="10">
        <v>19</v>
      </c>
      <c r="B29" s="11"/>
      <c r="C29" s="12" t="s">
        <v>40</v>
      </c>
      <c r="D29" s="12" t="s">
        <v>17</v>
      </c>
      <c r="E29" s="13" t="s">
        <v>18</v>
      </c>
      <c r="F29" s="13">
        <f>F25+(F25*52%)</f>
        <v>4180</v>
      </c>
      <c r="G29" s="13" t="s">
        <v>19</v>
      </c>
      <c r="H29" s="13"/>
      <c r="I29" s="13"/>
      <c r="J29" s="13"/>
      <c r="K29" s="13"/>
      <c r="L29" s="14">
        <v>17.619524999999999</v>
      </c>
      <c r="M29" s="14">
        <f t="shared" si="0"/>
        <v>73649.614499999996</v>
      </c>
      <c r="Q29">
        <f>SUM(L25:L29)</f>
        <v>638.55557366929315</v>
      </c>
    </row>
    <row r="30" spans="1:17">
      <c r="A30" s="16"/>
      <c r="B30" s="16"/>
      <c r="C30" s="16" t="s">
        <v>41</v>
      </c>
      <c r="D30" s="16"/>
      <c r="E30" s="17"/>
      <c r="F30" s="17"/>
      <c r="G30" s="17"/>
      <c r="H30" s="17"/>
      <c r="I30" s="17"/>
      <c r="J30" s="17"/>
      <c r="K30" s="17"/>
      <c r="L30" s="9"/>
      <c r="M30" s="9"/>
    </row>
    <row r="31" spans="1:17">
      <c r="A31" s="10">
        <v>20</v>
      </c>
      <c r="B31" s="11"/>
      <c r="C31" s="15" t="s">
        <v>42</v>
      </c>
      <c r="D31" s="12" t="s">
        <v>17</v>
      </c>
      <c r="E31" s="13" t="s">
        <v>23</v>
      </c>
      <c r="F31" s="13">
        <v>400</v>
      </c>
      <c r="G31" s="13" t="s">
        <v>19</v>
      </c>
      <c r="H31" s="13"/>
      <c r="I31" s="13"/>
      <c r="J31" s="13"/>
      <c r="K31" s="13"/>
      <c r="L31" s="13">
        <v>1016.7708649999992</v>
      </c>
      <c r="M31" s="14">
        <f t="shared" si="0"/>
        <v>406708.34599999967</v>
      </c>
    </row>
    <row r="32" spans="1:17">
      <c r="A32" s="10">
        <v>21</v>
      </c>
      <c r="B32" s="11"/>
      <c r="C32" s="15" t="s">
        <v>43</v>
      </c>
      <c r="D32" s="12" t="s">
        <v>17</v>
      </c>
      <c r="E32" s="13" t="s">
        <v>23</v>
      </c>
      <c r="F32" s="13">
        <f>F31+(F31*13%)</f>
        <v>452</v>
      </c>
      <c r="G32" s="13" t="s">
        <v>19</v>
      </c>
      <c r="H32" s="13"/>
      <c r="I32" s="13"/>
      <c r="J32" s="13"/>
      <c r="K32" s="13"/>
      <c r="L32" s="13">
        <v>1268.4390399999995</v>
      </c>
      <c r="M32" s="14">
        <f t="shared" si="0"/>
        <v>573334.44607999979</v>
      </c>
    </row>
    <row r="33" spans="1:13">
      <c r="A33" s="10">
        <v>22</v>
      </c>
      <c r="B33" s="11"/>
      <c r="C33" s="15" t="s">
        <v>44</v>
      </c>
      <c r="D33" s="12" t="s">
        <v>17</v>
      </c>
      <c r="E33" s="13" t="s">
        <v>23</v>
      </c>
      <c r="F33" s="13">
        <f>F31+(F31*26%)</f>
        <v>504</v>
      </c>
      <c r="G33" s="13" t="s">
        <v>19</v>
      </c>
      <c r="H33" s="13"/>
      <c r="I33" s="13"/>
      <c r="J33" s="13"/>
      <c r="K33" s="13"/>
      <c r="L33" s="13">
        <v>945.61048999999946</v>
      </c>
      <c r="M33" s="14">
        <f t="shared" si="0"/>
        <v>476587.68695999973</v>
      </c>
    </row>
    <row r="34" spans="1:13">
      <c r="A34" s="10">
        <v>23</v>
      </c>
      <c r="B34" s="11"/>
      <c r="C34" s="15" t="s">
        <v>45</v>
      </c>
      <c r="D34" s="12" t="s">
        <v>17</v>
      </c>
      <c r="E34" s="13" t="s">
        <v>46</v>
      </c>
      <c r="F34" s="13">
        <f>F31+(F31*39%)</f>
        <v>556</v>
      </c>
      <c r="G34" s="13" t="s">
        <v>19</v>
      </c>
      <c r="H34" s="13"/>
      <c r="I34" s="13"/>
      <c r="J34" s="13"/>
      <c r="K34" s="13"/>
      <c r="L34" s="13">
        <v>53.658000000000001</v>
      </c>
      <c r="M34" s="14">
        <f t="shared" si="0"/>
        <v>29833.848000000002</v>
      </c>
    </row>
    <row r="35" spans="1:13">
      <c r="A35" s="10">
        <v>24</v>
      </c>
      <c r="B35" s="11"/>
      <c r="C35" s="15" t="s">
        <v>47</v>
      </c>
      <c r="D35" s="12" t="s">
        <v>17</v>
      </c>
      <c r="E35" s="13" t="s">
        <v>46</v>
      </c>
      <c r="F35" s="13">
        <f>F31+(F31*52%)</f>
        <v>608</v>
      </c>
      <c r="G35" s="13" t="s">
        <v>19</v>
      </c>
      <c r="H35" s="13"/>
      <c r="I35" s="13"/>
      <c r="J35" s="13"/>
      <c r="K35" s="13"/>
      <c r="L35" s="13">
        <v>130.0035</v>
      </c>
      <c r="M35" s="14">
        <f t="shared" si="0"/>
        <v>79042.127999999997</v>
      </c>
    </row>
    <row r="36" spans="1:13">
      <c r="A36" s="16"/>
      <c r="B36" s="16"/>
      <c r="C36" s="16" t="s">
        <v>48</v>
      </c>
      <c r="D36" s="16"/>
      <c r="E36" s="17"/>
      <c r="F36" s="17"/>
      <c r="G36" s="17"/>
      <c r="H36" s="17"/>
      <c r="I36" s="17"/>
      <c r="J36" s="17"/>
      <c r="K36" s="17"/>
      <c r="L36" s="9"/>
      <c r="M36" s="9"/>
    </row>
    <row r="37" spans="1:13">
      <c r="A37" s="10">
        <v>25</v>
      </c>
      <c r="B37" s="19"/>
      <c r="C37" s="15" t="s">
        <v>42</v>
      </c>
      <c r="D37" s="12" t="s">
        <v>17</v>
      </c>
      <c r="E37" s="13" t="s">
        <v>46</v>
      </c>
      <c r="F37" s="13">
        <v>9000</v>
      </c>
      <c r="G37" s="13" t="s">
        <v>19</v>
      </c>
      <c r="H37" s="20"/>
      <c r="I37" s="20"/>
      <c r="J37" s="21"/>
      <c r="K37" s="21"/>
      <c r="L37" s="20">
        <v>22.60043903699999</v>
      </c>
      <c r="M37" s="14">
        <f t="shared" si="0"/>
        <v>203403.95133299992</v>
      </c>
    </row>
    <row r="38" spans="1:13">
      <c r="A38" s="10">
        <v>26</v>
      </c>
      <c r="B38" s="19"/>
      <c r="C38" s="15" t="s">
        <v>43</v>
      </c>
      <c r="D38" s="12" t="s">
        <v>17</v>
      </c>
      <c r="E38" s="13" t="s">
        <v>46</v>
      </c>
      <c r="F38" s="13">
        <f>F37+(F37*13%)</f>
        <v>10170</v>
      </c>
      <c r="G38" s="13" t="s">
        <v>19</v>
      </c>
      <c r="H38" s="20"/>
      <c r="I38" s="20"/>
      <c r="J38" s="21"/>
      <c r="K38" s="21"/>
      <c r="L38" s="20">
        <v>27.704401884500001</v>
      </c>
      <c r="M38" s="14">
        <f t="shared" si="0"/>
        <v>281753.76716536499</v>
      </c>
    </row>
    <row r="39" spans="1:13">
      <c r="A39" s="10">
        <v>27</v>
      </c>
      <c r="B39" s="11"/>
      <c r="C39" s="15" t="s">
        <v>44</v>
      </c>
      <c r="D39" s="12" t="s">
        <v>17</v>
      </c>
      <c r="E39" s="13" t="s">
        <v>46</v>
      </c>
      <c r="F39" s="13">
        <f>F37+(F37*26%)</f>
        <v>11340</v>
      </c>
      <c r="G39" s="13" t="s">
        <v>19</v>
      </c>
      <c r="H39" s="20"/>
      <c r="I39" s="20"/>
      <c r="J39" s="21"/>
      <c r="K39" s="21"/>
      <c r="L39" s="20">
        <v>46.432600719579042</v>
      </c>
      <c r="M39" s="14">
        <f t="shared" si="0"/>
        <v>526545.69216002629</v>
      </c>
    </row>
    <row r="40" spans="1:13">
      <c r="A40" s="10">
        <v>28</v>
      </c>
      <c r="B40" s="11"/>
      <c r="C40" s="15" t="s">
        <v>45</v>
      </c>
      <c r="D40" s="12" t="s">
        <v>17</v>
      </c>
      <c r="E40" s="13" t="s">
        <v>46</v>
      </c>
      <c r="F40" s="13">
        <f>F37+(F37*39%)</f>
        <v>12510</v>
      </c>
      <c r="G40" s="13" t="s">
        <v>19</v>
      </c>
      <c r="H40" s="13"/>
      <c r="I40" s="20"/>
      <c r="J40" s="21"/>
      <c r="K40" s="20"/>
      <c r="L40" s="20">
        <v>0.74951800000000002</v>
      </c>
      <c r="M40" s="14">
        <f t="shared" si="0"/>
        <v>9376.4701800000003</v>
      </c>
    </row>
    <row r="41" spans="1:13">
      <c r="A41" s="10">
        <v>29</v>
      </c>
      <c r="B41" s="11"/>
      <c r="C41" s="15" t="s">
        <v>47</v>
      </c>
      <c r="D41" s="12" t="s">
        <v>17</v>
      </c>
      <c r="E41" s="13" t="s">
        <v>46</v>
      </c>
      <c r="F41" s="13">
        <f>F37+(F37*52%)</f>
        <v>13680</v>
      </c>
      <c r="G41" s="13" t="s">
        <v>19</v>
      </c>
      <c r="H41" s="13"/>
      <c r="I41" s="20"/>
      <c r="J41" s="21"/>
      <c r="K41" s="20"/>
      <c r="L41" s="20">
        <v>2.7662654250000003</v>
      </c>
      <c r="M41" s="14">
        <f t="shared" si="0"/>
        <v>37842.511014000003</v>
      </c>
    </row>
    <row r="42" spans="1:13">
      <c r="A42" s="16"/>
      <c r="B42" s="16"/>
      <c r="C42" s="16" t="s">
        <v>49</v>
      </c>
      <c r="D42" s="16"/>
      <c r="E42" s="17"/>
      <c r="F42" s="17"/>
      <c r="G42" s="17"/>
      <c r="H42" s="5"/>
      <c r="I42" s="17"/>
      <c r="J42" s="17"/>
      <c r="K42" s="17"/>
      <c r="L42" s="9"/>
      <c r="M42" s="9"/>
    </row>
    <row r="43" spans="1:13">
      <c r="A43" s="10">
        <v>30</v>
      </c>
      <c r="B43" s="11">
        <v>27</v>
      </c>
      <c r="C43" s="15" t="s">
        <v>50</v>
      </c>
      <c r="D43" s="12" t="s">
        <v>17</v>
      </c>
      <c r="E43" s="13" t="s">
        <v>51</v>
      </c>
      <c r="F43" s="13">
        <v>3300</v>
      </c>
      <c r="G43" s="22" t="s">
        <v>19</v>
      </c>
      <c r="H43" s="13"/>
      <c r="I43" s="23"/>
      <c r="J43" s="21"/>
      <c r="K43" s="20"/>
      <c r="L43" s="13">
        <v>102.46362499999992</v>
      </c>
      <c r="M43" s="14">
        <f>L43*F43</f>
        <v>338129.96249999973</v>
      </c>
    </row>
    <row r="44" spans="1:13">
      <c r="A44" s="10">
        <v>31</v>
      </c>
      <c r="B44" s="11">
        <v>28</v>
      </c>
      <c r="C44" s="15" t="s">
        <v>52</v>
      </c>
      <c r="D44" s="12" t="s">
        <v>17</v>
      </c>
      <c r="E44" s="13" t="s">
        <v>51</v>
      </c>
      <c r="F44" s="13">
        <f>F43+(F43*14%)</f>
        <v>3762</v>
      </c>
      <c r="G44" s="22" t="s">
        <v>19</v>
      </c>
      <c r="H44" s="13"/>
      <c r="I44" s="23"/>
      <c r="J44" s="21"/>
      <c r="K44" s="20"/>
      <c r="L44" s="13">
        <v>108.42081250000027</v>
      </c>
      <c r="M44" s="14">
        <f>L44*F44</f>
        <v>407879.096625001</v>
      </c>
    </row>
    <row r="45" spans="1:13">
      <c r="A45" s="10">
        <v>32</v>
      </c>
      <c r="B45" s="11">
        <v>28</v>
      </c>
      <c r="C45" s="15" t="s">
        <v>53</v>
      </c>
      <c r="D45" s="12" t="s">
        <v>17</v>
      </c>
      <c r="E45" s="13" t="s">
        <v>51</v>
      </c>
      <c r="F45" s="13">
        <f>F43+(F43*28%)</f>
        <v>4224</v>
      </c>
      <c r="G45" s="22" t="s">
        <v>19</v>
      </c>
      <c r="H45" s="13"/>
      <c r="I45" s="23"/>
      <c r="J45" s="21"/>
      <c r="K45" s="20"/>
      <c r="L45" s="13">
        <v>67.911937499999866</v>
      </c>
      <c r="M45" s="14">
        <f t="shared" ref="M45:M46" si="1">L45*F45</f>
        <v>286860.02399999945</v>
      </c>
    </row>
    <row r="46" spans="1:13">
      <c r="A46" s="10">
        <v>33</v>
      </c>
      <c r="B46" s="11">
        <v>28</v>
      </c>
      <c r="C46" s="15" t="s">
        <v>54</v>
      </c>
      <c r="D46" s="12" t="s">
        <v>17</v>
      </c>
      <c r="E46" s="13" t="str">
        <f>E44</f>
        <v>Cum</v>
      </c>
      <c r="F46" s="13">
        <f>F43+(F43*42%)</f>
        <v>4686</v>
      </c>
      <c r="G46" s="22" t="s">
        <v>19</v>
      </c>
      <c r="H46" s="13"/>
      <c r="I46" s="23"/>
      <c r="J46" s="21"/>
      <c r="K46" s="20"/>
      <c r="L46" s="13">
        <v>20.645624999999995</v>
      </c>
      <c r="M46" s="14">
        <f t="shared" si="1"/>
        <v>96745.398749999978</v>
      </c>
    </row>
    <row r="47" spans="1:13">
      <c r="A47" s="16"/>
      <c r="B47" s="16"/>
      <c r="C47" s="16" t="s">
        <v>55</v>
      </c>
      <c r="D47" s="16"/>
      <c r="E47" s="17"/>
      <c r="F47" s="17"/>
      <c r="G47" s="17"/>
      <c r="H47" s="5"/>
      <c r="I47" s="17"/>
      <c r="J47" s="17"/>
      <c r="K47" s="17"/>
      <c r="L47" s="9"/>
      <c r="M47" s="9"/>
    </row>
    <row r="48" spans="1:13">
      <c r="A48" s="10">
        <v>30</v>
      </c>
      <c r="B48" s="11">
        <v>31</v>
      </c>
      <c r="C48" s="15" t="s">
        <v>50</v>
      </c>
      <c r="D48" s="12" t="s">
        <v>17</v>
      </c>
      <c r="E48" s="13" t="s">
        <v>56</v>
      </c>
      <c r="F48" s="13">
        <v>220</v>
      </c>
      <c r="G48" s="22" t="s">
        <v>19</v>
      </c>
      <c r="H48" s="13"/>
      <c r="I48" s="23"/>
      <c r="J48" s="21"/>
      <c r="K48" s="20"/>
      <c r="L48" s="13">
        <v>1836.4798649999987</v>
      </c>
      <c r="M48" s="14">
        <f>L48*F48</f>
        <v>404025.57029999973</v>
      </c>
    </row>
    <row r="49" spans="1:13">
      <c r="A49" s="10">
        <v>31</v>
      </c>
      <c r="B49" s="11">
        <v>32</v>
      </c>
      <c r="C49" s="15" t="s">
        <v>52</v>
      </c>
      <c r="D49" s="12" t="s">
        <v>17</v>
      </c>
      <c r="E49" s="13" t="s">
        <v>56</v>
      </c>
      <c r="F49" s="13">
        <f>F48+(F48*14%)</f>
        <v>250.8</v>
      </c>
      <c r="G49" s="22" t="s">
        <v>19</v>
      </c>
      <c r="H49" s="13"/>
      <c r="I49" s="23"/>
      <c r="J49" s="21"/>
      <c r="K49" s="20"/>
      <c r="L49" s="13">
        <v>1376.8598524999998</v>
      </c>
      <c r="M49" s="14">
        <f>L49*F49</f>
        <v>345316.45100699994</v>
      </c>
    </row>
    <row r="50" spans="1:13">
      <c r="A50" s="10">
        <v>32</v>
      </c>
      <c r="B50" s="11">
        <v>32</v>
      </c>
      <c r="C50" s="15" t="s">
        <v>53</v>
      </c>
      <c r="D50" s="12" t="s">
        <v>17</v>
      </c>
      <c r="E50" s="13" t="s">
        <v>56</v>
      </c>
      <c r="F50" s="13">
        <f>F48+(F48*28%)</f>
        <v>281.60000000000002</v>
      </c>
      <c r="G50" s="22" t="s">
        <v>19</v>
      </c>
      <c r="H50" s="13"/>
      <c r="I50" s="23"/>
      <c r="J50" s="21"/>
      <c r="K50" s="20"/>
      <c r="L50" s="13">
        <v>1488.9059899999984</v>
      </c>
      <c r="M50" s="14">
        <f t="shared" ref="M50:M52" si="2">L50*F50</f>
        <v>419275.9267839996</v>
      </c>
    </row>
    <row r="51" spans="1:13">
      <c r="A51" s="10">
        <v>33</v>
      </c>
      <c r="B51" s="11">
        <v>32</v>
      </c>
      <c r="C51" s="15" t="s">
        <v>54</v>
      </c>
      <c r="D51" s="12" t="s">
        <v>17</v>
      </c>
      <c r="E51" s="13" t="s">
        <v>56</v>
      </c>
      <c r="F51" s="13">
        <f>F48+(F48*42%)</f>
        <v>312.39999999999998</v>
      </c>
      <c r="G51" s="22" t="s">
        <v>19</v>
      </c>
      <c r="H51" s="13"/>
      <c r="I51" s="23"/>
      <c r="J51" s="21"/>
      <c r="K51" s="20"/>
      <c r="L51" s="13">
        <v>218.82299999999998</v>
      </c>
      <c r="M51" s="14">
        <f t="shared" si="2"/>
        <v>68360.305199999988</v>
      </c>
    </row>
    <row r="52" spans="1:13">
      <c r="A52" s="10">
        <v>34</v>
      </c>
      <c r="B52" s="11">
        <f>B51</f>
        <v>32</v>
      </c>
      <c r="C52" s="15" t="s">
        <v>57</v>
      </c>
      <c r="D52" s="12" t="s">
        <v>17</v>
      </c>
      <c r="E52" s="13" t="s">
        <v>56</v>
      </c>
      <c r="F52" s="13">
        <f>F48+(F48*56%)</f>
        <v>343.20000000000005</v>
      </c>
      <c r="G52" s="22" t="s">
        <v>19</v>
      </c>
      <c r="H52" s="13"/>
      <c r="I52" s="23"/>
      <c r="J52" s="21"/>
      <c r="K52" s="20"/>
      <c r="L52" s="13">
        <v>130.0035</v>
      </c>
      <c r="M52" s="14">
        <f t="shared" si="2"/>
        <v>44617.201200000003</v>
      </c>
    </row>
    <row r="53" spans="1:1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>
        <f>SUM(M9:M52)</f>
        <v>7852713.5600527003</v>
      </c>
    </row>
  </sheetData>
  <mergeCells count="3">
    <mergeCell ref="H5:I5"/>
    <mergeCell ref="J5:K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7"/>
  <sheetViews>
    <sheetView workbookViewId="0">
      <pane ySplit="6" topLeftCell="A139" activePane="bottomLeft" state="frozen"/>
      <selection pane="bottomLeft" activeCell="N209" sqref="N209"/>
    </sheetView>
  </sheetViews>
  <sheetFormatPr defaultRowHeight="15"/>
  <cols>
    <col min="1" max="1" width="6.5703125" customWidth="1"/>
    <col min="2" max="2" width="20" customWidth="1"/>
    <col min="3" max="3" width="7.7109375" customWidth="1"/>
    <col min="4" max="4" width="12" customWidth="1"/>
    <col min="5" max="5" width="10.140625" customWidth="1"/>
    <col min="8" max="11" width="8.140625" customWidth="1"/>
    <col min="12" max="12" width="11.85546875" customWidth="1"/>
    <col min="14" max="14" width="10.7109375" customWidth="1"/>
  </cols>
  <sheetData>
    <row r="1" spans="1:14">
      <c r="A1" s="25" t="s">
        <v>58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>
      <c r="A2" s="25" t="s">
        <v>17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4">
      <c r="A3" s="25" t="s">
        <v>59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4" s="62" customFormat="1" ht="37.5">
      <c r="A5" s="74" t="s">
        <v>60</v>
      </c>
      <c r="B5" s="74" t="s">
        <v>5</v>
      </c>
      <c r="C5" s="74" t="s">
        <v>6</v>
      </c>
      <c r="D5" s="74" t="s">
        <v>61</v>
      </c>
      <c r="E5" s="74" t="s">
        <v>62</v>
      </c>
      <c r="F5" s="135" t="s">
        <v>63</v>
      </c>
      <c r="G5" s="135"/>
      <c r="H5" s="74" t="s">
        <v>64</v>
      </c>
      <c r="I5" s="74" t="s">
        <v>65</v>
      </c>
      <c r="J5" s="74" t="s">
        <v>66</v>
      </c>
      <c r="K5" s="74" t="s">
        <v>67</v>
      </c>
      <c r="L5" s="74" t="s">
        <v>13</v>
      </c>
      <c r="M5" s="74" t="s">
        <v>68</v>
      </c>
      <c r="N5" s="74" t="s">
        <v>104</v>
      </c>
    </row>
    <row r="6" spans="1:14" s="62" customFormat="1" ht="18.75">
      <c r="A6" s="74"/>
      <c r="B6" s="74"/>
      <c r="C6" s="74"/>
      <c r="D6" s="74"/>
      <c r="E6" s="74"/>
      <c r="F6" s="91" t="s">
        <v>70</v>
      </c>
      <c r="G6" s="91" t="s">
        <v>69</v>
      </c>
      <c r="H6" s="74"/>
      <c r="I6" s="74"/>
      <c r="J6" s="74"/>
      <c r="K6" s="74"/>
      <c r="L6" s="74"/>
      <c r="M6" s="74"/>
      <c r="N6" s="74"/>
    </row>
    <row r="7" spans="1:14" s="62" customFormat="1" ht="15.75">
      <c r="A7" s="61"/>
      <c r="B7" s="61" t="s">
        <v>15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8" spans="1:14">
      <c r="A8" s="28">
        <v>1</v>
      </c>
      <c r="B8" s="29" t="s">
        <v>50</v>
      </c>
      <c r="C8" s="107" t="s">
        <v>17</v>
      </c>
      <c r="D8" s="107" t="s">
        <v>71</v>
      </c>
      <c r="E8" s="107"/>
      <c r="F8" s="107">
        <f>92.451+0.089</f>
        <v>92.539999999999992</v>
      </c>
      <c r="G8" s="107">
        <v>95.54</v>
      </c>
      <c r="H8" s="107">
        <f>35+1.5+2.125+1+1</f>
        <v>40.625</v>
      </c>
      <c r="I8" s="107">
        <f>7.97+2+2+1+1</f>
        <v>13.969999999999999</v>
      </c>
      <c r="J8" s="107">
        <f>G8-F8</f>
        <v>3.0000000000000142</v>
      </c>
      <c r="K8" s="107">
        <v>1</v>
      </c>
      <c r="L8" s="108">
        <f>PRODUCT(H8:K8)</f>
        <v>1702.593750000008</v>
      </c>
      <c r="M8" s="107" t="s">
        <v>51</v>
      </c>
      <c r="N8" s="107" t="s">
        <v>51</v>
      </c>
    </row>
    <row r="9" spans="1:14" s="62" customFormat="1" ht="15.75">
      <c r="A9" s="120"/>
      <c r="B9" s="120" t="s">
        <v>72</v>
      </c>
      <c r="C9" s="120"/>
      <c r="D9" s="120"/>
      <c r="E9" s="120"/>
      <c r="F9" s="120"/>
      <c r="G9" s="120"/>
      <c r="H9" s="120"/>
      <c r="I9" s="120"/>
      <c r="J9" s="120"/>
      <c r="K9" s="120"/>
      <c r="L9" s="121">
        <f>SUM(L8)</f>
        <v>1702.593750000008</v>
      </c>
      <c r="M9" s="120" t="str">
        <f>M8</f>
        <v>Cum</v>
      </c>
      <c r="N9" s="120" t="str">
        <f>N8</f>
        <v>Cum</v>
      </c>
    </row>
    <row r="10" spans="1:14">
      <c r="A10" s="28">
        <v>2</v>
      </c>
      <c r="B10" s="29" t="s">
        <v>52</v>
      </c>
      <c r="C10" s="107" t="s">
        <v>17</v>
      </c>
      <c r="D10" s="107" t="s">
        <v>71</v>
      </c>
      <c r="E10" s="107"/>
      <c r="F10" s="107">
        <v>92.450999999999993</v>
      </c>
      <c r="G10" s="107">
        <f>F8</f>
        <v>92.539999999999992</v>
      </c>
      <c r="H10" s="107">
        <f>35+1.5+2.125+1+1</f>
        <v>40.625</v>
      </c>
      <c r="I10" s="107">
        <f>7.97+2+2+1+1</f>
        <v>13.969999999999999</v>
      </c>
      <c r="J10" s="107">
        <v>8.8999999999999996E-2</v>
      </c>
      <c r="K10" s="107">
        <v>1</v>
      </c>
      <c r="L10" s="108">
        <f>PRODUCT(H10:K10)</f>
        <v>50.510281249999998</v>
      </c>
      <c r="M10" s="107" t="s">
        <v>51</v>
      </c>
      <c r="N10" s="107" t="s">
        <v>51</v>
      </c>
    </row>
    <row r="11" spans="1:14" s="62" customFormat="1" ht="15.75">
      <c r="A11" s="120"/>
      <c r="B11" s="120" t="s">
        <v>72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1">
        <f>SUM(L10)</f>
        <v>50.510281249999998</v>
      </c>
      <c r="M11" s="120" t="str">
        <f>M10</f>
        <v>Cum</v>
      </c>
      <c r="N11" s="120" t="str">
        <f>N10</f>
        <v>Cum</v>
      </c>
    </row>
    <row r="12" spans="1:14">
      <c r="A12" s="28">
        <v>2</v>
      </c>
      <c r="B12" s="29" t="s">
        <v>22</v>
      </c>
      <c r="C12" s="109" t="s">
        <v>17</v>
      </c>
      <c r="D12" s="109" t="s">
        <v>71</v>
      </c>
      <c r="E12" s="109"/>
      <c r="F12" s="109">
        <v>91.5</v>
      </c>
      <c r="G12" s="109">
        <f>F12+J12</f>
        <v>91.5</v>
      </c>
      <c r="H12" s="109">
        <f>H8</f>
        <v>40.625</v>
      </c>
      <c r="I12" s="109">
        <f>I8</f>
        <v>13.969999999999999</v>
      </c>
      <c r="J12" s="109"/>
      <c r="K12" s="109">
        <v>1</v>
      </c>
      <c r="L12" s="110">
        <f>PRODUCT(H12:K12)</f>
        <v>567.53125</v>
      </c>
      <c r="M12" s="109" t="s">
        <v>56</v>
      </c>
      <c r="N12" s="109" t="s">
        <v>56</v>
      </c>
    </row>
    <row r="13" spans="1:14">
      <c r="A13" s="28"/>
      <c r="B13" s="29"/>
      <c r="C13" s="26" t="s">
        <v>17</v>
      </c>
      <c r="D13" s="26" t="s">
        <v>73</v>
      </c>
      <c r="E13" s="26"/>
      <c r="F13" s="26">
        <f>G13-J13</f>
        <v>94.75</v>
      </c>
      <c r="G13" s="26">
        <v>94.75</v>
      </c>
      <c r="H13" s="26">
        <f>(7.62-0.35)+1</f>
        <v>8.27</v>
      </c>
      <c r="I13" s="26">
        <f>0.35+0.2</f>
        <v>0.55000000000000004</v>
      </c>
      <c r="J13" s="26"/>
      <c r="K13" s="26">
        <v>9</v>
      </c>
      <c r="L13" s="93">
        <f t="shared" ref="L13:L14" si="0">PRODUCT(H13:K13)</f>
        <v>40.936499999999995</v>
      </c>
      <c r="M13" s="26"/>
      <c r="N13" s="26"/>
    </row>
    <row r="14" spans="1:14">
      <c r="A14" s="28"/>
      <c r="B14" s="29"/>
      <c r="C14" s="99" t="s">
        <v>17</v>
      </c>
      <c r="D14" s="99" t="s">
        <v>73</v>
      </c>
      <c r="E14" s="99"/>
      <c r="F14" s="99">
        <f>G14-J14</f>
        <v>94.75</v>
      </c>
      <c r="G14" s="99">
        <v>94.75</v>
      </c>
      <c r="H14" s="99">
        <f>(35-(0.5*3)-(0.4*4))+1</f>
        <v>32.9</v>
      </c>
      <c r="I14" s="99">
        <f>0.35+0.2</f>
        <v>0.55000000000000004</v>
      </c>
      <c r="J14" s="99"/>
      <c r="K14" s="99">
        <v>2</v>
      </c>
      <c r="L14" s="101">
        <f t="shared" si="0"/>
        <v>36.190000000000005</v>
      </c>
      <c r="M14" s="99"/>
      <c r="N14" s="99"/>
    </row>
    <row r="15" spans="1:14" s="62" customFormat="1" ht="15.75">
      <c r="A15" s="120"/>
      <c r="B15" s="120" t="s">
        <v>72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1">
        <f>SUM(L12:L14)</f>
        <v>644.65775000000008</v>
      </c>
      <c r="M15" s="120">
        <f>M14</f>
        <v>0</v>
      </c>
      <c r="N15" s="120">
        <f>N14</f>
        <v>0</v>
      </c>
    </row>
    <row r="16" spans="1:14" ht="30">
      <c r="A16" s="44">
        <v>3</v>
      </c>
      <c r="B16" s="34" t="s">
        <v>74</v>
      </c>
      <c r="C16" s="107" t="s">
        <v>17</v>
      </c>
      <c r="D16" s="107" t="s">
        <v>71</v>
      </c>
      <c r="E16" s="111"/>
      <c r="F16" s="111">
        <v>92.450999999999993</v>
      </c>
      <c r="G16" s="111">
        <v>93.191000000000003</v>
      </c>
      <c r="H16" s="111">
        <v>6.7</v>
      </c>
      <c r="I16" s="111">
        <v>10.3</v>
      </c>
      <c r="J16" s="111">
        <f>G16-F16</f>
        <v>0.74000000000000909</v>
      </c>
      <c r="K16" s="111">
        <v>1</v>
      </c>
      <c r="L16" s="108">
        <f>PRODUCT(H16:K16)</f>
        <v>51.067400000000632</v>
      </c>
      <c r="M16" s="111" t="s">
        <v>51</v>
      </c>
      <c r="N16" s="111" t="s">
        <v>51</v>
      </c>
    </row>
    <row r="17" spans="1:14" s="62" customFormat="1" ht="15.75">
      <c r="A17" s="120"/>
      <c r="B17" s="120" t="s">
        <v>72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1">
        <f>SUM(L16)</f>
        <v>51.067400000000632</v>
      </c>
      <c r="M17" s="120" t="str">
        <f>M16</f>
        <v>Cum</v>
      </c>
      <c r="N17" s="120" t="str">
        <f>N16</f>
        <v>Cum</v>
      </c>
    </row>
    <row r="18" spans="1:14">
      <c r="A18" s="30"/>
      <c r="B18" s="34" t="s">
        <v>27</v>
      </c>
      <c r="C18" s="109" t="s">
        <v>17</v>
      </c>
      <c r="D18" s="109" t="s">
        <v>73</v>
      </c>
      <c r="E18" s="109"/>
      <c r="F18" s="109">
        <f>G18-J18</f>
        <v>94.65</v>
      </c>
      <c r="G18" s="109">
        <v>94.75</v>
      </c>
      <c r="H18" s="109">
        <f>(7.62-0.35)+1</f>
        <v>8.27</v>
      </c>
      <c r="I18" s="109">
        <f>0.35+0.2</f>
        <v>0.55000000000000004</v>
      </c>
      <c r="J18" s="109">
        <v>0.1</v>
      </c>
      <c r="K18" s="109">
        <v>9</v>
      </c>
      <c r="L18" s="112">
        <f t="shared" ref="L18:L19" si="1">PRODUCT(H18:K18)</f>
        <v>4.0936500000000002</v>
      </c>
      <c r="M18" s="113" t="s">
        <v>56</v>
      </c>
      <c r="N18" s="113" t="s">
        <v>56</v>
      </c>
    </row>
    <row r="19" spans="1:14">
      <c r="A19" s="30"/>
      <c r="B19" s="31" t="s">
        <v>27</v>
      </c>
      <c r="C19" s="26" t="s">
        <v>17</v>
      </c>
      <c r="D19" s="26" t="s">
        <v>73</v>
      </c>
      <c r="E19" s="26"/>
      <c r="F19" s="26">
        <f>G19-J19</f>
        <v>94.65</v>
      </c>
      <c r="G19" s="26">
        <v>94.75</v>
      </c>
      <c r="H19" s="26">
        <f>(35-(0.5*3)-(0.4*4))+1</f>
        <v>32.9</v>
      </c>
      <c r="I19" s="26">
        <f>0.35+0.2</f>
        <v>0.55000000000000004</v>
      </c>
      <c r="J19" s="26">
        <v>0.1</v>
      </c>
      <c r="K19" s="26">
        <v>2</v>
      </c>
      <c r="L19" s="93">
        <f t="shared" si="1"/>
        <v>3.6190000000000007</v>
      </c>
      <c r="M19" s="27" t="s">
        <v>56</v>
      </c>
      <c r="N19" s="27" t="s">
        <v>56</v>
      </c>
    </row>
    <row r="20" spans="1:14">
      <c r="A20" s="30"/>
      <c r="B20" s="31" t="s">
        <v>27</v>
      </c>
      <c r="C20" s="26" t="s">
        <v>17</v>
      </c>
      <c r="D20" s="26" t="s">
        <v>75</v>
      </c>
      <c r="E20" s="26" t="s">
        <v>76</v>
      </c>
      <c r="F20" s="26">
        <f>G20-J20</f>
        <v>92.350999999999999</v>
      </c>
      <c r="G20" s="26">
        <v>92.450999999999993</v>
      </c>
      <c r="H20" s="26">
        <f>4.45+0.2</f>
        <v>4.6500000000000004</v>
      </c>
      <c r="I20" s="26">
        <f>4.45+0.2</f>
        <v>4.6500000000000004</v>
      </c>
      <c r="J20" s="26">
        <v>0.1</v>
      </c>
      <c r="K20" s="26">
        <v>10</v>
      </c>
      <c r="L20" s="93">
        <v>2.178275000000002</v>
      </c>
      <c r="M20" s="27" t="s">
        <v>51</v>
      </c>
      <c r="N20" s="27" t="s">
        <v>51</v>
      </c>
    </row>
    <row r="21" spans="1:14">
      <c r="A21" s="44"/>
      <c r="B21" s="31" t="s">
        <v>27</v>
      </c>
      <c r="C21" s="99" t="s">
        <v>17</v>
      </c>
      <c r="D21" s="99" t="s">
        <v>77</v>
      </c>
      <c r="E21" s="99" t="s">
        <v>78</v>
      </c>
      <c r="F21" s="99">
        <f>G21-J21</f>
        <v>92.350999999999999</v>
      </c>
      <c r="G21" s="99">
        <v>92.450999999999993</v>
      </c>
      <c r="H21" s="99">
        <f>6.2+0.2</f>
        <v>6.4</v>
      </c>
      <c r="I21" s="99">
        <f>4.2+0.2</f>
        <v>4.4000000000000004</v>
      </c>
      <c r="J21" s="99">
        <v>0.1</v>
      </c>
      <c r="K21" s="99">
        <v>4</v>
      </c>
      <c r="L21" s="101">
        <v>1.1457600000000012</v>
      </c>
      <c r="M21" s="102" t="s">
        <v>51</v>
      </c>
      <c r="N21" s="102" t="s">
        <v>51</v>
      </c>
    </row>
    <row r="22" spans="1:14" s="62" customFormat="1" ht="15.75">
      <c r="A22" s="120"/>
      <c r="B22" s="120" t="s">
        <v>72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1">
        <f>SUM(L18:L21)</f>
        <v>11.036685000000004</v>
      </c>
      <c r="M22" s="120" t="str">
        <f>M21</f>
        <v>Cum</v>
      </c>
      <c r="N22" s="120" t="str">
        <f>N21</f>
        <v>Cum</v>
      </c>
    </row>
    <row r="23" spans="1:14">
      <c r="A23" s="44"/>
      <c r="B23" s="34" t="s">
        <v>29</v>
      </c>
      <c r="C23" s="107" t="s">
        <v>17</v>
      </c>
      <c r="D23" s="107" t="s">
        <v>79</v>
      </c>
      <c r="E23" s="107"/>
      <c r="F23" s="107">
        <v>89.35</v>
      </c>
      <c r="G23" s="107">
        <v>89.5</v>
      </c>
      <c r="H23" s="107">
        <v>35.35</v>
      </c>
      <c r="I23" s="107">
        <v>7.57</v>
      </c>
      <c r="J23" s="107">
        <v>0.25</v>
      </c>
      <c r="K23" s="107">
        <v>1</v>
      </c>
      <c r="L23" s="114">
        <f>PRODUCT(H23:K23)</f>
        <v>66.899875000000009</v>
      </c>
      <c r="M23" s="111" t="s">
        <v>51</v>
      </c>
      <c r="N23" s="111" t="s">
        <v>51</v>
      </c>
    </row>
    <row r="24" spans="1:14" s="62" customFormat="1" ht="15.75">
      <c r="A24" s="120"/>
      <c r="B24" s="120" t="s">
        <v>72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1">
        <f>L23</f>
        <v>66.899875000000009</v>
      </c>
      <c r="M24" s="120" t="str">
        <f>M23</f>
        <v>Cum</v>
      </c>
      <c r="N24" s="120" t="str">
        <f>N23</f>
        <v>Cum</v>
      </c>
    </row>
    <row r="25" spans="1:14">
      <c r="A25" s="30"/>
      <c r="B25" s="115" t="s">
        <v>30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0"/>
      <c r="M25" s="113"/>
      <c r="N25" s="113"/>
    </row>
    <row r="26" spans="1:14">
      <c r="A26" s="30"/>
      <c r="B26" s="31" t="s">
        <v>80</v>
      </c>
      <c r="C26" s="27" t="s">
        <v>17</v>
      </c>
      <c r="D26" s="27"/>
      <c r="E26" s="27"/>
      <c r="F26" s="27"/>
      <c r="G26" s="27"/>
      <c r="H26" s="27"/>
      <c r="I26" s="27"/>
      <c r="J26" s="27"/>
      <c r="K26" s="27"/>
      <c r="L26" s="92">
        <f>L9+L11</f>
        <v>1753.1040312500079</v>
      </c>
      <c r="M26" s="27"/>
      <c r="N26" s="27"/>
    </row>
    <row r="27" spans="1:14">
      <c r="A27" s="30"/>
      <c r="B27" s="31" t="s">
        <v>81</v>
      </c>
      <c r="C27" s="27" t="s">
        <v>17</v>
      </c>
      <c r="D27" s="27"/>
      <c r="E27" s="27"/>
      <c r="F27" s="27"/>
      <c r="G27" s="27"/>
      <c r="H27" s="27"/>
      <c r="I27" s="27"/>
      <c r="J27" s="27"/>
      <c r="K27" s="27"/>
      <c r="L27" s="92">
        <f>L17</f>
        <v>51.067400000000632</v>
      </c>
      <c r="M27" s="27"/>
      <c r="N27" s="27"/>
    </row>
    <row r="28" spans="1:14">
      <c r="A28" s="30"/>
      <c r="B28" s="31" t="s">
        <v>82</v>
      </c>
      <c r="C28" s="27" t="s">
        <v>17</v>
      </c>
      <c r="D28" s="27"/>
      <c r="E28" s="27"/>
      <c r="F28" s="27"/>
      <c r="G28" s="27"/>
      <c r="H28" s="27"/>
      <c r="I28" s="27"/>
      <c r="J28" s="27"/>
      <c r="K28" s="27"/>
      <c r="L28" s="92">
        <f>L36+L39</f>
        <v>37.726000000000006</v>
      </c>
      <c r="M28" s="27"/>
      <c r="N28" s="27"/>
    </row>
    <row r="29" spans="1:14">
      <c r="A29" s="44"/>
      <c r="B29" s="31" t="s">
        <v>83</v>
      </c>
      <c r="C29" s="102" t="s">
        <v>17</v>
      </c>
      <c r="D29" s="102"/>
      <c r="E29" s="102"/>
      <c r="F29" s="102"/>
      <c r="G29" s="102"/>
      <c r="H29" s="102"/>
      <c r="I29" s="102"/>
      <c r="J29" s="102"/>
      <c r="K29" s="102"/>
      <c r="L29" s="100">
        <f>L101</f>
        <v>268.86277197208477</v>
      </c>
      <c r="M29" s="102"/>
      <c r="N29" s="102"/>
    </row>
    <row r="30" spans="1:14" s="62" customFormat="1" ht="15.75">
      <c r="A30" s="120"/>
      <c r="B30" s="120" t="s">
        <v>72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1">
        <f>L26-L27-L28-L29</f>
        <v>1395.4478592779224</v>
      </c>
      <c r="M30" s="120">
        <f>M29</f>
        <v>0</v>
      </c>
      <c r="N30" s="120">
        <f>N29</f>
        <v>0</v>
      </c>
    </row>
    <row r="31" spans="1:14">
      <c r="A31" s="44"/>
      <c r="B31" s="34"/>
      <c r="C31" s="111"/>
      <c r="D31" s="111"/>
      <c r="E31" s="111"/>
      <c r="F31" s="111"/>
      <c r="G31" s="111"/>
      <c r="H31" s="111"/>
      <c r="I31" s="111"/>
      <c r="J31" s="111"/>
      <c r="K31" s="111"/>
      <c r="L31" s="108"/>
      <c r="M31" s="111"/>
      <c r="N31" s="111"/>
    </row>
    <row r="32" spans="1:14" s="62" customFormat="1" ht="15.75">
      <c r="A32" s="120"/>
      <c r="B32" s="120" t="s">
        <v>84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1"/>
      <c r="M32" s="120"/>
      <c r="N32" s="120"/>
    </row>
    <row r="33" spans="1:19" s="62" customFormat="1" ht="15.75">
      <c r="A33" s="61"/>
      <c r="B33" s="61" t="s">
        <v>85</v>
      </c>
      <c r="C33" s="61"/>
      <c r="D33" s="61"/>
      <c r="E33" s="61"/>
      <c r="F33" s="61"/>
      <c r="G33" s="61"/>
      <c r="H33" s="61"/>
      <c r="I33" s="61"/>
      <c r="J33" s="61"/>
      <c r="K33" s="61"/>
      <c r="L33" s="122"/>
      <c r="M33" s="61"/>
      <c r="N33" s="61"/>
    </row>
    <row r="34" spans="1:19">
      <c r="A34" s="32"/>
      <c r="B34" s="104" t="s">
        <v>43</v>
      </c>
      <c r="C34" s="116" t="s">
        <v>17</v>
      </c>
      <c r="D34" s="116" t="s">
        <v>75</v>
      </c>
      <c r="E34" s="116" t="s">
        <v>76</v>
      </c>
      <c r="F34" s="116">
        <f>G34+J34</f>
        <v>92.550999999999988</v>
      </c>
      <c r="G34" s="116">
        <v>92.450999999999993</v>
      </c>
      <c r="H34" s="116">
        <f>4.25+0.2</f>
        <v>4.45</v>
      </c>
      <c r="I34" s="116">
        <f>4.25+0.2</f>
        <v>4.45</v>
      </c>
      <c r="J34" s="116">
        <v>0.1</v>
      </c>
      <c r="K34" s="116">
        <v>10</v>
      </c>
      <c r="L34" s="117">
        <f>PRODUCT(H34:K34)</f>
        <v>19.802500000000002</v>
      </c>
      <c r="M34" s="116" t="s">
        <v>51</v>
      </c>
      <c r="N34" s="116" t="s">
        <v>51</v>
      </c>
    </row>
    <row r="35" spans="1:19">
      <c r="A35" s="103"/>
      <c r="B35" s="104" t="str">
        <f>B34</f>
        <v>3--6 Mtr</v>
      </c>
      <c r="C35" s="103" t="s">
        <v>17</v>
      </c>
      <c r="D35" s="103" t="s">
        <v>77</v>
      </c>
      <c r="E35" s="103" t="s">
        <v>78</v>
      </c>
      <c r="F35" s="116">
        <f>G35+J35</f>
        <v>92.550999999999988</v>
      </c>
      <c r="G35" s="116">
        <v>92.450999999999993</v>
      </c>
      <c r="H35" s="103">
        <f>6.2</f>
        <v>6.2</v>
      </c>
      <c r="I35" s="103">
        <v>4.2</v>
      </c>
      <c r="J35" s="103">
        <f>J34</f>
        <v>0.1</v>
      </c>
      <c r="K35" s="103">
        <v>4</v>
      </c>
      <c r="L35" s="105">
        <f>PRODUCT(H35:K35)</f>
        <v>10.416000000000002</v>
      </c>
      <c r="M35" s="103" t="s">
        <v>51</v>
      </c>
      <c r="N35" s="103" t="s">
        <v>51</v>
      </c>
    </row>
    <row r="36" spans="1:19" s="62" customFormat="1" ht="15.75">
      <c r="A36" s="120"/>
      <c r="B36" s="120" t="s">
        <v>86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1">
        <f>SUM(L34:L35)</f>
        <v>30.218500000000006</v>
      </c>
      <c r="M36" s="120" t="str">
        <f>M35</f>
        <v>Cum</v>
      </c>
      <c r="N36" s="120" t="str">
        <f>N35</f>
        <v>Cum</v>
      </c>
    </row>
    <row r="37" spans="1:19">
      <c r="A37" s="32"/>
      <c r="B37" s="104" t="s">
        <v>142</v>
      </c>
      <c r="C37" s="116" t="s">
        <v>17</v>
      </c>
      <c r="D37" s="116" t="s">
        <v>73</v>
      </c>
      <c r="E37" s="116"/>
      <c r="F37" s="116">
        <f>G37+J37</f>
        <v>91.850999999999985</v>
      </c>
      <c r="G37" s="116">
        <f>92.451-0.7</f>
        <v>91.750999999999991</v>
      </c>
      <c r="H37" s="116">
        <v>7.2700000000000005</v>
      </c>
      <c r="I37" s="116">
        <v>0.55000000000000004</v>
      </c>
      <c r="J37" s="116">
        <v>0.1</v>
      </c>
      <c r="K37" s="116">
        <v>10</v>
      </c>
      <c r="L37" s="117">
        <f>PRODUCT(H37:K37)</f>
        <v>3.9985000000000004</v>
      </c>
      <c r="M37" s="116" t="s">
        <v>51</v>
      </c>
      <c r="N37" s="116" t="s">
        <v>51</v>
      </c>
    </row>
    <row r="38" spans="1:19">
      <c r="A38" s="103"/>
      <c r="B38" s="104" t="s">
        <v>142</v>
      </c>
      <c r="C38" s="103" t="s">
        <v>17</v>
      </c>
      <c r="D38" s="103" t="s">
        <v>73</v>
      </c>
      <c r="E38" s="103"/>
      <c r="F38" s="116">
        <f>G38+J38</f>
        <v>91.850999999999985</v>
      </c>
      <c r="G38" s="116">
        <f>92.451-0.7</f>
        <v>91.750999999999991</v>
      </c>
      <c r="H38" s="103">
        <v>31.9</v>
      </c>
      <c r="I38" s="103">
        <f>I37</f>
        <v>0.55000000000000004</v>
      </c>
      <c r="J38" s="103">
        <f>J37</f>
        <v>0.1</v>
      </c>
      <c r="K38" s="103">
        <v>2</v>
      </c>
      <c r="L38" s="105">
        <f>PRODUCT(H38:K38)</f>
        <v>3.5090000000000003</v>
      </c>
      <c r="M38" s="103" t="s">
        <v>51</v>
      </c>
      <c r="N38" s="103" t="s">
        <v>51</v>
      </c>
    </row>
    <row r="39" spans="1:19" s="62" customFormat="1" ht="15.75">
      <c r="A39" s="120"/>
      <c r="B39" s="120" t="s">
        <v>86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1">
        <f>SUM(L37:L38)</f>
        <v>7.5075000000000003</v>
      </c>
      <c r="M39" s="120" t="str">
        <f>M38</f>
        <v>Cum</v>
      </c>
      <c r="N39" s="120" t="str">
        <f>N38</f>
        <v>Cum</v>
      </c>
    </row>
    <row r="40" spans="1:19" s="62" customFormat="1" ht="15.75">
      <c r="A40" s="61"/>
      <c r="B40" s="61" t="s">
        <v>87</v>
      </c>
      <c r="C40" s="61"/>
      <c r="D40" s="61"/>
      <c r="E40" s="61"/>
      <c r="F40" s="61"/>
      <c r="G40" s="61"/>
      <c r="H40" s="61"/>
      <c r="I40" s="61"/>
      <c r="J40" s="61"/>
      <c r="K40" s="61"/>
      <c r="L40" s="122"/>
      <c r="M40" s="61"/>
      <c r="N40" s="61"/>
    </row>
    <row r="41" spans="1:19" s="49" customFormat="1" ht="14.25" customHeight="1">
      <c r="A41" s="138"/>
      <c r="B41" s="34" t="s">
        <v>42</v>
      </c>
      <c r="C41" s="113" t="s">
        <v>17</v>
      </c>
      <c r="D41" s="113" t="s">
        <v>88</v>
      </c>
      <c r="E41" s="113"/>
      <c r="F41" s="113">
        <f>G41-J41</f>
        <v>93.274999999999991</v>
      </c>
      <c r="G41" s="113">
        <v>93.85</v>
      </c>
      <c r="H41" s="113">
        <f>2.5+2.6+2.74-(0.15+0.15)</f>
        <v>7.54</v>
      </c>
      <c r="I41" s="113">
        <v>0.35</v>
      </c>
      <c r="J41" s="113">
        <f>0.7-0.125</f>
        <v>0.57499999999999996</v>
      </c>
      <c r="K41" s="113">
        <v>9</v>
      </c>
      <c r="L41" s="110">
        <f t="shared" ref="L41:L63" si="2">PRODUCT(H41:K41)</f>
        <v>13.656824999999998</v>
      </c>
      <c r="M41" s="113" t="s">
        <v>51</v>
      </c>
      <c r="N41" s="48" t="s">
        <v>105</v>
      </c>
    </row>
    <row r="42" spans="1:19" s="127" customFormat="1">
      <c r="A42" s="136"/>
      <c r="B42" s="104" t="s">
        <v>42</v>
      </c>
      <c r="C42" s="33" t="s">
        <v>17</v>
      </c>
      <c r="D42" s="33" t="s">
        <v>89</v>
      </c>
      <c r="E42" s="33" t="s">
        <v>90</v>
      </c>
      <c r="F42" s="33">
        <f>G42-J42</f>
        <v>93.524999999999991</v>
      </c>
      <c r="G42" s="33">
        <v>93.85</v>
      </c>
      <c r="H42" s="33">
        <f>1.33-(0.7-0.15)</f>
        <v>0.78000000000000014</v>
      </c>
      <c r="I42" s="33">
        <v>0.3</v>
      </c>
      <c r="J42" s="33">
        <f>0.45-0.125</f>
        <v>0.32500000000000001</v>
      </c>
      <c r="K42" s="33">
        <v>18</v>
      </c>
      <c r="L42" s="94">
        <f t="shared" si="2"/>
        <v>1.3689000000000004</v>
      </c>
      <c r="M42" s="33" t="s">
        <v>51</v>
      </c>
      <c r="N42" s="126" t="s">
        <v>105</v>
      </c>
    </row>
    <row r="43" spans="1:19" s="49" customFormat="1">
      <c r="A43" s="136"/>
      <c r="B43" s="34" t="s">
        <v>42</v>
      </c>
      <c r="C43" s="27" t="s">
        <v>17</v>
      </c>
      <c r="D43" s="27" t="str">
        <f>D42</f>
        <v>B2</v>
      </c>
      <c r="E43" s="27" t="str">
        <f>E42</f>
        <v>A1 (Cantilever)</v>
      </c>
      <c r="F43" s="27">
        <f>G43-J43</f>
        <v>94.524999999999991</v>
      </c>
      <c r="G43" s="27">
        <v>94.85</v>
      </c>
      <c r="H43" s="27">
        <f>1.365-0.275</f>
        <v>1.0899999999999999</v>
      </c>
      <c r="I43" s="27">
        <f>I42</f>
        <v>0.3</v>
      </c>
      <c r="J43" s="27">
        <f>J42</f>
        <v>0.32500000000000001</v>
      </c>
      <c r="K43" s="27">
        <v>4</v>
      </c>
      <c r="L43" s="92">
        <f t="shared" si="2"/>
        <v>0.42509999999999998</v>
      </c>
      <c r="M43" s="27" t="s">
        <v>51</v>
      </c>
      <c r="N43" s="48" t="str">
        <f>N42</f>
        <v>RA 4</v>
      </c>
    </row>
    <row r="44" spans="1:19" s="49" customFormat="1">
      <c r="A44" s="136"/>
      <c r="B44" s="34" t="s">
        <v>42</v>
      </c>
      <c r="C44" s="27" t="s">
        <v>17</v>
      </c>
      <c r="D44" s="27" t="s">
        <v>89</v>
      </c>
      <c r="E44" s="27" t="s">
        <v>108</v>
      </c>
      <c r="F44" s="27">
        <v>93.3</v>
      </c>
      <c r="G44" s="27">
        <v>93.85</v>
      </c>
      <c r="H44" s="27">
        <f>3-0.3</f>
        <v>2.7</v>
      </c>
      <c r="I44" s="27">
        <f>I42</f>
        <v>0.3</v>
      </c>
      <c r="J44" s="27">
        <f>J43</f>
        <v>0.32500000000000001</v>
      </c>
      <c r="K44" s="27">
        <v>2</v>
      </c>
      <c r="L44" s="92">
        <f t="shared" si="2"/>
        <v>0.52650000000000008</v>
      </c>
      <c r="M44" s="27" t="s">
        <v>51</v>
      </c>
      <c r="N44" s="48" t="str">
        <f>N43</f>
        <v>RA 4</v>
      </c>
    </row>
    <row r="45" spans="1:19" s="49" customFormat="1">
      <c r="A45" s="136"/>
      <c r="B45" s="34" t="s">
        <v>42</v>
      </c>
      <c r="C45" s="27" t="s">
        <v>17</v>
      </c>
      <c r="D45" s="27" t="s">
        <v>89</v>
      </c>
      <c r="E45" s="27" t="s">
        <v>106</v>
      </c>
      <c r="F45" s="27">
        <v>93.3</v>
      </c>
      <c r="G45" s="27">
        <v>93.85</v>
      </c>
      <c r="H45" s="27">
        <f>5-0.35</f>
        <v>4.6500000000000004</v>
      </c>
      <c r="I45" s="27">
        <f>I44</f>
        <v>0.3</v>
      </c>
      <c r="J45" s="27">
        <f>J43</f>
        <v>0.32500000000000001</v>
      </c>
      <c r="K45" s="27">
        <v>18</v>
      </c>
      <c r="L45" s="92">
        <f t="shared" si="2"/>
        <v>8.1607500000000002</v>
      </c>
      <c r="M45" s="27" t="s">
        <v>51</v>
      </c>
      <c r="N45" s="48" t="str">
        <f>N43</f>
        <v>RA 4</v>
      </c>
    </row>
    <row r="46" spans="1:19" s="49" customFormat="1">
      <c r="A46" s="136"/>
      <c r="B46" s="34" t="s">
        <v>42</v>
      </c>
      <c r="C46" s="27" t="s">
        <v>17</v>
      </c>
      <c r="D46" s="27" t="str">
        <f>D45</f>
        <v>B2</v>
      </c>
      <c r="E46" s="27" t="s">
        <v>107</v>
      </c>
      <c r="F46" s="27">
        <v>93.3</v>
      </c>
      <c r="G46" s="27">
        <v>93.85</v>
      </c>
      <c r="H46" s="27">
        <f>3-0.3</f>
        <v>2.7</v>
      </c>
      <c r="I46" s="27">
        <f>I45</f>
        <v>0.3</v>
      </c>
      <c r="J46" s="27">
        <f>J45</f>
        <v>0.32500000000000001</v>
      </c>
      <c r="K46" s="27">
        <v>2</v>
      </c>
      <c r="L46" s="92">
        <f t="shared" si="2"/>
        <v>0.52650000000000008</v>
      </c>
      <c r="M46" s="27" t="s">
        <v>51</v>
      </c>
      <c r="N46" s="48" t="str">
        <f t="shared" ref="N46:N59" si="3">N44</f>
        <v>RA 4</v>
      </c>
    </row>
    <row r="47" spans="1:19" s="49" customFormat="1">
      <c r="A47" s="136"/>
      <c r="B47" s="34" t="s">
        <v>42</v>
      </c>
      <c r="C47" s="27" t="s">
        <v>17</v>
      </c>
      <c r="D47" s="27" t="str">
        <f>D46</f>
        <v>B2</v>
      </c>
      <c r="E47" s="27" t="s">
        <v>109</v>
      </c>
      <c r="F47" s="27">
        <v>93.3</v>
      </c>
      <c r="G47" s="27">
        <v>93.85</v>
      </c>
      <c r="H47" s="27">
        <f>4-0.3</f>
        <v>3.7</v>
      </c>
      <c r="I47" s="27">
        <f>I46</f>
        <v>0.3</v>
      </c>
      <c r="J47" s="27">
        <f>J46</f>
        <v>0.32500000000000001</v>
      </c>
      <c r="K47" s="27">
        <v>2</v>
      </c>
      <c r="L47" s="92">
        <f t="shared" ref="L47" si="4">PRODUCT(H47:K47)</f>
        <v>0.72150000000000014</v>
      </c>
      <c r="M47" s="27" t="s">
        <v>51</v>
      </c>
      <c r="N47" s="48" t="str">
        <f t="shared" si="3"/>
        <v>RA 4</v>
      </c>
    </row>
    <row r="48" spans="1:19" s="49" customFormat="1">
      <c r="A48" s="136"/>
      <c r="B48" s="34" t="s">
        <v>42</v>
      </c>
      <c r="C48" s="27" t="s">
        <v>17</v>
      </c>
      <c r="D48" s="27" t="str">
        <f>D47</f>
        <v>B2</v>
      </c>
      <c r="E48" s="27" t="s">
        <v>110</v>
      </c>
      <c r="F48" s="27">
        <v>93.3</v>
      </c>
      <c r="G48" s="27">
        <v>93.85</v>
      </c>
      <c r="H48" s="27">
        <f>(4.65*5)+(2*(3-(0.2+0.275)))+(4-(0.2+0.275))</f>
        <v>31.824999999999999</v>
      </c>
      <c r="I48" s="27">
        <f>I47</f>
        <v>0.3</v>
      </c>
      <c r="J48" s="27">
        <f>J47</f>
        <v>0.32500000000000001</v>
      </c>
      <c r="K48" s="27">
        <v>2</v>
      </c>
      <c r="L48" s="92">
        <f t="shared" ref="L48" si="5">PRODUCT(H48:K48)</f>
        <v>6.2058749999999998</v>
      </c>
      <c r="M48" s="27" t="s">
        <v>51</v>
      </c>
      <c r="N48" s="48" t="str">
        <f>N47</f>
        <v>RA 4</v>
      </c>
      <c r="S48" s="49">
        <f>0.62/2</f>
        <v>0.31</v>
      </c>
    </row>
    <row r="49" spans="1:19" s="49" customFormat="1">
      <c r="A49" s="136"/>
      <c r="B49" s="34" t="s">
        <v>42</v>
      </c>
      <c r="C49" s="27" t="s">
        <v>17</v>
      </c>
      <c r="D49" s="27" t="s">
        <v>92</v>
      </c>
      <c r="E49" s="27"/>
      <c r="F49" s="27">
        <v>91.5</v>
      </c>
      <c r="G49" s="27">
        <v>93.85</v>
      </c>
      <c r="H49" s="27">
        <v>0.5</v>
      </c>
      <c r="I49" s="27">
        <v>0.7</v>
      </c>
      <c r="J49" s="27">
        <f>G49-F49</f>
        <v>2.3499999999999943</v>
      </c>
      <c r="K49" s="27">
        <v>10</v>
      </c>
      <c r="L49" s="92">
        <f t="shared" si="2"/>
        <v>8.2249999999999801</v>
      </c>
      <c r="M49" s="27" t="s">
        <v>51</v>
      </c>
      <c r="N49" s="48" t="str">
        <f t="shared" si="3"/>
        <v>RA 4</v>
      </c>
      <c r="O49" s="49" t="s">
        <v>144</v>
      </c>
    </row>
    <row r="50" spans="1:19" s="49" customFormat="1">
      <c r="A50" s="136"/>
      <c r="B50" s="34" t="s">
        <v>42</v>
      </c>
      <c r="C50" s="27" t="s">
        <v>17</v>
      </c>
      <c r="D50" s="27" t="s">
        <v>93</v>
      </c>
      <c r="E50" s="27"/>
      <c r="F50" s="27">
        <v>91.5</v>
      </c>
      <c r="G50" s="27">
        <f>G49</f>
        <v>93.85</v>
      </c>
      <c r="H50" s="27">
        <v>0.4</v>
      </c>
      <c r="I50" s="27">
        <v>0.7</v>
      </c>
      <c r="J50" s="27">
        <f>G50-F50</f>
        <v>2.3499999999999943</v>
      </c>
      <c r="K50" s="27">
        <v>8</v>
      </c>
      <c r="L50" s="92">
        <f t="shared" si="2"/>
        <v>5.2639999999999869</v>
      </c>
      <c r="M50" s="27" t="s">
        <v>51</v>
      </c>
      <c r="N50" s="48" t="str">
        <f t="shared" ref="N50" si="6">N49</f>
        <v>RA 4</v>
      </c>
      <c r="O50" s="49" t="s">
        <v>144</v>
      </c>
    </row>
    <row r="51" spans="1:19" s="49" customFormat="1">
      <c r="A51" s="136"/>
      <c r="B51" s="34" t="s">
        <v>42</v>
      </c>
      <c r="C51" s="27" t="s">
        <v>17</v>
      </c>
      <c r="D51" s="27" t="s">
        <v>92</v>
      </c>
      <c r="E51" s="27"/>
      <c r="F51" s="27">
        <v>94</v>
      </c>
      <c r="G51" s="36">
        <v>97.399999999999991</v>
      </c>
      <c r="H51" s="27">
        <v>0.5</v>
      </c>
      <c r="I51" s="27">
        <v>0.7</v>
      </c>
      <c r="J51" s="27">
        <f>G51-F51</f>
        <v>3.3999999999999915</v>
      </c>
      <c r="K51" s="27">
        <v>10</v>
      </c>
      <c r="L51" s="92">
        <f t="shared" si="2"/>
        <v>11.899999999999968</v>
      </c>
      <c r="M51" s="27" t="s">
        <v>51</v>
      </c>
      <c r="N51" s="48" t="str">
        <f t="shared" si="3"/>
        <v>RA 4</v>
      </c>
      <c r="O51" s="49" t="s">
        <v>144</v>
      </c>
    </row>
    <row r="52" spans="1:19" s="49" customFormat="1">
      <c r="A52" s="136"/>
      <c r="B52" s="34" t="s">
        <v>42</v>
      </c>
      <c r="C52" s="27" t="s">
        <v>17</v>
      </c>
      <c r="D52" s="27" t="s">
        <v>93</v>
      </c>
      <c r="E52" s="27"/>
      <c r="F52" s="27">
        <v>94</v>
      </c>
      <c r="G52" s="36">
        <v>97.399999999999991</v>
      </c>
      <c r="H52" s="27">
        <v>0.4</v>
      </c>
      <c r="I52" s="27">
        <v>0.7</v>
      </c>
      <c r="J52" s="27">
        <f>G52-F52</f>
        <v>3.3999999999999915</v>
      </c>
      <c r="K52" s="27">
        <v>8</v>
      </c>
      <c r="L52" s="92">
        <f t="shared" si="2"/>
        <v>7.6159999999999801</v>
      </c>
      <c r="M52" s="27" t="s">
        <v>51</v>
      </c>
      <c r="N52" s="48" t="str">
        <f t="shared" ref="N52" si="7">N51</f>
        <v>RA 4</v>
      </c>
      <c r="O52" s="49" t="s">
        <v>144</v>
      </c>
    </row>
    <row r="53" spans="1:19" s="49" customFormat="1">
      <c r="A53" s="136"/>
      <c r="B53" s="34" t="s">
        <v>42</v>
      </c>
      <c r="C53" s="27" t="s">
        <v>17</v>
      </c>
      <c r="D53" s="27" t="s">
        <v>112</v>
      </c>
      <c r="E53" s="27"/>
      <c r="F53" s="27">
        <v>102.35</v>
      </c>
      <c r="G53" s="27">
        <v>102.5</v>
      </c>
      <c r="H53" s="27">
        <f>35+1.365+1.365</f>
        <v>37.730000000000004</v>
      </c>
      <c r="I53" s="27">
        <v>10.23</v>
      </c>
      <c r="J53" s="27">
        <v>0.125</v>
      </c>
      <c r="K53" s="27">
        <v>1</v>
      </c>
      <c r="L53" s="92">
        <f t="shared" si="2"/>
        <v>48.247237500000004</v>
      </c>
      <c r="M53" s="27" t="s">
        <v>51</v>
      </c>
      <c r="N53" s="48" t="str">
        <f t="shared" si="3"/>
        <v>RA 4</v>
      </c>
    </row>
    <row r="54" spans="1:19" s="49" customFormat="1">
      <c r="A54" s="136"/>
      <c r="B54" s="34"/>
      <c r="C54" s="27"/>
      <c r="D54" s="27"/>
      <c r="E54" s="27" t="s">
        <v>113</v>
      </c>
      <c r="F54" s="27">
        <v>102.35</v>
      </c>
      <c r="G54" s="27">
        <v>102.5</v>
      </c>
      <c r="H54" s="27">
        <v>4.7</v>
      </c>
      <c r="I54" s="27">
        <v>1</v>
      </c>
      <c r="J54" s="27">
        <v>0.125</v>
      </c>
      <c r="K54" s="27">
        <v>10</v>
      </c>
      <c r="L54" s="92">
        <v>5.875</v>
      </c>
      <c r="M54" s="27" t="s">
        <v>51</v>
      </c>
      <c r="N54" s="48" t="str">
        <f t="shared" ref="N54" si="8">N53</f>
        <v>RA 4</v>
      </c>
    </row>
    <row r="55" spans="1:19" s="49" customFormat="1">
      <c r="A55" s="136"/>
      <c r="B55" s="34"/>
      <c r="C55" s="27"/>
      <c r="D55" s="27"/>
      <c r="E55" s="27" t="s">
        <v>113</v>
      </c>
      <c r="F55" s="27">
        <v>102.35</v>
      </c>
      <c r="G55" s="27">
        <v>102.5</v>
      </c>
      <c r="H55" s="27">
        <v>2.7</v>
      </c>
      <c r="I55" s="27">
        <v>1</v>
      </c>
      <c r="J55" s="27">
        <v>0.125</v>
      </c>
      <c r="K55" s="27">
        <v>2</v>
      </c>
      <c r="L55" s="92">
        <v>0.67500000000000004</v>
      </c>
      <c r="M55" s="27" t="s">
        <v>51</v>
      </c>
      <c r="N55" s="48" t="str">
        <f t="shared" si="3"/>
        <v>RA 4</v>
      </c>
    </row>
    <row r="56" spans="1:19" s="49" customFormat="1">
      <c r="A56" s="136"/>
      <c r="B56" s="34"/>
      <c r="C56" s="27"/>
      <c r="D56" s="27"/>
      <c r="E56" s="27" t="s">
        <v>114</v>
      </c>
      <c r="F56" s="27">
        <v>102.35</v>
      </c>
      <c r="G56" s="27">
        <v>102.5</v>
      </c>
      <c r="H56" s="27">
        <v>7.54</v>
      </c>
      <c r="I56" s="27">
        <v>2.7</v>
      </c>
      <c r="J56" s="27">
        <v>0.125</v>
      </c>
      <c r="K56" s="27">
        <v>1</v>
      </c>
      <c r="L56" s="92">
        <v>2.5447500000000001</v>
      </c>
      <c r="M56" s="27" t="s">
        <v>51</v>
      </c>
      <c r="N56" s="48" t="str">
        <f t="shared" ref="N56" si="9">N55</f>
        <v>RA 4</v>
      </c>
    </row>
    <row r="57" spans="1:19" s="49" customFormat="1">
      <c r="A57" s="136"/>
      <c r="B57" s="34"/>
      <c r="C57" s="27"/>
      <c r="D57" s="27"/>
      <c r="E57" s="27"/>
      <c r="F57" s="27"/>
      <c r="G57" s="27"/>
      <c r="H57" s="27"/>
      <c r="I57" s="27"/>
      <c r="J57" s="27"/>
      <c r="K57" s="27"/>
      <c r="L57" s="92"/>
      <c r="M57" s="27"/>
      <c r="N57" s="48" t="str">
        <f t="shared" si="3"/>
        <v>RA 4</v>
      </c>
    </row>
    <row r="58" spans="1:19" s="49" customFormat="1">
      <c r="A58" s="136"/>
      <c r="B58" s="34"/>
      <c r="C58" s="27"/>
      <c r="D58" s="27" t="s">
        <v>111</v>
      </c>
      <c r="E58" s="27"/>
      <c r="F58" s="27"/>
      <c r="G58" s="27"/>
      <c r="H58" s="27"/>
      <c r="I58" s="27"/>
      <c r="J58" s="27"/>
      <c r="K58" s="27"/>
      <c r="L58" s="92">
        <v>39.152487500000007</v>
      </c>
      <c r="M58" s="27" t="s">
        <v>51</v>
      </c>
      <c r="N58" s="48" t="str">
        <f t="shared" ref="N58" si="10">N57</f>
        <v>RA 4</v>
      </c>
    </row>
    <row r="59" spans="1:19" s="49" customFormat="1">
      <c r="A59" s="136"/>
      <c r="B59" s="34"/>
      <c r="C59" s="27"/>
      <c r="D59" s="27"/>
      <c r="E59" s="27"/>
      <c r="F59" s="27"/>
      <c r="G59" s="27"/>
      <c r="H59" s="27"/>
      <c r="I59" s="27"/>
      <c r="J59" s="27"/>
      <c r="K59" s="27"/>
      <c r="L59" s="92"/>
      <c r="M59" s="27"/>
      <c r="N59" s="48" t="str">
        <f t="shared" si="3"/>
        <v>RA 4</v>
      </c>
      <c r="S59" s="49">
        <f>2.06/0.2</f>
        <v>10.299999999999999</v>
      </c>
    </row>
    <row r="60" spans="1:19" s="49" customFormat="1">
      <c r="A60" s="136"/>
      <c r="B60" s="34" t="s">
        <v>42</v>
      </c>
      <c r="C60" s="27" t="s">
        <v>17</v>
      </c>
      <c r="D60" s="27"/>
      <c r="E60" s="27" t="s">
        <v>95</v>
      </c>
      <c r="F60" s="27" t="s">
        <v>96</v>
      </c>
      <c r="G60" s="27" t="s">
        <v>96</v>
      </c>
      <c r="H60" s="27">
        <v>4.2</v>
      </c>
      <c r="I60" s="27">
        <v>1.2</v>
      </c>
      <c r="J60" s="27">
        <v>0.15</v>
      </c>
      <c r="K60" s="27">
        <v>2</v>
      </c>
      <c r="L60" s="92">
        <f t="shared" si="2"/>
        <v>1.512</v>
      </c>
      <c r="M60" s="27" t="s">
        <v>51</v>
      </c>
      <c r="N60" s="48" t="s">
        <v>105</v>
      </c>
      <c r="S60" s="49">
        <f>S59+1</f>
        <v>11.299999999999999</v>
      </c>
    </row>
    <row r="61" spans="1:19" s="49" customFormat="1">
      <c r="A61" s="136"/>
      <c r="B61" s="34" t="s">
        <v>42</v>
      </c>
      <c r="C61" s="27" t="s">
        <v>17</v>
      </c>
      <c r="D61" s="27"/>
      <c r="E61" s="27" t="s">
        <v>115</v>
      </c>
      <c r="F61" s="27" t="s">
        <v>96</v>
      </c>
      <c r="G61" s="27" t="s">
        <v>96</v>
      </c>
      <c r="H61" s="27">
        <v>2.65</v>
      </c>
      <c r="I61" s="27">
        <v>0.9</v>
      </c>
      <c r="J61" s="27">
        <v>0.15</v>
      </c>
      <c r="K61" s="27">
        <v>1</v>
      </c>
      <c r="L61" s="92">
        <f t="shared" si="2"/>
        <v>0.35774999999999996</v>
      </c>
      <c r="M61" s="27" t="s">
        <v>51</v>
      </c>
      <c r="N61" s="48" t="s">
        <v>105</v>
      </c>
      <c r="O61" s="48" t="s">
        <v>117</v>
      </c>
    </row>
    <row r="62" spans="1:19" s="49" customFormat="1">
      <c r="A62" s="136"/>
      <c r="B62" s="34" t="s">
        <v>42</v>
      </c>
      <c r="C62" s="27" t="s">
        <v>17</v>
      </c>
      <c r="D62" s="27"/>
      <c r="E62" s="27" t="s">
        <v>116</v>
      </c>
      <c r="F62" s="27" t="s">
        <v>96</v>
      </c>
      <c r="G62" s="27" t="s">
        <v>96</v>
      </c>
      <c r="H62" s="27">
        <v>2.65</v>
      </c>
      <c r="I62" s="27">
        <v>2.17</v>
      </c>
      <c r="J62" s="27">
        <v>0.15</v>
      </c>
      <c r="K62" s="27">
        <v>1</v>
      </c>
      <c r="L62" s="92">
        <f t="shared" ref="L62" si="11">PRODUCT(H62:K62)</f>
        <v>0.86257499999999998</v>
      </c>
      <c r="M62" s="27" t="s">
        <v>51</v>
      </c>
      <c r="N62" s="48" t="s">
        <v>105</v>
      </c>
    </row>
    <row r="63" spans="1:19" s="49" customFormat="1">
      <c r="A63" s="137"/>
      <c r="B63" s="34" t="s">
        <v>42</v>
      </c>
      <c r="C63" s="27" t="s">
        <v>17</v>
      </c>
      <c r="D63" s="27"/>
      <c r="E63" s="27" t="s">
        <v>98</v>
      </c>
      <c r="F63" s="27" t="s">
        <v>96</v>
      </c>
      <c r="G63" s="27" t="s">
        <v>96</v>
      </c>
      <c r="H63" s="27">
        <f>0.5*0.175</f>
        <v>8.7499999999999994E-2</v>
      </c>
      <c r="I63" s="27">
        <v>0.3</v>
      </c>
      <c r="J63" s="27">
        <v>1.2</v>
      </c>
      <c r="K63" s="27">
        <v>14</v>
      </c>
      <c r="L63" s="92">
        <f t="shared" si="2"/>
        <v>0.441</v>
      </c>
      <c r="M63" s="27" t="s">
        <v>51</v>
      </c>
      <c r="N63" s="48" t="s">
        <v>105</v>
      </c>
    </row>
    <row r="64" spans="1:19" s="49" customFormat="1">
      <c r="A64" s="45"/>
      <c r="B64" s="34" t="s">
        <v>42</v>
      </c>
      <c r="C64" s="27" t="s">
        <v>17</v>
      </c>
      <c r="D64" s="27"/>
      <c r="E64" s="27" t="s">
        <v>98</v>
      </c>
      <c r="F64" s="27" t="s">
        <v>96</v>
      </c>
      <c r="G64" s="27" t="s">
        <v>96</v>
      </c>
      <c r="H64" s="27">
        <f>0.5*0.157</f>
        <v>7.85E-2</v>
      </c>
      <c r="I64" s="27">
        <f>I63</f>
        <v>0.3</v>
      </c>
      <c r="J64" s="27">
        <f>J63</f>
        <v>1.2</v>
      </c>
      <c r="K64" s="27">
        <v>13</v>
      </c>
      <c r="L64" s="92">
        <f t="shared" ref="L64" si="12">PRODUCT(H64:K64)</f>
        <v>0.36737999999999998</v>
      </c>
      <c r="M64" s="27" t="s">
        <v>51</v>
      </c>
      <c r="N64" s="48" t="s">
        <v>105</v>
      </c>
    </row>
    <row r="65" spans="1:19" s="49" customFormat="1">
      <c r="A65" s="44"/>
      <c r="B65" s="34"/>
      <c r="C65" s="102"/>
      <c r="D65" s="102"/>
      <c r="E65" s="102" t="s">
        <v>118</v>
      </c>
      <c r="F65" s="102" t="s">
        <v>96</v>
      </c>
      <c r="G65" s="102" t="s">
        <v>96</v>
      </c>
      <c r="H65" s="102">
        <v>2.65</v>
      </c>
      <c r="I65" s="102">
        <v>0.23</v>
      </c>
      <c r="J65" s="102">
        <v>0.3</v>
      </c>
      <c r="K65" s="102">
        <v>1</v>
      </c>
      <c r="L65" s="100">
        <f t="shared" ref="L65" si="13">PRODUCT(H65:K65)</f>
        <v>0.18285000000000001</v>
      </c>
      <c r="M65" s="102" t="s">
        <v>51</v>
      </c>
      <c r="N65" s="48" t="str">
        <f>N64</f>
        <v>RA 4</v>
      </c>
      <c r="S65" s="49">
        <f>0.31*2</f>
        <v>0.62</v>
      </c>
    </row>
    <row r="66" spans="1:19" s="62" customFormat="1" ht="15.75">
      <c r="A66" s="120"/>
      <c r="B66" s="120" t="str">
        <f>B63</f>
        <v>0--3 Mtr</v>
      </c>
      <c r="C66" s="120"/>
      <c r="D66" s="120"/>
      <c r="E66" s="120"/>
      <c r="F66" s="120"/>
      <c r="G66" s="120"/>
      <c r="H66" s="120"/>
      <c r="I66" s="120"/>
      <c r="J66" s="120"/>
      <c r="K66" s="120"/>
      <c r="L66" s="121">
        <f>SUM(L41:L52)+L58+(SUM(L60:L63))</f>
        <v>106.92276249999993</v>
      </c>
      <c r="M66" s="120" t="str">
        <f>M63</f>
        <v>Cum</v>
      </c>
      <c r="N66" s="120"/>
      <c r="S66" s="62">
        <f>0.47*2</f>
        <v>0.94</v>
      </c>
    </row>
    <row r="67" spans="1:19">
      <c r="A67" s="136"/>
      <c r="B67" s="34" t="s">
        <v>43</v>
      </c>
      <c r="C67" s="36" t="s">
        <v>17</v>
      </c>
      <c r="D67" s="113" t="s">
        <v>73</v>
      </c>
      <c r="E67" s="113"/>
      <c r="F67" s="113">
        <v>88.9</v>
      </c>
      <c r="G67" s="113">
        <f>F67+J67</f>
        <v>89.350000000000009</v>
      </c>
      <c r="H67" s="113">
        <v>7.2700000000000005</v>
      </c>
      <c r="I67" s="113">
        <v>0.35</v>
      </c>
      <c r="J67" s="113">
        <f>0.6-0.15</f>
        <v>0.44999999999999996</v>
      </c>
      <c r="K67" s="113">
        <v>10</v>
      </c>
      <c r="L67" s="110">
        <f>PRODUCT(H67:K67)</f>
        <v>11.45025</v>
      </c>
      <c r="M67" s="113" t="str">
        <f>M39</f>
        <v>Cum</v>
      </c>
      <c r="N67" s="113"/>
      <c r="S67">
        <f>S66+S65</f>
        <v>1.56</v>
      </c>
    </row>
    <row r="68" spans="1:19">
      <c r="A68" s="136"/>
      <c r="B68" s="34" t="s">
        <v>43</v>
      </c>
      <c r="C68" s="27" t="s">
        <v>17</v>
      </c>
      <c r="D68" s="27" t="s">
        <v>73</v>
      </c>
      <c r="E68" s="27"/>
      <c r="F68" s="27">
        <f>F67</f>
        <v>88.9</v>
      </c>
      <c r="G68" s="27">
        <f t="shared" ref="G68" si="14">F68+J68</f>
        <v>89.350000000000009</v>
      </c>
      <c r="H68" s="27">
        <v>31.9</v>
      </c>
      <c r="I68" s="27">
        <v>0.35</v>
      </c>
      <c r="J68" s="27">
        <f>J67</f>
        <v>0.44999999999999996</v>
      </c>
      <c r="K68" s="27">
        <v>2</v>
      </c>
      <c r="L68" s="92">
        <f t="shared" ref="L68:L79" si="15">PRODUCT(H68:K68)</f>
        <v>10.048499999999999</v>
      </c>
      <c r="M68" s="27" t="str">
        <f>M67</f>
        <v>Cum</v>
      </c>
      <c r="N68" s="27"/>
      <c r="S68">
        <f>S67+0.12</f>
        <v>1.6800000000000002</v>
      </c>
    </row>
    <row r="69" spans="1:19">
      <c r="A69" s="136"/>
      <c r="B69" s="34" t="s">
        <v>43</v>
      </c>
      <c r="C69" s="27" t="str">
        <f>C68</f>
        <v>DRI</v>
      </c>
      <c r="D69" s="27" t="s">
        <v>79</v>
      </c>
      <c r="E69" s="27"/>
      <c r="F69" s="27">
        <f t="shared" ref="F69:F76" si="16">G69-J69</f>
        <v>89.35</v>
      </c>
      <c r="G69" s="27">
        <f>94.5-5</f>
        <v>89.5</v>
      </c>
      <c r="H69" s="27">
        <f>35+0.35</f>
        <v>35.35</v>
      </c>
      <c r="I69" s="27">
        <v>7.57</v>
      </c>
      <c r="J69" s="27">
        <v>0.15</v>
      </c>
      <c r="K69" s="27">
        <v>1</v>
      </c>
      <c r="L69" s="92">
        <f t="shared" si="15"/>
        <v>40.139925000000005</v>
      </c>
      <c r="M69" s="27" t="str">
        <f t="shared" ref="M69:M79" si="17">M68</f>
        <v>Cum</v>
      </c>
      <c r="N69" s="27"/>
      <c r="S69">
        <f>S68+0.12</f>
        <v>1.8000000000000003</v>
      </c>
    </row>
    <row r="70" spans="1:19">
      <c r="A70" s="136"/>
      <c r="B70" s="34" t="s">
        <v>43</v>
      </c>
      <c r="C70" s="27" t="str">
        <f t="shared" ref="C70:C79" si="18">C69</f>
        <v>DRI</v>
      </c>
      <c r="D70" s="27" t="s">
        <v>94</v>
      </c>
      <c r="E70" s="27"/>
      <c r="F70" s="27">
        <f t="shared" si="16"/>
        <v>97.949999999999989</v>
      </c>
      <c r="G70" s="27">
        <f>94.5+3.6</f>
        <v>98.1</v>
      </c>
      <c r="H70" s="27">
        <f>35.35+1.365+1.365</f>
        <v>38.080000000000005</v>
      </c>
      <c r="I70" s="27">
        <f>7.57+1.33+1.33</f>
        <v>10.23</v>
      </c>
      <c r="J70" s="27">
        <v>0.15</v>
      </c>
      <c r="K70" s="27">
        <v>1</v>
      </c>
      <c r="L70" s="92">
        <f t="shared" si="15"/>
        <v>58.433760000000007</v>
      </c>
      <c r="M70" s="27" t="str">
        <f t="shared" si="17"/>
        <v>Cum</v>
      </c>
      <c r="N70" s="27"/>
      <c r="S70">
        <f>S69-0.06</f>
        <v>1.7400000000000002</v>
      </c>
    </row>
    <row r="71" spans="1:19">
      <c r="A71" s="136"/>
      <c r="B71" s="34" t="s">
        <v>43</v>
      </c>
      <c r="C71" s="27" t="str">
        <f t="shared" si="18"/>
        <v>DRI</v>
      </c>
      <c r="D71" s="27" t="s">
        <v>73</v>
      </c>
      <c r="E71" s="27" t="s">
        <v>88</v>
      </c>
      <c r="F71" s="27">
        <f t="shared" si="16"/>
        <v>97.399999999999991</v>
      </c>
      <c r="G71" s="27">
        <f>(94.5+3.6)-0.15</f>
        <v>97.949999999999989</v>
      </c>
      <c r="H71" s="27">
        <v>7.0500000000000007</v>
      </c>
      <c r="I71" s="27">
        <v>0.35</v>
      </c>
      <c r="J71" s="27">
        <v>0.55000000000000004</v>
      </c>
      <c r="K71" s="27">
        <v>10</v>
      </c>
      <c r="L71" s="92">
        <f t="shared" si="15"/>
        <v>13.571250000000001</v>
      </c>
      <c r="M71" s="27" t="str">
        <f t="shared" si="17"/>
        <v>Cum</v>
      </c>
      <c r="N71" s="27"/>
      <c r="S71">
        <f>S70*88</f>
        <v>153.12</v>
      </c>
    </row>
    <row r="72" spans="1:19">
      <c r="A72" s="137"/>
      <c r="B72" s="34" t="s">
        <v>43</v>
      </c>
      <c r="C72" s="27" t="str">
        <f t="shared" si="18"/>
        <v>DRI</v>
      </c>
      <c r="D72" s="27" t="s">
        <v>73</v>
      </c>
      <c r="E72" s="27" t="s">
        <v>89</v>
      </c>
      <c r="F72" s="27">
        <f t="shared" si="16"/>
        <v>97.399999999999991</v>
      </c>
      <c r="G72" s="27">
        <v>97.949999999999989</v>
      </c>
      <c r="H72" s="27">
        <v>0.98000000000000009</v>
      </c>
      <c r="I72" s="27">
        <v>0.35</v>
      </c>
      <c r="J72" s="27">
        <v>0.55000000000000004</v>
      </c>
      <c r="K72" s="27">
        <v>20</v>
      </c>
      <c r="L72" s="92">
        <f t="shared" si="15"/>
        <v>3.7730000000000006</v>
      </c>
      <c r="M72" s="27" t="str">
        <f t="shared" si="17"/>
        <v>Cum</v>
      </c>
      <c r="N72" s="27"/>
    </row>
    <row r="73" spans="1:19">
      <c r="A73" s="30"/>
      <c r="B73" s="34" t="s">
        <v>43</v>
      </c>
      <c r="C73" s="27" t="str">
        <f t="shared" si="18"/>
        <v>DRI</v>
      </c>
      <c r="D73" s="27" t="s">
        <v>73</v>
      </c>
      <c r="E73" s="27" t="s">
        <v>89</v>
      </c>
      <c r="F73" s="27">
        <f t="shared" si="16"/>
        <v>97.399999999999991</v>
      </c>
      <c r="G73" s="27">
        <v>97.949999999999989</v>
      </c>
      <c r="H73" s="27">
        <v>1.115</v>
      </c>
      <c r="I73" s="27">
        <v>0.35</v>
      </c>
      <c r="J73" s="27">
        <v>0.55000000000000004</v>
      </c>
      <c r="K73" s="27">
        <v>4</v>
      </c>
      <c r="L73" s="92">
        <f t="shared" si="15"/>
        <v>0.85855000000000004</v>
      </c>
      <c r="M73" s="27" t="str">
        <f t="shared" si="17"/>
        <v>Cum</v>
      </c>
      <c r="N73" s="27"/>
    </row>
    <row r="74" spans="1:19">
      <c r="A74" s="30"/>
      <c r="B74" s="34" t="s">
        <v>43</v>
      </c>
      <c r="C74" s="27" t="str">
        <f t="shared" si="18"/>
        <v>DRI</v>
      </c>
      <c r="D74" s="27" t="s">
        <v>73</v>
      </c>
      <c r="E74" s="27" t="s">
        <v>91</v>
      </c>
      <c r="F74" s="27">
        <f t="shared" si="16"/>
        <v>97.249999999999986</v>
      </c>
      <c r="G74" s="27">
        <v>97.949999999999989</v>
      </c>
      <c r="H74" s="27">
        <v>23.25</v>
      </c>
      <c r="I74" s="27">
        <v>0.35</v>
      </c>
      <c r="J74" s="27">
        <v>0.7</v>
      </c>
      <c r="K74" s="27">
        <v>1</v>
      </c>
      <c r="L74" s="92">
        <f t="shared" si="15"/>
        <v>5.6962499999999991</v>
      </c>
      <c r="M74" s="27" t="str">
        <f t="shared" si="17"/>
        <v>Cum</v>
      </c>
      <c r="N74" s="27"/>
      <c r="S74" t="s">
        <v>143</v>
      </c>
    </row>
    <row r="75" spans="1:19">
      <c r="A75" s="30"/>
      <c r="B75" s="34" t="s">
        <v>43</v>
      </c>
      <c r="C75" s="27" t="str">
        <f t="shared" si="18"/>
        <v>DRI</v>
      </c>
      <c r="D75" s="27" t="s">
        <v>73</v>
      </c>
      <c r="E75" s="27" t="s">
        <v>89</v>
      </c>
      <c r="F75" s="27">
        <f t="shared" si="16"/>
        <v>97.399999999999991</v>
      </c>
      <c r="G75" s="27">
        <v>97.949999999999989</v>
      </c>
      <c r="H75" s="27">
        <v>13.6</v>
      </c>
      <c r="I75" s="27">
        <v>0.35</v>
      </c>
      <c r="J75" s="27">
        <v>0.55000000000000004</v>
      </c>
      <c r="K75" s="27">
        <v>2</v>
      </c>
      <c r="L75" s="92">
        <f t="shared" si="15"/>
        <v>5.2359999999999998</v>
      </c>
      <c r="M75" s="27" t="str">
        <f t="shared" si="17"/>
        <v>Cum</v>
      </c>
      <c r="N75" s="27"/>
    </row>
    <row r="76" spans="1:19">
      <c r="A76" s="30"/>
      <c r="B76" s="34" t="s">
        <v>43</v>
      </c>
      <c r="C76" s="27" t="str">
        <f t="shared" si="18"/>
        <v>DRI</v>
      </c>
      <c r="D76" s="27" t="s">
        <v>73</v>
      </c>
      <c r="E76" s="27" t="s">
        <v>89</v>
      </c>
      <c r="F76" s="27">
        <f t="shared" si="16"/>
        <v>97.399999999999991</v>
      </c>
      <c r="G76" s="27">
        <v>97.949999999999989</v>
      </c>
      <c r="H76" s="27">
        <v>10.95</v>
      </c>
      <c r="I76" s="27">
        <v>0.35</v>
      </c>
      <c r="J76" s="27">
        <v>0.55000000000000004</v>
      </c>
      <c r="K76" s="27">
        <v>2</v>
      </c>
      <c r="L76" s="92">
        <f t="shared" si="15"/>
        <v>4.2157499999999999</v>
      </c>
      <c r="M76" s="27" t="str">
        <f t="shared" si="17"/>
        <v>Cum</v>
      </c>
      <c r="N76" s="27"/>
    </row>
    <row r="77" spans="1:19">
      <c r="A77" s="30"/>
      <c r="B77" s="34" t="s">
        <v>43</v>
      </c>
      <c r="C77" s="27" t="str">
        <f t="shared" si="18"/>
        <v>DRI</v>
      </c>
      <c r="D77" s="27" t="s">
        <v>99</v>
      </c>
      <c r="E77" s="27" t="s">
        <v>95</v>
      </c>
      <c r="F77" s="27" t="s">
        <v>96</v>
      </c>
      <c r="G77" s="27" t="str">
        <f>F77</f>
        <v xml:space="preserve">NA </v>
      </c>
      <c r="H77" s="27">
        <v>1.25</v>
      </c>
      <c r="I77" s="27">
        <f>3-0.35</f>
        <v>2.65</v>
      </c>
      <c r="J77" s="27">
        <v>0.15</v>
      </c>
      <c r="K77" s="27">
        <v>2</v>
      </c>
      <c r="L77" s="92">
        <f t="shared" si="15"/>
        <v>0.99374999999999991</v>
      </c>
      <c r="M77" s="27" t="str">
        <f t="shared" si="17"/>
        <v>Cum</v>
      </c>
      <c r="N77" s="27"/>
    </row>
    <row r="78" spans="1:19">
      <c r="A78" s="30"/>
      <c r="B78" s="34" t="s">
        <v>43</v>
      </c>
      <c r="C78" s="27" t="str">
        <f t="shared" si="18"/>
        <v>DRI</v>
      </c>
      <c r="D78" s="27" t="s">
        <v>99</v>
      </c>
      <c r="E78" s="27" t="s">
        <v>97</v>
      </c>
      <c r="F78" s="27" t="str">
        <f>F77</f>
        <v xml:space="preserve">NA </v>
      </c>
      <c r="G78" s="27" t="str">
        <f>G77</f>
        <v xml:space="preserve">NA </v>
      </c>
      <c r="H78" s="27">
        <f>I77/2</f>
        <v>1.325</v>
      </c>
      <c r="I78" s="27">
        <v>5.3</v>
      </c>
      <c r="J78" s="27">
        <v>0.15</v>
      </c>
      <c r="K78" s="27">
        <v>4</v>
      </c>
      <c r="L78" s="92">
        <f t="shared" si="15"/>
        <v>4.2134999999999998</v>
      </c>
      <c r="M78" s="27" t="str">
        <f t="shared" si="17"/>
        <v>Cum</v>
      </c>
      <c r="N78" s="27"/>
    </row>
    <row r="79" spans="1:19">
      <c r="A79" s="44"/>
      <c r="B79" s="34" t="s">
        <v>43</v>
      </c>
      <c r="C79" s="102" t="str">
        <f t="shared" si="18"/>
        <v>DRI</v>
      </c>
      <c r="D79" s="102" t="s">
        <v>99</v>
      </c>
      <c r="E79" s="102" t="s">
        <v>98</v>
      </c>
      <c r="F79" s="102" t="str">
        <f>F78</f>
        <v xml:space="preserve">NA </v>
      </c>
      <c r="G79" s="102" t="str">
        <f>G78</f>
        <v xml:space="preserve">NA </v>
      </c>
      <c r="H79" s="102">
        <f>H78</f>
        <v>1.325</v>
      </c>
      <c r="I79" s="102">
        <f>0.15/2</f>
        <v>7.4999999999999997E-2</v>
      </c>
      <c r="J79" s="102">
        <v>0.3</v>
      </c>
      <c r="K79" s="102">
        <f>15*K78</f>
        <v>60</v>
      </c>
      <c r="L79" s="100">
        <f t="shared" si="15"/>
        <v>1.7887499999999996</v>
      </c>
      <c r="M79" s="102" t="str">
        <f t="shared" si="17"/>
        <v>Cum</v>
      </c>
      <c r="N79" s="102"/>
    </row>
    <row r="80" spans="1:19">
      <c r="A80" s="139"/>
      <c r="B80" s="42"/>
      <c r="C80" s="43" t="s">
        <v>17</v>
      </c>
      <c r="D80" s="43" t="s">
        <v>92</v>
      </c>
      <c r="E80" s="43"/>
      <c r="F80" s="43">
        <v>91.5</v>
      </c>
      <c r="G80" s="43">
        <v>93.85</v>
      </c>
      <c r="H80" s="43">
        <v>0.5</v>
      </c>
      <c r="I80" s="43">
        <v>0.7</v>
      </c>
      <c r="J80" s="43">
        <v>2.3499999999999943</v>
      </c>
      <c r="K80" s="43">
        <v>10</v>
      </c>
      <c r="L80" s="97">
        <v>8.2249999999999801</v>
      </c>
      <c r="M80" s="43" t="s">
        <v>51</v>
      </c>
      <c r="N80" s="43" t="s">
        <v>145</v>
      </c>
    </row>
    <row r="81" spans="1:14">
      <c r="A81" s="139"/>
      <c r="B81" s="42"/>
      <c r="C81" s="43" t="s">
        <v>17</v>
      </c>
      <c r="D81" s="43" t="s">
        <v>93</v>
      </c>
      <c r="E81" s="43"/>
      <c r="F81" s="43">
        <v>91.5</v>
      </c>
      <c r="G81" s="43">
        <v>93.85</v>
      </c>
      <c r="H81" s="43">
        <v>0.4</v>
      </c>
      <c r="I81" s="43">
        <v>0.7</v>
      </c>
      <c r="J81" s="43">
        <v>2.3499999999999943</v>
      </c>
      <c r="K81" s="43">
        <v>8</v>
      </c>
      <c r="L81" s="97">
        <v>5.2639999999999869</v>
      </c>
      <c r="M81" s="43" t="s">
        <v>51</v>
      </c>
      <c r="N81" s="43" t="s">
        <v>145</v>
      </c>
    </row>
    <row r="82" spans="1:14">
      <c r="A82" s="139"/>
      <c r="B82" s="42"/>
      <c r="C82" s="43" t="s">
        <v>17</v>
      </c>
      <c r="D82" s="43" t="s">
        <v>92</v>
      </c>
      <c r="E82" s="43"/>
      <c r="F82" s="43">
        <v>94</v>
      </c>
      <c r="G82" s="43">
        <v>97.399999999999991</v>
      </c>
      <c r="H82" s="43">
        <v>0.5</v>
      </c>
      <c r="I82" s="43">
        <v>0.7</v>
      </c>
      <c r="J82" s="43">
        <v>3.3999999999999915</v>
      </c>
      <c r="K82" s="43">
        <v>10</v>
      </c>
      <c r="L82" s="97">
        <v>11.899999999999968</v>
      </c>
      <c r="M82" s="43" t="s">
        <v>51</v>
      </c>
      <c r="N82" s="43" t="s">
        <v>145</v>
      </c>
    </row>
    <row r="83" spans="1:14">
      <c r="A83" s="139"/>
      <c r="B83" s="42"/>
      <c r="C83" s="43" t="s">
        <v>17</v>
      </c>
      <c r="D83" s="43" t="s">
        <v>93</v>
      </c>
      <c r="E83" s="43"/>
      <c r="F83" s="43">
        <v>94</v>
      </c>
      <c r="G83" s="43">
        <v>97.399999999999991</v>
      </c>
      <c r="H83" s="43">
        <v>0.4</v>
      </c>
      <c r="I83" s="43">
        <v>0.7</v>
      </c>
      <c r="J83" s="43">
        <v>3.3999999999999915</v>
      </c>
      <c r="K83" s="43">
        <v>8</v>
      </c>
      <c r="L83" s="97">
        <v>7.6159999999999801</v>
      </c>
      <c r="M83" s="43" t="s">
        <v>51</v>
      </c>
      <c r="N83" s="43" t="s">
        <v>145</v>
      </c>
    </row>
    <row r="84" spans="1:14" s="62" customFormat="1" ht="15.75">
      <c r="A84" s="120"/>
      <c r="B84" s="120" t="s">
        <v>86</v>
      </c>
      <c r="C84" s="120"/>
      <c r="D84" s="120"/>
      <c r="E84" s="120"/>
      <c r="F84" s="120"/>
      <c r="G84" s="120"/>
      <c r="H84" s="120"/>
      <c r="I84" s="120"/>
      <c r="J84" s="120"/>
      <c r="K84" s="120"/>
      <c r="L84" s="121">
        <f>SUM(L67:L79)</f>
        <v>160.41923499999999</v>
      </c>
      <c r="M84" s="120" t="str">
        <f>M79</f>
        <v>Cum</v>
      </c>
      <c r="N84" s="120"/>
    </row>
    <row r="85" spans="1:14" ht="45">
      <c r="A85" s="138">
        <v>4</v>
      </c>
      <c r="B85" s="34" t="s">
        <v>44</v>
      </c>
      <c r="C85" s="113" t="s">
        <v>17</v>
      </c>
      <c r="D85" s="113" t="s">
        <v>75</v>
      </c>
      <c r="E85" s="118" t="s">
        <v>100</v>
      </c>
      <c r="F85" s="113">
        <v>86</v>
      </c>
      <c r="G85" s="113">
        <f>F85+0.4</f>
        <v>86.4</v>
      </c>
      <c r="H85" s="113">
        <f>SQRT((4.25*0.3))</f>
        <v>1.1291589790636214</v>
      </c>
      <c r="I85" s="113">
        <f>4.25+0.3</f>
        <v>4.55</v>
      </c>
      <c r="J85" s="113">
        <f>0.4/3</f>
        <v>0.13333333333333333</v>
      </c>
      <c r="K85" s="113">
        <v>10</v>
      </c>
      <c r="L85" s="110">
        <f>((I85+H85)*J85)*K85</f>
        <v>7.572211972084828</v>
      </c>
      <c r="M85" s="113" t="s">
        <v>51</v>
      </c>
      <c r="N85" s="113"/>
    </row>
    <row r="86" spans="1:14">
      <c r="A86" s="136"/>
      <c r="B86" s="34" t="str">
        <f>B85</f>
        <v>6--9 Mtr</v>
      </c>
      <c r="C86" s="27" t="s">
        <v>17</v>
      </c>
      <c r="D86" s="27" t="s">
        <v>75</v>
      </c>
      <c r="E86" s="37"/>
      <c r="F86" s="27">
        <v>85.6</v>
      </c>
      <c r="G86" s="27">
        <f>F86+J86</f>
        <v>86</v>
      </c>
      <c r="H86" s="27">
        <v>4.25</v>
      </c>
      <c r="I86" s="27">
        <v>4.25</v>
      </c>
      <c r="J86" s="27">
        <v>0.4</v>
      </c>
      <c r="K86" s="27">
        <v>10</v>
      </c>
      <c r="L86" s="92">
        <f>PRODUCT(H86:K86)</f>
        <v>72.25</v>
      </c>
      <c r="M86" s="27" t="s">
        <v>51</v>
      </c>
      <c r="N86" s="27"/>
    </row>
    <row r="87" spans="1:14">
      <c r="A87" s="136"/>
      <c r="B87" s="34" t="str">
        <f t="shared" ref="B87:B100" si="19">B86</f>
        <v>6--9 Mtr</v>
      </c>
      <c r="C87" s="27" t="s">
        <v>17</v>
      </c>
      <c r="D87" s="27" t="s">
        <v>77</v>
      </c>
      <c r="E87" s="27"/>
      <c r="F87" s="27">
        <v>88.800000000000011</v>
      </c>
      <c r="G87" s="27">
        <f t="shared" ref="G87" si="20">F87+J87</f>
        <v>89.550000000000011</v>
      </c>
      <c r="H87" s="27">
        <v>6</v>
      </c>
      <c r="I87" s="27">
        <v>4</v>
      </c>
      <c r="J87" s="27">
        <v>0.75</v>
      </c>
      <c r="K87" s="27">
        <v>4</v>
      </c>
      <c r="L87" s="92">
        <f t="shared" ref="L87:L100" si="21">PRODUCT(H87:K87)</f>
        <v>72</v>
      </c>
      <c r="M87" s="27" t="s">
        <v>51</v>
      </c>
      <c r="N87" s="27"/>
    </row>
    <row r="88" spans="1:14">
      <c r="A88" s="136"/>
      <c r="B88" s="34" t="str">
        <f t="shared" si="19"/>
        <v>6--9 Mtr</v>
      </c>
      <c r="C88" s="27" t="s">
        <v>17</v>
      </c>
      <c r="D88" s="27" t="s">
        <v>92</v>
      </c>
      <c r="E88" s="27"/>
      <c r="F88" s="27">
        <v>86.4</v>
      </c>
      <c r="G88" s="27">
        <f>94.5-6</f>
        <v>88.5</v>
      </c>
      <c r="H88" s="27">
        <v>0.5</v>
      </c>
      <c r="I88" s="27">
        <v>0.7</v>
      </c>
      <c r="J88" s="27">
        <f>G88-F88</f>
        <v>2.0999999999999943</v>
      </c>
      <c r="K88" s="27">
        <v>10</v>
      </c>
      <c r="L88" s="92">
        <f t="shared" si="21"/>
        <v>7.3499999999999801</v>
      </c>
      <c r="M88" s="27" t="s">
        <v>51</v>
      </c>
      <c r="N88" s="27"/>
    </row>
    <row r="89" spans="1:14">
      <c r="A89" s="136"/>
      <c r="B89" s="34" t="str">
        <f t="shared" si="19"/>
        <v>6--9 Mtr</v>
      </c>
      <c r="C89" s="27" t="s">
        <v>17</v>
      </c>
      <c r="D89" s="27" t="s">
        <v>93</v>
      </c>
      <c r="E89" s="27"/>
      <c r="F89" s="27">
        <v>86.4</v>
      </c>
      <c r="G89" s="27">
        <f>94.5-6</f>
        <v>88.5</v>
      </c>
      <c r="H89" s="27">
        <v>0.4</v>
      </c>
      <c r="I89" s="27">
        <v>0.7</v>
      </c>
      <c r="J89" s="27">
        <f>G89-F89</f>
        <v>2.0999999999999943</v>
      </c>
      <c r="K89" s="27">
        <v>8</v>
      </c>
      <c r="L89" s="92">
        <f t="shared" si="21"/>
        <v>4.7039999999999864</v>
      </c>
      <c r="M89" s="27" t="s">
        <v>51</v>
      </c>
      <c r="N89" s="27"/>
    </row>
    <row r="90" spans="1:14">
      <c r="A90" s="38"/>
      <c r="B90" s="34" t="str">
        <f t="shared" si="19"/>
        <v>6--9 Mtr</v>
      </c>
      <c r="C90" s="27" t="s">
        <v>17</v>
      </c>
      <c r="D90" s="27" t="s">
        <v>94</v>
      </c>
      <c r="E90" s="27"/>
      <c r="F90" s="27">
        <f>G90-J90</f>
        <v>102.35</v>
      </c>
      <c r="G90" s="27">
        <f>94+8.5</f>
        <v>102.5</v>
      </c>
      <c r="H90" s="27">
        <v>38.080000000000005</v>
      </c>
      <c r="I90" s="27">
        <v>10.23</v>
      </c>
      <c r="J90" s="27">
        <v>0.15</v>
      </c>
      <c r="K90" s="27">
        <v>1</v>
      </c>
      <c r="L90" s="92">
        <f t="shared" si="21"/>
        <v>58.433760000000007</v>
      </c>
      <c r="M90" s="27" t="s">
        <v>51</v>
      </c>
      <c r="N90" s="27"/>
    </row>
    <row r="91" spans="1:14">
      <c r="A91" s="38"/>
      <c r="B91" s="34" t="str">
        <f t="shared" si="19"/>
        <v>6--9 Mtr</v>
      </c>
      <c r="C91" s="27" t="s">
        <v>17</v>
      </c>
      <c r="D91" s="27"/>
      <c r="E91" s="27" t="s">
        <v>88</v>
      </c>
      <c r="F91" s="27">
        <f>G91-J91</f>
        <v>101.8</v>
      </c>
      <c r="G91" s="27">
        <v>102.35</v>
      </c>
      <c r="H91" s="27">
        <v>7.0500000000000007</v>
      </c>
      <c r="I91" s="27">
        <v>0.35</v>
      </c>
      <c r="J91" s="27">
        <v>0.55000000000000004</v>
      </c>
      <c r="K91" s="27">
        <v>10</v>
      </c>
      <c r="L91" s="92">
        <f t="shared" si="21"/>
        <v>13.571250000000001</v>
      </c>
      <c r="M91" s="27" t="s">
        <v>51</v>
      </c>
      <c r="N91" s="27"/>
    </row>
    <row r="92" spans="1:14">
      <c r="A92" s="38"/>
      <c r="B92" s="34" t="str">
        <f t="shared" si="19"/>
        <v>6--9 Mtr</v>
      </c>
      <c r="C92" s="27" t="s">
        <v>17</v>
      </c>
      <c r="D92" s="27"/>
      <c r="E92" s="27" t="s">
        <v>89</v>
      </c>
      <c r="F92" s="27">
        <f t="shared" ref="F92:F96" si="22">G92-J92</f>
        <v>101.8</v>
      </c>
      <c r="G92" s="27">
        <v>102.35</v>
      </c>
      <c r="H92" s="27">
        <v>0.98000000000000009</v>
      </c>
      <c r="I92" s="27">
        <v>0.35</v>
      </c>
      <c r="J92" s="27">
        <v>0.55000000000000004</v>
      </c>
      <c r="K92" s="27">
        <v>20</v>
      </c>
      <c r="L92" s="92">
        <f t="shared" si="21"/>
        <v>3.7730000000000006</v>
      </c>
      <c r="M92" s="27" t="s">
        <v>51</v>
      </c>
      <c r="N92" s="27"/>
    </row>
    <row r="93" spans="1:14">
      <c r="A93" s="38"/>
      <c r="B93" s="34" t="str">
        <f t="shared" si="19"/>
        <v>6--9 Mtr</v>
      </c>
      <c r="C93" s="27" t="s">
        <v>17</v>
      </c>
      <c r="D93" s="27"/>
      <c r="E93" s="27" t="s">
        <v>89</v>
      </c>
      <c r="F93" s="27">
        <f t="shared" si="22"/>
        <v>101.8</v>
      </c>
      <c r="G93" s="27">
        <v>102.35</v>
      </c>
      <c r="H93" s="27">
        <v>1.115</v>
      </c>
      <c r="I93" s="27">
        <v>0.35</v>
      </c>
      <c r="J93" s="27">
        <v>0.55000000000000004</v>
      </c>
      <c r="K93" s="27">
        <v>4</v>
      </c>
      <c r="L93" s="92">
        <f t="shared" si="21"/>
        <v>0.85855000000000004</v>
      </c>
      <c r="M93" s="27" t="s">
        <v>51</v>
      </c>
      <c r="N93" s="27"/>
    </row>
    <row r="94" spans="1:14">
      <c r="A94" s="38"/>
      <c r="B94" s="34" t="str">
        <f t="shared" si="19"/>
        <v>6--9 Mtr</v>
      </c>
      <c r="C94" s="27" t="s">
        <v>17</v>
      </c>
      <c r="D94" s="27"/>
      <c r="E94" s="27" t="s">
        <v>91</v>
      </c>
      <c r="F94" s="27">
        <f t="shared" si="22"/>
        <v>101.64999999999999</v>
      </c>
      <c r="G94" s="27">
        <v>102.35</v>
      </c>
      <c r="H94" s="27">
        <v>23.25</v>
      </c>
      <c r="I94" s="27">
        <v>0.35</v>
      </c>
      <c r="J94" s="27">
        <v>0.7</v>
      </c>
      <c r="K94" s="27">
        <v>1</v>
      </c>
      <c r="L94" s="92">
        <f t="shared" si="21"/>
        <v>5.6962499999999991</v>
      </c>
      <c r="M94" s="27" t="s">
        <v>51</v>
      </c>
      <c r="N94" s="27"/>
    </row>
    <row r="95" spans="1:14">
      <c r="A95" s="38"/>
      <c r="B95" s="34" t="str">
        <f t="shared" si="19"/>
        <v>6--9 Mtr</v>
      </c>
      <c r="C95" s="27" t="s">
        <v>17</v>
      </c>
      <c r="D95" s="27"/>
      <c r="E95" s="27" t="s">
        <v>89</v>
      </c>
      <c r="F95" s="27">
        <f t="shared" si="22"/>
        <v>101.8</v>
      </c>
      <c r="G95" s="27">
        <v>102.35</v>
      </c>
      <c r="H95" s="27">
        <v>13.6</v>
      </c>
      <c r="I95" s="27">
        <v>0.35</v>
      </c>
      <c r="J95" s="27">
        <v>0.55000000000000004</v>
      </c>
      <c r="K95" s="27">
        <v>2</v>
      </c>
      <c r="L95" s="92">
        <f t="shared" si="21"/>
        <v>5.2359999999999998</v>
      </c>
      <c r="M95" s="27" t="s">
        <v>51</v>
      </c>
      <c r="N95" s="27"/>
    </row>
    <row r="96" spans="1:14">
      <c r="A96" s="38"/>
      <c r="B96" s="34" t="str">
        <f t="shared" si="19"/>
        <v>6--9 Mtr</v>
      </c>
      <c r="C96" s="27" t="s">
        <v>17</v>
      </c>
      <c r="D96" s="27"/>
      <c r="E96" s="27" t="s">
        <v>89</v>
      </c>
      <c r="F96" s="27">
        <f t="shared" si="22"/>
        <v>101.8</v>
      </c>
      <c r="G96" s="27">
        <v>102.35</v>
      </c>
      <c r="H96" s="27">
        <v>10.95</v>
      </c>
      <c r="I96" s="27">
        <v>0.35</v>
      </c>
      <c r="J96" s="27">
        <v>0.55000000000000004</v>
      </c>
      <c r="K96" s="27">
        <v>2</v>
      </c>
      <c r="L96" s="92">
        <f t="shared" si="21"/>
        <v>4.2157499999999999</v>
      </c>
      <c r="M96" s="27" t="s">
        <v>51</v>
      </c>
      <c r="N96" s="27"/>
    </row>
    <row r="97" spans="1:14">
      <c r="A97" s="38"/>
      <c r="B97" s="34" t="str">
        <f t="shared" si="19"/>
        <v>6--9 Mtr</v>
      </c>
      <c r="C97" s="27" t="s">
        <v>17</v>
      </c>
      <c r="D97" s="27"/>
      <c r="E97" s="27" t="s">
        <v>92</v>
      </c>
      <c r="F97" s="27">
        <f>94.5+6</f>
        <v>100.5</v>
      </c>
      <c r="G97" s="27">
        <v>101.8</v>
      </c>
      <c r="H97" s="27">
        <v>0.5</v>
      </c>
      <c r="I97" s="27">
        <v>0.7</v>
      </c>
      <c r="J97" s="27">
        <f>G97-F97</f>
        <v>1.2999999999999972</v>
      </c>
      <c r="K97" s="27">
        <v>10</v>
      </c>
      <c r="L97" s="92">
        <f t="shared" si="21"/>
        <v>4.5499999999999901</v>
      </c>
      <c r="M97" s="27" t="s">
        <v>51</v>
      </c>
      <c r="N97" s="27" t="s">
        <v>145</v>
      </c>
    </row>
    <row r="98" spans="1:14">
      <c r="A98" s="38"/>
      <c r="B98" s="34" t="str">
        <f t="shared" si="19"/>
        <v>6--9 Mtr</v>
      </c>
      <c r="C98" s="27" t="s">
        <v>17</v>
      </c>
      <c r="D98" s="27"/>
      <c r="E98" s="27" t="s">
        <v>93</v>
      </c>
      <c r="F98" s="27">
        <f>94.5+6</f>
        <v>100.5</v>
      </c>
      <c r="G98" s="27">
        <v>101.8</v>
      </c>
      <c r="H98" s="27">
        <v>0.4</v>
      </c>
      <c r="I98" s="27">
        <v>0.7</v>
      </c>
      <c r="J98" s="27">
        <f>G98-F98</f>
        <v>1.2999999999999972</v>
      </c>
      <c r="K98" s="27">
        <v>8</v>
      </c>
      <c r="L98" s="92">
        <f t="shared" si="21"/>
        <v>2.9119999999999933</v>
      </c>
      <c r="M98" s="27" t="s">
        <v>51</v>
      </c>
      <c r="N98" s="27" t="s">
        <v>145</v>
      </c>
    </row>
    <row r="99" spans="1:14">
      <c r="A99" s="38"/>
      <c r="B99" s="34" t="str">
        <f t="shared" si="19"/>
        <v>6--9 Mtr</v>
      </c>
      <c r="C99" s="27" t="s">
        <v>17</v>
      </c>
      <c r="D99" s="27"/>
      <c r="E99" s="27" t="s">
        <v>92</v>
      </c>
      <c r="F99" s="27">
        <v>102.5</v>
      </c>
      <c r="G99" s="27">
        <f>94.5+9</f>
        <v>103.5</v>
      </c>
      <c r="H99" s="27">
        <v>0.5</v>
      </c>
      <c r="I99" s="27">
        <v>0.7</v>
      </c>
      <c r="J99" s="27">
        <f>G99-F99</f>
        <v>1</v>
      </c>
      <c r="K99" s="27">
        <v>10</v>
      </c>
      <c r="L99" s="92">
        <f t="shared" si="21"/>
        <v>3.5</v>
      </c>
      <c r="M99" s="27" t="s">
        <v>51</v>
      </c>
      <c r="N99" s="27" t="s">
        <v>145</v>
      </c>
    </row>
    <row r="100" spans="1:14">
      <c r="A100" s="38"/>
      <c r="B100" s="34" t="str">
        <f t="shared" si="19"/>
        <v>6--9 Mtr</v>
      </c>
      <c r="C100" s="102" t="s">
        <v>17</v>
      </c>
      <c r="D100" s="102"/>
      <c r="E100" s="102" t="s">
        <v>93</v>
      </c>
      <c r="F100" s="102">
        <v>102.5</v>
      </c>
      <c r="G100" s="102">
        <f>94.5+9</f>
        <v>103.5</v>
      </c>
      <c r="H100" s="102">
        <v>0.4</v>
      </c>
      <c r="I100" s="102">
        <v>0.7</v>
      </c>
      <c r="J100" s="102">
        <f>G100-F100</f>
        <v>1</v>
      </c>
      <c r="K100" s="102">
        <v>8</v>
      </c>
      <c r="L100" s="100">
        <f t="shared" si="21"/>
        <v>2.2399999999999998</v>
      </c>
      <c r="M100" s="102" t="s">
        <v>51</v>
      </c>
      <c r="N100" s="27" t="s">
        <v>145</v>
      </c>
    </row>
    <row r="101" spans="1:14" s="62" customFormat="1" ht="15.75">
      <c r="A101" s="120"/>
      <c r="B101" s="120" t="str">
        <f>B100</f>
        <v>6--9 Mtr</v>
      </c>
      <c r="C101" s="120"/>
      <c r="D101" s="120"/>
      <c r="E101" s="120"/>
      <c r="F101" s="120"/>
      <c r="G101" s="120"/>
      <c r="H101" s="120"/>
      <c r="I101" s="120"/>
      <c r="J101" s="120"/>
      <c r="K101" s="120"/>
      <c r="L101" s="121">
        <f>SUM(L85:L100)</f>
        <v>268.86277197208477</v>
      </c>
      <c r="M101" s="120" t="str">
        <f>M100</f>
        <v>Cum</v>
      </c>
      <c r="N101" s="120"/>
    </row>
    <row r="102" spans="1:14">
      <c r="A102" s="30"/>
      <c r="B102" s="34" t="s">
        <v>45</v>
      </c>
      <c r="C102" s="113" t="s">
        <v>17</v>
      </c>
      <c r="D102" s="113" t="s">
        <v>92</v>
      </c>
      <c r="E102" s="113"/>
      <c r="F102" s="113">
        <v>103.5</v>
      </c>
      <c r="G102" s="113">
        <f>94.5+12</f>
        <v>106.5</v>
      </c>
      <c r="H102" s="113">
        <v>0.5</v>
      </c>
      <c r="I102" s="113">
        <v>0.7</v>
      </c>
      <c r="J102" s="113">
        <f>G102-F102</f>
        <v>3</v>
      </c>
      <c r="K102" s="113">
        <v>2</v>
      </c>
      <c r="L102" s="110">
        <f t="shared" ref="L102:L103" si="23">PRODUCT(H102:K102)</f>
        <v>2.0999999999999996</v>
      </c>
      <c r="M102" s="113" t="s">
        <v>51</v>
      </c>
      <c r="N102" s="113"/>
    </row>
    <row r="103" spans="1:14">
      <c r="A103" s="44"/>
      <c r="B103" s="34" t="s">
        <v>45</v>
      </c>
      <c r="C103" s="102" t="s">
        <v>17</v>
      </c>
      <c r="D103" s="102" t="s">
        <v>93</v>
      </c>
      <c r="E103" s="102"/>
      <c r="F103" s="102">
        <v>104.5</v>
      </c>
      <c r="G103" s="102">
        <f>94.5+12</f>
        <v>106.5</v>
      </c>
      <c r="H103" s="102">
        <v>0.4</v>
      </c>
      <c r="I103" s="102">
        <v>0.7</v>
      </c>
      <c r="J103" s="102">
        <f>G103-F103</f>
        <v>2</v>
      </c>
      <c r="K103" s="102">
        <v>4</v>
      </c>
      <c r="L103" s="100">
        <f t="shared" si="23"/>
        <v>2.2399999999999998</v>
      </c>
      <c r="M103" s="102" t="s">
        <v>51</v>
      </c>
      <c r="N103" s="102"/>
    </row>
    <row r="104" spans="1:14" s="62" customFormat="1" ht="15.75">
      <c r="A104" s="120"/>
      <c r="B104" s="120" t="str">
        <f>B103</f>
        <v>9--12 Mtr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1">
        <f>SUM(L102:L103)</f>
        <v>4.34</v>
      </c>
      <c r="M104" s="120" t="str">
        <f>M103</f>
        <v>Cum</v>
      </c>
      <c r="N104" s="120"/>
    </row>
    <row r="105" spans="1:14">
      <c r="A105" s="119"/>
      <c r="B105" s="34" t="s">
        <v>47</v>
      </c>
      <c r="C105" s="113" t="s">
        <v>17</v>
      </c>
      <c r="D105" s="113" t="s">
        <v>88</v>
      </c>
      <c r="E105" s="113"/>
      <c r="F105" s="113">
        <f>G105-J105</f>
        <v>106.3</v>
      </c>
      <c r="G105" s="113">
        <v>106.85</v>
      </c>
      <c r="H105" s="113">
        <f>7.75-0.35-0.35</f>
        <v>7.0500000000000007</v>
      </c>
      <c r="I105" s="113">
        <v>0.35</v>
      </c>
      <c r="J105" s="113">
        <v>0.55000000000000004</v>
      </c>
      <c r="K105" s="113">
        <v>6</v>
      </c>
      <c r="L105" s="110">
        <f t="shared" ref="L105:L106" si="24">PRODUCT(H105:K105)</f>
        <v>8.1427500000000013</v>
      </c>
      <c r="M105" s="113" t="s">
        <v>51</v>
      </c>
      <c r="N105" s="113"/>
    </row>
    <row r="106" spans="1:14">
      <c r="A106" s="44"/>
      <c r="B106" s="34" t="s">
        <v>47</v>
      </c>
      <c r="C106" s="102" t="s">
        <v>17</v>
      </c>
      <c r="D106" s="102" t="s">
        <v>94</v>
      </c>
      <c r="E106" s="102"/>
      <c r="F106" s="102">
        <f>G106-J106</f>
        <v>106.85</v>
      </c>
      <c r="G106" s="102">
        <f>94.5+12.5</f>
        <v>107</v>
      </c>
      <c r="H106" s="102">
        <v>7</v>
      </c>
      <c r="I106" s="102">
        <v>7.5</v>
      </c>
      <c r="J106" s="102">
        <v>0.15</v>
      </c>
      <c r="K106" s="102">
        <v>1</v>
      </c>
      <c r="L106" s="100">
        <f t="shared" si="24"/>
        <v>7.875</v>
      </c>
      <c r="M106" s="102" t="s">
        <v>51</v>
      </c>
      <c r="N106" s="102"/>
    </row>
    <row r="107" spans="1:14" s="62" customFormat="1" ht="15.75">
      <c r="A107" s="120"/>
      <c r="B107" s="120" t="str">
        <f>B106</f>
        <v>12--15 Mtr</v>
      </c>
      <c r="C107" s="120"/>
      <c r="D107" s="120"/>
      <c r="E107" s="120"/>
      <c r="F107" s="120"/>
      <c r="G107" s="120"/>
      <c r="H107" s="120"/>
      <c r="I107" s="120"/>
      <c r="J107" s="120"/>
      <c r="K107" s="120"/>
      <c r="L107" s="121">
        <f>SUM(L105:L106)</f>
        <v>16.017749999999999</v>
      </c>
      <c r="M107" s="120" t="str">
        <f>M106</f>
        <v>Cum</v>
      </c>
      <c r="N107" s="120"/>
    </row>
    <row r="108" spans="1:14">
      <c r="A108" s="106"/>
      <c r="B108" s="40"/>
      <c r="C108" s="41"/>
      <c r="D108" s="41"/>
      <c r="E108" s="41"/>
      <c r="F108" s="41"/>
      <c r="G108" s="41"/>
      <c r="H108" s="41"/>
      <c r="I108" s="41"/>
      <c r="J108" s="41"/>
      <c r="K108" s="41"/>
      <c r="L108" s="95"/>
      <c r="M108" s="41"/>
      <c r="N108" s="41"/>
    </row>
    <row r="109" spans="1:14" s="62" customFormat="1" ht="15.75">
      <c r="A109" s="120"/>
      <c r="B109" s="120" t="s">
        <v>41</v>
      </c>
      <c r="C109" s="120"/>
      <c r="D109" s="120"/>
      <c r="E109" s="120"/>
      <c r="F109" s="120"/>
      <c r="G109" s="120"/>
      <c r="H109" s="120"/>
      <c r="I109" s="120"/>
      <c r="J109" s="120"/>
      <c r="K109" s="120"/>
      <c r="L109" s="121"/>
      <c r="M109" s="120"/>
      <c r="N109" s="120"/>
    </row>
    <row r="110" spans="1:14" s="49" customFormat="1">
      <c r="A110" s="128"/>
      <c r="B110" s="129" t="s">
        <v>42</v>
      </c>
      <c r="C110" s="59" t="s">
        <v>17</v>
      </c>
      <c r="D110" s="59" t="s">
        <v>88</v>
      </c>
      <c r="E110" s="59"/>
      <c r="F110" s="59">
        <v>93.274999999999991</v>
      </c>
      <c r="G110" s="59">
        <v>93.85</v>
      </c>
      <c r="H110" s="59">
        <v>7.54</v>
      </c>
      <c r="I110" s="59"/>
      <c r="J110" s="59">
        <v>0.57499999999999996</v>
      </c>
      <c r="K110" s="59">
        <v>9</v>
      </c>
      <c r="L110" s="130">
        <f>PRODUCT(H110:K110)</f>
        <v>39.019499999999994</v>
      </c>
      <c r="M110" s="59" t="s">
        <v>56</v>
      </c>
      <c r="N110" s="60" t="s">
        <v>105</v>
      </c>
    </row>
    <row r="111" spans="1:14" s="49" customFormat="1">
      <c r="A111" s="90"/>
      <c r="B111" s="52" t="s">
        <v>42</v>
      </c>
      <c r="C111" s="53" t="s">
        <v>17</v>
      </c>
      <c r="D111" s="53" t="s">
        <v>89</v>
      </c>
      <c r="E111" s="53" t="s">
        <v>90</v>
      </c>
      <c r="F111" s="53">
        <v>93.524999999999991</v>
      </c>
      <c r="G111" s="53">
        <v>93.85</v>
      </c>
      <c r="H111" s="53">
        <v>0.78000000000000014</v>
      </c>
      <c r="I111" s="53"/>
      <c r="J111" s="53">
        <v>0.32500000000000001</v>
      </c>
      <c r="K111" s="53">
        <v>18</v>
      </c>
      <c r="L111" s="96">
        <f>PRODUCT(H111:K111)</f>
        <v>4.5630000000000006</v>
      </c>
      <c r="M111" s="53" t="s">
        <v>56</v>
      </c>
      <c r="N111" s="54" t="s">
        <v>105</v>
      </c>
    </row>
    <row r="112" spans="1:14" s="49" customFormat="1">
      <c r="A112" s="90"/>
      <c r="B112" s="52" t="s">
        <v>42</v>
      </c>
      <c r="C112" s="53" t="s">
        <v>17</v>
      </c>
      <c r="D112" s="53" t="s">
        <v>89</v>
      </c>
      <c r="E112" s="53" t="s">
        <v>90</v>
      </c>
      <c r="F112" s="53">
        <v>94.524999999999991</v>
      </c>
      <c r="G112" s="53">
        <v>94.85</v>
      </c>
      <c r="H112" s="53">
        <v>1.0899999999999999</v>
      </c>
      <c r="I112" s="53"/>
      <c r="J112" s="53">
        <v>0.32500000000000001</v>
      </c>
      <c r="K112" s="53">
        <v>4</v>
      </c>
      <c r="L112" s="96">
        <f t="shared" ref="L112:L146" si="25">PRODUCT(H112:K112)</f>
        <v>1.4169999999999998</v>
      </c>
      <c r="M112" s="53" t="s">
        <v>56</v>
      </c>
      <c r="N112" s="54" t="s">
        <v>105</v>
      </c>
    </row>
    <row r="113" spans="1:14" s="49" customFormat="1">
      <c r="A113" s="90"/>
      <c r="B113" s="52" t="s">
        <v>42</v>
      </c>
      <c r="C113" s="53" t="s">
        <v>17</v>
      </c>
      <c r="D113" s="53" t="s">
        <v>89</v>
      </c>
      <c r="E113" s="53" t="s">
        <v>108</v>
      </c>
      <c r="F113" s="53">
        <v>93.3</v>
      </c>
      <c r="G113" s="53">
        <v>93.85</v>
      </c>
      <c r="H113" s="53">
        <v>2.7</v>
      </c>
      <c r="I113" s="53"/>
      <c r="J113" s="53">
        <v>0.32500000000000001</v>
      </c>
      <c r="K113" s="53">
        <v>2</v>
      </c>
      <c r="L113" s="96">
        <f t="shared" si="25"/>
        <v>1.7550000000000001</v>
      </c>
      <c r="M113" s="53" t="s">
        <v>56</v>
      </c>
      <c r="N113" s="54" t="s">
        <v>105</v>
      </c>
    </row>
    <row r="114" spans="1:14" s="49" customFormat="1">
      <c r="A114" s="90"/>
      <c r="B114" s="52" t="s">
        <v>42</v>
      </c>
      <c r="C114" s="53" t="s">
        <v>17</v>
      </c>
      <c r="D114" s="53" t="s">
        <v>89</v>
      </c>
      <c r="E114" s="53" t="s">
        <v>106</v>
      </c>
      <c r="F114" s="53">
        <v>93.3</v>
      </c>
      <c r="G114" s="53">
        <v>93.85</v>
      </c>
      <c r="H114" s="53">
        <v>4.6500000000000004</v>
      </c>
      <c r="I114" s="53"/>
      <c r="J114" s="53">
        <v>0.32500000000000001</v>
      </c>
      <c r="K114" s="53">
        <v>18</v>
      </c>
      <c r="L114" s="96">
        <f t="shared" si="25"/>
        <v>27.202500000000004</v>
      </c>
      <c r="M114" s="53" t="s">
        <v>56</v>
      </c>
      <c r="N114" s="54" t="s">
        <v>105</v>
      </c>
    </row>
    <row r="115" spans="1:14" s="49" customFormat="1">
      <c r="A115" s="90"/>
      <c r="B115" s="52" t="s">
        <v>42</v>
      </c>
      <c r="C115" s="53" t="s">
        <v>17</v>
      </c>
      <c r="D115" s="53" t="s">
        <v>89</v>
      </c>
      <c r="E115" s="53" t="s">
        <v>107</v>
      </c>
      <c r="F115" s="53">
        <v>93.3</v>
      </c>
      <c r="G115" s="53">
        <v>93.85</v>
      </c>
      <c r="H115" s="53">
        <v>2.7</v>
      </c>
      <c r="I115" s="53"/>
      <c r="J115" s="53">
        <v>0.32500000000000001</v>
      </c>
      <c r="K115" s="53">
        <v>2</v>
      </c>
      <c r="L115" s="96">
        <f t="shared" si="25"/>
        <v>1.7550000000000001</v>
      </c>
      <c r="M115" s="53" t="s">
        <v>56</v>
      </c>
      <c r="N115" s="54" t="s">
        <v>105</v>
      </c>
    </row>
    <row r="116" spans="1:14" s="49" customFormat="1">
      <c r="A116" s="90"/>
      <c r="B116" s="52" t="s">
        <v>42</v>
      </c>
      <c r="C116" s="53" t="s">
        <v>17</v>
      </c>
      <c r="D116" s="53" t="s">
        <v>89</v>
      </c>
      <c r="E116" s="53" t="s">
        <v>109</v>
      </c>
      <c r="F116" s="53">
        <v>93.3</v>
      </c>
      <c r="G116" s="53">
        <v>93.85</v>
      </c>
      <c r="H116" s="53">
        <v>3.7</v>
      </c>
      <c r="I116" s="53"/>
      <c r="J116" s="53">
        <v>0.32500000000000001</v>
      </c>
      <c r="K116" s="53">
        <v>2</v>
      </c>
      <c r="L116" s="96">
        <f t="shared" si="25"/>
        <v>2.4050000000000002</v>
      </c>
      <c r="M116" s="53" t="s">
        <v>56</v>
      </c>
      <c r="N116" s="54" t="s">
        <v>105</v>
      </c>
    </row>
    <row r="117" spans="1:14" s="49" customFormat="1">
      <c r="A117" s="90"/>
      <c r="B117" s="52" t="s">
        <v>42</v>
      </c>
      <c r="C117" s="53" t="s">
        <v>17</v>
      </c>
      <c r="D117" s="53" t="s">
        <v>89</v>
      </c>
      <c r="E117" s="53" t="s">
        <v>110</v>
      </c>
      <c r="F117" s="53">
        <v>93.3</v>
      </c>
      <c r="G117" s="53">
        <v>93.85</v>
      </c>
      <c r="H117" s="53">
        <v>31.824999999999999</v>
      </c>
      <c r="I117" s="53"/>
      <c r="J117" s="53">
        <v>0.32500000000000001</v>
      </c>
      <c r="K117" s="53">
        <v>2</v>
      </c>
      <c r="L117" s="96">
        <f t="shared" si="25"/>
        <v>20.686250000000001</v>
      </c>
      <c r="M117" s="53" t="s">
        <v>56</v>
      </c>
      <c r="N117" s="54" t="s">
        <v>105</v>
      </c>
    </row>
    <row r="118" spans="1:14" s="49" customFormat="1">
      <c r="A118" s="90"/>
      <c r="B118" s="52" t="s">
        <v>42</v>
      </c>
      <c r="C118" s="53" t="s">
        <v>17</v>
      </c>
      <c r="D118" s="53" t="s">
        <v>92</v>
      </c>
      <c r="E118" s="53"/>
      <c r="F118" s="53">
        <v>91.5</v>
      </c>
      <c r="G118" s="53">
        <v>93.85</v>
      </c>
      <c r="H118" s="53">
        <v>0.5</v>
      </c>
      <c r="I118" s="53"/>
      <c r="J118" s="53">
        <v>2.3499999999999943</v>
      </c>
      <c r="K118" s="53">
        <v>20</v>
      </c>
      <c r="L118" s="96">
        <f t="shared" si="25"/>
        <v>23.499999999999943</v>
      </c>
      <c r="M118" s="53" t="s">
        <v>56</v>
      </c>
      <c r="N118" s="53"/>
    </row>
    <row r="119" spans="1:14" s="49" customFormat="1">
      <c r="A119" s="90"/>
      <c r="B119" s="52" t="s">
        <v>42</v>
      </c>
      <c r="C119" s="53" t="s">
        <v>17</v>
      </c>
      <c r="D119" s="53" t="s">
        <v>93</v>
      </c>
      <c r="E119" s="53"/>
      <c r="F119" s="53">
        <v>91.5</v>
      </c>
      <c r="G119" s="53">
        <v>93.85</v>
      </c>
      <c r="H119" s="53">
        <v>0.4</v>
      </c>
      <c r="I119" s="53"/>
      <c r="J119" s="53">
        <v>2.3499999999999943</v>
      </c>
      <c r="K119" s="53">
        <v>16</v>
      </c>
      <c r="L119" s="96">
        <f t="shared" si="25"/>
        <v>15.039999999999964</v>
      </c>
      <c r="M119" s="53" t="s">
        <v>56</v>
      </c>
      <c r="N119" s="53"/>
    </row>
    <row r="120" spans="1:14" s="49" customFormat="1">
      <c r="A120" s="90"/>
      <c r="B120" s="52" t="s">
        <v>42</v>
      </c>
      <c r="C120" s="53" t="s">
        <v>17</v>
      </c>
      <c r="D120" s="53" t="s">
        <v>92</v>
      </c>
      <c r="E120" s="53"/>
      <c r="F120" s="53">
        <v>94</v>
      </c>
      <c r="G120" s="53">
        <v>97.399999999999991</v>
      </c>
      <c r="H120" s="53">
        <v>0.5</v>
      </c>
      <c r="I120" s="53"/>
      <c r="J120" s="53">
        <v>3.3999999999999915</v>
      </c>
      <c r="K120" s="53">
        <v>20</v>
      </c>
      <c r="L120" s="96">
        <f t="shared" si="25"/>
        <v>33.999999999999915</v>
      </c>
      <c r="M120" s="53" t="s">
        <v>56</v>
      </c>
      <c r="N120" s="53"/>
    </row>
    <row r="121" spans="1:14" s="49" customFormat="1">
      <c r="A121" s="90"/>
      <c r="B121" s="52" t="s">
        <v>42</v>
      </c>
      <c r="C121" s="53" t="s">
        <v>17</v>
      </c>
      <c r="D121" s="53" t="s">
        <v>93</v>
      </c>
      <c r="E121" s="53"/>
      <c r="F121" s="53">
        <v>94</v>
      </c>
      <c r="G121" s="53">
        <v>97.399999999999991</v>
      </c>
      <c r="H121" s="53">
        <v>0.4</v>
      </c>
      <c r="I121" s="53"/>
      <c r="J121" s="53">
        <v>3.3999999999999915</v>
      </c>
      <c r="K121" s="53">
        <v>16</v>
      </c>
      <c r="L121" s="96">
        <f t="shared" si="25"/>
        <v>21.759999999999948</v>
      </c>
      <c r="M121" s="53" t="s">
        <v>56</v>
      </c>
      <c r="N121" s="53"/>
    </row>
    <row r="122" spans="1:14" s="49" customFormat="1">
      <c r="A122" s="90"/>
      <c r="B122" s="52" t="s">
        <v>42</v>
      </c>
      <c r="C122" s="53" t="s">
        <v>17</v>
      </c>
      <c r="D122" s="53" t="s">
        <v>112</v>
      </c>
      <c r="E122" s="53"/>
      <c r="F122" s="53">
        <v>102.35</v>
      </c>
      <c r="G122" s="53">
        <v>102.5</v>
      </c>
      <c r="H122" s="53">
        <v>37.730000000000004</v>
      </c>
      <c r="I122" s="53">
        <v>10.23</v>
      </c>
      <c r="J122" s="53"/>
      <c r="K122" s="53">
        <v>1</v>
      </c>
      <c r="L122" s="96">
        <f>PRODUCT(H122:K122)</f>
        <v>385.97790000000003</v>
      </c>
      <c r="M122" s="53" t="s">
        <v>56</v>
      </c>
      <c r="N122" s="54" t="s">
        <v>105</v>
      </c>
    </row>
    <row r="123" spans="1:14" s="49" customFormat="1">
      <c r="A123" s="90"/>
      <c r="B123" s="52"/>
      <c r="C123" s="53"/>
      <c r="D123" s="53"/>
      <c r="E123" s="53" t="s">
        <v>113</v>
      </c>
      <c r="F123" s="53">
        <v>102.35</v>
      </c>
      <c r="G123" s="53">
        <v>102.5</v>
      </c>
      <c r="H123" s="53">
        <v>4.7</v>
      </c>
      <c r="I123" s="53">
        <v>1</v>
      </c>
      <c r="J123" s="53"/>
      <c r="K123" s="53">
        <v>10</v>
      </c>
      <c r="L123" s="96">
        <f t="shared" ref="L123:L125" si="26">PRODUCT(H123:K123)</f>
        <v>47</v>
      </c>
      <c r="M123" s="53" t="s">
        <v>56</v>
      </c>
      <c r="N123" s="54" t="s">
        <v>105</v>
      </c>
    </row>
    <row r="124" spans="1:14" s="49" customFormat="1">
      <c r="A124" s="90"/>
      <c r="B124" s="52"/>
      <c r="C124" s="53"/>
      <c r="D124" s="53"/>
      <c r="E124" s="53" t="s">
        <v>113</v>
      </c>
      <c r="F124" s="53">
        <v>102.35</v>
      </c>
      <c r="G124" s="53">
        <v>102.5</v>
      </c>
      <c r="H124" s="53">
        <v>2.7</v>
      </c>
      <c r="I124" s="53">
        <v>1</v>
      </c>
      <c r="J124" s="53"/>
      <c r="K124" s="53">
        <v>2</v>
      </c>
      <c r="L124" s="96">
        <f t="shared" si="26"/>
        <v>5.4</v>
      </c>
      <c r="M124" s="53" t="s">
        <v>56</v>
      </c>
      <c r="N124" s="54" t="s">
        <v>105</v>
      </c>
    </row>
    <row r="125" spans="1:14" s="49" customFormat="1">
      <c r="A125" s="90"/>
      <c r="B125" s="52"/>
      <c r="C125" s="53"/>
      <c r="D125" s="53"/>
      <c r="E125" s="53" t="s">
        <v>114</v>
      </c>
      <c r="F125" s="53">
        <v>102.35</v>
      </c>
      <c r="G125" s="53">
        <v>102.5</v>
      </c>
      <c r="H125" s="53">
        <v>7.54</v>
      </c>
      <c r="I125" s="53">
        <v>2.7</v>
      </c>
      <c r="J125" s="53"/>
      <c r="K125" s="53">
        <v>1</v>
      </c>
      <c r="L125" s="96">
        <f t="shared" si="26"/>
        <v>20.358000000000001</v>
      </c>
      <c r="M125" s="53" t="s">
        <v>56</v>
      </c>
      <c r="N125" s="54" t="s">
        <v>105</v>
      </c>
    </row>
    <row r="126" spans="1:14" s="49" customFormat="1">
      <c r="A126" s="90"/>
      <c r="B126" s="52"/>
      <c r="C126" s="53"/>
      <c r="D126" s="53"/>
      <c r="E126" s="53"/>
      <c r="F126" s="53"/>
      <c r="G126" s="53"/>
      <c r="H126" s="53"/>
      <c r="I126" s="53"/>
      <c r="J126" s="53"/>
      <c r="K126" s="53"/>
      <c r="L126" s="96"/>
      <c r="M126" s="53"/>
      <c r="N126" s="54" t="s">
        <v>105</v>
      </c>
    </row>
    <row r="127" spans="1:14" s="49" customFormat="1">
      <c r="A127" s="90"/>
      <c r="B127" s="52"/>
      <c r="C127" s="53"/>
      <c r="D127" s="53" t="s">
        <v>123</v>
      </c>
      <c r="E127" s="53"/>
      <c r="F127" s="53"/>
      <c r="G127" s="53"/>
      <c r="H127" s="53"/>
      <c r="I127" s="53"/>
      <c r="J127" s="53"/>
      <c r="K127" s="53"/>
      <c r="L127" s="96">
        <f>L122-(SUM(L123:L125))</f>
        <v>313.21990000000005</v>
      </c>
      <c r="M127" s="53" t="str">
        <f>M125</f>
        <v>Sqm</v>
      </c>
      <c r="N127" s="54" t="s">
        <v>105</v>
      </c>
    </row>
    <row r="128" spans="1:14" s="49" customFormat="1">
      <c r="A128" s="90"/>
      <c r="B128" s="52"/>
      <c r="C128" s="53"/>
      <c r="D128" s="53"/>
      <c r="E128" s="53"/>
      <c r="F128" s="53"/>
      <c r="G128" s="53"/>
      <c r="H128" s="53"/>
      <c r="I128" s="53"/>
      <c r="J128" s="53"/>
      <c r="K128" s="53"/>
      <c r="L128" s="96"/>
      <c r="M128" s="53"/>
      <c r="N128" s="51"/>
    </row>
    <row r="129" spans="1:14" s="49" customFormat="1">
      <c r="A129" s="90"/>
      <c r="B129" s="52" t="s">
        <v>42</v>
      </c>
      <c r="C129" s="53" t="s">
        <v>17</v>
      </c>
      <c r="D129" s="53"/>
      <c r="E129" s="53" t="s">
        <v>95</v>
      </c>
      <c r="F129" s="53" t="s">
        <v>96</v>
      </c>
      <c r="G129" s="53" t="s">
        <v>96</v>
      </c>
      <c r="H129" s="53">
        <v>4.2</v>
      </c>
      <c r="I129" s="53">
        <v>1.2</v>
      </c>
      <c r="J129" s="53"/>
      <c r="K129" s="53">
        <v>2</v>
      </c>
      <c r="L129" s="96">
        <f>PRODUCT(H129:K129)</f>
        <v>10.08</v>
      </c>
      <c r="M129" s="53" t="s">
        <v>56</v>
      </c>
      <c r="N129" s="54" t="s">
        <v>105</v>
      </c>
    </row>
    <row r="130" spans="1:14" s="49" customFormat="1">
      <c r="A130" s="90"/>
      <c r="B130" s="52" t="s">
        <v>42</v>
      </c>
      <c r="C130" s="53" t="s">
        <v>17</v>
      </c>
      <c r="D130" s="53"/>
      <c r="E130" s="53" t="s">
        <v>115</v>
      </c>
      <c r="F130" s="53" t="s">
        <v>96</v>
      </c>
      <c r="G130" s="53" t="s">
        <v>96</v>
      </c>
      <c r="H130" s="53">
        <v>2.65</v>
      </c>
      <c r="I130" s="53">
        <v>0.9</v>
      </c>
      <c r="J130" s="53"/>
      <c r="K130" s="53">
        <v>1</v>
      </c>
      <c r="L130" s="96">
        <f t="shared" ref="L130:L134" si="27">PRODUCT(H130:K130)</f>
        <v>2.3849999999999998</v>
      </c>
      <c r="M130" s="53" t="s">
        <v>56</v>
      </c>
      <c r="N130" s="54" t="s">
        <v>105</v>
      </c>
    </row>
    <row r="131" spans="1:14" s="49" customFormat="1">
      <c r="A131" s="90"/>
      <c r="B131" s="52" t="s">
        <v>42</v>
      </c>
      <c r="C131" s="53" t="s">
        <v>17</v>
      </c>
      <c r="D131" s="53"/>
      <c r="E131" s="53" t="s">
        <v>116</v>
      </c>
      <c r="F131" s="53" t="s">
        <v>96</v>
      </c>
      <c r="G131" s="53" t="s">
        <v>96</v>
      </c>
      <c r="H131" s="53">
        <v>2.65</v>
      </c>
      <c r="I131" s="53">
        <v>2.17</v>
      </c>
      <c r="J131" s="53"/>
      <c r="K131" s="53">
        <v>1</v>
      </c>
      <c r="L131" s="96">
        <f t="shared" si="27"/>
        <v>5.7504999999999997</v>
      </c>
      <c r="M131" s="53" t="s">
        <v>56</v>
      </c>
      <c r="N131" s="54" t="s">
        <v>105</v>
      </c>
    </row>
    <row r="132" spans="1:14" s="49" customFormat="1">
      <c r="A132" s="90"/>
      <c r="B132" s="52" t="s">
        <v>42</v>
      </c>
      <c r="C132" s="53" t="s">
        <v>17</v>
      </c>
      <c r="D132" s="53"/>
      <c r="E132" s="53" t="s">
        <v>126</v>
      </c>
      <c r="F132" s="53" t="s">
        <v>96</v>
      </c>
      <c r="G132" s="53" t="s">
        <v>96</v>
      </c>
      <c r="H132" s="53">
        <v>0.17499999999999999</v>
      </c>
      <c r="I132" s="53"/>
      <c r="J132" s="53">
        <v>1.2</v>
      </c>
      <c r="K132" s="53">
        <v>14</v>
      </c>
      <c r="L132" s="96">
        <f t="shared" si="27"/>
        <v>2.94</v>
      </c>
      <c r="M132" s="53" t="s">
        <v>56</v>
      </c>
      <c r="N132" s="54" t="s">
        <v>105</v>
      </c>
    </row>
    <row r="133" spans="1:14" s="49" customFormat="1">
      <c r="A133" s="90"/>
      <c r="B133" s="52" t="s">
        <v>42</v>
      </c>
      <c r="C133" s="53" t="s">
        <v>17</v>
      </c>
      <c r="D133" s="53"/>
      <c r="E133" s="53" t="s">
        <v>126</v>
      </c>
      <c r="F133" s="53" t="s">
        <v>96</v>
      </c>
      <c r="G133" s="53" t="s">
        <v>96</v>
      </c>
      <c r="H133" s="53">
        <v>0.157</v>
      </c>
      <c r="I133" s="53"/>
      <c r="J133" s="53">
        <v>1.2</v>
      </c>
      <c r="K133" s="53">
        <v>13</v>
      </c>
      <c r="L133" s="96">
        <f t="shared" si="27"/>
        <v>2.4491999999999998</v>
      </c>
      <c r="M133" s="53" t="s">
        <v>56</v>
      </c>
      <c r="N133" s="54" t="s">
        <v>105</v>
      </c>
    </row>
    <row r="134" spans="1:14" s="49" customFormat="1">
      <c r="A134" s="90"/>
      <c r="B134" s="52" t="s">
        <v>42</v>
      </c>
      <c r="C134" s="53" t="s">
        <v>17</v>
      </c>
      <c r="D134" s="53"/>
      <c r="E134" s="53" t="s">
        <v>118</v>
      </c>
      <c r="F134" s="53" t="s">
        <v>96</v>
      </c>
      <c r="G134" s="53" t="s">
        <v>96</v>
      </c>
      <c r="H134" s="53">
        <v>2.65</v>
      </c>
      <c r="I134" s="53"/>
      <c r="J134" s="53">
        <v>0.3</v>
      </c>
      <c r="K134" s="53">
        <v>2</v>
      </c>
      <c r="L134" s="96">
        <f t="shared" si="27"/>
        <v>1.5899999999999999</v>
      </c>
      <c r="M134" s="53" t="s">
        <v>56</v>
      </c>
      <c r="N134" s="54" t="s">
        <v>105</v>
      </c>
    </row>
    <row r="135" spans="1:14" s="49" customFormat="1">
      <c r="A135" s="90"/>
      <c r="B135" s="52" t="s">
        <v>42</v>
      </c>
      <c r="C135" s="53" t="s">
        <v>17</v>
      </c>
      <c r="D135" s="53" t="s">
        <v>88</v>
      </c>
      <c r="E135" s="53"/>
      <c r="F135" s="53">
        <v>93.274999999999991</v>
      </c>
      <c r="G135" s="53">
        <v>93.85</v>
      </c>
      <c r="H135" s="53">
        <v>7.54</v>
      </c>
      <c r="I135" s="53">
        <v>0.35</v>
      </c>
      <c r="J135" s="53"/>
      <c r="K135" s="53">
        <v>18</v>
      </c>
      <c r="L135" s="96">
        <f t="shared" si="25"/>
        <v>47.501999999999995</v>
      </c>
      <c r="M135" s="53" t="s">
        <v>56</v>
      </c>
      <c r="N135" s="54" t="s">
        <v>105</v>
      </c>
    </row>
    <row r="136" spans="1:14" s="49" customFormat="1">
      <c r="A136" s="90"/>
      <c r="B136" s="52" t="s">
        <v>42</v>
      </c>
      <c r="C136" s="53" t="s">
        <v>17</v>
      </c>
      <c r="D136" s="53" t="s">
        <v>89</v>
      </c>
      <c r="E136" s="53" t="s">
        <v>90</v>
      </c>
      <c r="F136" s="53">
        <v>93.524999999999991</v>
      </c>
      <c r="G136" s="53">
        <v>93.85</v>
      </c>
      <c r="H136" s="53">
        <v>0.78000000000000014</v>
      </c>
      <c r="I136" s="53">
        <v>0.3</v>
      </c>
      <c r="J136" s="53"/>
      <c r="K136" s="53">
        <v>36</v>
      </c>
      <c r="L136" s="96">
        <f t="shared" si="25"/>
        <v>8.4240000000000013</v>
      </c>
      <c r="M136" s="53" t="s">
        <v>56</v>
      </c>
      <c r="N136" s="54" t="s">
        <v>105</v>
      </c>
    </row>
    <row r="137" spans="1:14" s="49" customFormat="1">
      <c r="A137" s="90"/>
      <c r="B137" s="52" t="s">
        <v>42</v>
      </c>
      <c r="C137" s="53" t="s">
        <v>17</v>
      </c>
      <c r="D137" s="53" t="s">
        <v>89</v>
      </c>
      <c r="E137" s="53" t="s">
        <v>90</v>
      </c>
      <c r="F137" s="53">
        <v>94.524999999999991</v>
      </c>
      <c r="G137" s="53">
        <v>94.85</v>
      </c>
      <c r="H137" s="53">
        <v>1.0899999999999999</v>
      </c>
      <c r="I137" s="53">
        <v>0.3</v>
      </c>
      <c r="J137" s="53"/>
      <c r="K137" s="53">
        <v>8</v>
      </c>
      <c r="L137" s="96">
        <f t="shared" si="25"/>
        <v>2.6159999999999997</v>
      </c>
      <c r="M137" s="53" t="s">
        <v>56</v>
      </c>
      <c r="N137" s="54" t="s">
        <v>105</v>
      </c>
    </row>
    <row r="138" spans="1:14" s="49" customFormat="1">
      <c r="A138" s="90"/>
      <c r="B138" s="52" t="s">
        <v>42</v>
      </c>
      <c r="C138" s="53" t="s">
        <v>17</v>
      </c>
      <c r="D138" s="53" t="s">
        <v>89</v>
      </c>
      <c r="E138" s="53" t="s">
        <v>108</v>
      </c>
      <c r="F138" s="53">
        <v>93.3</v>
      </c>
      <c r="G138" s="53">
        <v>93.85</v>
      </c>
      <c r="H138" s="53">
        <v>2.7</v>
      </c>
      <c r="I138" s="53">
        <v>0.3</v>
      </c>
      <c r="J138" s="53"/>
      <c r="K138" s="53">
        <v>4</v>
      </c>
      <c r="L138" s="96">
        <f t="shared" si="25"/>
        <v>3.24</v>
      </c>
      <c r="M138" s="53" t="s">
        <v>56</v>
      </c>
      <c r="N138" s="54" t="s">
        <v>105</v>
      </c>
    </row>
    <row r="139" spans="1:14" s="49" customFormat="1">
      <c r="A139" s="90"/>
      <c r="B139" s="52" t="s">
        <v>42</v>
      </c>
      <c r="C139" s="53" t="s">
        <v>17</v>
      </c>
      <c r="D139" s="53" t="s">
        <v>89</v>
      </c>
      <c r="E139" s="53" t="s">
        <v>106</v>
      </c>
      <c r="F139" s="53">
        <v>93.3</v>
      </c>
      <c r="G139" s="53">
        <v>93.85</v>
      </c>
      <c r="H139" s="53">
        <v>4.6500000000000004</v>
      </c>
      <c r="I139" s="53">
        <v>0.3</v>
      </c>
      <c r="J139" s="53"/>
      <c r="K139" s="53">
        <v>36</v>
      </c>
      <c r="L139" s="96">
        <f t="shared" si="25"/>
        <v>50.22</v>
      </c>
      <c r="M139" s="53" t="s">
        <v>56</v>
      </c>
      <c r="N139" s="54" t="s">
        <v>105</v>
      </c>
    </row>
    <row r="140" spans="1:14" s="49" customFormat="1">
      <c r="A140" s="90"/>
      <c r="B140" s="52" t="s">
        <v>42</v>
      </c>
      <c r="C140" s="53" t="s">
        <v>17</v>
      </c>
      <c r="D140" s="53" t="s">
        <v>89</v>
      </c>
      <c r="E140" s="53" t="s">
        <v>107</v>
      </c>
      <c r="F140" s="53">
        <v>93.3</v>
      </c>
      <c r="G140" s="53">
        <v>93.85</v>
      </c>
      <c r="H140" s="53">
        <v>2.7</v>
      </c>
      <c r="I140" s="53">
        <v>0.3</v>
      </c>
      <c r="J140" s="53"/>
      <c r="K140" s="53">
        <v>4</v>
      </c>
      <c r="L140" s="96">
        <f t="shared" si="25"/>
        <v>3.24</v>
      </c>
      <c r="M140" s="53" t="s">
        <v>56</v>
      </c>
      <c r="N140" s="54" t="s">
        <v>105</v>
      </c>
    </row>
    <row r="141" spans="1:14" s="49" customFormat="1">
      <c r="A141" s="90"/>
      <c r="B141" s="52" t="s">
        <v>42</v>
      </c>
      <c r="C141" s="53" t="s">
        <v>17</v>
      </c>
      <c r="D141" s="53" t="s">
        <v>89</v>
      </c>
      <c r="E141" s="53" t="s">
        <v>109</v>
      </c>
      <c r="F141" s="53">
        <v>93.3</v>
      </c>
      <c r="G141" s="53">
        <v>93.85</v>
      </c>
      <c r="H141" s="53">
        <v>3.7</v>
      </c>
      <c r="I141" s="53">
        <v>0.3</v>
      </c>
      <c r="J141" s="53"/>
      <c r="K141" s="53">
        <v>4</v>
      </c>
      <c r="L141" s="96">
        <f t="shared" si="25"/>
        <v>4.4400000000000004</v>
      </c>
      <c r="M141" s="53" t="s">
        <v>56</v>
      </c>
      <c r="N141" s="54" t="s">
        <v>105</v>
      </c>
    </row>
    <row r="142" spans="1:14" s="49" customFormat="1">
      <c r="A142" s="90"/>
      <c r="B142" s="52" t="s">
        <v>42</v>
      </c>
      <c r="C142" s="53" t="s">
        <v>17</v>
      </c>
      <c r="D142" s="53" t="s">
        <v>89</v>
      </c>
      <c r="E142" s="53" t="s">
        <v>110</v>
      </c>
      <c r="F142" s="53">
        <v>93.3</v>
      </c>
      <c r="G142" s="53">
        <v>93.85</v>
      </c>
      <c r="H142" s="53">
        <v>31.824999999999999</v>
      </c>
      <c r="I142" s="53">
        <v>0.3</v>
      </c>
      <c r="J142" s="53"/>
      <c r="K142" s="53">
        <v>4</v>
      </c>
      <c r="L142" s="96">
        <f t="shared" si="25"/>
        <v>38.19</v>
      </c>
      <c r="M142" s="53" t="s">
        <v>56</v>
      </c>
      <c r="N142" s="54" t="s">
        <v>105</v>
      </c>
    </row>
    <row r="143" spans="1:14" s="49" customFormat="1">
      <c r="A143" s="90"/>
      <c r="B143" s="52" t="s">
        <v>42</v>
      </c>
      <c r="C143" s="53" t="s">
        <v>17</v>
      </c>
      <c r="D143" s="53" t="s">
        <v>92</v>
      </c>
      <c r="E143" s="53"/>
      <c r="F143" s="53">
        <v>91.5</v>
      </c>
      <c r="G143" s="53">
        <v>93.85</v>
      </c>
      <c r="H143" s="53"/>
      <c r="I143" s="53">
        <v>0.7</v>
      </c>
      <c r="J143" s="53">
        <v>2.3499999999999943</v>
      </c>
      <c r="K143" s="53">
        <v>20</v>
      </c>
      <c r="L143" s="96">
        <f t="shared" si="25"/>
        <v>32.89999999999992</v>
      </c>
      <c r="M143" s="53" t="s">
        <v>56</v>
      </c>
      <c r="N143" s="53"/>
    </row>
    <row r="144" spans="1:14" s="49" customFormat="1">
      <c r="A144" s="90"/>
      <c r="B144" s="52" t="s">
        <v>42</v>
      </c>
      <c r="C144" s="53" t="s">
        <v>17</v>
      </c>
      <c r="D144" s="53" t="s">
        <v>93</v>
      </c>
      <c r="E144" s="53"/>
      <c r="F144" s="53">
        <v>91.5</v>
      </c>
      <c r="G144" s="53">
        <v>93.85</v>
      </c>
      <c r="H144" s="53"/>
      <c r="I144" s="53">
        <v>0.7</v>
      </c>
      <c r="J144" s="53">
        <v>2.3499999999999943</v>
      </c>
      <c r="K144" s="53">
        <v>16</v>
      </c>
      <c r="L144" s="96">
        <f t="shared" si="25"/>
        <v>26.319999999999936</v>
      </c>
      <c r="M144" s="53" t="s">
        <v>56</v>
      </c>
      <c r="N144" s="53"/>
    </row>
    <row r="145" spans="1:14" s="49" customFormat="1">
      <c r="A145" s="90"/>
      <c r="B145" s="52" t="s">
        <v>42</v>
      </c>
      <c r="C145" s="53" t="s">
        <v>17</v>
      </c>
      <c r="D145" s="53" t="s">
        <v>92</v>
      </c>
      <c r="E145" s="53"/>
      <c r="F145" s="53">
        <v>94</v>
      </c>
      <c r="G145" s="53">
        <v>97.399999999999991</v>
      </c>
      <c r="H145" s="53"/>
      <c r="I145" s="53">
        <v>0.7</v>
      </c>
      <c r="J145" s="53">
        <v>3.3999999999999915</v>
      </c>
      <c r="K145" s="53">
        <v>20</v>
      </c>
      <c r="L145" s="96">
        <f t="shared" si="25"/>
        <v>47.599999999999874</v>
      </c>
      <c r="M145" s="53" t="s">
        <v>56</v>
      </c>
      <c r="N145" s="53"/>
    </row>
    <row r="146" spans="1:14" s="49" customFormat="1">
      <c r="A146" s="90"/>
      <c r="B146" s="52" t="s">
        <v>42</v>
      </c>
      <c r="C146" s="53" t="s">
        <v>17</v>
      </c>
      <c r="D146" s="53" t="s">
        <v>93</v>
      </c>
      <c r="E146" s="53"/>
      <c r="F146" s="53">
        <v>94</v>
      </c>
      <c r="G146" s="53">
        <v>97.399999999999991</v>
      </c>
      <c r="H146" s="53"/>
      <c r="I146" s="53">
        <v>0.7</v>
      </c>
      <c r="J146" s="53">
        <v>3.3999999999999915</v>
      </c>
      <c r="K146" s="53">
        <v>16</v>
      </c>
      <c r="L146" s="96">
        <f t="shared" si="25"/>
        <v>38.079999999999899</v>
      </c>
      <c r="M146" s="53" t="s">
        <v>56</v>
      </c>
      <c r="N146" s="53"/>
    </row>
    <row r="147" spans="1:14" s="49" customFormat="1">
      <c r="A147" s="90"/>
      <c r="B147" s="52"/>
      <c r="C147" s="53"/>
      <c r="D147" s="53"/>
      <c r="E147" s="53"/>
      <c r="F147" s="53"/>
      <c r="G147" s="53"/>
      <c r="H147" s="53"/>
      <c r="I147" s="53"/>
      <c r="J147" s="53"/>
      <c r="K147" s="53"/>
      <c r="L147" s="96"/>
      <c r="M147" s="53"/>
      <c r="N147" s="51"/>
    </row>
    <row r="148" spans="1:14" s="49" customFormat="1">
      <c r="A148" s="90"/>
      <c r="B148" s="52" t="s">
        <v>42</v>
      </c>
      <c r="C148" s="53" t="s">
        <v>17</v>
      </c>
      <c r="D148" s="53" t="s">
        <v>112</v>
      </c>
      <c r="E148" s="53" t="s">
        <v>125</v>
      </c>
      <c r="F148" s="53">
        <v>102.35</v>
      </c>
      <c r="G148" s="53">
        <v>102.5</v>
      </c>
      <c r="H148" s="53">
        <v>37.730000000000004</v>
      </c>
      <c r="I148" s="53"/>
      <c r="J148" s="53">
        <v>0.125</v>
      </c>
      <c r="K148" s="53">
        <v>2</v>
      </c>
      <c r="L148" s="96">
        <f>PRODUCT(H148:K148)</f>
        <v>9.432500000000001</v>
      </c>
      <c r="M148" s="53" t="s">
        <v>56</v>
      </c>
      <c r="N148" s="54" t="s">
        <v>105</v>
      </c>
    </row>
    <row r="149" spans="1:14" s="49" customFormat="1">
      <c r="A149" s="90"/>
      <c r="B149" s="52"/>
      <c r="C149" s="53"/>
      <c r="D149" s="53" t="s">
        <v>112</v>
      </c>
      <c r="E149" s="53" t="s">
        <v>125</v>
      </c>
      <c r="F149" s="53">
        <v>102.35</v>
      </c>
      <c r="G149" s="53">
        <v>102.5</v>
      </c>
      <c r="H149" s="53"/>
      <c r="I149" s="53">
        <v>10.23</v>
      </c>
      <c r="J149" s="53">
        <v>0.125</v>
      </c>
      <c r="K149" s="53">
        <v>2</v>
      </c>
      <c r="L149" s="96">
        <f>PRODUCT(H149:K149)</f>
        <v>2.5575000000000001</v>
      </c>
      <c r="M149" s="53" t="s">
        <v>56</v>
      </c>
      <c r="N149" s="54" t="s">
        <v>105</v>
      </c>
    </row>
    <row r="150" spans="1:14" s="49" customFormat="1">
      <c r="A150" s="90"/>
      <c r="B150" s="52"/>
      <c r="C150" s="53"/>
      <c r="D150" s="53" t="s">
        <v>124</v>
      </c>
      <c r="E150" s="53" t="s">
        <v>125</v>
      </c>
      <c r="F150" s="53">
        <v>102.35</v>
      </c>
      <c r="G150" s="53">
        <v>102.5</v>
      </c>
      <c r="H150" s="53">
        <v>4.7</v>
      </c>
      <c r="I150" s="53"/>
      <c r="J150" s="53">
        <v>0.125</v>
      </c>
      <c r="K150" s="53">
        <v>20</v>
      </c>
      <c r="L150" s="96">
        <f t="shared" ref="L150:L152" si="28">PRODUCT(H150:K150)</f>
        <v>11.75</v>
      </c>
      <c r="M150" s="53" t="s">
        <v>56</v>
      </c>
      <c r="N150" s="54" t="s">
        <v>105</v>
      </c>
    </row>
    <row r="151" spans="1:14" s="49" customFormat="1">
      <c r="A151" s="90"/>
      <c r="B151" s="52"/>
      <c r="C151" s="53"/>
      <c r="D151" s="53"/>
      <c r="E151" s="53"/>
      <c r="F151" s="53">
        <v>102.35</v>
      </c>
      <c r="G151" s="53">
        <v>102.5</v>
      </c>
      <c r="H151" s="53"/>
      <c r="I151" s="53">
        <v>1</v>
      </c>
      <c r="J151" s="53">
        <v>0.125</v>
      </c>
      <c r="K151" s="53">
        <f>K150</f>
        <v>20</v>
      </c>
      <c r="L151" s="96">
        <f t="shared" ref="L151" si="29">PRODUCT(H151:K151)</f>
        <v>2.5</v>
      </c>
      <c r="M151" s="53" t="s">
        <v>56</v>
      </c>
      <c r="N151" s="54" t="s">
        <v>105</v>
      </c>
    </row>
    <row r="152" spans="1:14" s="49" customFormat="1">
      <c r="A152" s="90"/>
      <c r="B152" s="52"/>
      <c r="C152" s="53"/>
      <c r="D152" s="53" t="s">
        <v>124</v>
      </c>
      <c r="E152" s="53" t="s">
        <v>125</v>
      </c>
      <c r="F152" s="53">
        <v>102.35</v>
      </c>
      <c r="G152" s="53">
        <v>102.5</v>
      </c>
      <c r="H152" s="53">
        <v>2.7</v>
      </c>
      <c r="I152" s="53"/>
      <c r="J152" s="53">
        <v>0.125</v>
      </c>
      <c r="K152" s="53">
        <v>4</v>
      </c>
      <c r="L152" s="96">
        <f t="shared" si="28"/>
        <v>1.35</v>
      </c>
      <c r="M152" s="53" t="s">
        <v>56</v>
      </c>
      <c r="N152" s="54" t="s">
        <v>105</v>
      </c>
    </row>
    <row r="153" spans="1:14" s="49" customFormat="1">
      <c r="A153" s="90"/>
      <c r="B153" s="52"/>
      <c r="C153" s="53"/>
      <c r="D153" s="53" t="s">
        <v>124</v>
      </c>
      <c r="E153" s="53" t="s">
        <v>125</v>
      </c>
      <c r="F153" s="53">
        <v>102.35</v>
      </c>
      <c r="G153" s="53">
        <v>102.5</v>
      </c>
      <c r="H153" s="53"/>
      <c r="I153" s="53">
        <v>1</v>
      </c>
      <c r="J153" s="53">
        <v>0.125</v>
      </c>
      <c r="K153" s="53">
        <v>4</v>
      </c>
      <c r="L153" s="96">
        <f t="shared" ref="L153" si="30">PRODUCT(H153:K153)</f>
        <v>0.5</v>
      </c>
      <c r="M153" s="53" t="s">
        <v>56</v>
      </c>
      <c r="N153" s="54" t="s">
        <v>105</v>
      </c>
    </row>
    <row r="154" spans="1:14" s="49" customFormat="1">
      <c r="A154" s="90"/>
      <c r="B154" s="52" t="s">
        <v>42</v>
      </c>
      <c r="C154" s="53" t="s">
        <v>17</v>
      </c>
      <c r="D154" s="53"/>
      <c r="E154" s="53" t="s">
        <v>95</v>
      </c>
      <c r="F154" s="53" t="s">
        <v>96</v>
      </c>
      <c r="G154" s="53" t="s">
        <v>96</v>
      </c>
      <c r="H154" s="53">
        <v>4.2</v>
      </c>
      <c r="I154" s="53"/>
      <c r="J154" s="53">
        <v>0.15</v>
      </c>
      <c r="K154" s="53">
        <v>4</v>
      </c>
      <c r="L154" s="96">
        <f>PRODUCT(H154:K154)</f>
        <v>2.52</v>
      </c>
      <c r="M154" s="53" t="s">
        <v>51</v>
      </c>
      <c r="N154" s="54" t="s">
        <v>105</v>
      </c>
    </row>
    <row r="155" spans="1:14" s="49" customFormat="1">
      <c r="A155" s="90"/>
      <c r="B155" s="52" t="s">
        <v>42</v>
      </c>
      <c r="C155" s="53" t="s">
        <v>17</v>
      </c>
      <c r="D155" s="53"/>
      <c r="E155" s="53" t="s">
        <v>95</v>
      </c>
      <c r="F155" s="53" t="s">
        <v>96</v>
      </c>
      <c r="G155" s="53" t="s">
        <v>96</v>
      </c>
      <c r="H155" s="53"/>
      <c r="I155" s="53">
        <v>1.2</v>
      </c>
      <c r="J155" s="53">
        <v>0.15</v>
      </c>
      <c r="K155" s="53">
        <v>4</v>
      </c>
      <c r="L155" s="96">
        <f>PRODUCT(H155:K155)</f>
        <v>0.72</v>
      </c>
      <c r="M155" s="53" t="s">
        <v>51</v>
      </c>
      <c r="N155" s="54" t="s">
        <v>105</v>
      </c>
    </row>
    <row r="156" spans="1:14" s="49" customFormat="1">
      <c r="A156" s="90"/>
      <c r="B156" s="52" t="s">
        <v>42</v>
      </c>
      <c r="C156" s="53" t="s">
        <v>17</v>
      </c>
      <c r="D156" s="53"/>
      <c r="E156" s="53" t="s">
        <v>115</v>
      </c>
      <c r="F156" s="53" t="s">
        <v>96</v>
      </c>
      <c r="G156" s="53" t="s">
        <v>96</v>
      </c>
      <c r="H156" s="53">
        <v>2.65</v>
      </c>
      <c r="I156" s="53"/>
      <c r="J156" s="53">
        <v>0.15</v>
      </c>
      <c r="K156" s="53">
        <v>2</v>
      </c>
      <c r="L156" s="96">
        <f t="shared" ref="L156:L160" si="31">PRODUCT(H156:K156)</f>
        <v>0.79499999999999993</v>
      </c>
      <c r="M156" s="53" t="s">
        <v>51</v>
      </c>
      <c r="N156" s="54" t="s">
        <v>105</v>
      </c>
    </row>
    <row r="157" spans="1:14" s="49" customFormat="1">
      <c r="A157" s="90"/>
      <c r="B157" s="52" t="s">
        <v>42</v>
      </c>
      <c r="C157" s="53" t="s">
        <v>17</v>
      </c>
      <c r="D157" s="53"/>
      <c r="E157" s="53" t="s">
        <v>115</v>
      </c>
      <c r="F157" s="53" t="s">
        <v>96</v>
      </c>
      <c r="G157" s="53" t="s">
        <v>96</v>
      </c>
      <c r="H157" s="53"/>
      <c r="I157" s="53">
        <v>0.9</v>
      </c>
      <c r="J157" s="53">
        <v>0.15</v>
      </c>
      <c r="K157" s="53">
        <v>2</v>
      </c>
      <c r="L157" s="96">
        <f t="shared" ref="L157" si="32">PRODUCT(H157:K157)</f>
        <v>0.27</v>
      </c>
      <c r="M157" s="53" t="s">
        <v>51</v>
      </c>
      <c r="N157" s="54" t="s">
        <v>105</v>
      </c>
    </row>
    <row r="158" spans="1:14" s="49" customFormat="1">
      <c r="A158" s="90"/>
      <c r="B158" s="52" t="s">
        <v>42</v>
      </c>
      <c r="C158" s="53" t="s">
        <v>17</v>
      </c>
      <c r="D158" s="53"/>
      <c r="E158" s="53" t="s">
        <v>116</v>
      </c>
      <c r="F158" s="53" t="s">
        <v>96</v>
      </c>
      <c r="G158" s="53" t="s">
        <v>96</v>
      </c>
      <c r="H158" s="53">
        <v>2.65</v>
      </c>
      <c r="I158" s="53"/>
      <c r="J158" s="53">
        <v>0.15</v>
      </c>
      <c r="K158" s="53">
        <v>2</v>
      </c>
      <c r="L158" s="96">
        <f t="shared" si="31"/>
        <v>0.79499999999999993</v>
      </c>
      <c r="M158" s="53" t="s">
        <v>51</v>
      </c>
      <c r="N158" s="54" t="s">
        <v>105</v>
      </c>
    </row>
    <row r="159" spans="1:14" s="49" customFormat="1">
      <c r="A159" s="90"/>
      <c r="B159" s="52" t="s">
        <v>42</v>
      </c>
      <c r="C159" s="53" t="s">
        <v>17</v>
      </c>
      <c r="D159" s="53"/>
      <c r="E159" s="53" t="s">
        <v>116</v>
      </c>
      <c r="F159" s="53" t="s">
        <v>96</v>
      </c>
      <c r="G159" s="53" t="s">
        <v>96</v>
      </c>
      <c r="H159" s="53"/>
      <c r="I159" s="53">
        <v>2.17</v>
      </c>
      <c r="J159" s="53">
        <v>0.15</v>
      </c>
      <c r="K159" s="53">
        <v>2</v>
      </c>
      <c r="L159" s="96">
        <f t="shared" ref="L159" si="33">PRODUCT(H159:K159)</f>
        <v>0.65099999999999991</v>
      </c>
      <c r="M159" s="53" t="s">
        <v>51</v>
      </c>
      <c r="N159" s="54" t="s">
        <v>105</v>
      </c>
    </row>
    <row r="160" spans="1:14" s="49" customFormat="1">
      <c r="A160" s="131"/>
      <c r="B160" s="132" t="s">
        <v>42</v>
      </c>
      <c r="C160" s="84" t="s">
        <v>17</v>
      </c>
      <c r="D160" s="84"/>
      <c r="E160" s="84" t="s">
        <v>118</v>
      </c>
      <c r="F160" s="84" t="s">
        <v>96</v>
      </c>
      <c r="G160" s="84" t="s">
        <v>96</v>
      </c>
      <c r="H160" s="84">
        <v>2.65</v>
      </c>
      <c r="I160" s="84">
        <v>0.23</v>
      </c>
      <c r="J160" s="84"/>
      <c r="K160" s="84">
        <v>1</v>
      </c>
      <c r="L160" s="133">
        <f t="shared" si="31"/>
        <v>0.60950000000000004</v>
      </c>
      <c r="M160" s="84" t="s">
        <v>51</v>
      </c>
      <c r="N160" s="86" t="s">
        <v>105</v>
      </c>
    </row>
    <row r="161" spans="1:14" s="62" customFormat="1" ht="15.75">
      <c r="A161" s="120"/>
      <c r="B161" s="120" t="str">
        <f>B160</f>
        <v>0--3 Mtr</v>
      </c>
      <c r="C161" s="120"/>
      <c r="D161" s="120"/>
      <c r="E161" s="120"/>
      <c r="F161" s="120"/>
      <c r="G161" s="120"/>
      <c r="H161" s="120"/>
      <c r="I161" s="120"/>
      <c r="J161" s="120"/>
      <c r="K161" s="120"/>
      <c r="L161" s="121">
        <f>SUM(L110:L121)+L127+(SUM(L129:L160))</f>
        <v>868.74034999999958</v>
      </c>
      <c r="M161" s="120" t="str">
        <f>M160</f>
        <v>Cum</v>
      </c>
      <c r="N161" s="120"/>
    </row>
    <row r="162" spans="1:14">
      <c r="A162" s="30"/>
      <c r="B162" s="42" t="s">
        <v>43</v>
      </c>
      <c r="C162" s="43" t="s">
        <v>17</v>
      </c>
      <c r="D162" s="43" t="s">
        <v>73</v>
      </c>
      <c r="E162" s="43"/>
      <c r="F162" s="43">
        <v>88.9</v>
      </c>
      <c r="G162" s="43">
        <v>89.350000000000009</v>
      </c>
      <c r="H162" s="43">
        <v>7.2700000000000005</v>
      </c>
      <c r="I162" s="43">
        <v>0.35</v>
      </c>
      <c r="J162" s="43"/>
      <c r="K162" s="43">
        <v>10</v>
      </c>
      <c r="L162" s="97">
        <f>PRODUCT(H162:K162)</f>
        <v>25.445</v>
      </c>
      <c r="M162" s="43" t="s">
        <v>56</v>
      </c>
      <c r="N162" s="43"/>
    </row>
    <row r="163" spans="1:14">
      <c r="A163" s="30"/>
      <c r="B163" s="42" t="s">
        <v>43</v>
      </c>
      <c r="C163" s="43" t="s">
        <v>17</v>
      </c>
      <c r="D163" s="43" t="s">
        <v>73</v>
      </c>
      <c r="E163" s="43"/>
      <c r="F163" s="43">
        <v>88.9</v>
      </c>
      <c r="G163" s="43">
        <v>89.350000000000009</v>
      </c>
      <c r="H163" s="43">
        <v>31.9</v>
      </c>
      <c r="I163" s="43">
        <v>0.35</v>
      </c>
      <c r="J163" s="43"/>
      <c r="K163" s="43">
        <v>2</v>
      </c>
      <c r="L163" s="97">
        <f t="shared" ref="L163:L189" si="34">PRODUCT(H163:K163)</f>
        <v>22.33</v>
      </c>
      <c r="M163" s="43" t="s">
        <v>56</v>
      </c>
      <c r="N163" s="43"/>
    </row>
    <row r="164" spans="1:14">
      <c r="A164" s="30"/>
      <c r="B164" s="42" t="s">
        <v>43</v>
      </c>
      <c r="C164" s="43" t="s">
        <v>17</v>
      </c>
      <c r="D164" s="43" t="s">
        <v>79</v>
      </c>
      <c r="E164" s="43"/>
      <c r="F164" s="43">
        <v>89.35</v>
      </c>
      <c r="G164" s="43">
        <v>89.5</v>
      </c>
      <c r="H164" s="43">
        <v>35.35</v>
      </c>
      <c r="I164" s="43">
        <v>7.57</v>
      </c>
      <c r="J164" s="43"/>
      <c r="K164" s="43">
        <v>1</v>
      </c>
      <c r="L164" s="97">
        <f t="shared" si="34"/>
        <v>267.59950000000003</v>
      </c>
      <c r="M164" s="43" t="s">
        <v>56</v>
      </c>
      <c r="N164" s="43"/>
    </row>
    <row r="165" spans="1:14">
      <c r="A165" s="30"/>
      <c r="B165" s="42" t="s">
        <v>43</v>
      </c>
      <c r="C165" s="43" t="s">
        <v>17</v>
      </c>
      <c r="D165" s="43" t="s">
        <v>94</v>
      </c>
      <c r="E165" s="43"/>
      <c r="F165" s="43">
        <v>97.949999999999989</v>
      </c>
      <c r="G165" s="43">
        <v>98.1</v>
      </c>
      <c r="H165" s="43">
        <v>38.080000000000005</v>
      </c>
      <c r="I165" s="43">
        <v>10.23</v>
      </c>
      <c r="J165" s="43"/>
      <c r="K165" s="43">
        <v>1</v>
      </c>
      <c r="L165" s="97">
        <f t="shared" si="34"/>
        <v>389.55840000000006</v>
      </c>
      <c r="M165" s="43" t="s">
        <v>56</v>
      </c>
      <c r="N165" s="43"/>
    </row>
    <row r="166" spans="1:14">
      <c r="A166" s="30"/>
      <c r="B166" s="42" t="s">
        <v>43</v>
      </c>
      <c r="C166" s="43" t="s">
        <v>17</v>
      </c>
      <c r="D166" s="43" t="s">
        <v>73</v>
      </c>
      <c r="E166" s="43" t="s">
        <v>88</v>
      </c>
      <c r="F166" s="43">
        <v>97.399999999999991</v>
      </c>
      <c r="G166" s="43">
        <v>97.949999999999989</v>
      </c>
      <c r="H166" s="43">
        <v>7.0500000000000007</v>
      </c>
      <c r="I166" s="43">
        <v>0.35</v>
      </c>
      <c r="J166" s="43"/>
      <c r="K166" s="43">
        <v>10</v>
      </c>
      <c r="L166" s="97">
        <f t="shared" si="34"/>
        <v>24.675000000000004</v>
      </c>
      <c r="M166" s="43" t="s">
        <v>56</v>
      </c>
      <c r="N166" s="43"/>
    </row>
    <row r="167" spans="1:14">
      <c r="A167" s="30"/>
      <c r="B167" s="42" t="s">
        <v>43</v>
      </c>
      <c r="C167" s="43" t="s">
        <v>17</v>
      </c>
      <c r="D167" s="43" t="s">
        <v>73</v>
      </c>
      <c r="E167" s="43" t="s">
        <v>89</v>
      </c>
      <c r="F167" s="43">
        <v>97.399999999999991</v>
      </c>
      <c r="G167" s="43">
        <v>97.949999999999989</v>
      </c>
      <c r="H167" s="43">
        <v>0.98000000000000009</v>
      </c>
      <c r="I167" s="43">
        <v>0.35</v>
      </c>
      <c r="J167" s="43"/>
      <c r="K167" s="43">
        <v>20</v>
      </c>
      <c r="L167" s="97">
        <f t="shared" si="34"/>
        <v>6.86</v>
      </c>
      <c r="M167" s="43" t="s">
        <v>56</v>
      </c>
      <c r="N167" s="43"/>
    </row>
    <row r="168" spans="1:14">
      <c r="A168" s="30"/>
      <c r="B168" s="42" t="s">
        <v>43</v>
      </c>
      <c r="C168" s="43" t="s">
        <v>17</v>
      </c>
      <c r="D168" s="43" t="s">
        <v>73</v>
      </c>
      <c r="E168" s="43" t="s">
        <v>89</v>
      </c>
      <c r="F168" s="43">
        <v>97.399999999999991</v>
      </c>
      <c r="G168" s="43">
        <v>97.949999999999989</v>
      </c>
      <c r="H168" s="43">
        <v>1.115</v>
      </c>
      <c r="I168" s="43">
        <v>0.35</v>
      </c>
      <c r="J168" s="43"/>
      <c r="K168" s="43">
        <v>4</v>
      </c>
      <c r="L168" s="97">
        <f t="shared" si="34"/>
        <v>1.5609999999999999</v>
      </c>
      <c r="M168" s="43" t="s">
        <v>56</v>
      </c>
      <c r="N168" s="43"/>
    </row>
    <row r="169" spans="1:14">
      <c r="A169" s="30"/>
      <c r="B169" s="42" t="s">
        <v>43</v>
      </c>
      <c r="C169" s="43" t="s">
        <v>17</v>
      </c>
      <c r="D169" s="43" t="s">
        <v>73</v>
      </c>
      <c r="E169" s="43" t="s">
        <v>91</v>
      </c>
      <c r="F169" s="43">
        <v>97.249999999999986</v>
      </c>
      <c r="G169" s="43">
        <v>97.949999999999989</v>
      </c>
      <c r="H169" s="43">
        <v>23.25</v>
      </c>
      <c r="I169" s="43">
        <v>0.35</v>
      </c>
      <c r="J169" s="43"/>
      <c r="K169" s="43">
        <v>1</v>
      </c>
      <c r="L169" s="97">
        <f t="shared" si="34"/>
        <v>8.1374999999999993</v>
      </c>
      <c r="M169" s="43" t="s">
        <v>56</v>
      </c>
      <c r="N169" s="43"/>
    </row>
    <row r="170" spans="1:14">
      <c r="A170" s="30"/>
      <c r="B170" s="42" t="s">
        <v>43</v>
      </c>
      <c r="C170" s="43" t="s">
        <v>17</v>
      </c>
      <c r="D170" s="43" t="s">
        <v>73</v>
      </c>
      <c r="E170" s="43" t="s">
        <v>89</v>
      </c>
      <c r="F170" s="43">
        <v>97.399999999999991</v>
      </c>
      <c r="G170" s="43">
        <v>97.949999999999989</v>
      </c>
      <c r="H170" s="43">
        <v>13.6</v>
      </c>
      <c r="I170" s="43">
        <v>0.35</v>
      </c>
      <c r="J170" s="43"/>
      <c r="K170" s="43">
        <v>2</v>
      </c>
      <c r="L170" s="97">
        <f t="shared" si="34"/>
        <v>9.52</v>
      </c>
      <c r="M170" s="43" t="s">
        <v>56</v>
      </c>
      <c r="N170" s="43"/>
    </row>
    <row r="171" spans="1:14">
      <c r="A171" s="30"/>
      <c r="B171" s="42" t="s">
        <v>43</v>
      </c>
      <c r="C171" s="43" t="s">
        <v>17</v>
      </c>
      <c r="D171" s="43" t="s">
        <v>73</v>
      </c>
      <c r="E171" s="43" t="s">
        <v>89</v>
      </c>
      <c r="F171" s="43">
        <v>97.399999999999991</v>
      </c>
      <c r="G171" s="43">
        <v>97.949999999999989</v>
      </c>
      <c r="H171" s="43">
        <v>10.95</v>
      </c>
      <c r="I171" s="43">
        <v>0.35</v>
      </c>
      <c r="J171" s="43"/>
      <c r="K171" s="43">
        <v>2</v>
      </c>
      <c r="L171" s="97">
        <f t="shared" si="34"/>
        <v>7.6649999999999991</v>
      </c>
      <c r="M171" s="43" t="s">
        <v>56</v>
      </c>
      <c r="N171" s="43"/>
    </row>
    <row r="172" spans="1:14">
      <c r="A172" s="30"/>
      <c r="B172" s="42" t="s">
        <v>43</v>
      </c>
      <c r="C172" s="43" t="s">
        <v>17</v>
      </c>
      <c r="D172" s="43" t="s">
        <v>99</v>
      </c>
      <c r="E172" s="43" t="s">
        <v>95</v>
      </c>
      <c r="F172" s="43" t="s">
        <v>96</v>
      </c>
      <c r="G172" s="43" t="s">
        <v>96</v>
      </c>
      <c r="H172" s="43">
        <v>1.25</v>
      </c>
      <c r="I172" s="43">
        <v>2.65</v>
      </c>
      <c r="J172" s="43"/>
      <c r="K172" s="43">
        <v>2</v>
      </c>
      <c r="L172" s="97">
        <f t="shared" si="34"/>
        <v>6.625</v>
      </c>
      <c r="M172" s="43" t="s">
        <v>56</v>
      </c>
      <c r="N172" s="43"/>
    </row>
    <row r="173" spans="1:14">
      <c r="A173" s="30"/>
      <c r="B173" s="42" t="s">
        <v>43</v>
      </c>
      <c r="C173" s="43" t="s">
        <v>17</v>
      </c>
      <c r="D173" s="43" t="s">
        <v>99</v>
      </c>
      <c r="E173" s="43" t="s">
        <v>97</v>
      </c>
      <c r="F173" s="43" t="s">
        <v>96</v>
      </c>
      <c r="G173" s="43" t="s">
        <v>96</v>
      </c>
      <c r="H173" s="43">
        <v>1.325</v>
      </c>
      <c r="I173" s="43">
        <v>5.3</v>
      </c>
      <c r="J173" s="43"/>
      <c r="K173" s="43">
        <v>4</v>
      </c>
      <c r="L173" s="97">
        <f t="shared" si="34"/>
        <v>28.09</v>
      </c>
      <c r="M173" s="43" t="s">
        <v>56</v>
      </c>
      <c r="N173" s="43"/>
    </row>
    <row r="174" spans="1:14">
      <c r="A174" s="30"/>
      <c r="B174" s="42" t="s">
        <v>43</v>
      </c>
      <c r="C174" s="43" t="s">
        <v>17</v>
      </c>
      <c r="D174" s="43" t="s">
        <v>99</v>
      </c>
      <c r="E174" s="43" t="s">
        <v>98</v>
      </c>
      <c r="F174" s="43" t="s">
        <v>96</v>
      </c>
      <c r="G174" s="43" t="s">
        <v>96</v>
      </c>
      <c r="H174" s="43">
        <v>1.325</v>
      </c>
      <c r="I174" s="43"/>
      <c r="J174" s="43">
        <v>0.15</v>
      </c>
      <c r="K174" s="43">
        <v>60</v>
      </c>
      <c r="L174" s="97">
        <f t="shared" si="34"/>
        <v>11.924999999999999</v>
      </c>
      <c r="M174" s="43" t="s">
        <v>56</v>
      </c>
      <c r="N174" s="43"/>
    </row>
    <row r="175" spans="1:14">
      <c r="A175" s="30"/>
      <c r="B175" s="42"/>
      <c r="C175" s="43"/>
      <c r="D175" s="43"/>
      <c r="E175" s="43"/>
      <c r="F175" s="43"/>
      <c r="G175" s="43"/>
      <c r="H175" s="43"/>
      <c r="I175" s="43"/>
      <c r="J175" s="43"/>
      <c r="K175" s="43"/>
      <c r="L175" s="97"/>
      <c r="M175" s="43"/>
      <c r="N175" s="43"/>
    </row>
    <row r="176" spans="1:14">
      <c r="A176" s="30"/>
      <c r="B176" s="42" t="s">
        <v>43</v>
      </c>
      <c r="C176" s="43" t="s">
        <v>17</v>
      </c>
      <c r="D176" s="43" t="s">
        <v>73</v>
      </c>
      <c r="E176" s="43"/>
      <c r="F176" s="43">
        <v>88.9</v>
      </c>
      <c r="G176" s="43">
        <v>89.350000000000009</v>
      </c>
      <c r="H176" s="43">
        <v>7.2700000000000005</v>
      </c>
      <c r="I176" s="43"/>
      <c r="J176" s="43">
        <v>0.44999999999999996</v>
      </c>
      <c r="K176" s="43">
        <v>20</v>
      </c>
      <c r="L176" s="97">
        <f t="shared" si="34"/>
        <v>65.430000000000007</v>
      </c>
      <c r="M176" s="43" t="s">
        <v>56</v>
      </c>
      <c r="N176" s="43"/>
    </row>
    <row r="177" spans="1:14">
      <c r="A177" s="30"/>
      <c r="B177" s="42" t="s">
        <v>43</v>
      </c>
      <c r="C177" s="43" t="s">
        <v>17</v>
      </c>
      <c r="D177" s="43" t="s">
        <v>73</v>
      </c>
      <c r="E177" s="43"/>
      <c r="F177" s="43">
        <v>88.9</v>
      </c>
      <c r="G177" s="43">
        <v>89.350000000000009</v>
      </c>
      <c r="H177" s="43">
        <v>31.9</v>
      </c>
      <c r="I177" s="43"/>
      <c r="J177" s="43">
        <v>0.44999999999999996</v>
      </c>
      <c r="K177" s="43">
        <v>4</v>
      </c>
      <c r="L177" s="97">
        <f t="shared" si="34"/>
        <v>57.419999999999995</v>
      </c>
      <c r="M177" s="43" t="s">
        <v>56</v>
      </c>
      <c r="N177" s="43"/>
    </row>
    <row r="178" spans="1:14">
      <c r="A178" s="30"/>
      <c r="B178" s="42" t="s">
        <v>43</v>
      </c>
      <c r="C178" s="43" t="s">
        <v>17</v>
      </c>
      <c r="D178" s="43" t="s">
        <v>79</v>
      </c>
      <c r="E178" s="43"/>
      <c r="F178" s="43">
        <v>89.35</v>
      </c>
      <c r="G178" s="43">
        <v>89.5</v>
      </c>
      <c r="H178" s="43"/>
      <c r="I178" s="43">
        <v>7.57</v>
      </c>
      <c r="J178" s="43">
        <v>0.15</v>
      </c>
      <c r="K178" s="43">
        <v>2</v>
      </c>
      <c r="L178" s="97">
        <f t="shared" si="34"/>
        <v>2.2709999999999999</v>
      </c>
      <c r="M178" s="43" t="s">
        <v>56</v>
      </c>
      <c r="N178" s="43"/>
    </row>
    <row r="179" spans="1:14">
      <c r="A179" s="30"/>
      <c r="B179" s="42" t="s">
        <v>43</v>
      </c>
      <c r="C179" s="43" t="s">
        <v>17</v>
      </c>
      <c r="D179" s="43" t="s">
        <v>79</v>
      </c>
      <c r="E179" s="43"/>
      <c r="F179" s="43">
        <v>89.35</v>
      </c>
      <c r="G179" s="43">
        <v>89.5</v>
      </c>
      <c r="H179" s="43">
        <v>35.35</v>
      </c>
      <c r="I179" s="43"/>
      <c r="J179" s="43">
        <v>0.15</v>
      </c>
      <c r="K179" s="43">
        <v>2</v>
      </c>
      <c r="L179" s="97">
        <f t="shared" si="34"/>
        <v>10.605</v>
      </c>
      <c r="M179" s="43" t="s">
        <v>56</v>
      </c>
      <c r="N179" s="43"/>
    </row>
    <row r="180" spans="1:14">
      <c r="A180" s="30"/>
      <c r="B180" s="42" t="s">
        <v>43</v>
      </c>
      <c r="C180" s="43" t="s">
        <v>17</v>
      </c>
      <c r="D180" s="43" t="s">
        <v>94</v>
      </c>
      <c r="E180" s="43"/>
      <c r="F180" s="43">
        <v>97.949999999999989</v>
      </c>
      <c r="G180" s="43">
        <v>98.1</v>
      </c>
      <c r="H180" s="43">
        <v>38.080000000000005</v>
      </c>
      <c r="I180" s="43"/>
      <c r="J180" s="43">
        <v>0.15</v>
      </c>
      <c r="K180" s="43">
        <v>2</v>
      </c>
      <c r="L180" s="97">
        <f t="shared" si="34"/>
        <v>11.424000000000001</v>
      </c>
      <c r="M180" s="43" t="s">
        <v>56</v>
      </c>
      <c r="N180" s="43"/>
    </row>
    <row r="181" spans="1:14">
      <c r="A181" s="30"/>
      <c r="B181" s="42" t="s">
        <v>43</v>
      </c>
      <c r="C181" s="43" t="s">
        <v>17</v>
      </c>
      <c r="D181" s="43" t="s">
        <v>94</v>
      </c>
      <c r="E181" s="43"/>
      <c r="F181" s="43">
        <v>97.949999999999989</v>
      </c>
      <c r="G181" s="43">
        <v>98.1</v>
      </c>
      <c r="H181" s="43"/>
      <c r="I181" s="43">
        <v>10.23</v>
      </c>
      <c r="J181" s="43">
        <v>0.15</v>
      </c>
      <c r="K181" s="43">
        <v>2</v>
      </c>
      <c r="L181" s="97">
        <f t="shared" si="34"/>
        <v>3.069</v>
      </c>
      <c r="M181" s="43" t="s">
        <v>56</v>
      </c>
      <c r="N181" s="43"/>
    </row>
    <row r="182" spans="1:14">
      <c r="A182" s="30"/>
      <c r="B182" s="42" t="s">
        <v>43</v>
      </c>
      <c r="C182" s="43" t="s">
        <v>17</v>
      </c>
      <c r="D182" s="43" t="s">
        <v>73</v>
      </c>
      <c r="E182" s="43" t="s">
        <v>88</v>
      </c>
      <c r="F182" s="43">
        <v>97.399999999999991</v>
      </c>
      <c r="G182" s="43">
        <v>97.949999999999989</v>
      </c>
      <c r="H182" s="43">
        <v>7.0500000000000007</v>
      </c>
      <c r="I182" s="43"/>
      <c r="J182" s="43">
        <v>0.55000000000000004</v>
      </c>
      <c r="K182" s="43">
        <v>20</v>
      </c>
      <c r="L182" s="97">
        <f t="shared" si="34"/>
        <v>77.550000000000011</v>
      </c>
      <c r="M182" s="43" t="s">
        <v>56</v>
      </c>
      <c r="N182" s="43"/>
    </row>
    <row r="183" spans="1:14">
      <c r="A183" s="30"/>
      <c r="B183" s="42" t="s">
        <v>43</v>
      </c>
      <c r="C183" s="43" t="s">
        <v>17</v>
      </c>
      <c r="D183" s="43" t="s">
        <v>73</v>
      </c>
      <c r="E183" s="43" t="s">
        <v>89</v>
      </c>
      <c r="F183" s="43">
        <v>97.399999999999991</v>
      </c>
      <c r="G183" s="43">
        <v>97.949999999999989</v>
      </c>
      <c r="H183" s="43">
        <v>0.98000000000000009</v>
      </c>
      <c r="I183" s="43"/>
      <c r="J183" s="43">
        <v>0.55000000000000004</v>
      </c>
      <c r="K183" s="43">
        <v>40</v>
      </c>
      <c r="L183" s="97">
        <f t="shared" si="34"/>
        <v>21.560000000000006</v>
      </c>
      <c r="M183" s="43" t="s">
        <v>56</v>
      </c>
      <c r="N183" s="43"/>
    </row>
    <row r="184" spans="1:14">
      <c r="A184" s="30"/>
      <c r="B184" s="42" t="s">
        <v>43</v>
      </c>
      <c r="C184" s="43" t="s">
        <v>17</v>
      </c>
      <c r="D184" s="43" t="s">
        <v>73</v>
      </c>
      <c r="E184" s="43" t="s">
        <v>89</v>
      </c>
      <c r="F184" s="43">
        <v>97.399999999999991</v>
      </c>
      <c r="G184" s="43">
        <v>97.949999999999989</v>
      </c>
      <c r="H184" s="43">
        <v>1.115</v>
      </c>
      <c r="I184" s="43"/>
      <c r="J184" s="43">
        <v>0.55000000000000004</v>
      </c>
      <c r="K184" s="43">
        <v>8</v>
      </c>
      <c r="L184" s="97">
        <f t="shared" si="34"/>
        <v>4.9060000000000006</v>
      </c>
      <c r="M184" s="43" t="s">
        <v>56</v>
      </c>
      <c r="N184" s="43"/>
    </row>
    <row r="185" spans="1:14">
      <c r="A185" s="30"/>
      <c r="B185" s="42" t="s">
        <v>43</v>
      </c>
      <c r="C185" s="43" t="s">
        <v>17</v>
      </c>
      <c r="D185" s="43" t="s">
        <v>73</v>
      </c>
      <c r="E185" s="43" t="s">
        <v>91</v>
      </c>
      <c r="F185" s="43">
        <v>97.249999999999986</v>
      </c>
      <c r="G185" s="43">
        <v>97.949999999999989</v>
      </c>
      <c r="H185" s="43">
        <v>23.25</v>
      </c>
      <c r="I185" s="43"/>
      <c r="J185" s="43">
        <v>0.7</v>
      </c>
      <c r="K185" s="43">
        <v>2</v>
      </c>
      <c r="L185" s="97">
        <f t="shared" si="34"/>
        <v>32.549999999999997</v>
      </c>
      <c r="M185" s="43" t="s">
        <v>56</v>
      </c>
      <c r="N185" s="43"/>
    </row>
    <row r="186" spans="1:14">
      <c r="A186" s="30"/>
      <c r="B186" s="42" t="s">
        <v>43</v>
      </c>
      <c r="C186" s="43" t="s">
        <v>17</v>
      </c>
      <c r="D186" s="43" t="s">
        <v>73</v>
      </c>
      <c r="E186" s="43" t="s">
        <v>89</v>
      </c>
      <c r="F186" s="43">
        <v>97.399999999999991</v>
      </c>
      <c r="G186" s="43">
        <v>97.949999999999989</v>
      </c>
      <c r="H186" s="43">
        <v>13.6</v>
      </c>
      <c r="I186" s="43"/>
      <c r="J186" s="43">
        <v>0.55000000000000004</v>
      </c>
      <c r="K186" s="43">
        <v>4</v>
      </c>
      <c r="L186" s="97">
        <f t="shared" si="34"/>
        <v>29.92</v>
      </c>
      <c r="M186" s="43" t="s">
        <v>56</v>
      </c>
      <c r="N186" s="43"/>
    </row>
    <row r="187" spans="1:14">
      <c r="A187" s="30"/>
      <c r="B187" s="42" t="s">
        <v>43</v>
      </c>
      <c r="C187" s="43" t="s">
        <v>17</v>
      </c>
      <c r="D187" s="43" t="s">
        <v>73</v>
      </c>
      <c r="E187" s="43" t="s">
        <v>89</v>
      </c>
      <c r="F187" s="43">
        <v>97.399999999999991</v>
      </c>
      <c r="G187" s="43">
        <v>97.949999999999989</v>
      </c>
      <c r="H187" s="43">
        <v>10.95</v>
      </c>
      <c r="I187" s="43"/>
      <c r="J187" s="43">
        <v>0.55000000000000004</v>
      </c>
      <c r="K187" s="43">
        <v>4</v>
      </c>
      <c r="L187" s="97">
        <f t="shared" si="34"/>
        <v>24.09</v>
      </c>
      <c r="M187" s="43" t="s">
        <v>56</v>
      </c>
      <c r="N187" s="43"/>
    </row>
    <row r="188" spans="1:14">
      <c r="A188" s="30"/>
      <c r="B188" s="42" t="s">
        <v>43</v>
      </c>
      <c r="C188" s="43" t="s">
        <v>17</v>
      </c>
      <c r="D188" s="43" t="s">
        <v>99</v>
      </c>
      <c r="E188" s="43" t="s">
        <v>95</v>
      </c>
      <c r="F188" s="43" t="s">
        <v>96</v>
      </c>
      <c r="G188" s="43" t="s">
        <v>96</v>
      </c>
      <c r="H188" s="43">
        <v>1.25</v>
      </c>
      <c r="I188" s="43"/>
      <c r="J188" s="43">
        <v>0.15</v>
      </c>
      <c r="K188" s="43">
        <v>4</v>
      </c>
      <c r="L188" s="97">
        <f t="shared" si="34"/>
        <v>0.75</v>
      </c>
      <c r="M188" s="43" t="s">
        <v>56</v>
      </c>
      <c r="N188" s="43"/>
    </row>
    <row r="189" spans="1:14">
      <c r="A189" s="44"/>
      <c r="B189" s="42" t="s">
        <v>43</v>
      </c>
      <c r="C189" s="43" t="s">
        <v>17</v>
      </c>
      <c r="D189" s="43" t="s">
        <v>99</v>
      </c>
      <c r="E189" s="43" t="s">
        <v>95</v>
      </c>
      <c r="F189" s="43" t="s">
        <v>96</v>
      </c>
      <c r="G189" s="43" t="s">
        <v>96</v>
      </c>
      <c r="H189" s="43"/>
      <c r="I189" s="43">
        <v>2.65</v>
      </c>
      <c r="J189" s="43">
        <v>0.15</v>
      </c>
      <c r="K189" s="43">
        <v>4</v>
      </c>
      <c r="L189" s="97">
        <f t="shared" si="34"/>
        <v>1.5899999999999999</v>
      </c>
      <c r="M189" s="43" t="s">
        <v>56</v>
      </c>
      <c r="N189" s="43"/>
    </row>
    <row r="190" spans="1:14" s="62" customFormat="1" ht="15.75">
      <c r="A190" s="120"/>
      <c r="B190" s="120" t="str">
        <f>B189</f>
        <v>3--6 Mtr</v>
      </c>
      <c r="C190" s="120"/>
      <c r="D190" s="120"/>
      <c r="E190" s="120"/>
      <c r="F190" s="120"/>
      <c r="G190" s="120"/>
      <c r="H190" s="120"/>
      <c r="I190" s="120"/>
      <c r="J190" s="120"/>
      <c r="K190" s="120"/>
      <c r="L190" s="121">
        <f>SUM(L162:L189)</f>
        <v>1153.1263999999996</v>
      </c>
      <c r="M190" s="120" t="str">
        <f>M189</f>
        <v>Sqm</v>
      </c>
      <c r="N190" s="120"/>
    </row>
    <row r="191" spans="1:14">
      <c r="A191" s="30"/>
      <c r="B191" s="42" t="s">
        <v>44</v>
      </c>
      <c r="C191" s="43" t="s">
        <v>17</v>
      </c>
      <c r="D191" s="43" t="s">
        <v>75</v>
      </c>
      <c r="E191" s="43"/>
      <c r="F191" s="43">
        <v>85.6</v>
      </c>
      <c r="G191" s="43">
        <v>86</v>
      </c>
      <c r="H191" s="43">
        <v>4.25</v>
      </c>
      <c r="I191" s="43"/>
      <c r="J191" s="43">
        <v>0.4</v>
      </c>
      <c r="K191" s="43">
        <v>20</v>
      </c>
      <c r="L191" s="97">
        <f>PRODUCT(H191:K191)</f>
        <v>34</v>
      </c>
      <c r="M191" s="43" t="s">
        <v>56</v>
      </c>
      <c r="N191" s="43"/>
    </row>
    <row r="192" spans="1:14">
      <c r="A192" s="30"/>
      <c r="B192" s="42" t="s">
        <v>44</v>
      </c>
      <c r="C192" s="43" t="s">
        <v>17</v>
      </c>
      <c r="D192" s="43" t="s">
        <v>77</v>
      </c>
      <c r="E192" s="43"/>
      <c r="F192" s="43">
        <v>88.800000000000011</v>
      </c>
      <c r="G192" s="43">
        <v>89.550000000000011</v>
      </c>
      <c r="H192" s="43">
        <v>6</v>
      </c>
      <c r="I192" s="43"/>
      <c r="J192" s="43">
        <v>0.75</v>
      </c>
      <c r="K192" s="43">
        <v>8</v>
      </c>
      <c r="L192" s="97">
        <f t="shared" ref="L192:L222" si="35">PRODUCT(H192:K192)</f>
        <v>36</v>
      </c>
      <c r="M192" s="43" t="s">
        <v>56</v>
      </c>
      <c r="N192" s="43"/>
    </row>
    <row r="193" spans="1:14">
      <c r="A193" s="30"/>
      <c r="B193" s="42" t="s">
        <v>44</v>
      </c>
      <c r="C193" s="43" t="s">
        <v>17</v>
      </c>
      <c r="D193" s="43" t="s">
        <v>92</v>
      </c>
      <c r="E193" s="43"/>
      <c r="F193" s="43">
        <v>86.4</v>
      </c>
      <c r="G193" s="43">
        <v>88.5</v>
      </c>
      <c r="H193" s="43">
        <v>0.5</v>
      </c>
      <c r="I193" s="43"/>
      <c r="J193" s="43">
        <v>2.0999999999999943</v>
      </c>
      <c r="K193" s="43">
        <v>20</v>
      </c>
      <c r="L193" s="97">
        <f t="shared" si="35"/>
        <v>20.999999999999943</v>
      </c>
      <c r="M193" s="43" t="s">
        <v>56</v>
      </c>
      <c r="N193" s="43" t="s">
        <v>145</v>
      </c>
    </row>
    <row r="194" spans="1:14">
      <c r="A194" s="30"/>
      <c r="B194" s="42" t="s">
        <v>44</v>
      </c>
      <c r="C194" s="43" t="s">
        <v>17</v>
      </c>
      <c r="D194" s="43" t="s">
        <v>93</v>
      </c>
      <c r="E194" s="43"/>
      <c r="F194" s="43">
        <v>86.4</v>
      </c>
      <c r="G194" s="43">
        <v>88.5</v>
      </c>
      <c r="H194" s="43">
        <v>0.4</v>
      </c>
      <c r="I194" s="43"/>
      <c r="J194" s="43">
        <v>2.0999999999999943</v>
      </c>
      <c r="K194" s="43">
        <v>16</v>
      </c>
      <c r="L194" s="97">
        <f t="shared" si="35"/>
        <v>13.439999999999964</v>
      </c>
      <c r="M194" s="43" t="s">
        <v>56</v>
      </c>
      <c r="N194" s="43" t="str">
        <f>N193</f>
        <v>RA 5</v>
      </c>
    </row>
    <row r="195" spans="1:14">
      <c r="A195" s="30"/>
      <c r="B195" s="42" t="s">
        <v>44</v>
      </c>
      <c r="C195" s="43" t="s">
        <v>17</v>
      </c>
      <c r="D195" s="43" t="s">
        <v>94</v>
      </c>
      <c r="E195" s="43"/>
      <c r="F195" s="43">
        <v>102.35</v>
      </c>
      <c r="G195" s="43">
        <v>102.5</v>
      </c>
      <c r="H195" s="43">
        <v>38.080000000000005</v>
      </c>
      <c r="I195" s="43">
        <v>10.23</v>
      </c>
      <c r="J195" s="43"/>
      <c r="K195" s="43">
        <v>1</v>
      </c>
      <c r="L195" s="97">
        <f t="shared" si="35"/>
        <v>389.55840000000006</v>
      </c>
      <c r="M195" s="43" t="s">
        <v>56</v>
      </c>
      <c r="N195" s="43"/>
    </row>
    <row r="196" spans="1:14">
      <c r="A196" s="30"/>
      <c r="B196" s="42" t="s">
        <v>44</v>
      </c>
      <c r="C196" s="43" t="s">
        <v>17</v>
      </c>
      <c r="D196" s="43"/>
      <c r="E196" s="43" t="s">
        <v>88</v>
      </c>
      <c r="F196" s="43">
        <v>101.8</v>
      </c>
      <c r="G196" s="43">
        <v>102.35</v>
      </c>
      <c r="H196" s="43">
        <v>7.0500000000000007</v>
      </c>
      <c r="I196" s="43">
        <v>0.35</v>
      </c>
      <c r="J196" s="43"/>
      <c r="K196" s="43">
        <v>10</v>
      </c>
      <c r="L196" s="97">
        <f t="shared" si="35"/>
        <v>24.675000000000004</v>
      </c>
      <c r="M196" s="43" t="s">
        <v>56</v>
      </c>
      <c r="N196" s="43"/>
    </row>
    <row r="197" spans="1:14">
      <c r="A197" s="30"/>
      <c r="B197" s="42" t="s">
        <v>44</v>
      </c>
      <c r="C197" s="43" t="s">
        <v>17</v>
      </c>
      <c r="D197" s="43"/>
      <c r="E197" s="43" t="s">
        <v>89</v>
      </c>
      <c r="F197" s="43">
        <v>101.8</v>
      </c>
      <c r="G197" s="43">
        <v>102.35</v>
      </c>
      <c r="H197" s="43">
        <v>0.98000000000000009</v>
      </c>
      <c r="I197" s="43">
        <v>0.35</v>
      </c>
      <c r="J197" s="43"/>
      <c r="K197" s="43">
        <v>20</v>
      </c>
      <c r="L197" s="97">
        <f t="shared" si="35"/>
        <v>6.86</v>
      </c>
      <c r="M197" s="43" t="s">
        <v>56</v>
      </c>
      <c r="N197" s="43"/>
    </row>
    <row r="198" spans="1:14">
      <c r="A198" s="30"/>
      <c r="B198" s="42" t="s">
        <v>44</v>
      </c>
      <c r="C198" s="43" t="s">
        <v>17</v>
      </c>
      <c r="D198" s="43"/>
      <c r="E198" s="43" t="s">
        <v>89</v>
      </c>
      <c r="F198" s="43">
        <v>101.8</v>
      </c>
      <c r="G198" s="43">
        <v>102.35</v>
      </c>
      <c r="H198" s="43">
        <v>1.115</v>
      </c>
      <c r="I198" s="43">
        <v>0.35</v>
      </c>
      <c r="J198" s="43"/>
      <c r="K198" s="43">
        <v>4</v>
      </c>
      <c r="L198" s="97">
        <f t="shared" si="35"/>
        <v>1.5609999999999999</v>
      </c>
      <c r="M198" s="43" t="s">
        <v>56</v>
      </c>
      <c r="N198" s="43"/>
    </row>
    <row r="199" spans="1:14">
      <c r="A199" s="30"/>
      <c r="B199" s="42" t="s">
        <v>44</v>
      </c>
      <c r="C199" s="43" t="s">
        <v>17</v>
      </c>
      <c r="D199" s="43"/>
      <c r="E199" s="43" t="s">
        <v>91</v>
      </c>
      <c r="F199" s="43">
        <v>101.64999999999999</v>
      </c>
      <c r="G199" s="43">
        <v>102.35</v>
      </c>
      <c r="H199" s="43">
        <v>23.25</v>
      </c>
      <c r="I199" s="43">
        <v>0.35</v>
      </c>
      <c r="J199" s="43"/>
      <c r="K199" s="43">
        <v>1</v>
      </c>
      <c r="L199" s="97">
        <f t="shared" si="35"/>
        <v>8.1374999999999993</v>
      </c>
      <c r="M199" s="43" t="s">
        <v>56</v>
      </c>
      <c r="N199" s="43"/>
    </row>
    <row r="200" spans="1:14">
      <c r="A200" s="30"/>
      <c r="B200" s="42" t="s">
        <v>44</v>
      </c>
      <c r="C200" s="43" t="s">
        <v>17</v>
      </c>
      <c r="D200" s="43"/>
      <c r="E200" s="43" t="s">
        <v>89</v>
      </c>
      <c r="F200" s="43">
        <v>101.8</v>
      </c>
      <c r="G200" s="43">
        <v>102.35</v>
      </c>
      <c r="H200" s="43">
        <v>13.6</v>
      </c>
      <c r="I200" s="43">
        <v>0.35</v>
      </c>
      <c r="J200" s="43"/>
      <c r="K200" s="43">
        <v>2</v>
      </c>
      <c r="L200" s="97">
        <f t="shared" si="35"/>
        <v>9.52</v>
      </c>
      <c r="M200" s="43" t="s">
        <v>56</v>
      </c>
      <c r="N200" s="43"/>
    </row>
    <row r="201" spans="1:14">
      <c r="A201" s="30"/>
      <c r="B201" s="42" t="s">
        <v>44</v>
      </c>
      <c r="C201" s="43" t="s">
        <v>17</v>
      </c>
      <c r="D201" s="43"/>
      <c r="E201" s="43" t="s">
        <v>89</v>
      </c>
      <c r="F201" s="43">
        <v>101.8</v>
      </c>
      <c r="G201" s="43">
        <v>102.35</v>
      </c>
      <c r="H201" s="43">
        <v>10.95</v>
      </c>
      <c r="I201" s="43">
        <v>0.35</v>
      </c>
      <c r="J201" s="43"/>
      <c r="K201" s="43">
        <v>2</v>
      </c>
      <c r="L201" s="97">
        <f t="shared" si="35"/>
        <v>7.6649999999999991</v>
      </c>
      <c r="M201" s="43" t="s">
        <v>56</v>
      </c>
      <c r="N201" s="43"/>
    </row>
    <row r="202" spans="1:14">
      <c r="A202" s="30"/>
      <c r="B202" s="42" t="s">
        <v>44</v>
      </c>
      <c r="C202" s="43" t="s">
        <v>17</v>
      </c>
      <c r="D202" s="43"/>
      <c r="E202" s="43" t="s">
        <v>92</v>
      </c>
      <c r="F202" s="43">
        <v>100.5</v>
      </c>
      <c r="G202" s="43">
        <v>101.8</v>
      </c>
      <c r="H202" s="43">
        <v>0.5</v>
      </c>
      <c r="I202" s="43"/>
      <c r="J202" s="43">
        <v>1.2999999999999972</v>
      </c>
      <c r="K202" s="43">
        <v>20</v>
      </c>
      <c r="L202" s="97">
        <f t="shared" si="35"/>
        <v>12.999999999999972</v>
      </c>
      <c r="M202" s="43" t="s">
        <v>56</v>
      </c>
      <c r="N202" s="43"/>
    </row>
    <row r="203" spans="1:14">
      <c r="A203" s="30"/>
      <c r="B203" s="42" t="s">
        <v>44</v>
      </c>
      <c r="C203" s="43" t="s">
        <v>17</v>
      </c>
      <c r="D203" s="43"/>
      <c r="E203" s="43" t="s">
        <v>93</v>
      </c>
      <c r="F203" s="43">
        <v>100.5</v>
      </c>
      <c r="G203" s="43">
        <v>101.8</v>
      </c>
      <c r="H203" s="43">
        <v>0.4</v>
      </c>
      <c r="I203" s="43"/>
      <c r="J203" s="43">
        <v>1.2999999999999972</v>
      </c>
      <c r="K203" s="43">
        <v>16</v>
      </c>
      <c r="L203" s="97">
        <f t="shared" si="35"/>
        <v>8.3199999999999825</v>
      </c>
      <c r="M203" s="43" t="s">
        <v>56</v>
      </c>
      <c r="N203" s="43"/>
    </row>
    <row r="204" spans="1:14">
      <c r="A204" s="30"/>
      <c r="B204" s="42" t="s">
        <v>44</v>
      </c>
      <c r="C204" s="43" t="s">
        <v>17</v>
      </c>
      <c r="D204" s="43"/>
      <c r="E204" s="43" t="s">
        <v>92</v>
      </c>
      <c r="F204" s="43">
        <v>102.5</v>
      </c>
      <c r="G204" s="43">
        <v>103.5</v>
      </c>
      <c r="H204" s="43">
        <v>0.5</v>
      </c>
      <c r="I204" s="43"/>
      <c r="J204" s="43">
        <v>1</v>
      </c>
      <c r="K204" s="43">
        <v>20</v>
      </c>
      <c r="L204" s="97">
        <f t="shared" si="35"/>
        <v>10</v>
      </c>
      <c r="M204" s="43" t="s">
        <v>56</v>
      </c>
      <c r="N204" s="43"/>
    </row>
    <row r="205" spans="1:14">
      <c r="A205" s="30"/>
      <c r="B205" s="42" t="s">
        <v>44</v>
      </c>
      <c r="C205" s="43" t="s">
        <v>17</v>
      </c>
      <c r="D205" s="43"/>
      <c r="E205" s="43" t="s">
        <v>93</v>
      </c>
      <c r="F205" s="43">
        <v>102.5</v>
      </c>
      <c r="G205" s="43">
        <v>103.5</v>
      </c>
      <c r="H205" s="43">
        <v>0.4</v>
      </c>
      <c r="I205" s="43"/>
      <c r="J205" s="43">
        <v>1</v>
      </c>
      <c r="K205" s="43">
        <v>16</v>
      </c>
      <c r="L205" s="97">
        <f t="shared" si="35"/>
        <v>6.4</v>
      </c>
      <c r="M205" s="43" t="s">
        <v>56</v>
      </c>
      <c r="N205" s="43"/>
    </row>
    <row r="206" spans="1:14">
      <c r="A206" s="30"/>
      <c r="B206" s="42"/>
      <c r="C206" s="43"/>
      <c r="D206" s="43"/>
      <c r="E206" s="43"/>
      <c r="F206" s="43"/>
      <c r="G206" s="43"/>
      <c r="H206" s="43"/>
      <c r="I206" s="43"/>
      <c r="J206" s="43"/>
      <c r="K206" s="43"/>
      <c r="L206" s="97"/>
      <c r="M206" s="43"/>
      <c r="N206" s="43"/>
    </row>
    <row r="207" spans="1:14">
      <c r="A207" s="30"/>
      <c r="B207" s="42" t="s">
        <v>44</v>
      </c>
      <c r="C207" s="43" t="s">
        <v>17</v>
      </c>
      <c r="D207" s="43" t="s">
        <v>75</v>
      </c>
      <c r="E207" s="43"/>
      <c r="F207" s="43">
        <v>85.6</v>
      </c>
      <c r="G207" s="43">
        <v>86</v>
      </c>
      <c r="H207" s="43"/>
      <c r="I207" s="43">
        <v>4.25</v>
      </c>
      <c r="J207" s="43">
        <v>0.4</v>
      </c>
      <c r="K207" s="43">
        <v>20</v>
      </c>
      <c r="L207" s="97">
        <f t="shared" si="35"/>
        <v>34</v>
      </c>
      <c r="M207" s="43" t="s">
        <v>56</v>
      </c>
      <c r="N207" s="43"/>
    </row>
    <row r="208" spans="1:14">
      <c r="A208" s="30"/>
      <c r="B208" s="42" t="s">
        <v>44</v>
      </c>
      <c r="C208" s="43" t="s">
        <v>17</v>
      </c>
      <c r="D208" s="43" t="s">
        <v>77</v>
      </c>
      <c r="E208" s="43"/>
      <c r="F208" s="43">
        <v>88.800000000000011</v>
      </c>
      <c r="G208" s="43">
        <v>89.550000000000011</v>
      </c>
      <c r="H208" s="43"/>
      <c r="I208" s="43">
        <v>4</v>
      </c>
      <c r="J208" s="43">
        <v>0.75</v>
      </c>
      <c r="K208" s="43">
        <v>8</v>
      </c>
      <c r="L208" s="97">
        <f t="shared" si="35"/>
        <v>24</v>
      </c>
      <c r="M208" s="43" t="s">
        <v>56</v>
      </c>
      <c r="N208" s="43" t="s">
        <v>144</v>
      </c>
    </row>
    <row r="209" spans="1:14">
      <c r="A209" s="30"/>
      <c r="B209" s="42" t="s">
        <v>44</v>
      </c>
      <c r="C209" s="43" t="s">
        <v>17</v>
      </c>
      <c r="D209" s="43" t="s">
        <v>92</v>
      </c>
      <c r="E209" s="43"/>
      <c r="F209" s="43">
        <v>86.4</v>
      </c>
      <c r="G209" s="43">
        <v>88.5</v>
      </c>
      <c r="H209" s="43"/>
      <c r="I209" s="43">
        <v>0.7</v>
      </c>
      <c r="J209" s="43">
        <v>2.0999999999999943</v>
      </c>
      <c r="K209" s="43">
        <v>20</v>
      </c>
      <c r="L209" s="97">
        <f t="shared" si="35"/>
        <v>29.39999999999992</v>
      </c>
      <c r="M209" s="43" t="s">
        <v>56</v>
      </c>
      <c r="N209" s="43" t="str">
        <f>N208</f>
        <v>RA5</v>
      </c>
    </row>
    <row r="210" spans="1:14">
      <c r="A210" s="30"/>
      <c r="B210" s="42" t="s">
        <v>44</v>
      </c>
      <c r="C210" s="43" t="s">
        <v>17</v>
      </c>
      <c r="D210" s="43" t="s">
        <v>93</v>
      </c>
      <c r="E210" s="43"/>
      <c r="F210" s="43">
        <v>86.4</v>
      </c>
      <c r="G210" s="43">
        <v>88.5</v>
      </c>
      <c r="H210" s="43"/>
      <c r="I210" s="43">
        <v>0.7</v>
      </c>
      <c r="J210" s="43">
        <v>2.0999999999999943</v>
      </c>
      <c r="K210" s="43">
        <v>16</v>
      </c>
      <c r="L210" s="97">
        <f t="shared" si="35"/>
        <v>23.519999999999936</v>
      </c>
      <c r="M210" s="43" t="s">
        <v>56</v>
      </c>
      <c r="N210" s="43"/>
    </row>
    <row r="211" spans="1:14">
      <c r="A211" s="30"/>
      <c r="B211" s="42" t="s">
        <v>44</v>
      </c>
      <c r="C211" s="43" t="s">
        <v>17</v>
      </c>
      <c r="D211" s="43" t="s">
        <v>94</v>
      </c>
      <c r="E211" s="43"/>
      <c r="F211" s="43">
        <v>102.35</v>
      </c>
      <c r="G211" s="43">
        <v>102.5</v>
      </c>
      <c r="H211" s="43">
        <v>38.080000000000005</v>
      </c>
      <c r="I211" s="43"/>
      <c r="J211" s="43">
        <v>0.15</v>
      </c>
      <c r="K211" s="43">
        <v>2</v>
      </c>
      <c r="L211" s="97">
        <f t="shared" si="35"/>
        <v>11.424000000000001</v>
      </c>
      <c r="M211" s="43" t="s">
        <v>56</v>
      </c>
      <c r="N211" s="43"/>
    </row>
    <row r="212" spans="1:14">
      <c r="A212" s="30"/>
      <c r="B212" s="42" t="s">
        <v>44</v>
      </c>
      <c r="C212" s="43" t="s">
        <v>17</v>
      </c>
      <c r="D212" s="43" t="s">
        <v>94</v>
      </c>
      <c r="E212" s="43"/>
      <c r="F212" s="43">
        <v>102.35</v>
      </c>
      <c r="G212" s="43">
        <v>102.5</v>
      </c>
      <c r="H212" s="43"/>
      <c r="I212" s="43">
        <v>10.23</v>
      </c>
      <c r="J212" s="43">
        <v>0.15</v>
      </c>
      <c r="K212" s="43">
        <v>2</v>
      </c>
      <c r="L212" s="97">
        <f t="shared" si="35"/>
        <v>3.069</v>
      </c>
      <c r="M212" s="43" t="s">
        <v>56</v>
      </c>
      <c r="N212" s="43"/>
    </row>
    <row r="213" spans="1:14">
      <c r="A213" s="30"/>
      <c r="B213" s="42" t="s">
        <v>44</v>
      </c>
      <c r="C213" s="43" t="s">
        <v>17</v>
      </c>
      <c r="D213" s="43"/>
      <c r="E213" s="43" t="s">
        <v>88</v>
      </c>
      <c r="F213" s="43">
        <v>101.8</v>
      </c>
      <c r="G213" s="43">
        <v>102.35</v>
      </c>
      <c r="H213" s="43">
        <v>7.0500000000000007</v>
      </c>
      <c r="I213" s="43"/>
      <c r="J213" s="43">
        <v>0.55000000000000004</v>
      </c>
      <c r="K213" s="43">
        <v>20</v>
      </c>
      <c r="L213" s="97">
        <f t="shared" si="35"/>
        <v>77.550000000000011</v>
      </c>
      <c r="M213" s="43" t="s">
        <v>56</v>
      </c>
      <c r="N213" s="43"/>
    </row>
    <row r="214" spans="1:14">
      <c r="A214" s="30"/>
      <c r="B214" s="42" t="s">
        <v>44</v>
      </c>
      <c r="C214" s="43" t="s">
        <v>17</v>
      </c>
      <c r="D214" s="43"/>
      <c r="E214" s="43" t="s">
        <v>89</v>
      </c>
      <c r="F214" s="43">
        <v>101.8</v>
      </c>
      <c r="G214" s="43">
        <v>102.35</v>
      </c>
      <c r="H214" s="43">
        <v>0.98000000000000009</v>
      </c>
      <c r="I214" s="43"/>
      <c r="J214" s="43">
        <v>0.55000000000000004</v>
      </c>
      <c r="K214" s="43">
        <v>40</v>
      </c>
      <c r="L214" s="97">
        <f t="shared" si="35"/>
        <v>21.560000000000006</v>
      </c>
      <c r="M214" s="43" t="s">
        <v>56</v>
      </c>
      <c r="N214" s="43"/>
    </row>
    <row r="215" spans="1:14">
      <c r="A215" s="30"/>
      <c r="B215" s="42" t="s">
        <v>44</v>
      </c>
      <c r="C215" s="43" t="s">
        <v>17</v>
      </c>
      <c r="D215" s="43"/>
      <c r="E215" s="43" t="s">
        <v>89</v>
      </c>
      <c r="F215" s="43">
        <v>101.8</v>
      </c>
      <c r="G215" s="43">
        <v>102.35</v>
      </c>
      <c r="H215" s="43">
        <v>1.115</v>
      </c>
      <c r="I215" s="43"/>
      <c r="J215" s="43">
        <v>0.55000000000000004</v>
      </c>
      <c r="K215" s="43">
        <v>8</v>
      </c>
      <c r="L215" s="97">
        <f t="shared" si="35"/>
        <v>4.9060000000000006</v>
      </c>
      <c r="M215" s="43" t="s">
        <v>56</v>
      </c>
      <c r="N215" s="43"/>
    </row>
    <row r="216" spans="1:14">
      <c r="A216" s="30"/>
      <c r="B216" s="42" t="s">
        <v>44</v>
      </c>
      <c r="C216" s="43" t="s">
        <v>17</v>
      </c>
      <c r="D216" s="43"/>
      <c r="E216" s="43" t="s">
        <v>91</v>
      </c>
      <c r="F216" s="43">
        <v>101.64999999999999</v>
      </c>
      <c r="G216" s="43">
        <v>102.35</v>
      </c>
      <c r="H216" s="43">
        <v>23.25</v>
      </c>
      <c r="I216" s="43"/>
      <c r="J216" s="43">
        <v>0.7</v>
      </c>
      <c r="K216" s="43">
        <v>2</v>
      </c>
      <c r="L216" s="97">
        <f t="shared" si="35"/>
        <v>32.549999999999997</v>
      </c>
      <c r="M216" s="43" t="s">
        <v>56</v>
      </c>
      <c r="N216" s="43"/>
    </row>
    <row r="217" spans="1:14">
      <c r="A217" s="30"/>
      <c r="B217" s="42" t="s">
        <v>44</v>
      </c>
      <c r="C217" s="43" t="s">
        <v>17</v>
      </c>
      <c r="D217" s="43"/>
      <c r="E217" s="43" t="s">
        <v>89</v>
      </c>
      <c r="F217" s="43">
        <v>101.8</v>
      </c>
      <c r="G217" s="43">
        <v>102.35</v>
      </c>
      <c r="H217" s="43">
        <v>13.6</v>
      </c>
      <c r="I217" s="43"/>
      <c r="J217" s="43">
        <v>0.55000000000000004</v>
      </c>
      <c r="K217" s="43">
        <v>4</v>
      </c>
      <c r="L217" s="97">
        <f t="shared" si="35"/>
        <v>29.92</v>
      </c>
      <c r="M217" s="43" t="s">
        <v>56</v>
      </c>
      <c r="N217" s="43"/>
    </row>
    <row r="218" spans="1:14">
      <c r="A218" s="30"/>
      <c r="B218" s="42" t="s">
        <v>44</v>
      </c>
      <c r="C218" s="43" t="s">
        <v>17</v>
      </c>
      <c r="D218" s="43"/>
      <c r="E218" s="43" t="s">
        <v>89</v>
      </c>
      <c r="F218" s="43">
        <v>101.8</v>
      </c>
      <c r="G218" s="43">
        <v>102.35</v>
      </c>
      <c r="H218" s="43">
        <v>10.95</v>
      </c>
      <c r="I218" s="43"/>
      <c r="J218" s="43">
        <v>0.55000000000000004</v>
      </c>
      <c r="K218" s="43">
        <v>4</v>
      </c>
      <c r="L218" s="97">
        <f t="shared" si="35"/>
        <v>24.09</v>
      </c>
      <c r="M218" s="43" t="s">
        <v>56</v>
      </c>
      <c r="N218" s="43"/>
    </row>
    <row r="219" spans="1:14">
      <c r="A219" s="30"/>
      <c r="B219" s="42" t="s">
        <v>44</v>
      </c>
      <c r="C219" s="43" t="s">
        <v>17</v>
      </c>
      <c r="D219" s="43"/>
      <c r="E219" s="43" t="s">
        <v>92</v>
      </c>
      <c r="F219" s="43">
        <v>100.5</v>
      </c>
      <c r="G219" s="43">
        <v>101.8</v>
      </c>
      <c r="H219" s="43"/>
      <c r="I219" s="43">
        <v>0.7</v>
      </c>
      <c r="J219" s="43">
        <v>1.2999999999999972</v>
      </c>
      <c r="K219" s="43">
        <v>20</v>
      </c>
      <c r="L219" s="97">
        <f t="shared" si="35"/>
        <v>18.19999999999996</v>
      </c>
      <c r="M219" s="43" t="s">
        <v>56</v>
      </c>
      <c r="N219" s="43" t="s">
        <v>145</v>
      </c>
    </row>
    <row r="220" spans="1:14">
      <c r="A220" s="30"/>
      <c r="B220" s="42" t="s">
        <v>44</v>
      </c>
      <c r="C220" s="43" t="s">
        <v>17</v>
      </c>
      <c r="D220" s="43"/>
      <c r="E220" s="43" t="s">
        <v>93</v>
      </c>
      <c r="F220" s="43">
        <v>100.5</v>
      </c>
      <c r="G220" s="43">
        <v>101.8</v>
      </c>
      <c r="H220" s="43"/>
      <c r="I220" s="43">
        <v>0.7</v>
      </c>
      <c r="J220" s="43">
        <v>1.2999999999999972</v>
      </c>
      <c r="K220" s="43">
        <v>16</v>
      </c>
      <c r="L220" s="97">
        <f t="shared" si="35"/>
        <v>14.559999999999967</v>
      </c>
      <c r="M220" s="43" t="s">
        <v>56</v>
      </c>
      <c r="N220" s="43" t="str">
        <f>N219</f>
        <v>RA 5</v>
      </c>
    </row>
    <row r="221" spans="1:14">
      <c r="A221" s="30"/>
      <c r="B221" s="42" t="s">
        <v>44</v>
      </c>
      <c r="C221" s="43" t="s">
        <v>17</v>
      </c>
      <c r="D221" s="43"/>
      <c r="E221" s="43" t="s">
        <v>92</v>
      </c>
      <c r="F221" s="43">
        <v>102.5</v>
      </c>
      <c r="G221" s="43">
        <v>103.5</v>
      </c>
      <c r="H221" s="43"/>
      <c r="I221" s="43">
        <v>0.7</v>
      </c>
      <c r="J221" s="43">
        <v>1</v>
      </c>
      <c r="K221" s="43">
        <v>20</v>
      </c>
      <c r="L221" s="97">
        <f t="shared" si="35"/>
        <v>14</v>
      </c>
      <c r="M221" s="43" t="s">
        <v>56</v>
      </c>
      <c r="N221" s="43" t="str">
        <f>N220</f>
        <v>RA 5</v>
      </c>
    </row>
    <row r="222" spans="1:14">
      <c r="A222" s="44"/>
      <c r="B222" s="42" t="s">
        <v>44</v>
      </c>
      <c r="C222" s="43" t="s">
        <v>17</v>
      </c>
      <c r="D222" s="43"/>
      <c r="E222" s="43" t="s">
        <v>93</v>
      </c>
      <c r="F222" s="43">
        <v>102.5</v>
      </c>
      <c r="G222" s="43">
        <v>103.5</v>
      </c>
      <c r="H222" s="43"/>
      <c r="I222" s="43">
        <v>0.7</v>
      </c>
      <c r="J222" s="43">
        <v>1</v>
      </c>
      <c r="K222" s="43">
        <v>16</v>
      </c>
      <c r="L222" s="97">
        <f t="shared" si="35"/>
        <v>11.2</v>
      </c>
      <c r="M222" s="43" t="s">
        <v>56</v>
      </c>
      <c r="N222" s="43" t="str">
        <f>N221</f>
        <v>RA 5</v>
      </c>
    </row>
    <row r="223" spans="1:14" s="62" customFormat="1" ht="15.75">
      <c r="A223" s="120"/>
      <c r="B223" s="120" t="str">
        <f>B222</f>
        <v>6--9 Mtr</v>
      </c>
      <c r="C223" s="120"/>
      <c r="D223" s="120"/>
      <c r="E223" s="120"/>
      <c r="F223" s="120"/>
      <c r="G223" s="120"/>
      <c r="H223" s="120"/>
      <c r="I223" s="120"/>
      <c r="J223" s="120"/>
      <c r="K223" s="120"/>
      <c r="L223" s="121">
        <f>SUM(L195:L222)</f>
        <v>859.64589999999953</v>
      </c>
      <c r="M223" s="120" t="str">
        <f>M222</f>
        <v>Sqm</v>
      </c>
      <c r="N223" s="120"/>
    </row>
    <row r="224" spans="1:14">
      <c r="A224" s="30"/>
      <c r="B224" s="42" t="s">
        <v>47</v>
      </c>
      <c r="C224" s="43" t="s">
        <v>17</v>
      </c>
      <c r="D224" s="43" t="s">
        <v>88</v>
      </c>
      <c r="E224" s="43"/>
      <c r="F224" s="43">
        <v>106.3</v>
      </c>
      <c r="G224" s="43">
        <v>106.85</v>
      </c>
      <c r="H224" s="43">
        <v>7.0500000000000007</v>
      </c>
      <c r="I224" s="43">
        <v>0.35</v>
      </c>
      <c r="J224" s="43"/>
      <c r="K224" s="43">
        <v>6</v>
      </c>
      <c r="L224" s="97">
        <f>PRODUCT(H224:K224)</f>
        <v>14.805000000000001</v>
      </c>
      <c r="M224" s="43" t="s">
        <v>56</v>
      </c>
      <c r="N224" s="43"/>
    </row>
    <row r="225" spans="1:14">
      <c r="A225" s="30"/>
      <c r="B225" s="42" t="s">
        <v>47</v>
      </c>
      <c r="C225" s="43" t="s">
        <v>17</v>
      </c>
      <c r="D225" s="43" t="s">
        <v>94</v>
      </c>
      <c r="E225" s="43"/>
      <c r="F225" s="43">
        <v>106.85</v>
      </c>
      <c r="G225" s="43">
        <v>107</v>
      </c>
      <c r="H225" s="43">
        <v>7</v>
      </c>
      <c r="I225" s="43">
        <v>7.5</v>
      </c>
      <c r="J225" s="43"/>
      <c r="K225" s="43">
        <v>1</v>
      </c>
      <c r="L225" s="97">
        <f t="shared" ref="L225:L229" si="36">PRODUCT(H225:K225)</f>
        <v>52.5</v>
      </c>
      <c r="M225" s="43" t="s">
        <v>56</v>
      </c>
      <c r="N225" s="43"/>
    </row>
    <row r="226" spans="1:14">
      <c r="A226" s="30"/>
      <c r="B226" s="42"/>
      <c r="C226" s="43"/>
      <c r="D226" s="43"/>
      <c r="E226" s="43"/>
      <c r="F226" s="43"/>
      <c r="G226" s="43"/>
      <c r="H226" s="43"/>
      <c r="I226" s="43"/>
      <c r="J226" s="43"/>
      <c r="K226" s="43"/>
      <c r="L226" s="97"/>
      <c r="M226" s="43"/>
      <c r="N226" s="43"/>
    </row>
    <row r="227" spans="1:14">
      <c r="A227" s="30"/>
      <c r="B227" s="42" t="s">
        <v>47</v>
      </c>
      <c r="C227" s="43" t="s">
        <v>17</v>
      </c>
      <c r="D227" s="43" t="s">
        <v>88</v>
      </c>
      <c r="E227" s="43"/>
      <c r="F227" s="43">
        <v>106.3</v>
      </c>
      <c r="G227" s="43">
        <v>106.85</v>
      </c>
      <c r="H227" s="43">
        <v>7.0500000000000007</v>
      </c>
      <c r="I227" s="43"/>
      <c r="J227" s="43">
        <v>0.55000000000000004</v>
      </c>
      <c r="K227" s="43">
        <v>12</v>
      </c>
      <c r="L227" s="97">
        <f t="shared" si="36"/>
        <v>46.530000000000008</v>
      </c>
      <c r="M227" s="43" t="s">
        <v>56</v>
      </c>
      <c r="N227" s="43"/>
    </row>
    <row r="228" spans="1:14">
      <c r="A228" s="30"/>
      <c r="B228" s="42" t="s">
        <v>47</v>
      </c>
      <c r="C228" s="43" t="s">
        <v>17</v>
      </c>
      <c r="D228" s="43" t="s">
        <v>94</v>
      </c>
      <c r="E228" s="43"/>
      <c r="F228" s="43">
        <v>106.85</v>
      </c>
      <c r="G228" s="43">
        <v>107</v>
      </c>
      <c r="H228" s="43">
        <v>7</v>
      </c>
      <c r="I228" s="43"/>
      <c r="J228" s="43">
        <v>0.15</v>
      </c>
      <c r="K228" s="43">
        <v>2</v>
      </c>
      <c r="L228" s="97">
        <f t="shared" si="36"/>
        <v>2.1</v>
      </c>
      <c r="M228" s="43" t="s">
        <v>56</v>
      </c>
      <c r="N228" s="43"/>
    </row>
    <row r="229" spans="1:14">
      <c r="A229" s="44"/>
      <c r="B229" s="42" t="s">
        <v>47</v>
      </c>
      <c r="C229" s="43" t="s">
        <v>17</v>
      </c>
      <c r="D229" s="43" t="s">
        <v>94</v>
      </c>
      <c r="E229" s="43"/>
      <c r="F229" s="43">
        <v>106.85</v>
      </c>
      <c r="G229" s="43">
        <v>107</v>
      </c>
      <c r="H229" s="43"/>
      <c r="I229" s="43">
        <v>7.5</v>
      </c>
      <c r="J229" s="43">
        <v>0.15</v>
      </c>
      <c r="K229" s="43">
        <v>2</v>
      </c>
      <c r="L229" s="97">
        <f t="shared" si="36"/>
        <v>2.25</v>
      </c>
      <c r="M229" s="43" t="s">
        <v>56</v>
      </c>
      <c r="N229" s="43"/>
    </row>
    <row r="230" spans="1:14" s="62" customFormat="1" ht="15.75">
      <c r="A230" s="120"/>
      <c r="B230" s="120" t="str">
        <f>B229</f>
        <v>12--15 Mtr</v>
      </c>
      <c r="C230" s="120"/>
      <c r="D230" s="120"/>
      <c r="E230" s="120"/>
      <c r="F230" s="120"/>
      <c r="G230" s="120"/>
      <c r="H230" s="120"/>
      <c r="I230" s="120"/>
      <c r="J230" s="120"/>
      <c r="K230" s="120"/>
      <c r="L230" s="121">
        <f>SUM(L224:L229)</f>
        <v>118.185</v>
      </c>
      <c r="M230" s="120" t="str">
        <f>M229</f>
        <v>Sqm</v>
      </c>
      <c r="N230" s="120"/>
    </row>
    <row r="231" spans="1:14">
      <c r="A231" s="106"/>
      <c r="B231" s="40"/>
      <c r="C231" s="41"/>
      <c r="D231" s="41"/>
      <c r="E231" s="41"/>
      <c r="F231" s="41"/>
      <c r="G231" s="41"/>
      <c r="H231" s="41"/>
      <c r="I231" s="41"/>
      <c r="J231" s="41"/>
      <c r="K231" s="41"/>
      <c r="L231" s="95"/>
      <c r="M231" s="41"/>
      <c r="N231" s="41"/>
    </row>
    <row r="232" spans="1:14" s="62" customFormat="1" ht="15.75">
      <c r="A232" s="120"/>
      <c r="B232" s="120" t="s">
        <v>101</v>
      </c>
      <c r="C232" s="120"/>
      <c r="D232" s="120"/>
      <c r="E232" s="120"/>
      <c r="F232" s="120"/>
      <c r="G232" s="120"/>
      <c r="H232" s="120"/>
      <c r="I232" s="120"/>
      <c r="J232" s="120"/>
      <c r="K232" s="120"/>
      <c r="L232" s="121"/>
      <c r="M232" s="120"/>
      <c r="N232" s="120"/>
    </row>
    <row r="233" spans="1:14" s="62" customFormat="1" ht="15.75">
      <c r="A233" s="61"/>
      <c r="B233" s="61" t="s">
        <v>102</v>
      </c>
      <c r="C233" s="61"/>
      <c r="D233" s="61"/>
      <c r="E233" s="61"/>
      <c r="F233" s="61"/>
      <c r="G233" s="61"/>
      <c r="H233" s="61"/>
      <c r="I233" s="61"/>
      <c r="J233" s="61"/>
      <c r="K233" s="61"/>
      <c r="L233" s="122"/>
      <c r="M233" s="61"/>
      <c r="N233" s="61"/>
    </row>
    <row r="234" spans="1:14">
      <c r="A234" s="39"/>
      <c r="B234" s="40" t="s">
        <v>42</v>
      </c>
      <c r="C234" s="41" t="s">
        <v>17</v>
      </c>
      <c r="D234" s="41"/>
      <c r="E234" s="41"/>
      <c r="F234" s="41">
        <f>94.5+0.5</f>
        <v>95</v>
      </c>
      <c r="G234" s="41">
        <f>94.5+3</f>
        <v>97.5</v>
      </c>
      <c r="H234" s="41">
        <f>40-2-(0.4*5)</f>
        <v>36</v>
      </c>
      <c r="I234" s="41">
        <v>0.25</v>
      </c>
      <c r="J234" s="41">
        <f>G234-F234</f>
        <v>2.5</v>
      </c>
      <c r="K234" s="41">
        <v>2</v>
      </c>
      <c r="L234" s="95">
        <f>PRODUCT(H234:K234)</f>
        <v>45</v>
      </c>
      <c r="M234" s="41" t="s">
        <v>51</v>
      </c>
      <c r="N234" s="41"/>
    </row>
    <row r="235" spans="1:14">
      <c r="A235" s="39"/>
      <c r="B235" s="40" t="s">
        <v>42</v>
      </c>
      <c r="C235" s="41" t="s">
        <v>17</v>
      </c>
      <c r="D235" s="41"/>
      <c r="E235" s="41"/>
      <c r="F235" s="41">
        <f>94.5+0.5</f>
        <v>95</v>
      </c>
      <c r="G235" s="41">
        <f>94.5+3</f>
        <v>97.5</v>
      </c>
      <c r="H235" s="41">
        <f>7.5-0.175</f>
        <v>7.3250000000000002</v>
      </c>
      <c r="I235" s="41">
        <v>0.25</v>
      </c>
      <c r="J235" s="41">
        <f>G235-F235</f>
        <v>2.5</v>
      </c>
      <c r="K235" s="41">
        <v>2</v>
      </c>
      <c r="L235" s="95">
        <f>PRODUCT(H235:K235)</f>
        <v>9.15625</v>
      </c>
      <c r="M235" s="41" t="s">
        <v>51</v>
      </c>
      <c r="N235" s="41"/>
    </row>
    <row r="236" spans="1:14">
      <c r="A236" s="39"/>
      <c r="B236" s="40" t="s">
        <v>42</v>
      </c>
      <c r="C236" s="41" t="s">
        <v>17</v>
      </c>
      <c r="D236" s="41"/>
      <c r="E236" s="41"/>
      <c r="F236" s="41">
        <v>91.5</v>
      </c>
      <c r="G236" s="41">
        <v>93.3</v>
      </c>
      <c r="H236" s="41">
        <f>40-2-(0.4*5)</f>
        <v>36</v>
      </c>
      <c r="I236" s="41">
        <v>0.25</v>
      </c>
      <c r="J236" s="41">
        <f>G236-F236</f>
        <v>1.7999999999999972</v>
      </c>
      <c r="K236" s="41">
        <v>2</v>
      </c>
      <c r="L236" s="95">
        <f>PRODUCT(H236:K236)</f>
        <v>32.399999999999949</v>
      </c>
      <c r="M236" s="41" t="s">
        <v>51</v>
      </c>
      <c r="N236" s="41"/>
    </row>
    <row r="237" spans="1:14">
      <c r="A237" s="106"/>
      <c r="B237" s="40" t="s">
        <v>42</v>
      </c>
      <c r="C237" s="41" t="s">
        <v>17</v>
      </c>
      <c r="D237" s="41"/>
      <c r="E237" s="41"/>
      <c r="F237" s="41">
        <v>91.5</v>
      </c>
      <c r="G237" s="41">
        <v>93.3</v>
      </c>
      <c r="H237" s="41">
        <f>H235</f>
        <v>7.3250000000000002</v>
      </c>
      <c r="I237" s="41">
        <v>0.25</v>
      </c>
      <c r="J237" s="41">
        <f>G237-F237</f>
        <v>1.7999999999999972</v>
      </c>
      <c r="K237" s="41">
        <v>2</v>
      </c>
      <c r="L237" s="95">
        <f>PRODUCT(H237:K237)</f>
        <v>6.5924999999999896</v>
      </c>
      <c r="M237" s="41" t="s">
        <v>51</v>
      </c>
      <c r="N237" s="41"/>
    </row>
    <row r="238" spans="1:14" s="62" customFormat="1" ht="15.75">
      <c r="A238" s="120"/>
      <c r="B238" s="120" t="str">
        <f>B236</f>
        <v>0--3 Mtr</v>
      </c>
      <c r="C238" s="120"/>
      <c r="D238" s="120"/>
      <c r="E238" s="120"/>
      <c r="F238" s="120"/>
      <c r="G238" s="120"/>
      <c r="H238" s="120"/>
      <c r="I238" s="120"/>
      <c r="J238" s="120"/>
      <c r="K238" s="120"/>
      <c r="L238" s="121">
        <f>SUM(L234:L237)</f>
        <v>93.148749999999936</v>
      </c>
      <c r="M238" s="120" t="str">
        <f>M236</f>
        <v>Cum</v>
      </c>
      <c r="N238" s="120"/>
    </row>
    <row r="239" spans="1:14">
      <c r="A239" s="39"/>
      <c r="B239" s="40" t="s">
        <v>43</v>
      </c>
      <c r="C239" s="41" t="s">
        <v>17</v>
      </c>
      <c r="D239" s="41"/>
      <c r="E239" s="41"/>
      <c r="F239" s="41">
        <v>98.1</v>
      </c>
      <c r="G239" s="41">
        <f>94.5+6</f>
        <v>100.5</v>
      </c>
      <c r="H239" s="41">
        <v>36</v>
      </c>
      <c r="I239" s="41">
        <v>0.25</v>
      </c>
      <c r="J239" s="41">
        <f>G239-F239</f>
        <v>2.4000000000000057</v>
      </c>
      <c r="K239" s="41">
        <v>2</v>
      </c>
      <c r="L239" s="95">
        <f t="shared" ref="L239:L240" si="37">PRODUCT(H239:K239)</f>
        <v>43.200000000000102</v>
      </c>
      <c r="M239" s="41" t="str">
        <f>M238</f>
        <v>Cum</v>
      </c>
      <c r="N239" s="41"/>
    </row>
    <row r="240" spans="1:14">
      <c r="A240" s="39"/>
      <c r="B240" s="40" t="s">
        <v>43</v>
      </c>
      <c r="C240" s="41" t="s">
        <v>17</v>
      </c>
      <c r="D240" s="41"/>
      <c r="E240" s="41"/>
      <c r="F240" s="41">
        <v>98.1</v>
      </c>
      <c r="G240" s="41">
        <f>94.5+6</f>
        <v>100.5</v>
      </c>
      <c r="H240" s="41">
        <v>7.3250000000000002</v>
      </c>
      <c r="I240" s="41">
        <v>0.25</v>
      </c>
      <c r="J240" s="41">
        <f>G240-F240</f>
        <v>2.4000000000000057</v>
      </c>
      <c r="K240" s="41">
        <v>2</v>
      </c>
      <c r="L240" s="95">
        <f t="shared" si="37"/>
        <v>8.7900000000000205</v>
      </c>
      <c r="M240" s="41" t="str">
        <f>M239</f>
        <v>Cum</v>
      </c>
      <c r="N240" s="41"/>
    </row>
    <row r="241" spans="1:14">
      <c r="A241" s="39"/>
      <c r="B241" s="40" t="s">
        <v>43</v>
      </c>
      <c r="C241" s="41" t="s">
        <v>17</v>
      </c>
      <c r="D241" s="41"/>
      <c r="E241" s="41"/>
      <c r="F241" s="41">
        <v>89.35</v>
      </c>
      <c r="G241" s="41">
        <v>91.5</v>
      </c>
      <c r="H241" s="41">
        <v>36</v>
      </c>
      <c r="I241" s="41">
        <v>0.25</v>
      </c>
      <c r="J241" s="41">
        <f>G241-F241</f>
        <v>2.1500000000000057</v>
      </c>
      <c r="K241" s="41">
        <v>2</v>
      </c>
      <c r="L241" s="95">
        <f>PRODUCT(H241:K241)</f>
        <v>38.700000000000102</v>
      </c>
      <c r="M241" s="41" t="str">
        <f t="shared" ref="M241:M242" si="38">M240</f>
        <v>Cum</v>
      </c>
      <c r="N241" s="41"/>
    </row>
    <row r="242" spans="1:14">
      <c r="A242" s="106"/>
      <c r="B242" s="40" t="s">
        <v>43</v>
      </c>
      <c r="C242" s="41" t="s">
        <v>17</v>
      </c>
      <c r="D242" s="41"/>
      <c r="E242" s="41"/>
      <c r="F242" s="41">
        <v>89.35</v>
      </c>
      <c r="G242" s="41">
        <v>91.5</v>
      </c>
      <c r="H242" s="41">
        <v>7.3250000000000002</v>
      </c>
      <c r="I242" s="41">
        <v>0.25</v>
      </c>
      <c r="J242" s="41">
        <f>G242-F242</f>
        <v>2.1500000000000057</v>
      </c>
      <c r="K242" s="41">
        <v>2</v>
      </c>
      <c r="L242" s="95">
        <f>PRODUCT(H242:K242)</f>
        <v>7.874375000000021</v>
      </c>
      <c r="M242" s="41" t="str">
        <f t="shared" si="38"/>
        <v>Cum</v>
      </c>
      <c r="N242" s="41"/>
    </row>
    <row r="243" spans="1:14" s="62" customFormat="1" ht="15.75">
      <c r="A243" s="120"/>
      <c r="B243" s="120" t="str">
        <f>B241</f>
        <v>3--6 Mtr</v>
      </c>
      <c r="C243" s="120"/>
      <c r="D243" s="120"/>
      <c r="E243" s="120"/>
      <c r="F243" s="120"/>
      <c r="G243" s="120"/>
      <c r="H243" s="120"/>
      <c r="I243" s="120"/>
      <c r="J243" s="120"/>
      <c r="K243" s="120"/>
      <c r="L243" s="121">
        <f>SUM(L239:L242)</f>
        <v>98.56437500000024</v>
      </c>
      <c r="M243" s="120" t="str">
        <f>M241</f>
        <v>Cum</v>
      </c>
      <c r="N243" s="120"/>
    </row>
    <row r="244" spans="1:14">
      <c r="A244" s="39"/>
      <c r="B244" s="40" t="s">
        <v>44</v>
      </c>
      <c r="C244" s="41" t="s">
        <v>17</v>
      </c>
      <c r="D244" s="41"/>
      <c r="E244" s="41"/>
      <c r="F244" s="41">
        <v>100.5</v>
      </c>
      <c r="G244" s="41">
        <v>102.35</v>
      </c>
      <c r="H244" s="41">
        <v>36</v>
      </c>
      <c r="I244" s="41">
        <v>0.25</v>
      </c>
      <c r="J244" s="41">
        <f>G244-F244</f>
        <v>1.8499999999999943</v>
      </c>
      <c r="K244" s="41">
        <v>2</v>
      </c>
      <c r="L244" s="95">
        <f t="shared" ref="L244:L245" si="39">PRODUCT(H244:K244)</f>
        <v>33.299999999999898</v>
      </c>
      <c r="M244" s="41" t="s">
        <v>51</v>
      </c>
      <c r="N244" s="41"/>
    </row>
    <row r="245" spans="1:14">
      <c r="A245" s="26"/>
      <c r="B245" s="40" t="s">
        <v>44</v>
      </c>
      <c r="C245" s="41" t="s">
        <v>17</v>
      </c>
      <c r="D245" s="41"/>
      <c r="E245" s="41"/>
      <c r="F245" s="41">
        <v>100.5</v>
      </c>
      <c r="G245" s="41">
        <v>102.35</v>
      </c>
      <c r="H245" s="41">
        <v>7.3250000000000002</v>
      </c>
      <c r="I245" s="41">
        <v>0.25</v>
      </c>
      <c r="J245" s="41">
        <f>G245-F245</f>
        <v>1.8499999999999943</v>
      </c>
      <c r="K245" s="41">
        <v>2</v>
      </c>
      <c r="L245" s="95">
        <f t="shared" si="39"/>
        <v>6.7756249999999794</v>
      </c>
      <c r="M245" s="41" t="s">
        <v>51</v>
      </c>
      <c r="N245" s="41"/>
    </row>
    <row r="246" spans="1:14">
      <c r="A246" s="26"/>
      <c r="B246" s="40" t="s">
        <v>44</v>
      </c>
      <c r="C246" s="41" t="s">
        <v>17</v>
      </c>
      <c r="D246" s="41" t="s">
        <v>103</v>
      </c>
      <c r="E246" s="41"/>
      <c r="F246" s="41">
        <f>94.5+8.5</f>
        <v>103</v>
      </c>
      <c r="G246" s="41">
        <f>94.5+9.5</f>
        <v>104</v>
      </c>
      <c r="H246" s="41">
        <v>36</v>
      </c>
      <c r="I246" s="41">
        <v>0.25</v>
      </c>
      <c r="J246" s="41">
        <f>G246-F246</f>
        <v>1</v>
      </c>
      <c r="K246" s="41">
        <v>2</v>
      </c>
      <c r="L246" s="95">
        <f>PRODUCT(H246:K246)</f>
        <v>18</v>
      </c>
      <c r="M246" s="41" t="s">
        <v>51</v>
      </c>
      <c r="N246" s="41"/>
    </row>
    <row r="247" spans="1:14">
      <c r="A247" s="99"/>
      <c r="B247" s="40" t="s">
        <v>44</v>
      </c>
      <c r="C247" s="41" t="s">
        <v>17</v>
      </c>
      <c r="D247" s="41" t="str">
        <f>D246</f>
        <v>Parapet</v>
      </c>
      <c r="E247" s="41"/>
      <c r="F247" s="41">
        <f>94.5+8.5</f>
        <v>103</v>
      </c>
      <c r="G247" s="41">
        <f>94.5+9.5</f>
        <v>104</v>
      </c>
      <c r="H247" s="41">
        <v>7.3250000000000002</v>
      </c>
      <c r="I247" s="41">
        <v>0.25</v>
      </c>
      <c r="J247" s="41">
        <f>G247-F247</f>
        <v>1</v>
      </c>
      <c r="K247" s="41">
        <v>2</v>
      </c>
      <c r="L247" s="95">
        <f>PRODUCT(H247:K247)</f>
        <v>3.6625000000000001</v>
      </c>
      <c r="M247" s="41" t="s">
        <v>51</v>
      </c>
      <c r="N247" s="41"/>
    </row>
    <row r="248" spans="1:14" s="62" customFormat="1" ht="15.75">
      <c r="A248" s="120"/>
      <c r="B248" s="120" t="str">
        <f>B246</f>
        <v>6--9 Mtr</v>
      </c>
      <c r="C248" s="120"/>
      <c r="D248" s="120"/>
      <c r="E248" s="120"/>
      <c r="F248" s="120"/>
      <c r="G248" s="120"/>
      <c r="H248" s="120"/>
      <c r="I248" s="120"/>
      <c r="J248" s="120"/>
      <c r="K248" s="120"/>
      <c r="L248" s="121">
        <f>SUM(L244:L247)</f>
        <v>61.738124999999876</v>
      </c>
      <c r="M248" s="120" t="str">
        <f>M246</f>
        <v>Cum</v>
      </c>
      <c r="N248" s="120"/>
    </row>
    <row r="249" spans="1:14">
      <c r="A249" s="109"/>
      <c r="B249" s="109" t="s">
        <v>45</v>
      </c>
      <c r="C249" s="109" t="s">
        <v>17</v>
      </c>
      <c r="D249" s="109"/>
      <c r="E249" s="109"/>
      <c r="F249" s="109">
        <f>94.5+8.5</f>
        <v>103</v>
      </c>
      <c r="G249" s="109">
        <f>(94.5+12)-0.75</f>
        <v>105.75</v>
      </c>
      <c r="H249" s="109">
        <f>7-0.25-0.4-0.2</f>
        <v>6.1499999999999995</v>
      </c>
      <c r="I249" s="109">
        <v>0.25</v>
      </c>
      <c r="J249" s="109">
        <f>G249-F249</f>
        <v>2.75</v>
      </c>
      <c r="K249" s="109">
        <v>2</v>
      </c>
      <c r="L249" s="112">
        <f>PRODUCT(H249:K249)</f>
        <v>8.4562499999999989</v>
      </c>
      <c r="M249" s="109" t="s">
        <v>51</v>
      </c>
      <c r="N249" s="109"/>
    </row>
    <row r="250" spans="1:14">
      <c r="A250" s="99"/>
      <c r="B250" s="99" t="s">
        <v>45</v>
      </c>
      <c r="C250" s="99" t="s">
        <v>17</v>
      </c>
      <c r="D250" s="99"/>
      <c r="E250" s="99"/>
      <c r="F250" s="99">
        <f>94.5+8.5</f>
        <v>103</v>
      </c>
      <c r="G250" s="99">
        <f>(94.5+12)-0.75</f>
        <v>105.75</v>
      </c>
      <c r="H250" s="99">
        <f>7.5</f>
        <v>7.5</v>
      </c>
      <c r="I250" s="99">
        <v>0.25</v>
      </c>
      <c r="J250" s="99">
        <f>G250-F250</f>
        <v>2.75</v>
      </c>
      <c r="K250" s="99">
        <v>2</v>
      </c>
      <c r="L250" s="101">
        <f>PRODUCT(H250:K250)</f>
        <v>10.3125</v>
      </c>
      <c r="M250" s="99" t="str">
        <f>M249</f>
        <v>Cum</v>
      </c>
      <c r="N250" s="99"/>
    </row>
    <row r="251" spans="1:14" s="62" customFormat="1" ht="15.75">
      <c r="A251" s="120"/>
      <c r="B251" s="120" t="str">
        <f>B249</f>
        <v>9--12 Mtr</v>
      </c>
      <c r="C251" s="120"/>
      <c r="D251" s="120"/>
      <c r="E251" s="120"/>
      <c r="F251" s="120"/>
      <c r="G251" s="120"/>
      <c r="H251" s="120"/>
      <c r="I251" s="120"/>
      <c r="J251" s="120"/>
      <c r="K251" s="120"/>
      <c r="L251" s="121">
        <f>SUM(L249:L250)</f>
        <v>18.768749999999997</v>
      </c>
      <c r="M251" s="120" t="str">
        <f>M249</f>
        <v>Cum</v>
      </c>
      <c r="N251" s="120"/>
    </row>
    <row r="252" spans="1:14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14"/>
      <c r="M252" s="107"/>
      <c r="N252" s="107"/>
    </row>
    <row r="253" spans="1:14" s="62" customFormat="1" ht="15.75">
      <c r="A253" s="61"/>
      <c r="B253" s="61" t="s">
        <v>55</v>
      </c>
      <c r="C253" s="61"/>
      <c r="D253" s="61"/>
      <c r="E253" s="61"/>
      <c r="F253" s="61"/>
      <c r="G253" s="61"/>
      <c r="H253" s="61"/>
      <c r="I253" s="61"/>
      <c r="J253" s="61"/>
      <c r="K253" s="61"/>
      <c r="L253" s="122"/>
      <c r="M253" s="61"/>
      <c r="N253" s="61"/>
    </row>
    <row r="254" spans="1:14">
      <c r="A254" s="109"/>
      <c r="B254" s="109" t="s">
        <v>42</v>
      </c>
      <c r="C254" s="109" t="s">
        <v>17</v>
      </c>
      <c r="D254" s="109"/>
      <c r="E254" s="109"/>
      <c r="F254" s="109">
        <v>95</v>
      </c>
      <c r="G254" s="109">
        <v>97.5</v>
      </c>
      <c r="H254" s="109">
        <v>36</v>
      </c>
      <c r="I254" s="109"/>
      <c r="J254" s="109">
        <v>2.5</v>
      </c>
      <c r="K254" s="109">
        <v>4</v>
      </c>
      <c r="L254" s="112">
        <f>PRODUCT(H254:K254)</f>
        <v>360</v>
      </c>
      <c r="M254" s="109" t="s">
        <v>56</v>
      </c>
      <c r="N254" s="109"/>
    </row>
    <row r="255" spans="1:14">
      <c r="A255" s="26"/>
      <c r="B255" s="26" t="s">
        <v>42</v>
      </c>
      <c r="C255" s="26" t="s">
        <v>17</v>
      </c>
      <c r="D255" s="26"/>
      <c r="E255" s="26"/>
      <c r="F255" s="26">
        <v>95</v>
      </c>
      <c r="G255" s="26">
        <v>97.5</v>
      </c>
      <c r="H255" s="26">
        <v>7.3250000000000002</v>
      </c>
      <c r="I255" s="26"/>
      <c r="J255" s="26">
        <v>2.5</v>
      </c>
      <c r="K255" s="26">
        <v>4</v>
      </c>
      <c r="L255" s="93">
        <f t="shared" ref="L255:L257" si="40">PRODUCT(H255:K255)</f>
        <v>73.25</v>
      </c>
      <c r="M255" s="26" t="s">
        <v>56</v>
      </c>
      <c r="N255" s="26"/>
    </row>
    <row r="256" spans="1:14">
      <c r="A256" s="26"/>
      <c r="B256" s="26" t="s">
        <v>42</v>
      </c>
      <c r="C256" s="26" t="s">
        <v>17</v>
      </c>
      <c r="D256" s="26"/>
      <c r="E256" s="26"/>
      <c r="F256" s="26">
        <v>91.5</v>
      </c>
      <c r="G256" s="26">
        <v>93.3</v>
      </c>
      <c r="H256" s="26">
        <v>36</v>
      </c>
      <c r="I256" s="26"/>
      <c r="J256" s="26">
        <v>1.7999999999999972</v>
      </c>
      <c r="K256" s="26">
        <v>4</v>
      </c>
      <c r="L256" s="93">
        <f t="shared" si="40"/>
        <v>259.19999999999959</v>
      </c>
      <c r="M256" s="26" t="s">
        <v>56</v>
      </c>
      <c r="N256" s="26"/>
    </row>
    <row r="257" spans="1:14">
      <c r="A257" s="99"/>
      <c r="B257" s="99" t="s">
        <v>42</v>
      </c>
      <c r="C257" s="99" t="s">
        <v>17</v>
      </c>
      <c r="D257" s="99"/>
      <c r="E257" s="99"/>
      <c r="F257" s="99">
        <v>91.5</v>
      </c>
      <c r="G257" s="99">
        <v>93.3</v>
      </c>
      <c r="H257" s="99">
        <v>7.3250000000000002</v>
      </c>
      <c r="I257" s="99"/>
      <c r="J257" s="99">
        <v>1.7999999999999972</v>
      </c>
      <c r="K257" s="99">
        <v>4</v>
      </c>
      <c r="L257" s="101">
        <f t="shared" si="40"/>
        <v>52.739999999999917</v>
      </c>
      <c r="M257" s="99" t="s">
        <v>56</v>
      </c>
      <c r="N257" s="99"/>
    </row>
    <row r="258" spans="1:14" s="62" customFormat="1" ht="15.75">
      <c r="A258" s="120"/>
      <c r="B258" s="120" t="str">
        <f>B256</f>
        <v>0--3 Mtr</v>
      </c>
      <c r="C258" s="120"/>
      <c r="D258" s="120"/>
      <c r="E258" s="120"/>
      <c r="F258" s="120"/>
      <c r="G258" s="120"/>
      <c r="H258" s="120"/>
      <c r="I258" s="120"/>
      <c r="J258" s="120"/>
      <c r="K258" s="120"/>
      <c r="L258" s="121">
        <f>SUM(L254:L257)</f>
        <v>745.18999999999949</v>
      </c>
      <c r="M258" s="120" t="str">
        <f>M256</f>
        <v>Sqm</v>
      </c>
      <c r="N258" s="120"/>
    </row>
    <row r="259" spans="1:14">
      <c r="A259" s="109"/>
      <c r="B259" s="109" t="s">
        <v>43</v>
      </c>
      <c r="C259" s="109" t="s">
        <v>17</v>
      </c>
      <c r="D259" s="109"/>
      <c r="E259" s="109"/>
      <c r="F259" s="109">
        <v>98.1</v>
      </c>
      <c r="G259" s="109">
        <v>100.5</v>
      </c>
      <c r="H259" s="109">
        <v>36</v>
      </c>
      <c r="I259" s="109"/>
      <c r="J259" s="109">
        <v>2.4000000000000057</v>
      </c>
      <c r="K259" s="109">
        <v>4</v>
      </c>
      <c r="L259" s="112">
        <v>43.200000000000102</v>
      </c>
      <c r="M259" s="109" t="s">
        <v>56</v>
      </c>
      <c r="N259" s="109"/>
    </row>
    <row r="260" spans="1:14">
      <c r="A260" s="26"/>
      <c r="B260" s="26" t="s">
        <v>43</v>
      </c>
      <c r="C260" s="26" t="s">
        <v>17</v>
      </c>
      <c r="D260" s="26"/>
      <c r="E260" s="26"/>
      <c r="F260" s="26">
        <v>98.1</v>
      </c>
      <c r="G260" s="26">
        <v>100.5</v>
      </c>
      <c r="H260" s="26">
        <v>7.3250000000000002</v>
      </c>
      <c r="I260" s="26"/>
      <c r="J260" s="26">
        <v>2.4000000000000057</v>
      </c>
      <c r="K260" s="26">
        <v>4</v>
      </c>
      <c r="L260" s="93">
        <v>8.7900000000000205</v>
      </c>
      <c r="M260" s="26" t="s">
        <v>56</v>
      </c>
      <c r="N260" s="26"/>
    </row>
    <row r="261" spans="1:14">
      <c r="A261" s="26"/>
      <c r="B261" s="26" t="s">
        <v>43</v>
      </c>
      <c r="C261" s="26" t="s">
        <v>17</v>
      </c>
      <c r="D261" s="26"/>
      <c r="E261" s="26"/>
      <c r="F261" s="26">
        <v>89.35</v>
      </c>
      <c r="G261" s="26">
        <v>91.5</v>
      </c>
      <c r="H261" s="26">
        <v>36</v>
      </c>
      <c r="I261" s="26"/>
      <c r="J261" s="26">
        <v>2.1500000000000057</v>
      </c>
      <c r="K261" s="26">
        <v>4</v>
      </c>
      <c r="L261" s="93">
        <v>38.700000000000102</v>
      </c>
      <c r="M261" s="26" t="s">
        <v>56</v>
      </c>
      <c r="N261" s="26"/>
    </row>
    <row r="262" spans="1:14">
      <c r="A262" s="99"/>
      <c r="B262" s="99" t="s">
        <v>43</v>
      </c>
      <c r="C262" s="99" t="s">
        <v>17</v>
      </c>
      <c r="D262" s="99"/>
      <c r="E262" s="99"/>
      <c r="F262" s="99">
        <v>89.35</v>
      </c>
      <c r="G262" s="99">
        <v>91.5</v>
      </c>
      <c r="H262" s="99">
        <v>7.3250000000000002</v>
      </c>
      <c r="I262" s="99"/>
      <c r="J262" s="99">
        <v>2.1500000000000057</v>
      </c>
      <c r="K262" s="99">
        <v>4</v>
      </c>
      <c r="L262" s="101">
        <v>7.874375000000021</v>
      </c>
      <c r="M262" s="99" t="s">
        <v>56</v>
      </c>
      <c r="N262" s="99"/>
    </row>
    <row r="263" spans="1:14" s="62" customFormat="1" ht="15.75">
      <c r="A263" s="120"/>
      <c r="B263" s="120" t="str">
        <f>B261</f>
        <v>3--6 Mtr</v>
      </c>
      <c r="C263" s="120"/>
      <c r="D263" s="120"/>
      <c r="E263" s="120"/>
      <c r="F263" s="120"/>
      <c r="G263" s="120"/>
      <c r="H263" s="120"/>
      <c r="I263" s="120"/>
      <c r="J263" s="120"/>
      <c r="K263" s="120"/>
      <c r="L263" s="121">
        <f>SUM(L259:L262)</f>
        <v>98.56437500000024</v>
      </c>
      <c r="M263" s="120" t="str">
        <f>M261</f>
        <v>Sqm</v>
      </c>
      <c r="N263" s="120"/>
    </row>
    <row r="264" spans="1:14">
      <c r="A264" s="109"/>
      <c r="B264" s="109" t="s">
        <v>44</v>
      </c>
      <c r="C264" s="109" t="s">
        <v>17</v>
      </c>
      <c r="D264" s="109"/>
      <c r="E264" s="109"/>
      <c r="F264" s="109">
        <v>100.5</v>
      </c>
      <c r="G264" s="109">
        <v>102.35</v>
      </c>
      <c r="H264" s="109">
        <v>36</v>
      </c>
      <c r="I264" s="109"/>
      <c r="J264" s="109">
        <v>1.8499999999999943</v>
      </c>
      <c r="K264" s="109">
        <v>4</v>
      </c>
      <c r="L264" s="112">
        <f>PRODUCT(H264:K264)</f>
        <v>266.39999999999918</v>
      </c>
      <c r="M264" s="109" t="s">
        <v>56</v>
      </c>
      <c r="N264" s="109"/>
    </row>
    <row r="265" spans="1:14">
      <c r="A265" s="26"/>
      <c r="B265" s="26" t="s">
        <v>44</v>
      </c>
      <c r="C265" s="26" t="s">
        <v>17</v>
      </c>
      <c r="D265" s="26"/>
      <c r="E265" s="26"/>
      <c r="F265" s="26">
        <v>100.5</v>
      </c>
      <c r="G265" s="26">
        <v>102.35</v>
      </c>
      <c r="H265" s="26">
        <v>7.3250000000000002</v>
      </c>
      <c r="I265" s="26"/>
      <c r="J265" s="26">
        <v>1.8499999999999943</v>
      </c>
      <c r="K265" s="26">
        <v>4</v>
      </c>
      <c r="L265" s="93">
        <f t="shared" ref="L265:L267" si="41">PRODUCT(H265:K265)</f>
        <v>54.204999999999835</v>
      </c>
      <c r="M265" s="26" t="s">
        <v>56</v>
      </c>
      <c r="N265" s="26"/>
    </row>
    <row r="266" spans="1:14">
      <c r="A266" s="26"/>
      <c r="B266" s="26" t="s">
        <v>44</v>
      </c>
      <c r="C266" s="26" t="s">
        <v>17</v>
      </c>
      <c r="D266" s="26" t="s">
        <v>103</v>
      </c>
      <c r="E266" s="26"/>
      <c r="F266" s="26">
        <v>103</v>
      </c>
      <c r="G266" s="26">
        <v>104</v>
      </c>
      <c r="H266" s="26">
        <v>36</v>
      </c>
      <c r="I266" s="26"/>
      <c r="J266" s="26">
        <v>1</v>
      </c>
      <c r="K266" s="26">
        <v>4</v>
      </c>
      <c r="L266" s="93">
        <f t="shared" si="41"/>
        <v>144</v>
      </c>
      <c r="M266" s="26" t="s">
        <v>56</v>
      </c>
      <c r="N266" s="26"/>
    </row>
    <row r="267" spans="1:14">
      <c r="A267" s="99"/>
      <c r="B267" s="99" t="s">
        <v>44</v>
      </c>
      <c r="C267" s="99" t="s">
        <v>17</v>
      </c>
      <c r="D267" s="99" t="s">
        <v>103</v>
      </c>
      <c r="E267" s="99"/>
      <c r="F267" s="99">
        <v>103</v>
      </c>
      <c r="G267" s="99">
        <v>104</v>
      </c>
      <c r="H267" s="99">
        <v>7.3250000000000002</v>
      </c>
      <c r="I267" s="99"/>
      <c r="J267" s="99">
        <v>1</v>
      </c>
      <c r="K267" s="99">
        <v>4</v>
      </c>
      <c r="L267" s="101">
        <f t="shared" si="41"/>
        <v>29.3</v>
      </c>
      <c r="M267" s="99" t="s">
        <v>56</v>
      </c>
      <c r="N267" s="99"/>
    </row>
    <row r="268" spans="1:14" s="62" customFormat="1" ht="15.75">
      <c r="A268" s="120"/>
      <c r="B268" s="120" t="str">
        <f>B266</f>
        <v>6--9 Mtr</v>
      </c>
      <c r="C268" s="120"/>
      <c r="D268" s="120"/>
      <c r="E268" s="120"/>
      <c r="F268" s="120"/>
      <c r="G268" s="120"/>
      <c r="H268" s="120"/>
      <c r="I268" s="120"/>
      <c r="J268" s="120"/>
      <c r="K268" s="120"/>
      <c r="L268" s="121">
        <f>SUM(L264:L267)</f>
        <v>493.90499999999901</v>
      </c>
      <c r="M268" s="120" t="str">
        <f>M266</f>
        <v>Sqm</v>
      </c>
      <c r="N268" s="120"/>
    </row>
    <row r="269" spans="1:14">
      <c r="A269" s="109"/>
      <c r="B269" s="109" t="s">
        <v>45</v>
      </c>
      <c r="C269" s="109" t="s">
        <v>17</v>
      </c>
      <c r="D269" s="109"/>
      <c r="E269" s="109"/>
      <c r="F269" s="109">
        <v>103</v>
      </c>
      <c r="G269" s="109">
        <v>105.75</v>
      </c>
      <c r="H269" s="109">
        <v>6.1499999999999995</v>
      </c>
      <c r="I269" s="109"/>
      <c r="J269" s="109">
        <v>2.75</v>
      </c>
      <c r="K269" s="109">
        <v>4</v>
      </c>
      <c r="L269" s="112">
        <f>PRODUCT(H269:K269)</f>
        <v>67.649999999999991</v>
      </c>
      <c r="M269" s="109" t="s">
        <v>56</v>
      </c>
      <c r="N269" s="109"/>
    </row>
    <row r="270" spans="1:14">
      <c r="A270" s="99"/>
      <c r="B270" s="99" t="s">
        <v>45</v>
      </c>
      <c r="C270" s="99" t="s">
        <v>17</v>
      </c>
      <c r="D270" s="99"/>
      <c r="E270" s="99"/>
      <c r="F270" s="99">
        <v>103</v>
      </c>
      <c r="G270" s="99">
        <v>105.75</v>
      </c>
      <c r="H270" s="99">
        <v>7.5</v>
      </c>
      <c r="I270" s="99"/>
      <c r="J270" s="99">
        <v>2.75</v>
      </c>
      <c r="K270" s="99">
        <v>4</v>
      </c>
      <c r="L270" s="101">
        <f>PRODUCT(H270:K270)</f>
        <v>82.5</v>
      </c>
      <c r="M270" s="99" t="s">
        <v>56</v>
      </c>
      <c r="N270" s="99"/>
    </row>
    <row r="271" spans="1:14" s="62" customFormat="1" ht="15.75">
      <c r="A271" s="120"/>
      <c r="B271" s="120" t="str">
        <f>B269</f>
        <v>9--12 Mtr</v>
      </c>
      <c r="C271" s="120"/>
      <c r="D271" s="120"/>
      <c r="E271" s="120"/>
      <c r="F271" s="120"/>
      <c r="G271" s="120"/>
      <c r="H271" s="120"/>
      <c r="I271" s="120"/>
      <c r="J271" s="120"/>
      <c r="K271" s="120"/>
      <c r="L271" s="121">
        <f>SUM(L269:L270)</f>
        <v>150.14999999999998</v>
      </c>
      <c r="M271" s="120" t="str">
        <f>M269</f>
        <v>Sqm</v>
      </c>
      <c r="N271" s="120"/>
    </row>
    <row r="272" spans="1:14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14"/>
      <c r="M272" s="107"/>
      <c r="N272" s="107"/>
    </row>
    <row r="273" spans="1:14" s="62" customFormat="1" ht="15.75">
      <c r="A273" s="120"/>
      <c r="B273" s="120" t="s">
        <v>140</v>
      </c>
      <c r="C273" s="120"/>
      <c r="D273" s="120"/>
      <c r="E273" s="120"/>
      <c r="F273" s="120"/>
      <c r="G273" s="120"/>
      <c r="H273" s="120"/>
      <c r="I273" s="120"/>
      <c r="J273" s="120"/>
      <c r="K273" s="120"/>
      <c r="L273" s="121"/>
      <c r="M273" s="120"/>
      <c r="N273" s="120"/>
    </row>
    <row r="274" spans="1:14" s="62" customFormat="1" ht="15.75">
      <c r="A274" s="61"/>
      <c r="B274" s="61" t="str">
        <f>B273</f>
        <v>Fixing of Insert &amp; Jigs</v>
      </c>
      <c r="C274" s="61"/>
      <c r="D274" s="61"/>
      <c r="E274" s="61"/>
      <c r="F274" s="61"/>
      <c r="G274" s="61"/>
      <c r="H274" s="61"/>
      <c r="I274" s="61"/>
      <c r="J274" s="61"/>
      <c r="K274" s="61"/>
      <c r="L274" s="122"/>
      <c r="M274" s="61"/>
      <c r="N274" s="61"/>
    </row>
    <row r="275" spans="1:14" s="125" customFormat="1">
      <c r="A275" s="123"/>
      <c r="B275" s="63" t="s">
        <v>139</v>
      </c>
      <c r="C275" s="46" t="s">
        <v>17</v>
      </c>
      <c r="D275" s="46"/>
      <c r="E275" s="46"/>
      <c r="F275" s="46">
        <f>94.5+0.5</f>
        <v>95</v>
      </c>
      <c r="G275" s="46">
        <f>94.5+3</f>
        <v>97.5</v>
      </c>
      <c r="H275" s="46">
        <v>0.15</v>
      </c>
      <c r="I275" s="46">
        <f>H275</f>
        <v>0.15</v>
      </c>
      <c r="J275" s="46">
        <v>1.2E-2</v>
      </c>
      <c r="K275" s="46">
        <v>80</v>
      </c>
      <c r="L275" s="98">
        <f>(PRODUCT(H275:K275)*7850)/1000</f>
        <v>0.16955999999999999</v>
      </c>
      <c r="M275" s="46" t="s">
        <v>46</v>
      </c>
      <c r="N275" s="124" t="s">
        <v>105</v>
      </c>
    </row>
    <row r="276" spans="1:14">
      <c r="A276" s="39"/>
      <c r="B276" s="40" t="s">
        <v>141</v>
      </c>
      <c r="C276" s="41" t="s">
        <v>17</v>
      </c>
      <c r="D276" s="41"/>
      <c r="E276" s="41"/>
      <c r="F276" s="41">
        <f>94.5+0.5</f>
        <v>95</v>
      </c>
      <c r="G276" s="41">
        <f>94.5+3</f>
        <v>97.5</v>
      </c>
      <c r="H276" s="41">
        <v>7.4</v>
      </c>
      <c r="I276" s="41"/>
      <c r="J276" s="41">
        <v>8.9</v>
      </c>
      <c r="K276" s="41">
        <v>2</v>
      </c>
      <c r="L276" s="95">
        <f>(PRODUCT(H276:K276))/1000</f>
        <v>0.13172</v>
      </c>
      <c r="M276" s="41" t="str">
        <f>M275</f>
        <v>MT</v>
      </c>
      <c r="N276" s="47" t="str">
        <f>N275</f>
        <v>RA 4</v>
      </c>
    </row>
    <row r="277" spans="1:14">
      <c r="A277" s="39"/>
      <c r="B277" s="40" t="s">
        <v>141</v>
      </c>
      <c r="C277" s="41" t="s">
        <v>17</v>
      </c>
      <c r="D277" s="41"/>
      <c r="E277" s="41"/>
      <c r="F277" s="41">
        <v>91.5</v>
      </c>
      <c r="G277" s="41">
        <v>93.3</v>
      </c>
      <c r="H277" s="41">
        <v>11.4</v>
      </c>
      <c r="I277" s="41"/>
      <c r="J277" s="41">
        <f>J276</f>
        <v>8.9</v>
      </c>
      <c r="K277" s="41">
        <v>10</v>
      </c>
      <c r="L277" s="95">
        <f>(PRODUCT(H277:K277))/1000</f>
        <v>1.0146000000000002</v>
      </c>
      <c r="M277" s="41" t="str">
        <f>M276</f>
        <v>MT</v>
      </c>
      <c r="N277" s="47" t="str">
        <f>N276</f>
        <v>RA 4</v>
      </c>
    </row>
  </sheetData>
  <mergeCells count="4">
    <mergeCell ref="F5:G5"/>
    <mergeCell ref="A67:A72"/>
    <mergeCell ref="A85:A89"/>
    <mergeCell ref="A41:A6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view="pageBreakPreview" topLeftCell="A56" zoomScaleNormal="100" zoomScaleSheetLayoutView="100" workbookViewId="0">
      <selection sqref="A1:N80"/>
    </sheetView>
  </sheetViews>
  <sheetFormatPr defaultRowHeight="15"/>
  <cols>
    <col min="1" max="1" width="6.5703125" customWidth="1"/>
    <col min="2" max="2" width="25" customWidth="1"/>
    <col min="3" max="3" width="7.7109375" customWidth="1"/>
    <col min="4" max="4" width="20.5703125" customWidth="1"/>
    <col min="5" max="5" width="24.7109375" customWidth="1"/>
    <col min="8" max="11" width="8.140625" customWidth="1"/>
    <col min="12" max="12" width="12.28515625" customWidth="1"/>
  </cols>
  <sheetData>
    <row r="1" spans="1:14" s="75" customFormat="1" ht="17.25">
      <c r="A1" s="75" t="s">
        <v>130</v>
      </c>
      <c r="N1" s="64" t="s">
        <v>135</v>
      </c>
    </row>
    <row r="2" spans="1:14" s="75" customFormat="1" ht="17.25">
      <c r="A2" s="75" t="s">
        <v>134</v>
      </c>
      <c r="N2" s="64" t="s">
        <v>136</v>
      </c>
    </row>
    <row r="3" spans="1:14" s="75" customFormat="1" ht="17.25">
      <c r="A3" s="75" t="s">
        <v>131</v>
      </c>
      <c r="N3" s="64" t="s">
        <v>132</v>
      </c>
    </row>
    <row r="4" spans="1:14" s="75" customFormat="1" ht="17.25">
      <c r="A4" s="75" t="s">
        <v>133</v>
      </c>
      <c r="N4" s="76" t="s">
        <v>129</v>
      </c>
    </row>
    <row r="6" spans="1:14" s="62" customFormat="1" ht="38.25" thickBot="1">
      <c r="A6" s="58" t="s">
        <v>60</v>
      </c>
      <c r="B6" s="58" t="s">
        <v>5</v>
      </c>
      <c r="C6" s="58" t="s">
        <v>6</v>
      </c>
      <c r="D6" s="58" t="s">
        <v>61</v>
      </c>
      <c r="E6" s="58" t="s">
        <v>62</v>
      </c>
      <c r="F6" s="135" t="s">
        <v>63</v>
      </c>
      <c r="G6" s="135"/>
      <c r="H6" s="58" t="s">
        <v>64</v>
      </c>
      <c r="I6" s="58" t="s">
        <v>65</v>
      </c>
      <c r="J6" s="58" t="s">
        <v>66</v>
      </c>
      <c r="K6" s="58" t="s">
        <v>67</v>
      </c>
      <c r="L6" s="58" t="s">
        <v>13</v>
      </c>
      <c r="M6" s="58" t="s">
        <v>68</v>
      </c>
      <c r="N6" s="58" t="s">
        <v>104</v>
      </c>
    </row>
    <row r="7" spans="1:14" s="88" customFormat="1" ht="17.25" thickTop="1" thickBot="1">
      <c r="A7" s="87"/>
      <c r="B7" s="87" t="s">
        <v>128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</row>
    <row r="8" spans="1:14" s="49" customFormat="1" ht="15.75" thickTop="1">
      <c r="A8" s="60">
        <v>1</v>
      </c>
      <c r="B8" s="68" t="s">
        <v>42</v>
      </c>
      <c r="C8" s="59" t="s">
        <v>17</v>
      </c>
      <c r="D8" s="59" t="s">
        <v>88</v>
      </c>
      <c r="E8" s="59"/>
      <c r="F8" s="59">
        <f>G8-J8</f>
        <v>93.274999999999991</v>
      </c>
      <c r="G8" s="59">
        <v>93.85</v>
      </c>
      <c r="H8" s="59">
        <f>2.5+2.6+2.74-(0.15+0.15)</f>
        <v>7.54</v>
      </c>
      <c r="I8" s="59">
        <v>0.35</v>
      </c>
      <c r="J8" s="59">
        <f>0.7-0.125</f>
        <v>0.57499999999999996</v>
      </c>
      <c r="K8" s="59">
        <v>9</v>
      </c>
      <c r="L8" s="59">
        <f t="shared" ref="L8:L15" si="0">PRODUCT(H8:K8)</f>
        <v>13.656824999999998</v>
      </c>
      <c r="M8" s="59" t="s">
        <v>51</v>
      </c>
      <c r="N8" s="60" t="s">
        <v>105</v>
      </c>
    </row>
    <row r="9" spans="1:14" s="49" customFormat="1">
      <c r="A9" s="54">
        <v>2</v>
      </c>
      <c r="B9" s="69" t="s">
        <v>42</v>
      </c>
      <c r="C9" s="55" t="s">
        <v>17</v>
      </c>
      <c r="D9" s="55" t="s">
        <v>89</v>
      </c>
      <c r="E9" s="55" t="s">
        <v>90</v>
      </c>
      <c r="F9" s="55">
        <f>G9-J9</f>
        <v>93.524999999999991</v>
      </c>
      <c r="G9" s="55">
        <v>93.85</v>
      </c>
      <c r="H9" s="55">
        <f>1.33-(0.7-0.15)</f>
        <v>0.78000000000000014</v>
      </c>
      <c r="I9" s="55">
        <v>0.3</v>
      </c>
      <c r="J9" s="55">
        <f>0.45-0.125</f>
        <v>0.32500000000000001</v>
      </c>
      <c r="K9" s="55">
        <v>18</v>
      </c>
      <c r="L9" s="55">
        <f t="shared" si="0"/>
        <v>1.3689000000000004</v>
      </c>
      <c r="M9" s="55" t="s">
        <v>51</v>
      </c>
      <c r="N9" s="54" t="s">
        <v>105</v>
      </c>
    </row>
    <row r="10" spans="1:14" s="49" customFormat="1">
      <c r="A10" s="60">
        <v>3</v>
      </c>
      <c r="B10" s="70" t="s">
        <v>42</v>
      </c>
      <c r="C10" s="53" t="s">
        <v>17</v>
      </c>
      <c r="D10" s="53" t="str">
        <f>D9</f>
        <v>B2</v>
      </c>
      <c r="E10" s="53" t="str">
        <f>E9</f>
        <v>A1 (Cantilever)</v>
      </c>
      <c r="F10" s="53">
        <f>G10-J10</f>
        <v>94.524999999999991</v>
      </c>
      <c r="G10" s="53">
        <v>94.85</v>
      </c>
      <c r="H10" s="53">
        <f>1.365-0.275</f>
        <v>1.0899999999999999</v>
      </c>
      <c r="I10" s="53">
        <f>I9</f>
        <v>0.3</v>
      </c>
      <c r="J10" s="53">
        <f>J9</f>
        <v>0.32500000000000001</v>
      </c>
      <c r="K10" s="53">
        <v>4</v>
      </c>
      <c r="L10" s="53">
        <f t="shared" si="0"/>
        <v>0.42509999999999998</v>
      </c>
      <c r="M10" s="53" t="s">
        <v>51</v>
      </c>
      <c r="N10" s="54" t="s">
        <v>105</v>
      </c>
    </row>
    <row r="11" spans="1:14" s="49" customFormat="1">
      <c r="A11" s="54">
        <v>4</v>
      </c>
      <c r="B11" s="70" t="s">
        <v>42</v>
      </c>
      <c r="C11" s="53" t="s">
        <v>17</v>
      </c>
      <c r="D11" s="53" t="s">
        <v>89</v>
      </c>
      <c r="E11" s="53" t="s">
        <v>108</v>
      </c>
      <c r="F11" s="53">
        <v>93.3</v>
      </c>
      <c r="G11" s="53">
        <v>93.85</v>
      </c>
      <c r="H11" s="53">
        <f>3-0.3</f>
        <v>2.7</v>
      </c>
      <c r="I11" s="53">
        <f>I9</f>
        <v>0.3</v>
      </c>
      <c r="J11" s="53">
        <f>J10</f>
        <v>0.32500000000000001</v>
      </c>
      <c r="K11" s="53">
        <v>2</v>
      </c>
      <c r="L11" s="53">
        <f t="shared" si="0"/>
        <v>0.52650000000000008</v>
      </c>
      <c r="M11" s="53" t="s">
        <v>51</v>
      </c>
      <c r="N11" s="54" t="s">
        <v>105</v>
      </c>
    </row>
    <row r="12" spans="1:14" s="49" customFormat="1">
      <c r="A12" s="60">
        <v>5</v>
      </c>
      <c r="B12" s="70" t="s">
        <v>42</v>
      </c>
      <c r="C12" s="53" t="s">
        <v>17</v>
      </c>
      <c r="D12" s="53" t="s">
        <v>89</v>
      </c>
      <c r="E12" s="53" t="s">
        <v>106</v>
      </c>
      <c r="F12" s="53">
        <v>93.3</v>
      </c>
      <c r="G12" s="53">
        <v>93.85</v>
      </c>
      <c r="H12" s="53">
        <f>5-0.35</f>
        <v>4.6500000000000004</v>
      </c>
      <c r="I12" s="53">
        <f>I11</f>
        <v>0.3</v>
      </c>
      <c r="J12" s="53">
        <f>J10</f>
        <v>0.32500000000000001</v>
      </c>
      <c r="K12" s="53">
        <v>18</v>
      </c>
      <c r="L12" s="53">
        <f t="shared" si="0"/>
        <v>8.1607500000000002</v>
      </c>
      <c r="M12" s="53" t="s">
        <v>51</v>
      </c>
      <c r="N12" s="54" t="s">
        <v>105</v>
      </c>
    </row>
    <row r="13" spans="1:14" s="49" customFormat="1">
      <c r="A13" s="54">
        <v>6</v>
      </c>
      <c r="B13" s="70" t="s">
        <v>42</v>
      </c>
      <c r="C13" s="53" t="s">
        <v>17</v>
      </c>
      <c r="D13" s="53" t="str">
        <f>D12</f>
        <v>B2</v>
      </c>
      <c r="E13" s="53" t="s">
        <v>107</v>
      </c>
      <c r="F13" s="53">
        <v>93.3</v>
      </c>
      <c r="G13" s="53">
        <v>93.85</v>
      </c>
      <c r="H13" s="53">
        <f>3-0.3</f>
        <v>2.7</v>
      </c>
      <c r="I13" s="53">
        <f>I12</f>
        <v>0.3</v>
      </c>
      <c r="J13" s="53">
        <f>J12</f>
        <v>0.32500000000000001</v>
      </c>
      <c r="K13" s="53">
        <v>2</v>
      </c>
      <c r="L13" s="53">
        <f t="shared" si="0"/>
        <v>0.52650000000000008</v>
      </c>
      <c r="M13" s="53" t="s">
        <v>51</v>
      </c>
      <c r="N13" s="54" t="s">
        <v>105</v>
      </c>
    </row>
    <row r="14" spans="1:14" s="49" customFormat="1">
      <c r="A14" s="60">
        <v>7</v>
      </c>
      <c r="B14" s="70" t="s">
        <v>42</v>
      </c>
      <c r="C14" s="53" t="s">
        <v>17</v>
      </c>
      <c r="D14" s="53" t="str">
        <f>D13</f>
        <v>B2</v>
      </c>
      <c r="E14" s="53" t="s">
        <v>109</v>
      </c>
      <c r="F14" s="53">
        <v>93.3</v>
      </c>
      <c r="G14" s="53">
        <v>93.85</v>
      </c>
      <c r="H14" s="53">
        <f>4-0.3</f>
        <v>3.7</v>
      </c>
      <c r="I14" s="53">
        <f>I13</f>
        <v>0.3</v>
      </c>
      <c r="J14" s="53">
        <f>J13</f>
        <v>0.32500000000000001</v>
      </c>
      <c r="K14" s="53">
        <v>2</v>
      </c>
      <c r="L14" s="53">
        <f t="shared" si="0"/>
        <v>0.72150000000000014</v>
      </c>
      <c r="M14" s="53" t="s">
        <v>51</v>
      </c>
      <c r="N14" s="54" t="s">
        <v>105</v>
      </c>
    </row>
    <row r="15" spans="1:14" s="49" customFormat="1">
      <c r="A15" s="54">
        <v>8</v>
      </c>
      <c r="B15" s="70" t="s">
        <v>42</v>
      </c>
      <c r="C15" s="53" t="s">
        <v>17</v>
      </c>
      <c r="D15" s="53" t="str">
        <f>D14</f>
        <v>B2</v>
      </c>
      <c r="E15" s="53" t="s">
        <v>110</v>
      </c>
      <c r="F15" s="53">
        <v>93.3</v>
      </c>
      <c r="G15" s="53">
        <v>93.85</v>
      </c>
      <c r="H15" s="53">
        <f>(4.65*5)+(2*(3-(0.2+0.275)))+(4-(0.2+0.275))</f>
        <v>31.824999999999999</v>
      </c>
      <c r="I15" s="53">
        <f>I14</f>
        <v>0.3</v>
      </c>
      <c r="J15" s="53">
        <f>J14</f>
        <v>0.32500000000000001</v>
      </c>
      <c r="K15" s="53">
        <v>2</v>
      </c>
      <c r="L15" s="53">
        <f t="shared" si="0"/>
        <v>6.2058749999999998</v>
      </c>
      <c r="M15" s="53" t="s">
        <v>51</v>
      </c>
      <c r="N15" s="54" t="s">
        <v>105</v>
      </c>
    </row>
    <row r="16" spans="1:14" s="49" customFormat="1">
      <c r="A16" s="54"/>
      <c r="B16" s="7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4"/>
    </row>
    <row r="17" spans="1:14" s="49" customFormat="1">
      <c r="A17" s="54">
        <v>9</v>
      </c>
      <c r="B17" s="70" t="s">
        <v>42</v>
      </c>
      <c r="C17" s="53" t="s">
        <v>17</v>
      </c>
      <c r="D17" s="53" t="s">
        <v>94</v>
      </c>
      <c r="E17" s="53"/>
      <c r="F17" s="53">
        <v>102.35</v>
      </c>
      <c r="G17" s="53">
        <v>102.5</v>
      </c>
      <c r="H17" s="53">
        <f>35+1.365+1.365</f>
        <v>37.730000000000004</v>
      </c>
      <c r="I17" s="53">
        <v>10.23</v>
      </c>
      <c r="J17" s="53">
        <v>0.125</v>
      </c>
      <c r="K17" s="53">
        <v>1</v>
      </c>
      <c r="L17" s="53">
        <f t="shared" ref="L17:L20" si="1">PRODUCT(H17:K17)</f>
        <v>48.247237500000004</v>
      </c>
      <c r="M17" s="53" t="s">
        <v>51</v>
      </c>
      <c r="N17" s="54" t="s">
        <v>105</v>
      </c>
    </row>
    <row r="18" spans="1:14" s="49" customFormat="1">
      <c r="A18" s="54"/>
      <c r="B18" s="70" t="s">
        <v>42</v>
      </c>
      <c r="C18" s="51"/>
      <c r="D18" s="51"/>
      <c r="E18" s="53" t="s">
        <v>121</v>
      </c>
      <c r="F18" s="53">
        <v>102.35</v>
      </c>
      <c r="G18" s="53">
        <v>102.5</v>
      </c>
      <c r="H18" s="54">
        <v>4.7</v>
      </c>
      <c r="I18" s="53">
        <v>1</v>
      </c>
      <c r="J18" s="53">
        <v>0.125</v>
      </c>
      <c r="K18" s="53">
        <v>10</v>
      </c>
      <c r="L18" s="53">
        <f t="shared" si="1"/>
        <v>5.875</v>
      </c>
      <c r="M18" s="54" t="str">
        <f>M17</f>
        <v>Cum</v>
      </c>
      <c r="N18" s="54" t="s">
        <v>105</v>
      </c>
    </row>
    <row r="19" spans="1:14" s="49" customFormat="1">
      <c r="A19" s="54"/>
      <c r="B19" s="70" t="s">
        <v>42</v>
      </c>
      <c r="C19" s="51"/>
      <c r="D19" s="51"/>
      <c r="E19" s="53" t="s">
        <v>121</v>
      </c>
      <c r="F19" s="53">
        <v>102.35</v>
      </c>
      <c r="G19" s="53">
        <v>102.5</v>
      </c>
      <c r="H19" s="54">
        <v>2.7</v>
      </c>
      <c r="I19" s="53">
        <v>1</v>
      </c>
      <c r="J19" s="54">
        <f>J18</f>
        <v>0.125</v>
      </c>
      <c r="K19" s="53">
        <v>2</v>
      </c>
      <c r="L19" s="53">
        <f t="shared" si="1"/>
        <v>0.67500000000000004</v>
      </c>
      <c r="M19" s="54" t="str">
        <f>M18</f>
        <v>Cum</v>
      </c>
      <c r="N19" s="54" t="s">
        <v>105</v>
      </c>
    </row>
    <row r="20" spans="1:14" s="49" customFormat="1">
      <c r="A20" s="54"/>
      <c r="B20" s="70" t="s">
        <v>42</v>
      </c>
      <c r="C20" s="51"/>
      <c r="D20" s="51"/>
      <c r="E20" s="53" t="s">
        <v>122</v>
      </c>
      <c r="F20" s="53">
        <v>102.35</v>
      </c>
      <c r="G20" s="53">
        <v>102.5</v>
      </c>
      <c r="H20" s="51">
        <f>2.5+2.6+2.74-(0.3)</f>
        <v>7.54</v>
      </c>
      <c r="I20" s="51">
        <f>3-0.3</f>
        <v>2.7</v>
      </c>
      <c r="J20" s="51">
        <v>0.125</v>
      </c>
      <c r="K20" s="53">
        <v>1</v>
      </c>
      <c r="L20" s="53">
        <f t="shared" si="1"/>
        <v>2.5447500000000001</v>
      </c>
      <c r="M20" s="54" t="str">
        <f>M19</f>
        <v>Cum</v>
      </c>
      <c r="N20" s="54" t="s">
        <v>105</v>
      </c>
    </row>
    <row r="21" spans="1:14" s="49" customFormat="1">
      <c r="A21" s="54"/>
      <c r="B21" s="70"/>
      <c r="C21" s="51"/>
      <c r="D21" s="51"/>
      <c r="E21" s="51"/>
      <c r="F21" s="51"/>
      <c r="G21" s="51"/>
      <c r="H21" s="51"/>
      <c r="I21" s="51"/>
      <c r="J21" s="51"/>
      <c r="K21" s="51"/>
      <c r="L21" s="53"/>
      <c r="M21" s="51"/>
      <c r="N21" s="54"/>
    </row>
    <row r="22" spans="1:14">
      <c r="A22" s="57">
        <v>10</v>
      </c>
      <c r="B22" s="70" t="s">
        <v>42</v>
      </c>
      <c r="C22" s="56"/>
      <c r="D22" s="57" t="s">
        <v>111</v>
      </c>
      <c r="E22" s="56"/>
      <c r="F22" s="56"/>
      <c r="G22" s="56"/>
      <c r="H22" s="56"/>
      <c r="I22" s="56"/>
      <c r="J22" s="56"/>
      <c r="K22" s="56"/>
      <c r="L22" s="57">
        <f>L17-(SUM(L18:L20))</f>
        <v>39.152487500000007</v>
      </c>
      <c r="M22" s="57" t="s">
        <v>51</v>
      </c>
      <c r="N22" s="54" t="s">
        <v>105</v>
      </c>
    </row>
    <row r="23" spans="1:14">
      <c r="A23" s="57"/>
      <c r="B23" s="70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4"/>
    </row>
    <row r="24" spans="1:14">
      <c r="A24" s="57"/>
      <c r="B24" s="70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4"/>
    </row>
    <row r="25" spans="1:14">
      <c r="A25" s="57">
        <v>11</v>
      </c>
      <c r="B25" s="70" t="s">
        <v>42</v>
      </c>
      <c r="C25" s="56" t="s">
        <v>17</v>
      </c>
      <c r="D25" s="57" t="s">
        <v>119</v>
      </c>
      <c r="E25" s="57" t="s">
        <v>120</v>
      </c>
      <c r="F25" s="57" t="s">
        <v>96</v>
      </c>
      <c r="G25" s="57" t="s">
        <v>96</v>
      </c>
      <c r="H25" s="57">
        <v>4.2</v>
      </c>
      <c r="I25" s="57">
        <v>1.2</v>
      </c>
      <c r="J25" s="57">
        <v>0.15</v>
      </c>
      <c r="K25" s="57">
        <v>2</v>
      </c>
      <c r="L25" s="57">
        <v>1.512</v>
      </c>
      <c r="M25" s="57" t="s">
        <v>51</v>
      </c>
      <c r="N25" s="54" t="s">
        <v>105</v>
      </c>
    </row>
    <row r="26" spans="1:14">
      <c r="A26" s="57">
        <v>12</v>
      </c>
      <c r="B26" s="70" t="s">
        <v>42</v>
      </c>
      <c r="C26" s="56" t="s">
        <v>17</v>
      </c>
      <c r="D26" s="57" t="s">
        <v>119</v>
      </c>
      <c r="E26" s="57" t="s">
        <v>115</v>
      </c>
      <c r="F26" s="57" t="s">
        <v>96</v>
      </c>
      <c r="G26" s="57" t="s">
        <v>96</v>
      </c>
      <c r="H26" s="57">
        <v>2.65</v>
      </c>
      <c r="I26" s="57">
        <v>0.9</v>
      </c>
      <c r="J26" s="57">
        <v>0.15</v>
      </c>
      <c r="K26" s="57">
        <v>1</v>
      </c>
      <c r="L26" s="57">
        <v>0.35774999999999996</v>
      </c>
      <c r="M26" s="57" t="s">
        <v>51</v>
      </c>
      <c r="N26" s="54" t="s">
        <v>105</v>
      </c>
    </row>
    <row r="27" spans="1:14">
      <c r="A27" s="57">
        <v>13</v>
      </c>
      <c r="B27" s="70" t="s">
        <v>42</v>
      </c>
      <c r="C27" s="56" t="s">
        <v>17</v>
      </c>
      <c r="D27" s="57" t="s">
        <v>119</v>
      </c>
      <c r="E27" s="57" t="s">
        <v>116</v>
      </c>
      <c r="F27" s="57" t="s">
        <v>96</v>
      </c>
      <c r="G27" s="57" t="s">
        <v>96</v>
      </c>
      <c r="H27" s="57">
        <v>2.65</v>
      </c>
      <c r="I27" s="57">
        <v>2.17</v>
      </c>
      <c r="J27" s="57">
        <v>0.15</v>
      </c>
      <c r="K27" s="57">
        <v>1</v>
      </c>
      <c r="L27" s="57">
        <v>0.86257499999999998</v>
      </c>
      <c r="M27" s="57" t="s">
        <v>51</v>
      </c>
      <c r="N27" s="54" t="s">
        <v>105</v>
      </c>
    </row>
    <row r="28" spans="1:14">
      <c r="A28" s="57">
        <v>14</v>
      </c>
      <c r="B28" s="70" t="s">
        <v>42</v>
      </c>
      <c r="C28" s="56" t="s">
        <v>17</v>
      </c>
      <c r="D28" s="57" t="s">
        <v>119</v>
      </c>
      <c r="E28" s="57" t="s">
        <v>98</v>
      </c>
      <c r="F28" s="57" t="s">
        <v>96</v>
      </c>
      <c r="G28" s="57" t="s">
        <v>96</v>
      </c>
      <c r="H28" s="57">
        <v>8.7499999999999994E-2</v>
      </c>
      <c r="I28" s="57">
        <v>0.3</v>
      </c>
      <c r="J28" s="57">
        <v>1.2</v>
      </c>
      <c r="K28" s="57">
        <v>14</v>
      </c>
      <c r="L28" s="57">
        <v>0.441</v>
      </c>
      <c r="M28" s="57" t="s">
        <v>51</v>
      </c>
      <c r="N28" s="54" t="s">
        <v>105</v>
      </c>
    </row>
    <row r="29" spans="1:14">
      <c r="A29" s="57">
        <v>15</v>
      </c>
      <c r="B29" s="70" t="s">
        <v>42</v>
      </c>
      <c r="C29" s="56" t="s">
        <v>17</v>
      </c>
      <c r="D29" s="57" t="s">
        <v>119</v>
      </c>
      <c r="E29" s="57" t="s">
        <v>98</v>
      </c>
      <c r="F29" s="57" t="s">
        <v>96</v>
      </c>
      <c r="G29" s="57" t="s">
        <v>96</v>
      </c>
      <c r="H29" s="57">
        <v>7.85E-2</v>
      </c>
      <c r="I29" s="57">
        <v>0.3</v>
      </c>
      <c r="J29" s="57">
        <v>1.2</v>
      </c>
      <c r="K29" s="57">
        <v>13</v>
      </c>
      <c r="L29" s="57">
        <v>0.36737999999999998</v>
      </c>
      <c r="M29" s="57" t="s">
        <v>51</v>
      </c>
      <c r="N29" s="54" t="s">
        <v>105</v>
      </c>
    </row>
    <row r="30" spans="1:14">
      <c r="A30" s="57">
        <v>16</v>
      </c>
      <c r="B30" s="70" t="s">
        <v>42</v>
      </c>
      <c r="C30" s="56" t="s">
        <v>17</v>
      </c>
      <c r="D30" s="57" t="s">
        <v>119</v>
      </c>
      <c r="E30" s="57" t="s">
        <v>118</v>
      </c>
      <c r="F30" s="57" t="s">
        <v>96</v>
      </c>
      <c r="G30" s="57" t="s">
        <v>96</v>
      </c>
      <c r="H30" s="57">
        <v>2.65</v>
      </c>
      <c r="I30" s="57">
        <v>0.23</v>
      </c>
      <c r="J30" s="57">
        <v>0.3</v>
      </c>
      <c r="K30" s="57">
        <v>1</v>
      </c>
      <c r="L30" s="57">
        <v>0.18285000000000001</v>
      </c>
      <c r="M30" s="57" t="s">
        <v>51</v>
      </c>
      <c r="N30" s="54" t="s">
        <v>105</v>
      </c>
    </row>
    <row r="31" spans="1:14" s="50" customFormat="1" ht="18" thickBot="1">
      <c r="B31" s="72" t="s">
        <v>137</v>
      </c>
      <c r="L31" s="50">
        <f>SUM(L8:L15)+L22+(SUM(L25:L30))</f>
        <v>74.467992500000008</v>
      </c>
      <c r="M31" s="50" t="str">
        <f>M30</f>
        <v>Cum</v>
      </c>
      <c r="N31" s="50" t="str">
        <f>N30</f>
        <v>RA 4</v>
      </c>
    </row>
    <row r="32" spans="1:14" s="88" customFormat="1" ht="17.25" thickTop="1" thickBot="1">
      <c r="A32" s="87"/>
      <c r="B32" s="87" t="s">
        <v>127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</row>
    <row r="33" spans="1:14" ht="15.75" thickTop="1">
      <c r="A33" s="77">
        <v>17</v>
      </c>
      <c r="B33" s="68" t="s">
        <v>42</v>
      </c>
      <c r="C33" s="59" t="s">
        <v>17</v>
      </c>
      <c r="D33" s="59" t="s">
        <v>88</v>
      </c>
      <c r="E33" s="59"/>
      <c r="F33" s="59">
        <v>93.274999999999991</v>
      </c>
      <c r="G33" s="59">
        <v>93.85</v>
      </c>
      <c r="H33" s="59">
        <v>7.54</v>
      </c>
      <c r="I33" s="59"/>
      <c r="J33" s="59">
        <v>0.57499999999999996</v>
      </c>
      <c r="K33" s="59">
        <v>9</v>
      </c>
      <c r="L33" s="78">
        <f>PRODUCT(H33:K33)</f>
        <v>39.019499999999994</v>
      </c>
      <c r="M33" s="59" t="s">
        <v>56</v>
      </c>
      <c r="N33" s="60" t="s">
        <v>105</v>
      </c>
    </row>
    <row r="34" spans="1:14">
      <c r="A34" s="57">
        <v>18</v>
      </c>
      <c r="B34" s="70" t="s">
        <v>42</v>
      </c>
      <c r="C34" s="53" t="s">
        <v>17</v>
      </c>
      <c r="D34" s="53" t="s">
        <v>89</v>
      </c>
      <c r="E34" s="53" t="s">
        <v>90</v>
      </c>
      <c r="F34" s="53">
        <v>93.524999999999991</v>
      </c>
      <c r="G34" s="53">
        <v>93.85</v>
      </c>
      <c r="H34" s="53">
        <v>0.78000000000000014</v>
      </c>
      <c r="I34" s="53"/>
      <c r="J34" s="53">
        <v>0.32500000000000001</v>
      </c>
      <c r="K34" s="53">
        <v>18</v>
      </c>
      <c r="L34" s="65">
        <f>PRODUCT(H34:K34)</f>
        <v>4.5630000000000006</v>
      </c>
      <c r="M34" s="53" t="s">
        <v>56</v>
      </c>
      <c r="N34" s="54" t="s">
        <v>105</v>
      </c>
    </row>
    <row r="35" spans="1:14">
      <c r="A35" s="57">
        <v>19</v>
      </c>
      <c r="B35" s="70" t="s">
        <v>42</v>
      </c>
      <c r="C35" s="53" t="s">
        <v>17</v>
      </c>
      <c r="D35" s="53" t="s">
        <v>89</v>
      </c>
      <c r="E35" s="53" t="s">
        <v>90</v>
      </c>
      <c r="F35" s="53">
        <v>94.524999999999991</v>
      </c>
      <c r="G35" s="53">
        <v>94.85</v>
      </c>
      <c r="H35" s="53">
        <v>1.0899999999999999</v>
      </c>
      <c r="I35" s="53"/>
      <c r="J35" s="53">
        <v>0.32500000000000001</v>
      </c>
      <c r="K35" s="53">
        <v>4</v>
      </c>
      <c r="L35" s="65">
        <f t="shared" ref="L35:L40" si="2">PRODUCT(H35:K35)</f>
        <v>1.4169999999999998</v>
      </c>
      <c r="M35" s="53" t="s">
        <v>56</v>
      </c>
      <c r="N35" s="54" t="s">
        <v>105</v>
      </c>
    </row>
    <row r="36" spans="1:14">
      <c r="A36" s="57">
        <v>20</v>
      </c>
      <c r="B36" s="70" t="s">
        <v>42</v>
      </c>
      <c r="C36" s="53" t="s">
        <v>17</v>
      </c>
      <c r="D36" s="53" t="s">
        <v>89</v>
      </c>
      <c r="E36" s="53" t="s">
        <v>108</v>
      </c>
      <c r="F36" s="53">
        <v>93.3</v>
      </c>
      <c r="G36" s="53">
        <v>93.85</v>
      </c>
      <c r="H36" s="53">
        <v>2.7</v>
      </c>
      <c r="I36" s="53"/>
      <c r="J36" s="53">
        <v>0.32500000000000001</v>
      </c>
      <c r="K36" s="53">
        <v>2</v>
      </c>
      <c r="L36" s="65">
        <f t="shared" si="2"/>
        <v>1.7550000000000001</v>
      </c>
      <c r="M36" s="53" t="s">
        <v>56</v>
      </c>
      <c r="N36" s="54" t="s">
        <v>105</v>
      </c>
    </row>
    <row r="37" spans="1:14">
      <c r="A37" s="57">
        <v>21</v>
      </c>
      <c r="B37" s="70" t="s">
        <v>42</v>
      </c>
      <c r="C37" s="53" t="s">
        <v>17</v>
      </c>
      <c r="D37" s="53" t="s">
        <v>89</v>
      </c>
      <c r="E37" s="53" t="s">
        <v>106</v>
      </c>
      <c r="F37" s="53">
        <v>93.3</v>
      </c>
      <c r="G37" s="53">
        <v>93.85</v>
      </c>
      <c r="H37" s="53">
        <v>4.6500000000000004</v>
      </c>
      <c r="I37" s="53"/>
      <c r="J37" s="53">
        <v>0.32500000000000001</v>
      </c>
      <c r="K37" s="53">
        <v>18</v>
      </c>
      <c r="L37" s="65">
        <f t="shared" si="2"/>
        <v>27.202500000000004</v>
      </c>
      <c r="M37" s="53" t="s">
        <v>56</v>
      </c>
      <c r="N37" s="54" t="s">
        <v>105</v>
      </c>
    </row>
    <row r="38" spans="1:14">
      <c r="A38" s="57">
        <v>22</v>
      </c>
      <c r="B38" s="70" t="s">
        <v>42</v>
      </c>
      <c r="C38" s="53" t="s">
        <v>17</v>
      </c>
      <c r="D38" s="53" t="s">
        <v>89</v>
      </c>
      <c r="E38" s="53" t="s">
        <v>107</v>
      </c>
      <c r="F38" s="53">
        <v>93.3</v>
      </c>
      <c r="G38" s="53">
        <v>93.85</v>
      </c>
      <c r="H38" s="53">
        <v>2.7</v>
      </c>
      <c r="I38" s="53"/>
      <c r="J38" s="53">
        <v>0.32500000000000001</v>
      </c>
      <c r="K38" s="53">
        <v>2</v>
      </c>
      <c r="L38" s="65">
        <f t="shared" si="2"/>
        <v>1.7550000000000001</v>
      </c>
      <c r="M38" s="53" t="s">
        <v>56</v>
      </c>
      <c r="N38" s="54" t="s">
        <v>105</v>
      </c>
    </row>
    <row r="39" spans="1:14">
      <c r="A39" s="57">
        <v>23</v>
      </c>
      <c r="B39" s="70" t="s">
        <v>42</v>
      </c>
      <c r="C39" s="53" t="s">
        <v>17</v>
      </c>
      <c r="D39" s="53" t="s">
        <v>89</v>
      </c>
      <c r="E39" s="53" t="s">
        <v>109</v>
      </c>
      <c r="F39" s="53">
        <v>93.3</v>
      </c>
      <c r="G39" s="53">
        <v>93.85</v>
      </c>
      <c r="H39" s="53">
        <v>3.7</v>
      </c>
      <c r="I39" s="53"/>
      <c r="J39" s="53">
        <v>0.32500000000000001</v>
      </c>
      <c r="K39" s="53">
        <v>2</v>
      </c>
      <c r="L39" s="65">
        <f t="shared" si="2"/>
        <v>2.4050000000000002</v>
      </c>
      <c r="M39" s="53" t="s">
        <v>56</v>
      </c>
      <c r="N39" s="54" t="s">
        <v>105</v>
      </c>
    </row>
    <row r="40" spans="1:14">
      <c r="A40" s="57">
        <v>24</v>
      </c>
      <c r="B40" s="70" t="s">
        <v>42</v>
      </c>
      <c r="C40" s="53" t="s">
        <v>17</v>
      </c>
      <c r="D40" s="53" t="s">
        <v>89</v>
      </c>
      <c r="E40" s="53" t="s">
        <v>110</v>
      </c>
      <c r="F40" s="53">
        <v>93.3</v>
      </c>
      <c r="G40" s="53">
        <v>93.85</v>
      </c>
      <c r="H40" s="53">
        <v>31.824999999999999</v>
      </c>
      <c r="I40" s="53"/>
      <c r="J40" s="53">
        <v>0.32500000000000001</v>
      </c>
      <c r="K40" s="53">
        <v>2</v>
      </c>
      <c r="L40" s="65">
        <f t="shared" si="2"/>
        <v>20.686250000000001</v>
      </c>
      <c r="M40" s="53" t="s">
        <v>56</v>
      </c>
      <c r="N40" s="54" t="s">
        <v>105</v>
      </c>
    </row>
    <row r="41" spans="1:14">
      <c r="A41" s="57"/>
      <c r="B41" s="73"/>
      <c r="C41" s="56"/>
      <c r="D41" s="56"/>
      <c r="E41" s="56"/>
      <c r="F41" s="56"/>
      <c r="G41" s="56"/>
      <c r="H41" s="56"/>
      <c r="I41" s="56"/>
      <c r="J41" s="56"/>
      <c r="K41" s="56"/>
      <c r="L41" s="66"/>
      <c r="M41" s="56"/>
      <c r="N41" s="56"/>
    </row>
    <row r="42" spans="1:14">
      <c r="A42" s="57">
        <v>25</v>
      </c>
      <c r="B42" s="70" t="s">
        <v>42</v>
      </c>
      <c r="C42" s="53" t="s">
        <v>17</v>
      </c>
      <c r="D42" s="53" t="s">
        <v>112</v>
      </c>
      <c r="E42" s="53"/>
      <c r="F42" s="53">
        <v>102.35</v>
      </c>
      <c r="G42" s="53">
        <v>102.5</v>
      </c>
      <c r="H42" s="53">
        <v>37.730000000000004</v>
      </c>
      <c r="I42" s="53">
        <v>10.23</v>
      </c>
      <c r="J42" s="53"/>
      <c r="K42" s="53">
        <v>1</v>
      </c>
      <c r="L42" s="65">
        <f>PRODUCT(H42:K42)</f>
        <v>385.97790000000003</v>
      </c>
      <c r="M42" s="53" t="s">
        <v>56</v>
      </c>
      <c r="N42" s="54" t="s">
        <v>105</v>
      </c>
    </row>
    <row r="43" spans="1:14">
      <c r="A43" s="57"/>
      <c r="B43" s="70"/>
      <c r="C43" s="53"/>
      <c r="D43" s="53"/>
      <c r="E43" s="53" t="s">
        <v>121</v>
      </c>
      <c r="F43" s="53">
        <v>102.35</v>
      </c>
      <c r="G43" s="53">
        <v>102.5</v>
      </c>
      <c r="H43" s="53">
        <v>4.7</v>
      </c>
      <c r="I43" s="53">
        <v>1</v>
      </c>
      <c r="J43" s="53"/>
      <c r="K43" s="53">
        <v>10</v>
      </c>
      <c r="L43" s="65">
        <f t="shared" ref="L43:L46" si="3">PRODUCT(H43:K43)</f>
        <v>47</v>
      </c>
      <c r="M43" s="53" t="s">
        <v>56</v>
      </c>
      <c r="N43" s="54" t="s">
        <v>105</v>
      </c>
    </row>
    <row r="44" spans="1:14" ht="15.75" thickBot="1">
      <c r="A44" s="57"/>
      <c r="B44" s="70"/>
      <c r="C44" s="53"/>
      <c r="D44" s="53"/>
      <c r="E44" s="53" t="s">
        <v>121</v>
      </c>
      <c r="F44" s="53">
        <v>102.35</v>
      </c>
      <c r="G44" s="53">
        <v>102.5</v>
      </c>
      <c r="H44" s="53">
        <v>2.7</v>
      </c>
      <c r="I44" s="53">
        <v>1</v>
      </c>
      <c r="J44" s="53"/>
      <c r="K44" s="53">
        <v>2</v>
      </c>
      <c r="L44" s="65">
        <f t="shared" si="3"/>
        <v>5.4</v>
      </c>
      <c r="M44" s="53" t="s">
        <v>56</v>
      </c>
      <c r="N44" s="54" t="s">
        <v>105</v>
      </c>
    </row>
    <row r="45" spans="1:14" s="88" customFormat="1" ht="17.25" thickTop="1" thickBot="1">
      <c r="A45" s="87"/>
      <c r="B45" s="87" t="s">
        <v>127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</row>
    <row r="46" spans="1:14" ht="15.75" thickTop="1">
      <c r="A46" s="82"/>
      <c r="B46" s="83"/>
      <c r="C46" s="84"/>
      <c r="D46" s="84"/>
      <c r="E46" s="84" t="s">
        <v>122</v>
      </c>
      <c r="F46" s="84">
        <v>102.35</v>
      </c>
      <c r="G46" s="84">
        <v>102.5</v>
      </c>
      <c r="H46" s="84">
        <v>7.54</v>
      </c>
      <c r="I46" s="84">
        <v>2.7</v>
      </c>
      <c r="J46" s="84"/>
      <c r="K46" s="84">
        <v>1</v>
      </c>
      <c r="L46" s="85">
        <f t="shared" si="3"/>
        <v>20.358000000000001</v>
      </c>
      <c r="M46" s="84" t="s">
        <v>56</v>
      </c>
      <c r="N46" s="86" t="s">
        <v>105</v>
      </c>
    </row>
    <row r="47" spans="1:14">
      <c r="A47" s="77">
        <v>26</v>
      </c>
      <c r="B47" s="68"/>
      <c r="C47" s="59"/>
      <c r="D47" s="79" t="s">
        <v>123</v>
      </c>
      <c r="E47" s="59"/>
      <c r="F47" s="59"/>
      <c r="G47" s="59"/>
      <c r="H47" s="59"/>
      <c r="I47" s="59"/>
      <c r="J47" s="59"/>
      <c r="K47" s="59"/>
      <c r="L47" s="80">
        <f>L42-(SUM(L43:L46))</f>
        <v>313.21990000000005</v>
      </c>
      <c r="M47" s="79" t="str">
        <f>M46</f>
        <v>Sqm</v>
      </c>
      <c r="N47" s="81" t="s">
        <v>105</v>
      </c>
    </row>
    <row r="48" spans="1:14">
      <c r="A48" s="57">
        <v>27</v>
      </c>
      <c r="B48" s="70" t="s">
        <v>42</v>
      </c>
      <c r="C48" s="53" t="s">
        <v>17</v>
      </c>
      <c r="D48" s="53" t="s">
        <v>119</v>
      </c>
      <c r="E48" s="53" t="s">
        <v>95</v>
      </c>
      <c r="F48" s="53" t="s">
        <v>96</v>
      </c>
      <c r="G48" s="53" t="s">
        <v>96</v>
      </c>
      <c r="H48" s="53">
        <v>4.2</v>
      </c>
      <c r="I48" s="53">
        <v>1.2</v>
      </c>
      <c r="J48" s="53"/>
      <c r="K48" s="53">
        <v>2</v>
      </c>
      <c r="L48" s="65">
        <f>PRODUCT(H48:K48)</f>
        <v>10.08</v>
      </c>
      <c r="M48" s="53" t="s">
        <v>56</v>
      </c>
      <c r="N48" s="54" t="s">
        <v>105</v>
      </c>
    </row>
    <row r="49" spans="1:14">
      <c r="A49" s="57">
        <v>28</v>
      </c>
      <c r="B49" s="70" t="s">
        <v>42</v>
      </c>
      <c r="C49" s="53" t="s">
        <v>17</v>
      </c>
      <c r="D49" s="53" t="s">
        <v>119</v>
      </c>
      <c r="E49" s="53" t="s">
        <v>115</v>
      </c>
      <c r="F49" s="53" t="s">
        <v>96</v>
      </c>
      <c r="G49" s="53" t="s">
        <v>96</v>
      </c>
      <c r="H49" s="53">
        <v>2.65</v>
      </c>
      <c r="I49" s="53">
        <v>0.9</v>
      </c>
      <c r="J49" s="53"/>
      <c r="K49" s="53">
        <v>1</v>
      </c>
      <c r="L49" s="65">
        <f t="shared" ref="L49:L61" si="4">PRODUCT(H49:K49)</f>
        <v>2.3849999999999998</v>
      </c>
      <c r="M49" s="53" t="s">
        <v>56</v>
      </c>
      <c r="N49" s="54" t="s">
        <v>105</v>
      </c>
    </row>
    <row r="50" spans="1:14">
      <c r="A50" s="57">
        <v>29</v>
      </c>
      <c r="B50" s="70" t="s">
        <v>42</v>
      </c>
      <c r="C50" s="53" t="s">
        <v>17</v>
      </c>
      <c r="D50" s="53" t="s">
        <v>119</v>
      </c>
      <c r="E50" s="53" t="s">
        <v>116</v>
      </c>
      <c r="F50" s="53" t="s">
        <v>96</v>
      </c>
      <c r="G50" s="53" t="s">
        <v>96</v>
      </c>
      <c r="H50" s="53">
        <v>2.65</v>
      </c>
      <c r="I50" s="53">
        <v>2.17</v>
      </c>
      <c r="J50" s="53"/>
      <c r="K50" s="53">
        <v>1</v>
      </c>
      <c r="L50" s="65">
        <f t="shared" si="4"/>
        <v>5.7504999999999997</v>
      </c>
      <c r="M50" s="53" t="s">
        <v>56</v>
      </c>
      <c r="N50" s="54" t="s">
        <v>105</v>
      </c>
    </row>
    <row r="51" spans="1:14">
      <c r="A51" s="57">
        <v>30</v>
      </c>
      <c r="B51" s="70" t="s">
        <v>42</v>
      </c>
      <c r="C51" s="53" t="s">
        <v>17</v>
      </c>
      <c r="D51" s="53" t="s">
        <v>119</v>
      </c>
      <c r="E51" s="53" t="s">
        <v>126</v>
      </c>
      <c r="F51" s="53" t="s">
        <v>96</v>
      </c>
      <c r="G51" s="53" t="s">
        <v>96</v>
      </c>
      <c r="H51" s="53">
        <v>0.17499999999999999</v>
      </c>
      <c r="I51" s="53"/>
      <c r="J51" s="53">
        <v>1.2</v>
      </c>
      <c r="K51" s="53">
        <v>14</v>
      </c>
      <c r="L51" s="65">
        <f t="shared" si="4"/>
        <v>2.94</v>
      </c>
      <c r="M51" s="53" t="s">
        <v>56</v>
      </c>
      <c r="N51" s="54" t="s">
        <v>105</v>
      </c>
    </row>
    <row r="52" spans="1:14">
      <c r="A52" s="57">
        <v>31</v>
      </c>
      <c r="B52" s="70" t="s">
        <v>42</v>
      </c>
      <c r="C52" s="53" t="s">
        <v>17</v>
      </c>
      <c r="D52" s="53" t="s">
        <v>119</v>
      </c>
      <c r="E52" s="53" t="s">
        <v>126</v>
      </c>
      <c r="F52" s="53" t="s">
        <v>96</v>
      </c>
      <c r="G52" s="53" t="s">
        <v>96</v>
      </c>
      <c r="H52" s="53">
        <v>0.157</v>
      </c>
      <c r="I52" s="53"/>
      <c r="J52" s="53">
        <v>1.2</v>
      </c>
      <c r="K52" s="53">
        <v>13</v>
      </c>
      <c r="L52" s="65">
        <f t="shared" si="4"/>
        <v>2.4491999999999998</v>
      </c>
      <c r="M52" s="53" t="s">
        <v>56</v>
      </c>
      <c r="N52" s="54" t="s">
        <v>105</v>
      </c>
    </row>
    <row r="53" spans="1:14">
      <c r="A53" s="57">
        <v>32</v>
      </c>
      <c r="B53" s="70" t="s">
        <v>42</v>
      </c>
      <c r="C53" s="53" t="s">
        <v>17</v>
      </c>
      <c r="D53" s="53" t="s">
        <v>119</v>
      </c>
      <c r="E53" s="53" t="s">
        <v>118</v>
      </c>
      <c r="F53" s="53" t="s">
        <v>96</v>
      </c>
      <c r="G53" s="53" t="s">
        <v>96</v>
      </c>
      <c r="H53" s="53">
        <v>2.65</v>
      </c>
      <c r="I53" s="53"/>
      <c r="J53" s="53">
        <v>0.3</v>
      </c>
      <c r="K53" s="53">
        <v>2</v>
      </c>
      <c r="L53" s="65">
        <f t="shared" si="4"/>
        <v>1.5899999999999999</v>
      </c>
      <c r="M53" s="53" t="s">
        <v>56</v>
      </c>
      <c r="N53" s="54" t="s">
        <v>105</v>
      </c>
    </row>
    <row r="54" spans="1:14">
      <c r="A54" s="57">
        <v>33</v>
      </c>
      <c r="B54" s="70" t="s">
        <v>42</v>
      </c>
      <c r="C54" s="53" t="s">
        <v>17</v>
      </c>
      <c r="D54" s="53" t="s">
        <v>88</v>
      </c>
      <c r="E54" s="53"/>
      <c r="F54" s="53">
        <v>93.274999999999991</v>
      </c>
      <c r="G54" s="53">
        <v>93.85</v>
      </c>
      <c r="H54" s="53">
        <v>7.54</v>
      </c>
      <c r="I54" s="53">
        <v>0.35</v>
      </c>
      <c r="J54" s="53"/>
      <c r="K54" s="53">
        <v>18</v>
      </c>
      <c r="L54" s="65">
        <f t="shared" si="4"/>
        <v>47.501999999999995</v>
      </c>
      <c r="M54" s="53" t="s">
        <v>56</v>
      </c>
      <c r="N54" s="54" t="s">
        <v>105</v>
      </c>
    </row>
    <row r="55" spans="1:14">
      <c r="A55" s="57">
        <v>34</v>
      </c>
      <c r="B55" s="70" t="s">
        <v>42</v>
      </c>
      <c r="C55" s="53" t="s">
        <v>17</v>
      </c>
      <c r="D55" s="53" t="s">
        <v>89</v>
      </c>
      <c r="E55" s="53" t="s">
        <v>90</v>
      </c>
      <c r="F55" s="53">
        <v>93.524999999999991</v>
      </c>
      <c r="G55" s="53">
        <v>93.85</v>
      </c>
      <c r="H55" s="53">
        <v>0.78000000000000014</v>
      </c>
      <c r="I55" s="53">
        <v>0.3</v>
      </c>
      <c r="J55" s="53"/>
      <c r="K55" s="53">
        <v>36</v>
      </c>
      <c r="L55" s="65">
        <f t="shared" si="4"/>
        <v>8.4240000000000013</v>
      </c>
      <c r="M55" s="53" t="s">
        <v>56</v>
      </c>
      <c r="N55" s="54" t="s">
        <v>105</v>
      </c>
    </row>
    <row r="56" spans="1:14">
      <c r="A56" s="57">
        <v>35</v>
      </c>
      <c r="B56" s="70" t="s">
        <v>42</v>
      </c>
      <c r="C56" s="53" t="s">
        <v>17</v>
      </c>
      <c r="D56" s="53" t="s">
        <v>89</v>
      </c>
      <c r="E56" s="53" t="s">
        <v>90</v>
      </c>
      <c r="F56" s="53">
        <v>94.524999999999991</v>
      </c>
      <c r="G56" s="53">
        <v>94.85</v>
      </c>
      <c r="H56" s="53">
        <v>1.0899999999999999</v>
      </c>
      <c r="I56" s="53">
        <v>0.3</v>
      </c>
      <c r="J56" s="53"/>
      <c r="K56" s="53">
        <v>8</v>
      </c>
      <c r="L56" s="65">
        <f t="shared" si="4"/>
        <v>2.6159999999999997</v>
      </c>
      <c r="M56" s="53" t="s">
        <v>56</v>
      </c>
      <c r="N56" s="54" t="s">
        <v>105</v>
      </c>
    </row>
    <row r="57" spans="1:14">
      <c r="A57" s="57">
        <v>36</v>
      </c>
      <c r="B57" s="70" t="s">
        <v>42</v>
      </c>
      <c r="C57" s="53" t="s">
        <v>17</v>
      </c>
      <c r="D57" s="53" t="s">
        <v>89</v>
      </c>
      <c r="E57" s="53" t="s">
        <v>108</v>
      </c>
      <c r="F57" s="53">
        <v>93.3</v>
      </c>
      <c r="G57" s="53">
        <v>93.85</v>
      </c>
      <c r="H57" s="53">
        <v>2.7</v>
      </c>
      <c r="I57" s="53">
        <v>0.3</v>
      </c>
      <c r="J57" s="53"/>
      <c r="K57" s="53">
        <v>4</v>
      </c>
      <c r="L57" s="65">
        <f t="shared" si="4"/>
        <v>3.24</v>
      </c>
      <c r="M57" s="53" t="s">
        <v>56</v>
      </c>
      <c r="N57" s="54" t="s">
        <v>105</v>
      </c>
    </row>
    <row r="58" spans="1:14">
      <c r="A58" s="57">
        <v>37</v>
      </c>
      <c r="B58" s="70" t="s">
        <v>42</v>
      </c>
      <c r="C58" s="53" t="s">
        <v>17</v>
      </c>
      <c r="D58" s="53" t="s">
        <v>89</v>
      </c>
      <c r="E58" s="53" t="s">
        <v>106</v>
      </c>
      <c r="F58" s="53">
        <v>93.3</v>
      </c>
      <c r="G58" s="53">
        <v>93.85</v>
      </c>
      <c r="H58" s="53">
        <v>4.6500000000000004</v>
      </c>
      <c r="I58" s="53">
        <v>0.3</v>
      </c>
      <c r="J58" s="53"/>
      <c r="K58" s="53">
        <v>36</v>
      </c>
      <c r="L58" s="65">
        <f t="shared" si="4"/>
        <v>50.22</v>
      </c>
      <c r="M58" s="53" t="s">
        <v>56</v>
      </c>
      <c r="N58" s="54" t="s">
        <v>105</v>
      </c>
    </row>
    <row r="59" spans="1:14">
      <c r="A59" s="57">
        <v>38</v>
      </c>
      <c r="B59" s="70" t="s">
        <v>42</v>
      </c>
      <c r="C59" s="53" t="s">
        <v>17</v>
      </c>
      <c r="D59" s="53" t="s">
        <v>89</v>
      </c>
      <c r="E59" s="53" t="s">
        <v>107</v>
      </c>
      <c r="F59" s="53">
        <v>93.3</v>
      </c>
      <c r="G59" s="53">
        <v>93.85</v>
      </c>
      <c r="H59" s="53">
        <v>2.7</v>
      </c>
      <c r="I59" s="53">
        <v>0.3</v>
      </c>
      <c r="J59" s="53"/>
      <c r="K59" s="53">
        <v>4</v>
      </c>
      <c r="L59" s="65">
        <f t="shared" si="4"/>
        <v>3.24</v>
      </c>
      <c r="M59" s="53" t="s">
        <v>56</v>
      </c>
      <c r="N59" s="54" t="s">
        <v>105</v>
      </c>
    </row>
    <row r="60" spans="1:14">
      <c r="A60" s="57">
        <v>39</v>
      </c>
      <c r="B60" s="70" t="s">
        <v>42</v>
      </c>
      <c r="C60" s="53" t="s">
        <v>17</v>
      </c>
      <c r="D60" s="53" t="s">
        <v>89</v>
      </c>
      <c r="E60" s="53" t="s">
        <v>109</v>
      </c>
      <c r="F60" s="53">
        <v>93.3</v>
      </c>
      <c r="G60" s="53">
        <v>93.85</v>
      </c>
      <c r="H60" s="53">
        <v>3.7</v>
      </c>
      <c r="I60" s="53">
        <v>0.3</v>
      </c>
      <c r="J60" s="53"/>
      <c r="K60" s="53">
        <v>4</v>
      </c>
      <c r="L60" s="65">
        <f t="shared" si="4"/>
        <v>4.4400000000000004</v>
      </c>
      <c r="M60" s="53" t="s">
        <v>56</v>
      </c>
      <c r="N60" s="54" t="s">
        <v>105</v>
      </c>
    </row>
    <row r="61" spans="1:14">
      <c r="A61" s="57">
        <v>40</v>
      </c>
      <c r="B61" s="70" t="s">
        <v>42</v>
      </c>
      <c r="C61" s="53" t="s">
        <v>17</v>
      </c>
      <c r="D61" s="53" t="s">
        <v>89</v>
      </c>
      <c r="E61" s="53" t="s">
        <v>110</v>
      </c>
      <c r="F61" s="53">
        <v>93.3</v>
      </c>
      <c r="G61" s="53">
        <v>93.85</v>
      </c>
      <c r="H61" s="53">
        <v>31.824999999999999</v>
      </c>
      <c r="I61" s="53">
        <v>0.3</v>
      </c>
      <c r="J61" s="53"/>
      <c r="K61" s="53">
        <v>4</v>
      </c>
      <c r="L61" s="65">
        <f t="shared" si="4"/>
        <v>38.19</v>
      </c>
      <c r="M61" s="53" t="s">
        <v>56</v>
      </c>
      <c r="N61" s="54" t="s">
        <v>105</v>
      </c>
    </row>
    <row r="62" spans="1:14">
      <c r="A62" s="57">
        <v>41</v>
      </c>
      <c r="B62" s="70" t="s">
        <v>42</v>
      </c>
      <c r="C62" s="53" t="s">
        <v>17</v>
      </c>
      <c r="D62" s="53" t="s">
        <v>112</v>
      </c>
      <c r="E62" s="53" t="s">
        <v>125</v>
      </c>
      <c r="F62" s="53">
        <v>102.35</v>
      </c>
      <c r="G62" s="53">
        <v>102.5</v>
      </c>
      <c r="H62" s="53">
        <v>37.730000000000004</v>
      </c>
      <c r="I62" s="53"/>
      <c r="J62" s="53">
        <v>0.125</v>
      </c>
      <c r="K62" s="53">
        <v>2</v>
      </c>
      <c r="L62" s="65">
        <f>PRODUCT(H62:K62)</f>
        <v>9.432500000000001</v>
      </c>
      <c r="M62" s="53" t="s">
        <v>56</v>
      </c>
      <c r="N62" s="54" t="s">
        <v>105</v>
      </c>
    </row>
    <row r="63" spans="1:14">
      <c r="A63" s="57">
        <v>42</v>
      </c>
      <c r="B63" s="70" t="s">
        <v>42</v>
      </c>
      <c r="C63" s="53"/>
      <c r="D63" s="53" t="s">
        <v>112</v>
      </c>
      <c r="E63" s="53" t="s">
        <v>125</v>
      </c>
      <c r="F63" s="53">
        <v>102.35</v>
      </c>
      <c r="G63" s="53">
        <v>102.5</v>
      </c>
      <c r="H63" s="53"/>
      <c r="I63" s="53">
        <v>10.23</v>
      </c>
      <c r="J63" s="53">
        <v>0.125</v>
      </c>
      <c r="K63" s="53">
        <v>2</v>
      </c>
      <c r="L63" s="65">
        <f>PRODUCT(H63:K63)</f>
        <v>2.5575000000000001</v>
      </c>
      <c r="M63" s="53" t="s">
        <v>56</v>
      </c>
      <c r="N63" s="54" t="s">
        <v>105</v>
      </c>
    </row>
    <row r="64" spans="1:14">
      <c r="A64" s="57">
        <v>43</v>
      </c>
      <c r="B64" s="70" t="s">
        <v>42</v>
      </c>
      <c r="C64" s="53"/>
      <c r="D64" s="53" t="s">
        <v>124</v>
      </c>
      <c r="E64" s="53" t="s">
        <v>125</v>
      </c>
      <c r="F64" s="53">
        <v>102.35</v>
      </c>
      <c r="G64" s="53">
        <v>102.5</v>
      </c>
      <c r="H64" s="53">
        <v>4.7</v>
      </c>
      <c r="I64" s="53"/>
      <c r="J64" s="53">
        <v>0.125</v>
      </c>
      <c r="K64" s="53">
        <v>20</v>
      </c>
      <c r="L64" s="65">
        <f t="shared" ref="L64:L67" si="5">PRODUCT(H64:K64)</f>
        <v>11.75</v>
      </c>
      <c r="M64" s="53" t="s">
        <v>56</v>
      </c>
      <c r="N64" s="54" t="s">
        <v>105</v>
      </c>
    </row>
    <row r="65" spans="1:14">
      <c r="A65" s="57">
        <v>44</v>
      </c>
      <c r="B65" s="70" t="s">
        <v>42</v>
      </c>
      <c r="C65" s="53"/>
      <c r="D65" s="53" t="s">
        <v>124</v>
      </c>
      <c r="E65" s="53" t="s">
        <v>125</v>
      </c>
      <c r="F65" s="53">
        <v>102.35</v>
      </c>
      <c r="G65" s="53">
        <v>102.5</v>
      </c>
      <c r="H65" s="53"/>
      <c r="I65" s="53">
        <v>1</v>
      </c>
      <c r="J65" s="53">
        <v>0.125</v>
      </c>
      <c r="K65" s="53">
        <f>K64</f>
        <v>20</v>
      </c>
      <c r="L65" s="65">
        <f t="shared" si="5"/>
        <v>2.5</v>
      </c>
      <c r="M65" s="53" t="s">
        <v>56</v>
      </c>
      <c r="N65" s="54" t="s">
        <v>105</v>
      </c>
    </row>
    <row r="66" spans="1:14">
      <c r="A66" s="57">
        <v>45</v>
      </c>
      <c r="B66" s="70" t="s">
        <v>42</v>
      </c>
      <c r="C66" s="53"/>
      <c r="D66" s="53" t="s">
        <v>124</v>
      </c>
      <c r="E66" s="53" t="s">
        <v>125</v>
      </c>
      <c r="F66" s="53">
        <v>102.35</v>
      </c>
      <c r="G66" s="53">
        <v>102.5</v>
      </c>
      <c r="H66" s="53">
        <v>2.7</v>
      </c>
      <c r="I66" s="53"/>
      <c r="J66" s="53">
        <v>0.125</v>
      </c>
      <c r="K66" s="53">
        <v>4</v>
      </c>
      <c r="L66" s="65">
        <f t="shared" si="5"/>
        <v>1.35</v>
      </c>
      <c r="M66" s="53" t="s">
        <v>56</v>
      </c>
      <c r="N66" s="54" t="s">
        <v>105</v>
      </c>
    </row>
    <row r="67" spans="1:14">
      <c r="A67" s="57">
        <v>46</v>
      </c>
      <c r="B67" s="70" t="s">
        <v>42</v>
      </c>
      <c r="C67" s="53"/>
      <c r="D67" s="53" t="s">
        <v>124</v>
      </c>
      <c r="E67" s="53" t="s">
        <v>125</v>
      </c>
      <c r="F67" s="53">
        <v>102.35</v>
      </c>
      <c r="G67" s="53">
        <v>102.5</v>
      </c>
      <c r="H67" s="53"/>
      <c r="I67" s="53">
        <v>1</v>
      </c>
      <c r="J67" s="53">
        <v>0.125</v>
      </c>
      <c r="K67" s="53">
        <v>4</v>
      </c>
      <c r="L67" s="65">
        <f t="shared" si="5"/>
        <v>0.5</v>
      </c>
      <c r="M67" s="53" t="s">
        <v>56</v>
      </c>
      <c r="N67" s="54" t="s">
        <v>105</v>
      </c>
    </row>
    <row r="68" spans="1:14">
      <c r="A68" s="57">
        <v>47</v>
      </c>
      <c r="B68" s="70" t="s">
        <v>42</v>
      </c>
      <c r="C68" s="53" t="s">
        <v>17</v>
      </c>
      <c r="D68" s="53" t="s">
        <v>119</v>
      </c>
      <c r="E68" s="53" t="s">
        <v>95</v>
      </c>
      <c r="F68" s="53" t="s">
        <v>96</v>
      </c>
      <c r="G68" s="53" t="s">
        <v>96</v>
      </c>
      <c r="H68" s="53">
        <v>4.2</v>
      </c>
      <c r="I68" s="53"/>
      <c r="J68" s="53">
        <v>0.15</v>
      </c>
      <c r="K68" s="53">
        <v>4</v>
      </c>
      <c r="L68" s="65">
        <f>PRODUCT(H68:K68)</f>
        <v>2.52</v>
      </c>
      <c r="M68" s="53" t="s">
        <v>56</v>
      </c>
      <c r="N68" s="54" t="s">
        <v>105</v>
      </c>
    </row>
    <row r="69" spans="1:14">
      <c r="A69" s="57">
        <v>48</v>
      </c>
      <c r="B69" s="70" t="s">
        <v>42</v>
      </c>
      <c r="C69" s="53" t="s">
        <v>17</v>
      </c>
      <c r="D69" s="53" t="s">
        <v>119</v>
      </c>
      <c r="E69" s="53" t="s">
        <v>95</v>
      </c>
      <c r="F69" s="53" t="s">
        <v>96</v>
      </c>
      <c r="G69" s="53" t="s">
        <v>96</v>
      </c>
      <c r="H69" s="53"/>
      <c r="I69" s="53">
        <v>1.2</v>
      </c>
      <c r="J69" s="53">
        <v>0.15</v>
      </c>
      <c r="K69" s="53">
        <v>4</v>
      </c>
      <c r="L69" s="65">
        <f>PRODUCT(H69:K69)</f>
        <v>0.72</v>
      </c>
      <c r="M69" s="53" t="s">
        <v>56</v>
      </c>
      <c r="N69" s="54" t="s">
        <v>105</v>
      </c>
    </row>
    <row r="70" spans="1:14">
      <c r="A70" s="57">
        <v>49</v>
      </c>
      <c r="B70" s="70" t="s">
        <v>42</v>
      </c>
      <c r="C70" s="53" t="s">
        <v>17</v>
      </c>
      <c r="D70" s="53" t="s">
        <v>119</v>
      </c>
      <c r="E70" s="53" t="s">
        <v>115</v>
      </c>
      <c r="F70" s="53" t="s">
        <v>96</v>
      </c>
      <c r="G70" s="53" t="s">
        <v>96</v>
      </c>
      <c r="H70" s="53">
        <v>2.65</v>
      </c>
      <c r="I70" s="53"/>
      <c r="J70" s="53">
        <v>0.15</v>
      </c>
      <c r="K70" s="53">
        <v>2</v>
      </c>
      <c r="L70" s="65">
        <f t="shared" ref="L70:L74" si="6">PRODUCT(H70:K70)</f>
        <v>0.79499999999999993</v>
      </c>
      <c r="M70" s="53" t="s">
        <v>56</v>
      </c>
      <c r="N70" s="54" t="s">
        <v>105</v>
      </c>
    </row>
    <row r="71" spans="1:14">
      <c r="A71" s="57">
        <v>50</v>
      </c>
      <c r="B71" s="70" t="s">
        <v>42</v>
      </c>
      <c r="C71" s="53" t="s">
        <v>17</v>
      </c>
      <c r="D71" s="53" t="s">
        <v>119</v>
      </c>
      <c r="E71" s="53" t="s">
        <v>115</v>
      </c>
      <c r="F71" s="53" t="s">
        <v>96</v>
      </c>
      <c r="G71" s="53" t="s">
        <v>96</v>
      </c>
      <c r="H71" s="53"/>
      <c r="I71" s="53">
        <v>0.9</v>
      </c>
      <c r="J71" s="53">
        <v>0.15</v>
      </c>
      <c r="K71" s="53">
        <v>2</v>
      </c>
      <c r="L71" s="65">
        <f t="shared" si="6"/>
        <v>0.27</v>
      </c>
      <c r="M71" s="53" t="s">
        <v>56</v>
      </c>
      <c r="N71" s="54" t="s">
        <v>105</v>
      </c>
    </row>
    <row r="72" spans="1:14">
      <c r="A72" s="57">
        <v>51</v>
      </c>
      <c r="B72" s="70" t="s">
        <v>42</v>
      </c>
      <c r="C72" s="53" t="s">
        <v>17</v>
      </c>
      <c r="D72" s="53" t="s">
        <v>119</v>
      </c>
      <c r="E72" s="53" t="s">
        <v>116</v>
      </c>
      <c r="F72" s="53" t="s">
        <v>96</v>
      </c>
      <c r="G72" s="53" t="s">
        <v>96</v>
      </c>
      <c r="H72" s="53">
        <v>2.65</v>
      </c>
      <c r="I72" s="53"/>
      <c r="J72" s="53">
        <v>0.15</v>
      </c>
      <c r="K72" s="53">
        <v>2</v>
      </c>
      <c r="L72" s="65">
        <f t="shared" si="6"/>
        <v>0.79499999999999993</v>
      </c>
      <c r="M72" s="53" t="s">
        <v>56</v>
      </c>
      <c r="N72" s="54" t="s">
        <v>105</v>
      </c>
    </row>
    <row r="73" spans="1:14">
      <c r="A73" s="57">
        <v>52</v>
      </c>
      <c r="B73" s="70" t="s">
        <v>42</v>
      </c>
      <c r="C73" s="53" t="s">
        <v>17</v>
      </c>
      <c r="D73" s="53" t="s">
        <v>119</v>
      </c>
      <c r="E73" s="53" t="s">
        <v>116</v>
      </c>
      <c r="F73" s="53" t="s">
        <v>96</v>
      </c>
      <c r="G73" s="53" t="s">
        <v>96</v>
      </c>
      <c r="H73" s="53"/>
      <c r="I73" s="53">
        <v>2.17</v>
      </c>
      <c r="J73" s="53">
        <v>0.15</v>
      </c>
      <c r="K73" s="53">
        <v>2</v>
      </c>
      <c r="L73" s="65">
        <f t="shared" si="6"/>
        <v>0.65099999999999991</v>
      </c>
      <c r="M73" s="53" t="s">
        <v>56</v>
      </c>
      <c r="N73" s="54" t="s">
        <v>105</v>
      </c>
    </row>
    <row r="74" spans="1:14">
      <c r="A74" s="57">
        <v>53</v>
      </c>
      <c r="B74" s="70" t="s">
        <v>42</v>
      </c>
      <c r="C74" s="53" t="s">
        <v>17</v>
      </c>
      <c r="D74" s="53" t="s">
        <v>119</v>
      </c>
      <c r="E74" s="53" t="s">
        <v>118</v>
      </c>
      <c r="F74" s="53" t="s">
        <v>96</v>
      </c>
      <c r="G74" s="53" t="s">
        <v>96</v>
      </c>
      <c r="H74" s="53">
        <v>2.65</v>
      </c>
      <c r="I74" s="53">
        <v>0.23</v>
      </c>
      <c r="J74" s="53"/>
      <c r="K74" s="53">
        <v>1</v>
      </c>
      <c r="L74" s="65">
        <f t="shared" si="6"/>
        <v>0.60950000000000004</v>
      </c>
      <c r="M74" s="53" t="s">
        <v>56</v>
      </c>
      <c r="N74" s="54" t="s">
        <v>105</v>
      </c>
    </row>
    <row r="75" spans="1:14" s="50" customFormat="1">
      <c r="B75" s="72" t="s">
        <v>138</v>
      </c>
      <c r="L75" s="67">
        <f>SUM(L33:L40)+L47+(SUM(L48:L74))</f>
        <v>629.54034999999999</v>
      </c>
      <c r="M75" s="50" t="str">
        <f>M74</f>
        <v>Sqm</v>
      </c>
      <c r="N75" s="50" t="str">
        <f>N74</f>
        <v>RA 4</v>
      </c>
    </row>
    <row r="76" spans="1:14" s="62" customFormat="1" ht="15.75">
      <c r="A76" s="61"/>
      <c r="B76" s="61" t="s">
        <v>140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</row>
    <row r="77" spans="1:14" s="49" customFormat="1">
      <c r="A77" s="35"/>
      <c r="B77" s="42" t="s">
        <v>139</v>
      </c>
      <c r="C77" s="43" t="s">
        <v>17</v>
      </c>
      <c r="D77" s="43"/>
      <c r="E77" s="43"/>
      <c r="F77" s="43"/>
      <c r="G77" s="43"/>
      <c r="H77" s="43">
        <v>0.15</v>
      </c>
      <c r="I77" s="43">
        <f>H77</f>
        <v>0.15</v>
      </c>
      <c r="J77" s="43">
        <v>1.2E-2</v>
      </c>
      <c r="K77" s="43">
        <v>80</v>
      </c>
      <c r="L77" s="89">
        <f>(PRODUCT(H77:K77)*7850)/1000</f>
        <v>0.16955999999999999</v>
      </c>
      <c r="M77" s="43" t="s">
        <v>46</v>
      </c>
      <c r="N77" s="48" t="s">
        <v>105</v>
      </c>
    </row>
    <row r="78" spans="1:14" s="49" customFormat="1">
      <c r="A78" s="35"/>
      <c r="B78" s="42" t="s">
        <v>141</v>
      </c>
      <c r="C78" s="43" t="s">
        <v>17</v>
      </c>
      <c r="D78" s="43"/>
      <c r="E78" s="43"/>
      <c r="F78" s="43"/>
      <c r="G78" s="43"/>
      <c r="H78" s="43">
        <v>7.4</v>
      </c>
      <c r="I78" s="43"/>
      <c r="J78" s="43">
        <v>8.9</v>
      </c>
      <c r="K78" s="43">
        <v>2</v>
      </c>
      <c r="L78" s="89">
        <f>(PRODUCT(H78:K78))/1000</f>
        <v>0.13172</v>
      </c>
      <c r="M78" s="43" t="str">
        <f t="shared" ref="M78:N80" si="7">M77</f>
        <v>MT</v>
      </c>
      <c r="N78" s="48" t="str">
        <f t="shared" si="7"/>
        <v>RA 4</v>
      </c>
    </row>
    <row r="79" spans="1:14" s="49" customFormat="1">
      <c r="A79" s="35"/>
      <c r="B79" s="42" t="s">
        <v>141</v>
      </c>
      <c r="C79" s="43" t="s">
        <v>17</v>
      </c>
      <c r="D79" s="43"/>
      <c r="E79" s="43"/>
      <c r="F79" s="43"/>
      <c r="G79" s="43"/>
      <c r="H79" s="43">
        <v>11.4</v>
      </c>
      <c r="I79" s="43"/>
      <c r="J79" s="43">
        <f>J78</f>
        <v>8.9</v>
      </c>
      <c r="K79" s="43">
        <v>10</v>
      </c>
      <c r="L79" s="89">
        <f>(PRODUCT(H79:K79))/1000</f>
        <v>1.0146000000000002</v>
      </c>
      <c r="M79" s="43" t="str">
        <f t="shared" si="7"/>
        <v>MT</v>
      </c>
      <c r="N79" s="48" t="str">
        <f t="shared" si="7"/>
        <v>RA 4</v>
      </c>
    </row>
    <row r="80" spans="1:14" s="50" customFormat="1">
      <c r="B80" s="72" t="str">
        <f>B76</f>
        <v>Fixing of Insert &amp; Jigs</v>
      </c>
      <c r="L80" s="67">
        <f>SUM(L77:L79)</f>
        <v>1.3158800000000002</v>
      </c>
      <c r="M80" s="50" t="str">
        <f t="shared" si="7"/>
        <v>MT</v>
      </c>
      <c r="N80" s="50" t="str">
        <f t="shared" si="7"/>
        <v>RA 4</v>
      </c>
    </row>
  </sheetData>
  <mergeCells count="1">
    <mergeCell ref="F6:G6"/>
  </mergeCells>
  <printOptions horizontalCentered="1"/>
  <pageMargins left="0" right="0" top="0.25" bottom="0.25" header="0.3" footer="0.3"/>
  <pageSetup paperSize="9" scale="82" orientation="landscape" r:id="rId1"/>
  <rowBreaks count="1" manualBreakCount="1">
    <brk id="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Abstract + 10%</vt:lpstr>
      <vt:lpstr>Measurement Sheet</vt:lpstr>
      <vt:lpstr>RA 4 Measurement</vt:lpstr>
      <vt:lpstr>'RA 4 Measurement'!Print_Area</vt:lpstr>
      <vt:lpstr>'RA 4 Measurement'!Print_Titles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2023-10-07T11:26:11Z</dcterms:modified>
</cp:coreProperties>
</file>