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Abstract" sheetId="2" r:id="rId1"/>
    <sheet name="Measurement Sheet" sheetId="1" r:id="rId2"/>
    <sheet name="Cement Requirement" sheetId="4" r:id="rId3"/>
  </sheets>
  <definedNames>
    <definedName name="_xlnm.Print_Area" localSheetId="0">Abstract!$A$1:$I$48</definedName>
    <definedName name="_xlnm.Print_Area" localSheetId="2">'Cement Requirement'!$A$3:$K$8</definedName>
    <definedName name="_xlnm.Print_Area" localSheetId="1">'Measurement Sheet'!$A$1:$M$64</definedName>
    <definedName name="_xlnm.Print_Titles" localSheetId="0">Abstract!$1:$7</definedName>
    <definedName name="_xlnm.Print_Titles" localSheetId="1">'Measurement Sheet'!$1:$2</definedName>
  </definedNames>
  <calcPr calcId="144525"/>
</workbook>
</file>

<file path=xl/calcChain.xml><?xml version="1.0" encoding="utf-8"?>
<calcChain xmlns="http://schemas.openxmlformats.org/spreadsheetml/2006/main">
  <c r="K8" i="4" l="1"/>
  <c r="I8" i="4"/>
  <c r="G8" i="4"/>
  <c r="H8" i="4"/>
  <c r="J8" i="4"/>
  <c r="F8" i="4"/>
  <c r="L12" i="4"/>
  <c r="K7" i="4"/>
  <c r="I7" i="4"/>
  <c r="G7" i="4"/>
  <c r="G6" i="4"/>
  <c r="J6" i="4"/>
  <c r="K5" i="4"/>
  <c r="K6" i="4" s="1"/>
  <c r="J5" i="4"/>
  <c r="F17" i="4"/>
  <c r="I5" i="4"/>
  <c r="I6" i="4" s="1"/>
  <c r="H5" i="4"/>
  <c r="G5" i="4"/>
  <c r="F5" i="4"/>
  <c r="J4" i="4"/>
  <c r="H4" i="4"/>
  <c r="H6" i="4" s="1"/>
  <c r="F4" i="4"/>
  <c r="F6" i="4" s="1"/>
  <c r="H17" i="4"/>
  <c r="H32" i="2"/>
  <c r="H26" i="2"/>
  <c r="I26" i="2" s="1"/>
  <c r="H22" i="2"/>
  <c r="I22" i="2" s="1"/>
  <c r="M64" i="1"/>
  <c r="L48" i="1"/>
  <c r="L49" i="1"/>
  <c r="L50" i="1"/>
  <c r="L51" i="1"/>
  <c r="L52" i="1"/>
  <c r="L53" i="1"/>
  <c r="L54" i="1"/>
  <c r="L56" i="1"/>
  <c r="L57" i="1"/>
  <c r="L58" i="1"/>
  <c r="L59" i="1"/>
  <c r="L60" i="1"/>
  <c r="L61" i="1"/>
  <c r="L62" i="1"/>
  <c r="L63" i="1"/>
  <c r="L47" i="1"/>
  <c r="G43" i="1"/>
  <c r="J43" i="1" s="1"/>
  <c r="L43" i="1" s="1"/>
  <c r="M44" i="1"/>
  <c r="F42" i="1"/>
  <c r="J42" i="1" s="1"/>
  <c r="L42" i="1" s="1"/>
  <c r="H41" i="1"/>
  <c r="H40" i="1"/>
  <c r="J41" i="1"/>
  <c r="F40" i="1"/>
  <c r="G40" i="1" s="1"/>
  <c r="J39" i="1"/>
  <c r="I39" i="1"/>
  <c r="I40" i="1" s="1"/>
  <c r="F38" i="1"/>
  <c r="G38" i="1" s="1"/>
  <c r="K37" i="1"/>
  <c r="I37" i="1"/>
  <c r="H37" i="1"/>
  <c r="F27" i="1"/>
  <c r="K35" i="1"/>
  <c r="I35" i="1"/>
  <c r="H35" i="1"/>
  <c r="G36" i="1"/>
  <c r="F37" i="1" s="1"/>
  <c r="G37" i="1" s="1"/>
  <c r="I34" i="1"/>
  <c r="L34" i="1" s="1"/>
  <c r="G34" i="1"/>
  <c r="F35" i="1" s="1"/>
  <c r="G35" i="1" s="1"/>
  <c r="D37" i="1"/>
  <c r="D35" i="1"/>
  <c r="H31" i="1"/>
  <c r="H30" i="1"/>
  <c r="I29" i="1"/>
  <c r="I30" i="1" s="1"/>
  <c r="I31" i="1" s="1"/>
  <c r="H29" i="1"/>
  <c r="H28" i="1"/>
  <c r="G28" i="1"/>
  <c r="G29" i="1" s="1"/>
  <c r="G30" i="1" s="1"/>
  <c r="G31" i="1" s="1"/>
  <c r="J27" i="1"/>
  <c r="J28" i="1" s="1"/>
  <c r="J29" i="1" s="1"/>
  <c r="I27" i="1"/>
  <c r="I26" i="1"/>
  <c r="L26" i="1" s="1"/>
  <c r="G26" i="1"/>
  <c r="B32" i="1"/>
  <c r="F16" i="1"/>
  <c r="G5" i="1"/>
  <c r="I5" i="1"/>
  <c r="H5" i="1"/>
  <c r="D7" i="1"/>
  <c r="D9" i="1" s="1"/>
  <c r="I47" i="2"/>
  <c r="I46" i="2"/>
  <c r="E45" i="2"/>
  <c r="E47" i="2" s="1"/>
  <c r="I44" i="2"/>
  <c r="F42" i="2"/>
  <c r="I41" i="2"/>
  <c r="F41" i="2"/>
  <c r="F40" i="2"/>
  <c r="I40" i="2" s="1"/>
  <c r="F39" i="2"/>
  <c r="I39" i="2" s="1"/>
  <c r="I38" i="2"/>
  <c r="F36" i="2"/>
  <c r="I36" i="2" s="1"/>
  <c r="F35" i="2"/>
  <c r="I35" i="2" s="1"/>
  <c r="F34" i="2"/>
  <c r="I34" i="2" s="1"/>
  <c r="F33" i="2"/>
  <c r="I33" i="2" s="1"/>
  <c r="I32" i="2"/>
  <c r="F30" i="2"/>
  <c r="F29" i="2"/>
  <c r="I29" i="2" s="1"/>
  <c r="F28" i="2"/>
  <c r="I28" i="2" s="1"/>
  <c r="F27" i="2"/>
  <c r="I27" i="2" s="1"/>
  <c r="F24" i="2"/>
  <c r="F23" i="2"/>
  <c r="I20" i="2"/>
  <c r="F16" i="2"/>
  <c r="I12" i="2"/>
  <c r="F12" i="2"/>
  <c r="I11" i="2"/>
  <c r="L38" i="1"/>
  <c r="L36" i="1"/>
  <c r="L16" i="1"/>
  <c r="L17" i="1" s="1"/>
  <c r="H13" i="2" s="1"/>
  <c r="I13" i="2" s="1"/>
  <c r="L9" i="1"/>
  <c r="L10" i="1" s="1"/>
  <c r="L7" i="1"/>
  <c r="L8" i="1" s="1"/>
  <c r="L5" i="1" l="1"/>
  <c r="L6" i="1" s="1"/>
  <c r="H10" i="2" s="1"/>
  <c r="I10" i="2" s="1"/>
  <c r="I48" i="2" s="1"/>
  <c r="L35" i="1"/>
  <c r="L37" i="1"/>
  <c r="G27" i="1"/>
  <c r="I41" i="1"/>
  <c r="L41" i="1" s="1"/>
  <c r="L40" i="1"/>
  <c r="F39" i="1"/>
  <c r="G39" i="1" s="1"/>
  <c r="F41" i="1"/>
  <c r="G41" i="1" s="1"/>
  <c r="L39" i="1"/>
  <c r="L27" i="1"/>
  <c r="J30" i="1"/>
  <c r="L29" i="1"/>
  <c r="L28" i="1"/>
  <c r="F28" i="1"/>
  <c r="F29" i="1" s="1"/>
  <c r="F30" i="1" s="1"/>
  <c r="F31" i="1" s="1"/>
  <c r="L64" i="1"/>
  <c r="L19" i="1"/>
  <c r="L44" i="1" l="1"/>
  <c r="J31" i="1"/>
  <c r="L30" i="1"/>
  <c r="L31" i="1" l="1"/>
  <c r="L32" i="1" s="1"/>
  <c r="L21" i="1" s="1"/>
  <c r="L22" i="1" s="1"/>
</calcChain>
</file>

<file path=xl/sharedStrings.xml><?xml version="1.0" encoding="utf-8"?>
<sst xmlns="http://schemas.openxmlformats.org/spreadsheetml/2006/main" count="321" uniqueCount="111">
  <si>
    <t>Sl No</t>
  </si>
  <si>
    <t>Description</t>
  </si>
  <si>
    <t>Block</t>
  </si>
  <si>
    <t>Struc.</t>
  </si>
  <si>
    <t>Grid</t>
  </si>
  <si>
    <t>RL</t>
  </si>
  <si>
    <t>L</t>
  </si>
  <si>
    <t>B</t>
  </si>
  <si>
    <t>H</t>
  </si>
  <si>
    <t>Nos</t>
  </si>
  <si>
    <t>Qnty</t>
  </si>
  <si>
    <t>Unit</t>
  </si>
  <si>
    <t>Ref</t>
  </si>
  <si>
    <t>From</t>
  </si>
  <si>
    <t>To</t>
  </si>
  <si>
    <t>Excavation &amp; Backfilling</t>
  </si>
  <si>
    <t>Excavation</t>
  </si>
  <si>
    <t>0--3 Mtr</t>
  </si>
  <si>
    <t>Raft</t>
  </si>
  <si>
    <t>Cum</t>
  </si>
  <si>
    <t>Total</t>
  </si>
  <si>
    <t>3--6 Mtr</t>
  </si>
  <si>
    <t>6-9 Mtr</t>
  </si>
  <si>
    <t>Hard Rock Breaking</t>
  </si>
  <si>
    <t>Hard Rock breaking</t>
  </si>
  <si>
    <t>Dressing &amp; Levelling</t>
  </si>
  <si>
    <t>Soil Dressing</t>
  </si>
  <si>
    <t>Sqm</t>
  </si>
  <si>
    <t>Backfilling</t>
  </si>
  <si>
    <t>Total Excavation</t>
  </si>
  <si>
    <t>Deduction of RCC</t>
  </si>
  <si>
    <t>Deduction of PCC</t>
  </si>
  <si>
    <t>Total Backfilling</t>
  </si>
  <si>
    <t>m3</t>
  </si>
  <si>
    <t>Plain &amp; Reinforced Cement Concrete</t>
  </si>
  <si>
    <t>PCC</t>
  </si>
  <si>
    <t>6--9 Mtr</t>
  </si>
  <si>
    <t>RCC</t>
  </si>
  <si>
    <t>(0) to (-3) Mtr</t>
  </si>
  <si>
    <t>(0) to (+3) Mtr</t>
  </si>
  <si>
    <t>Total 0 to +/- 3 Mtr</t>
  </si>
  <si>
    <t>Square</t>
  </si>
  <si>
    <t>Formwork &amp; Shuttering</t>
  </si>
  <si>
    <t>Total (0) to (+3) Mtr</t>
  </si>
  <si>
    <t>Nakoda Pipe Impex Pvt Ltd</t>
  </si>
  <si>
    <t>Civil Work Estimate</t>
  </si>
  <si>
    <t>Division: -S.I.D</t>
  </si>
  <si>
    <t xml:space="preserve">Sl No </t>
  </si>
  <si>
    <t>Item No</t>
  </si>
  <si>
    <t>UOM</t>
  </si>
  <si>
    <t>Rate</t>
  </si>
  <si>
    <t>Division</t>
  </si>
  <si>
    <t>Estimated Value</t>
  </si>
  <si>
    <t>Quantity</t>
  </si>
  <si>
    <t>Amount</t>
  </si>
  <si>
    <t>Excavation 0-3 Mtr</t>
  </si>
  <si>
    <t>SID</t>
  </si>
  <si>
    <t>Excavation 3-6 Mtr</t>
  </si>
  <si>
    <t>Excavation 6-9 Mtr</t>
  </si>
  <si>
    <t>m2</t>
  </si>
  <si>
    <t>Hard Rock breaking 0-3</t>
  </si>
  <si>
    <t>Hard Rock breaking 3-6</t>
  </si>
  <si>
    <t>Hard Rock breaking 6-9</t>
  </si>
  <si>
    <t>Sand Filling</t>
  </si>
  <si>
    <t>Aggregate Filling</t>
  </si>
  <si>
    <t>Rock Soling</t>
  </si>
  <si>
    <t>Plain cement concrete</t>
  </si>
  <si>
    <t>PCC 0-3 Mtr</t>
  </si>
  <si>
    <t>PCC 3-6 Mtr</t>
  </si>
  <si>
    <t>PCC 3-9 Mtr</t>
  </si>
  <si>
    <t>Reinforced cement concrete</t>
  </si>
  <si>
    <t>RCC 0-3 Mtr</t>
  </si>
  <si>
    <t>RCC 3-6 Mtr</t>
  </si>
  <si>
    <t>RCC 6-9 Mtr</t>
  </si>
  <si>
    <t>RCC 9-12 Mtr</t>
  </si>
  <si>
    <t>RCC 12-15 Mtr</t>
  </si>
  <si>
    <t>9--12 Mtr</t>
  </si>
  <si>
    <t>MT</t>
  </si>
  <si>
    <t>12--15 Mtr</t>
  </si>
  <si>
    <t>Reinforcement of TMT Bars</t>
  </si>
  <si>
    <t>Fabrication &amp; Fixing</t>
  </si>
  <si>
    <t>Fixing of MS Insert Plate</t>
  </si>
  <si>
    <t>Facbrication &amp; Fixing of MS Insert Plates</t>
  </si>
  <si>
    <t>Fixing of Foundation Bolts upto 32mm Dia</t>
  </si>
  <si>
    <t>Fixing of Foundation Bolts above 32mm Dia</t>
  </si>
  <si>
    <t>Bloock:- Iron Circuit</t>
  </si>
  <si>
    <t>Iron Circuit</t>
  </si>
  <si>
    <t>0--3Mtr</t>
  </si>
  <si>
    <t>Iron</t>
  </si>
  <si>
    <t>F1</t>
  </si>
  <si>
    <t>F2</t>
  </si>
  <si>
    <t>PB 1 (X)</t>
  </si>
  <si>
    <t>PB 1 (Y)</t>
  </si>
  <si>
    <t>PB 2 (X)</t>
  </si>
  <si>
    <t>PB 2 (Y)</t>
  </si>
  <si>
    <t>Tapered</t>
  </si>
  <si>
    <t>Column C1</t>
  </si>
  <si>
    <t>Column C2</t>
  </si>
  <si>
    <t>Item</t>
  </si>
  <si>
    <t>Ratio</t>
  </si>
  <si>
    <t>Cement</t>
  </si>
  <si>
    <t>Stone</t>
  </si>
  <si>
    <t>Sand</t>
  </si>
  <si>
    <t>M 10</t>
  </si>
  <si>
    <t>M25</t>
  </si>
  <si>
    <t>1:4:8</t>
  </si>
  <si>
    <t>1:1.5:3</t>
  </si>
  <si>
    <t>Grade</t>
  </si>
  <si>
    <t>Bags</t>
  </si>
  <si>
    <t>Sum</t>
  </si>
  <si>
    <t>Wastage Consideration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</si>
</sst>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Bahnschrift SemiBold"/>
      <family val="2"/>
    </font>
    <font>
      <b/>
      <sz val="12"/>
      <color theme="0"/>
      <name val="Bahnschrift SemiBold"/>
      <family val="2"/>
    </font>
    <font>
      <b/>
      <sz val="12"/>
      <name val="Bahnschrift SemiBold"/>
      <family val="2"/>
    </font>
    <font>
      <b/>
      <sz val="9"/>
      <color theme="1"/>
      <name val="Bahnschrift Light"/>
      <family val="2"/>
    </font>
    <font>
      <sz val="9"/>
      <color theme="1"/>
      <name val="Bahnschrift Light"/>
      <family val="2"/>
    </font>
    <font>
      <sz val="12"/>
      <color theme="0"/>
      <name val="Bahnschrift SemiBold"/>
      <family val="2"/>
    </font>
    <font>
      <b/>
      <sz val="12"/>
      <color theme="1"/>
      <name val="Bahnschrift SemiBold"/>
      <family val="2"/>
    </font>
    <font>
      <b/>
      <sz val="12"/>
      <name val="Artifakt Element Heavy"/>
      <family val="2"/>
    </font>
    <font>
      <b/>
      <sz val="12"/>
      <color theme="0"/>
      <name val="Bahnschrift Light"/>
      <family val="2"/>
    </font>
    <font>
      <sz val="12"/>
      <color theme="0"/>
      <name val="Bahnschrift Light"/>
      <family val="2"/>
    </font>
    <font>
      <b/>
      <i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Bahnschrift SemiLight"/>
      <family val="2"/>
    </font>
    <font>
      <sz val="11"/>
      <color theme="1"/>
      <name val="Bahnschrift SemiLight"/>
      <family val="2"/>
    </font>
    <font>
      <b/>
      <sz val="11"/>
      <color theme="0"/>
      <name val="Bahnschrift Semi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left"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2" borderId="7" xfId="0" applyFont="1" applyFill="1" applyBorder="1" applyAlignment="1">
      <alignment vertical="center" wrapText="1"/>
    </xf>
    <xf numFmtId="0" fontId="15" fillId="2" borderId="8" xfId="0" applyFont="1" applyFill="1" applyBorder="1"/>
    <xf numFmtId="0" fontId="15" fillId="2" borderId="8" xfId="0" applyFont="1" applyFill="1" applyBorder="1" applyAlignment="1">
      <alignment vertic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vertical="center"/>
    </xf>
    <xf numFmtId="0" fontId="15" fillId="2" borderId="9" xfId="0" applyFont="1" applyFill="1" applyBorder="1"/>
    <xf numFmtId="0" fontId="15" fillId="2" borderId="9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Fill="1" applyBorder="1"/>
    <xf numFmtId="0" fontId="13" fillId="0" borderId="7" xfId="0" applyFont="1" applyFill="1" applyBorder="1" applyAlignment="1">
      <alignment wrapText="1"/>
    </xf>
    <xf numFmtId="0" fontId="13" fillId="0" borderId="7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 wrapText="1"/>
    </xf>
    <xf numFmtId="0" fontId="15" fillId="2" borderId="7" xfId="0" applyFont="1" applyFill="1" applyBorder="1"/>
    <xf numFmtId="0" fontId="15" fillId="2" borderId="7" xfId="0" applyFont="1" applyFill="1" applyBorder="1" applyAlignment="1">
      <alignment vertical="center"/>
    </xf>
    <xf numFmtId="0" fontId="0" fillId="0" borderId="7" xfId="0" applyFill="1" applyBorder="1"/>
    <xf numFmtId="0" fontId="16" fillId="0" borderId="7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0" fillId="5" borderId="7" xfId="0" applyFill="1" applyBorder="1"/>
    <xf numFmtId="0" fontId="16" fillId="5" borderId="7" xfId="0" applyFont="1" applyFill="1" applyBorder="1" applyAlignment="1">
      <alignment vertical="center"/>
    </xf>
    <xf numFmtId="0" fontId="13" fillId="5" borderId="7" xfId="0" applyFont="1" applyFill="1" applyBorder="1" applyAlignment="1">
      <alignment vertical="center"/>
    </xf>
    <xf numFmtId="43" fontId="13" fillId="5" borderId="7" xfId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/>
    <xf numFmtId="0" fontId="17" fillId="0" borderId="7" xfId="0" applyFont="1" applyBorder="1"/>
    <xf numFmtId="0" fontId="18" fillId="0" borderId="7" xfId="0" applyFont="1" applyBorder="1"/>
    <xf numFmtId="49" fontId="18" fillId="0" borderId="7" xfId="0" applyNumberFormat="1" applyFont="1" applyBorder="1"/>
    <xf numFmtId="0" fontId="18" fillId="0" borderId="7" xfId="0" applyNumberFormat="1" applyFont="1" applyBorder="1"/>
    <xf numFmtId="49" fontId="18" fillId="0" borderId="7" xfId="0" applyNumberFormat="1" applyFont="1" applyBorder="1" applyAlignment="1">
      <alignment horizontal="right"/>
    </xf>
    <xf numFmtId="164" fontId="18" fillId="0" borderId="7" xfId="0" applyNumberFormat="1" applyFont="1" applyBorder="1"/>
    <xf numFmtId="1" fontId="18" fillId="0" borderId="7" xfId="0" applyNumberFormat="1" applyFont="1" applyBorder="1"/>
    <xf numFmtId="0" fontId="19" fillId="2" borderId="7" xfId="0" applyFont="1" applyFill="1" applyBorder="1"/>
    <xf numFmtId="0" fontId="2" fillId="2" borderId="0" xfId="0" applyFont="1" applyFill="1"/>
    <xf numFmtId="0" fontId="17" fillId="0" borderId="7" xfId="0" applyFont="1" applyBorder="1" applyAlignment="1">
      <alignment wrapText="1"/>
    </xf>
    <xf numFmtId="0" fontId="14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view="pageBreakPreview" topLeftCell="A26" zoomScaleNormal="100" zoomScaleSheetLayoutView="100" workbookViewId="0">
      <selection activeCell="I32" sqref="I32"/>
    </sheetView>
  </sheetViews>
  <sheetFormatPr defaultRowHeight="15" x14ac:dyDescent="0.25"/>
  <cols>
    <col min="1" max="1" width="5.28515625" customWidth="1"/>
    <col min="2" max="2" width="7.140625" customWidth="1"/>
    <col min="3" max="3" width="39.140625" customWidth="1"/>
    <col min="4" max="4" width="8.28515625" customWidth="1"/>
    <col min="6" max="6" width="8" customWidth="1"/>
    <col min="7" max="7" width="10.7109375" customWidth="1"/>
    <col min="8" max="8" width="10.140625" bestFit="1" customWidth="1"/>
    <col min="9" max="9" width="16" customWidth="1"/>
  </cols>
  <sheetData>
    <row r="1" spans="1:9" x14ac:dyDescent="0.25">
      <c r="A1" s="56" t="s">
        <v>44</v>
      </c>
      <c r="B1" s="56"/>
      <c r="C1" s="56"/>
      <c r="D1" s="56"/>
      <c r="E1" s="57"/>
      <c r="F1" s="57"/>
      <c r="G1" s="57"/>
      <c r="H1" s="57"/>
      <c r="I1" s="57"/>
    </row>
    <row r="2" spans="1:9" x14ac:dyDescent="0.25">
      <c r="A2" s="56" t="s">
        <v>45</v>
      </c>
      <c r="B2" s="56"/>
      <c r="C2" s="56"/>
      <c r="D2" s="56"/>
      <c r="E2" s="57"/>
      <c r="F2" s="57"/>
      <c r="G2" s="57"/>
      <c r="H2" s="57"/>
      <c r="I2" s="57"/>
    </row>
    <row r="3" spans="1:9" x14ac:dyDescent="0.25">
      <c r="A3" s="56" t="s">
        <v>85</v>
      </c>
      <c r="B3" s="56"/>
      <c r="C3" s="56"/>
      <c r="D3" s="56"/>
      <c r="E3" s="57"/>
      <c r="F3" s="57"/>
      <c r="G3" s="57"/>
      <c r="H3" s="57"/>
      <c r="I3" s="57"/>
    </row>
    <row r="4" spans="1:9" x14ac:dyDescent="0.25">
      <c r="A4" s="56" t="s">
        <v>46</v>
      </c>
      <c r="B4" s="56"/>
      <c r="C4" s="56"/>
      <c r="D4" s="56"/>
      <c r="E4" s="57"/>
      <c r="F4" s="57"/>
      <c r="G4" s="57"/>
      <c r="H4" s="57"/>
      <c r="I4" s="57"/>
    </row>
    <row r="5" spans="1:9" x14ac:dyDescent="0.25">
      <c r="A5" s="56"/>
      <c r="B5" s="56"/>
      <c r="C5" s="56"/>
      <c r="D5" s="56"/>
      <c r="E5" s="57"/>
      <c r="F5" s="57"/>
      <c r="G5" s="57"/>
      <c r="H5" s="57"/>
      <c r="I5" s="57"/>
    </row>
    <row r="6" spans="1:9" ht="37.5" customHeight="1" x14ac:dyDescent="0.25">
      <c r="A6" s="58" t="s">
        <v>47</v>
      </c>
      <c r="B6" s="58" t="s">
        <v>48</v>
      </c>
      <c r="C6" s="58" t="s">
        <v>1</v>
      </c>
      <c r="D6" s="58" t="s">
        <v>2</v>
      </c>
      <c r="E6" s="58" t="s">
        <v>49</v>
      </c>
      <c r="F6" s="58" t="s">
        <v>50</v>
      </c>
      <c r="G6" s="58" t="s">
        <v>51</v>
      </c>
      <c r="H6" s="94" t="s">
        <v>52</v>
      </c>
      <c r="I6" s="94"/>
    </row>
    <row r="7" spans="1:9" x14ac:dyDescent="0.25">
      <c r="A7" s="59"/>
      <c r="B7" s="59"/>
      <c r="C7" s="59"/>
      <c r="D7" s="59"/>
      <c r="E7" s="60"/>
      <c r="F7" s="60"/>
      <c r="G7" s="60"/>
      <c r="H7" s="60" t="s">
        <v>53</v>
      </c>
      <c r="I7" s="60" t="s">
        <v>54</v>
      </c>
    </row>
    <row r="8" spans="1:9" x14ac:dyDescent="0.25">
      <c r="A8" s="61"/>
      <c r="B8" s="61"/>
      <c r="C8" s="61"/>
      <c r="D8" s="61"/>
      <c r="E8" s="62"/>
      <c r="F8" s="62"/>
      <c r="G8" s="62"/>
      <c r="H8" s="62"/>
      <c r="I8" s="62"/>
    </row>
    <row r="9" spans="1:9" x14ac:dyDescent="0.25">
      <c r="A9" s="63"/>
      <c r="B9" s="63"/>
      <c r="C9" s="63" t="s">
        <v>15</v>
      </c>
      <c r="D9" s="63"/>
      <c r="E9" s="64"/>
      <c r="F9" s="64"/>
      <c r="G9" s="64"/>
      <c r="H9" s="64"/>
      <c r="I9" s="64"/>
    </row>
    <row r="10" spans="1:9" x14ac:dyDescent="0.25">
      <c r="A10" s="65">
        <v>1</v>
      </c>
      <c r="B10" s="66"/>
      <c r="C10" s="67" t="s">
        <v>55</v>
      </c>
      <c r="D10" s="67"/>
      <c r="E10" s="68" t="s">
        <v>33</v>
      </c>
      <c r="F10" s="68">
        <v>180</v>
      </c>
      <c r="G10" s="68" t="s">
        <v>56</v>
      </c>
      <c r="H10" s="69">
        <f>'Measurement Sheet'!L6</f>
        <v>630.75</v>
      </c>
      <c r="I10" s="69">
        <f>H10*F10</f>
        <v>113535</v>
      </c>
    </row>
    <row r="11" spans="1:9" x14ac:dyDescent="0.25">
      <c r="A11" s="65">
        <v>2</v>
      </c>
      <c r="B11" s="66"/>
      <c r="C11" s="67" t="s">
        <v>57</v>
      </c>
      <c r="D11" s="67"/>
      <c r="E11" s="68" t="s">
        <v>33</v>
      </c>
      <c r="F11" s="68">
        <v>220</v>
      </c>
      <c r="G11" s="68" t="s">
        <v>56</v>
      </c>
      <c r="H11" s="68"/>
      <c r="I11" s="69">
        <f>H11*F11</f>
        <v>0</v>
      </c>
    </row>
    <row r="12" spans="1:9" x14ac:dyDescent="0.25">
      <c r="A12" s="65">
        <v>3</v>
      </c>
      <c r="B12" s="66"/>
      <c r="C12" s="67" t="s">
        <v>58</v>
      </c>
      <c r="D12" s="67"/>
      <c r="E12" s="68" t="s">
        <v>33</v>
      </c>
      <c r="F12" s="68">
        <f>F10+(F10*13%)</f>
        <v>203.4</v>
      </c>
      <c r="G12" s="68" t="s">
        <v>56</v>
      </c>
      <c r="H12" s="70"/>
      <c r="I12" s="69">
        <f>H12*F12</f>
        <v>0</v>
      </c>
    </row>
    <row r="13" spans="1:9" x14ac:dyDescent="0.25">
      <c r="A13" s="65">
        <v>4</v>
      </c>
      <c r="B13" s="66"/>
      <c r="C13" s="67" t="s">
        <v>26</v>
      </c>
      <c r="D13" s="67"/>
      <c r="E13" s="68" t="s">
        <v>59</v>
      </c>
      <c r="F13" s="68">
        <v>25</v>
      </c>
      <c r="G13" s="68" t="s">
        <v>56</v>
      </c>
      <c r="H13" s="68">
        <f>'Measurement Sheet'!L17</f>
        <v>210.25</v>
      </c>
      <c r="I13" s="69">
        <f>H13*F13</f>
        <v>5256.25</v>
      </c>
    </row>
    <row r="14" spans="1:9" x14ac:dyDescent="0.25">
      <c r="A14" s="65">
        <v>5</v>
      </c>
      <c r="B14" s="66"/>
      <c r="C14" s="67" t="s">
        <v>60</v>
      </c>
      <c r="D14" s="67"/>
      <c r="E14" s="68" t="s">
        <v>33</v>
      </c>
      <c r="F14" s="68">
        <v>1050</v>
      </c>
      <c r="G14" s="68" t="s">
        <v>56</v>
      </c>
      <c r="H14" s="68"/>
      <c r="I14" s="69"/>
    </row>
    <row r="15" spans="1:9" x14ac:dyDescent="0.25">
      <c r="A15" s="65">
        <v>6</v>
      </c>
      <c r="B15" s="66"/>
      <c r="C15" s="67" t="s">
        <v>61</v>
      </c>
      <c r="D15" s="67"/>
      <c r="E15" s="68" t="s">
        <v>33</v>
      </c>
      <c r="F15" s="68">
        <v>1150</v>
      </c>
      <c r="G15" s="68" t="s">
        <v>56</v>
      </c>
      <c r="H15" s="68"/>
      <c r="I15" s="69"/>
    </row>
    <row r="16" spans="1:9" x14ac:dyDescent="0.25">
      <c r="A16" s="65">
        <v>7</v>
      </c>
      <c r="B16" s="66"/>
      <c r="C16" s="67" t="s">
        <v>62</v>
      </c>
      <c r="D16" s="67"/>
      <c r="E16" s="68" t="s">
        <v>33</v>
      </c>
      <c r="F16" s="68">
        <f>F14+(F14*13%)</f>
        <v>1186.5</v>
      </c>
      <c r="G16" s="68" t="s">
        <v>56</v>
      </c>
      <c r="H16" s="68"/>
      <c r="I16" s="69"/>
    </row>
    <row r="17" spans="1:9" x14ac:dyDescent="0.25">
      <c r="A17" s="65">
        <v>8</v>
      </c>
      <c r="B17" s="66"/>
      <c r="C17" s="67" t="s">
        <v>63</v>
      </c>
      <c r="D17" s="67"/>
      <c r="E17" s="68" t="s">
        <v>33</v>
      </c>
      <c r="F17" s="68">
        <v>1180</v>
      </c>
      <c r="G17" s="68" t="s">
        <v>56</v>
      </c>
      <c r="H17" s="68"/>
      <c r="I17" s="69"/>
    </row>
    <row r="18" spans="1:9" x14ac:dyDescent="0.25">
      <c r="A18" s="65">
        <v>9</v>
      </c>
      <c r="B18" s="66"/>
      <c r="C18" s="67" t="s">
        <v>64</v>
      </c>
      <c r="D18" s="67"/>
      <c r="E18" s="68" t="s">
        <v>33</v>
      </c>
      <c r="F18" s="68">
        <v>1700</v>
      </c>
      <c r="G18" s="68" t="s">
        <v>56</v>
      </c>
      <c r="H18" s="68"/>
      <c r="I18" s="69"/>
    </row>
    <row r="19" spans="1:9" x14ac:dyDescent="0.25">
      <c r="A19" s="65">
        <v>10</v>
      </c>
      <c r="B19" s="66"/>
      <c r="C19" s="67" t="s">
        <v>65</v>
      </c>
      <c r="D19" s="67"/>
      <c r="E19" s="68" t="s">
        <v>33</v>
      </c>
      <c r="F19" s="68">
        <v>900</v>
      </c>
      <c r="G19" s="68" t="s">
        <v>56</v>
      </c>
      <c r="H19" s="68"/>
      <c r="I19" s="69"/>
    </row>
    <row r="20" spans="1:9" x14ac:dyDescent="0.25">
      <c r="A20" s="65">
        <v>11</v>
      </c>
      <c r="B20" s="66"/>
      <c r="C20" s="67" t="s">
        <v>28</v>
      </c>
      <c r="D20" s="67"/>
      <c r="E20" s="68" t="s">
        <v>33</v>
      </c>
      <c r="F20" s="68">
        <v>80</v>
      </c>
      <c r="G20" s="68" t="s">
        <v>56</v>
      </c>
      <c r="H20" s="68"/>
      <c r="I20" s="69">
        <f>H20*F20</f>
        <v>0</v>
      </c>
    </row>
    <row r="21" spans="1:9" x14ac:dyDescent="0.25">
      <c r="A21" s="71"/>
      <c r="B21" s="71"/>
      <c r="C21" s="71" t="s">
        <v>66</v>
      </c>
      <c r="D21" s="71"/>
      <c r="E21" s="72"/>
      <c r="F21" s="72"/>
      <c r="G21" s="72"/>
      <c r="H21" s="64"/>
      <c r="I21" s="64"/>
    </row>
    <row r="22" spans="1:9" x14ac:dyDescent="0.25">
      <c r="A22" s="65">
        <v>12</v>
      </c>
      <c r="B22" s="66"/>
      <c r="C22" s="67" t="s">
        <v>67</v>
      </c>
      <c r="D22" s="67"/>
      <c r="E22" s="68" t="s">
        <v>33</v>
      </c>
      <c r="F22" s="68">
        <v>2300</v>
      </c>
      <c r="G22" s="68" t="s">
        <v>56</v>
      </c>
      <c r="H22" s="68">
        <f>'Measurement Sheet'!L32</f>
        <v>6.4800000000000013</v>
      </c>
      <c r="I22" s="69">
        <f>H22*F22</f>
        <v>14904.000000000004</v>
      </c>
    </row>
    <row r="23" spans="1:9" x14ac:dyDescent="0.25">
      <c r="A23" s="65">
        <v>13</v>
      </c>
      <c r="B23" s="66"/>
      <c r="C23" s="67" t="s">
        <v>68</v>
      </c>
      <c r="D23" s="67"/>
      <c r="E23" s="68" t="s">
        <v>33</v>
      </c>
      <c r="F23" s="68">
        <f>F22+(F22*13%)</f>
        <v>2599</v>
      </c>
      <c r="G23" s="68" t="s">
        <v>56</v>
      </c>
      <c r="H23" s="68"/>
      <c r="I23" s="69"/>
    </row>
    <row r="24" spans="1:9" x14ac:dyDescent="0.25">
      <c r="A24" s="65">
        <v>14</v>
      </c>
      <c r="B24" s="66"/>
      <c r="C24" s="67" t="s">
        <v>69</v>
      </c>
      <c r="D24" s="67"/>
      <c r="E24" s="68" t="s">
        <v>33</v>
      </c>
      <c r="F24" s="68">
        <f>F22+(F22*26%)</f>
        <v>2898</v>
      </c>
      <c r="G24" s="68" t="s">
        <v>56</v>
      </c>
      <c r="H24" s="68"/>
      <c r="I24" s="69"/>
    </row>
    <row r="25" spans="1:9" x14ac:dyDescent="0.25">
      <c r="A25" s="71"/>
      <c r="B25" s="71"/>
      <c r="C25" s="71" t="s">
        <v>70</v>
      </c>
      <c r="D25" s="71"/>
      <c r="E25" s="72"/>
      <c r="F25" s="72"/>
      <c r="G25" s="72"/>
      <c r="H25" s="64"/>
      <c r="I25" s="64"/>
    </row>
    <row r="26" spans="1:9" x14ac:dyDescent="0.25">
      <c r="A26" s="65">
        <v>15</v>
      </c>
      <c r="B26" s="66"/>
      <c r="C26" s="67" t="s">
        <v>71</v>
      </c>
      <c r="D26" s="67"/>
      <c r="E26" s="68" t="s">
        <v>33</v>
      </c>
      <c r="F26" s="68">
        <v>2750</v>
      </c>
      <c r="G26" s="68" t="s">
        <v>56</v>
      </c>
      <c r="H26" s="68">
        <f>'Measurement Sheet'!L44</f>
        <v>31.11150000000001</v>
      </c>
      <c r="I26" s="69">
        <f>H26*F26</f>
        <v>85556.625000000029</v>
      </c>
    </row>
    <row r="27" spans="1:9" x14ac:dyDescent="0.25">
      <c r="A27" s="65">
        <v>16</v>
      </c>
      <c r="B27" s="66"/>
      <c r="C27" s="67" t="s">
        <v>72</v>
      </c>
      <c r="D27" s="67"/>
      <c r="E27" s="68" t="s">
        <v>33</v>
      </c>
      <c r="F27" s="68">
        <f>F26+(F26*13%)</f>
        <v>3107.5</v>
      </c>
      <c r="G27" s="68" t="s">
        <v>56</v>
      </c>
      <c r="H27" s="68"/>
      <c r="I27" s="69">
        <f>H27*F27</f>
        <v>0</v>
      </c>
    </row>
    <row r="28" spans="1:9" x14ac:dyDescent="0.25">
      <c r="A28" s="65">
        <v>17</v>
      </c>
      <c r="B28" s="66"/>
      <c r="C28" s="67" t="s">
        <v>73</v>
      </c>
      <c r="D28" s="67"/>
      <c r="E28" s="68" t="s">
        <v>33</v>
      </c>
      <c r="F28" s="68">
        <f>F26+(F26*26%)</f>
        <v>3465</v>
      </c>
      <c r="G28" s="68" t="s">
        <v>56</v>
      </c>
      <c r="H28" s="68"/>
      <c r="I28" s="69">
        <f>H28*F28</f>
        <v>0</v>
      </c>
    </row>
    <row r="29" spans="1:9" x14ac:dyDescent="0.25">
      <c r="A29" s="65">
        <v>18</v>
      </c>
      <c r="B29" s="66"/>
      <c r="C29" s="67" t="s">
        <v>74</v>
      </c>
      <c r="D29" s="67"/>
      <c r="E29" s="68" t="s">
        <v>33</v>
      </c>
      <c r="F29" s="68">
        <f>F26+(F26*39%)</f>
        <v>3822.5</v>
      </c>
      <c r="G29" s="68" t="s">
        <v>56</v>
      </c>
      <c r="H29" s="69"/>
      <c r="I29" s="69">
        <f>H29*F29</f>
        <v>0</v>
      </c>
    </row>
    <row r="30" spans="1:9" x14ac:dyDescent="0.25">
      <c r="A30" s="65">
        <v>19</v>
      </c>
      <c r="B30" s="66"/>
      <c r="C30" s="67" t="s">
        <v>75</v>
      </c>
      <c r="D30" s="67"/>
      <c r="E30" s="68" t="s">
        <v>33</v>
      </c>
      <c r="F30" s="68">
        <f>F26+(F26*52%)</f>
        <v>4180</v>
      </c>
      <c r="G30" s="68" t="s">
        <v>56</v>
      </c>
      <c r="H30" s="69"/>
      <c r="I30" s="69"/>
    </row>
    <row r="31" spans="1:9" x14ac:dyDescent="0.25">
      <c r="A31" s="71"/>
      <c r="B31" s="71"/>
      <c r="C31" s="71" t="s">
        <v>42</v>
      </c>
      <c r="D31" s="71"/>
      <c r="E31" s="72"/>
      <c r="F31" s="72"/>
      <c r="G31" s="72"/>
      <c r="H31" s="64"/>
      <c r="I31" s="64"/>
    </row>
    <row r="32" spans="1:9" x14ac:dyDescent="0.25">
      <c r="A32" s="65">
        <v>20</v>
      </c>
      <c r="B32" s="66"/>
      <c r="C32" s="70" t="s">
        <v>17</v>
      </c>
      <c r="D32" s="70"/>
      <c r="E32" s="68" t="s">
        <v>59</v>
      </c>
      <c r="F32" s="68">
        <v>400</v>
      </c>
      <c r="G32" s="68" t="s">
        <v>56</v>
      </c>
      <c r="H32" s="68">
        <f>'Measurement Sheet'!L64</f>
        <v>119.98000000000005</v>
      </c>
      <c r="I32" s="69">
        <f>H32*F32</f>
        <v>47992.000000000022</v>
      </c>
    </row>
    <row r="33" spans="1:9" x14ac:dyDescent="0.25">
      <c r="A33" s="65">
        <v>21</v>
      </c>
      <c r="B33" s="66"/>
      <c r="C33" s="70" t="s">
        <v>21</v>
      </c>
      <c r="D33" s="70"/>
      <c r="E33" s="68" t="s">
        <v>59</v>
      </c>
      <c r="F33" s="68">
        <f>F32+(F32*13%)</f>
        <v>452</v>
      </c>
      <c r="G33" s="68" t="s">
        <v>56</v>
      </c>
      <c r="H33" s="68"/>
      <c r="I33" s="69">
        <f>H33*F33</f>
        <v>0</v>
      </c>
    </row>
    <row r="34" spans="1:9" x14ac:dyDescent="0.25">
      <c r="A34" s="65">
        <v>22</v>
      </c>
      <c r="B34" s="66"/>
      <c r="C34" s="70" t="s">
        <v>36</v>
      </c>
      <c r="D34" s="70"/>
      <c r="E34" s="68" t="s">
        <v>59</v>
      </c>
      <c r="F34" s="68">
        <f>F32+(F32*26%)</f>
        <v>504</v>
      </c>
      <c r="G34" s="68" t="s">
        <v>56</v>
      </c>
      <c r="H34" s="68"/>
      <c r="I34" s="69">
        <f>H34*F34</f>
        <v>0</v>
      </c>
    </row>
    <row r="35" spans="1:9" x14ac:dyDescent="0.25">
      <c r="A35" s="65">
        <v>23</v>
      </c>
      <c r="B35" s="66"/>
      <c r="C35" s="70" t="s">
        <v>76</v>
      </c>
      <c r="D35" s="70"/>
      <c r="E35" s="68" t="s">
        <v>77</v>
      </c>
      <c r="F35" s="68">
        <f>F32+(F32*39%)</f>
        <v>556</v>
      </c>
      <c r="G35" s="68" t="s">
        <v>56</v>
      </c>
      <c r="H35" s="68"/>
      <c r="I35" s="69">
        <f>H35*F35</f>
        <v>0</v>
      </c>
    </row>
    <row r="36" spans="1:9" x14ac:dyDescent="0.25">
      <c r="A36" s="65">
        <v>24</v>
      </c>
      <c r="B36" s="66"/>
      <c r="C36" s="70" t="s">
        <v>78</v>
      </c>
      <c r="D36" s="70"/>
      <c r="E36" s="68" t="s">
        <v>77</v>
      </c>
      <c r="F36" s="68">
        <f>F32+(F32*52%)</f>
        <v>608</v>
      </c>
      <c r="G36" s="68" t="s">
        <v>56</v>
      </c>
      <c r="H36" s="68"/>
      <c r="I36" s="69">
        <f>H36*F36</f>
        <v>0</v>
      </c>
    </row>
    <row r="37" spans="1:9" x14ac:dyDescent="0.25">
      <c r="A37" s="71"/>
      <c r="B37" s="71"/>
      <c r="C37" s="71" t="s">
        <v>79</v>
      </c>
      <c r="D37" s="71"/>
      <c r="E37" s="72"/>
      <c r="F37" s="72"/>
      <c r="G37" s="72"/>
      <c r="H37" s="64"/>
      <c r="I37" s="64"/>
    </row>
    <row r="38" spans="1:9" x14ac:dyDescent="0.25">
      <c r="A38" s="65">
        <v>25</v>
      </c>
      <c r="B38" s="73"/>
      <c r="C38" s="70" t="s">
        <v>17</v>
      </c>
      <c r="D38" s="70"/>
      <c r="E38" s="68" t="s">
        <v>77</v>
      </c>
      <c r="F38" s="68">
        <v>9000</v>
      </c>
      <c r="G38" s="68" t="s">
        <v>56</v>
      </c>
      <c r="H38" s="68">
        <v>3.17</v>
      </c>
      <c r="I38" s="69">
        <f>H38*F38</f>
        <v>28530</v>
      </c>
    </row>
    <row r="39" spans="1:9" x14ac:dyDescent="0.25">
      <c r="A39" s="65">
        <v>26</v>
      </c>
      <c r="B39" s="73"/>
      <c r="C39" s="70" t="s">
        <v>21</v>
      </c>
      <c r="D39" s="70"/>
      <c r="E39" s="68" t="s">
        <v>77</v>
      </c>
      <c r="F39" s="68">
        <f>F38+(F38*13%)</f>
        <v>10170</v>
      </c>
      <c r="G39" s="68" t="s">
        <v>56</v>
      </c>
      <c r="H39" s="74"/>
      <c r="I39" s="69">
        <f>H39*F39</f>
        <v>0</v>
      </c>
    </row>
    <row r="40" spans="1:9" x14ac:dyDescent="0.25">
      <c r="A40" s="65">
        <v>27</v>
      </c>
      <c r="B40" s="66"/>
      <c r="C40" s="70" t="s">
        <v>36</v>
      </c>
      <c r="D40" s="70"/>
      <c r="E40" s="68" t="s">
        <v>77</v>
      </c>
      <c r="F40" s="68">
        <f>F38+(F38*26%)</f>
        <v>11340</v>
      </c>
      <c r="G40" s="68" t="s">
        <v>56</v>
      </c>
      <c r="H40" s="74"/>
      <c r="I40" s="69">
        <f>H40*F40</f>
        <v>0</v>
      </c>
    </row>
    <row r="41" spans="1:9" x14ac:dyDescent="0.25">
      <c r="A41" s="65">
        <v>28</v>
      </c>
      <c r="B41" s="66"/>
      <c r="C41" s="70" t="s">
        <v>76</v>
      </c>
      <c r="D41" s="70"/>
      <c r="E41" s="68" t="s">
        <v>77</v>
      </c>
      <c r="F41" s="68">
        <f>F38+(F38*39%)</f>
        <v>12510</v>
      </c>
      <c r="G41" s="68" t="s">
        <v>56</v>
      </c>
      <c r="H41" s="74"/>
      <c r="I41" s="69">
        <f>H41*F41</f>
        <v>0</v>
      </c>
    </row>
    <row r="42" spans="1:9" x14ac:dyDescent="0.25">
      <c r="A42" s="65">
        <v>29</v>
      </c>
      <c r="B42" s="66"/>
      <c r="C42" s="70" t="s">
        <v>78</v>
      </c>
      <c r="D42" s="70"/>
      <c r="E42" s="68" t="s">
        <v>77</v>
      </c>
      <c r="F42" s="68">
        <f>F38+(F38*52%)</f>
        <v>13680</v>
      </c>
      <c r="G42" s="68" t="s">
        <v>56</v>
      </c>
      <c r="H42" s="75"/>
      <c r="I42" s="69"/>
    </row>
    <row r="43" spans="1:9" x14ac:dyDescent="0.25">
      <c r="A43" s="71"/>
      <c r="B43" s="71"/>
      <c r="C43" s="71" t="s">
        <v>80</v>
      </c>
      <c r="D43" s="71"/>
      <c r="E43" s="72"/>
      <c r="F43" s="72"/>
      <c r="G43" s="72"/>
      <c r="H43" s="64"/>
      <c r="I43" s="64"/>
    </row>
    <row r="44" spans="1:9" x14ac:dyDescent="0.25">
      <c r="A44" s="65">
        <v>30</v>
      </c>
      <c r="B44" s="66"/>
      <c r="C44" s="70" t="s">
        <v>81</v>
      </c>
      <c r="D44" s="70"/>
      <c r="E44" s="68" t="s">
        <v>77</v>
      </c>
      <c r="F44" s="68">
        <v>21000</v>
      </c>
      <c r="G44" s="76" t="s">
        <v>56</v>
      </c>
      <c r="H44" s="68"/>
      <c r="I44" s="69">
        <f>H44*F44</f>
        <v>0</v>
      </c>
    </row>
    <row r="45" spans="1:9" x14ac:dyDescent="0.25">
      <c r="A45" s="65">
        <v>31</v>
      </c>
      <c r="B45" s="66"/>
      <c r="C45" s="70" t="s">
        <v>82</v>
      </c>
      <c r="D45" s="70"/>
      <c r="E45" s="68" t="str">
        <f>E44</f>
        <v>MT</v>
      </c>
      <c r="F45" s="68">
        <v>25000</v>
      </c>
      <c r="G45" s="76" t="s">
        <v>56</v>
      </c>
      <c r="H45" s="68"/>
      <c r="I45" s="69"/>
    </row>
    <row r="46" spans="1:9" ht="30" x14ac:dyDescent="0.25">
      <c r="A46" s="65">
        <v>32</v>
      </c>
      <c r="B46" s="66"/>
      <c r="C46" s="70" t="s">
        <v>83</v>
      </c>
      <c r="D46" s="70"/>
      <c r="E46" s="68" t="s">
        <v>9</v>
      </c>
      <c r="F46" s="68">
        <v>450</v>
      </c>
      <c r="G46" s="76" t="s">
        <v>56</v>
      </c>
      <c r="H46" s="68"/>
      <c r="I46" s="69">
        <f>H46*F46</f>
        <v>0</v>
      </c>
    </row>
    <row r="47" spans="1:9" ht="30" x14ac:dyDescent="0.25">
      <c r="A47" s="65">
        <v>33</v>
      </c>
      <c r="B47" s="66"/>
      <c r="C47" s="70" t="s">
        <v>84</v>
      </c>
      <c r="D47" s="70"/>
      <c r="E47" s="68" t="str">
        <f>E45</f>
        <v>MT</v>
      </c>
      <c r="F47" s="68">
        <v>22000</v>
      </c>
      <c r="G47" s="76" t="s">
        <v>56</v>
      </c>
      <c r="H47" s="68"/>
      <c r="I47" s="69">
        <f>H47*F47</f>
        <v>0</v>
      </c>
    </row>
    <row r="48" spans="1:9" x14ac:dyDescent="0.25">
      <c r="A48" s="77"/>
      <c r="B48" s="77"/>
      <c r="C48" s="77"/>
      <c r="D48" s="77"/>
      <c r="E48" s="78"/>
      <c r="F48" s="78"/>
      <c r="G48" s="78"/>
      <c r="H48" s="79"/>
      <c r="I48" s="80">
        <f>SUM(I10:I47)</f>
        <v>295773.87500000006</v>
      </c>
    </row>
  </sheetData>
  <mergeCells count="1">
    <mergeCell ref="H6:I6"/>
  </mergeCells>
  <printOptions horizontalCentered="1"/>
  <pageMargins left="0" right="0" top="0.5" bottom="0.5" header="0.3" footer="0.3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view="pageBreakPreview" zoomScaleNormal="100" zoomScaleSheetLayoutView="100" workbookViewId="0">
      <pane ySplit="2" topLeftCell="A24" activePane="bottomLeft" state="frozen"/>
      <selection pane="bottomLeft" activeCell="L44" sqref="L44"/>
    </sheetView>
  </sheetViews>
  <sheetFormatPr defaultRowHeight="15" x14ac:dyDescent="0.25"/>
  <cols>
    <col min="2" max="2" width="25.7109375" customWidth="1"/>
    <col min="3" max="3" width="8.28515625" customWidth="1"/>
    <col min="4" max="4" width="9.7109375" customWidth="1"/>
    <col min="5" max="5" width="7.7109375" customWidth="1"/>
    <col min="8" max="11" width="5.7109375" customWidth="1"/>
    <col min="12" max="12" width="9.7109375" customWidth="1"/>
    <col min="14" max="14" width="12.140625" customWidth="1"/>
  </cols>
  <sheetData>
    <row r="1" spans="1:14" ht="37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5" t="s">
        <v>5</v>
      </c>
      <c r="G1" s="95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9.5" thickTop="1" thickBot="1" x14ac:dyDescent="0.3">
      <c r="A2" s="1"/>
      <c r="B2" s="1"/>
      <c r="C2" s="1"/>
      <c r="D2" s="1"/>
      <c r="E2" s="1"/>
      <c r="F2" s="2" t="s">
        <v>13</v>
      </c>
      <c r="G2" s="2" t="s">
        <v>14</v>
      </c>
      <c r="H2" s="1"/>
      <c r="I2" s="1"/>
      <c r="J2" s="1"/>
      <c r="K2" s="1"/>
      <c r="L2" s="1"/>
      <c r="M2" s="1"/>
      <c r="N2" s="1"/>
    </row>
    <row r="3" spans="1:14" ht="16.5" thickTop="1" thickBot="1" x14ac:dyDescent="0.3">
      <c r="A3" s="3"/>
      <c r="B3" s="3" t="s">
        <v>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thickTop="1" x14ac:dyDescent="0.25">
      <c r="A4" s="4"/>
      <c r="B4" s="5" t="s">
        <v>16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6">
        <v>1</v>
      </c>
      <c r="B5" s="7" t="s">
        <v>17</v>
      </c>
      <c r="C5" s="8" t="s">
        <v>86</v>
      </c>
      <c r="D5" s="8" t="s">
        <v>18</v>
      </c>
      <c r="E5" s="8"/>
      <c r="F5" s="9">
        <v>95</v>
      </c>
      <c r="G5" s="9">
        <f>F5-J5</f>
        <v>92</v>
      </c>
      <c r="H5" s="9">
        <f>10+1.25+1.25+1+1</f>
        <v>14.5</v>
      </c>
      <c r="I5" s="9">
        <f>8+2.5+0.75+1.25+1+1</f>
        <v>14.5</v>
      </c>
      <c r="J5" s="9">
        <v>3</v>
      </c>
      <c r="K5" s="9">
        <v>1</v>
      </c>
      <c r="L5" s="9">
        <f>PRODUCT(H5:K5)</f>
        <v>630.75</v>
      </c>
      <c r="M5" s="8" t="s">
        <v>19</v>
      </c>
      <c r="N5" s="8"/>
    </row>
    <row r="6" spans="1:14" x14ac:dyDescent="0.25">
      <c r="A6" s="10"/>
      <c r="B6" s="11" t="s">
        <v>20</v>
      </c>
      <c r="C6" s="12"/>
      <c r="D6" s="12"/>
      <c r="E6" s="12"/>
      <c r="F6" s="12"/>
      <c r="G6" s="12"/>
      <c r="H6" s="12"/>
      <c r="I6" s="12"/>
      <c r="J6" s="12"/>
      <c r="K6" s="12"/>
      <c r="L6" s="12">
        <f>SUM(L5:L5)</f>
        <v>630.75</v>
      </c>
      <c r="M6" s="12"/>
      <c r="N6" s="12"/>
    </row>
    <row r="7" spans="1:14" x14ac:dyDescent="0.25">
      <c r="A7" s="6">
        <v>2</v>
      </c>
      <c r="B7" s="13" t="s">
        <v>21</v>
      </c>
      <c r="C7" s="8" t="s">
        <v>86</v>
      </c>
      <c r="D7" s="14" t="str">
        <f>D5</f>
        <v>Raft</v>
      </c>
      <c r="E7" s="14"/>
      <c r="F7" s="15"/>
      <c r="G7" s="15"/>
      <c r="H7" s="15"/>
      <c r="I7" s="15"/>
      <c r="J7" s="15"/>
      <c r="K7" s="15"/>
      <c r="L7" s="15">
        <f>PRODUCT(H7:K7)</f>
        <v>0</v>
      </c>
      <c r="M7" s="14" t="s">
        <v>19</v>
      </c>
      <c r="N7" s="14"/>
    </row>
    <row r="8" spans="1:14" x14ac:dyDescent="0.25">
      <c r="A8" s="16"/>
      <c r="B8" s="17"/>
      <c r="C8" s="12"/>
      <c r="D8" s="12"/>
      <c r="E8" s="12"/>
      <c r="F8" s="18"/>
      <c r="G8" s="18"/>
      <c r="H8" s="18"/>
      <c r="I8" s="18"/>
      <c r="J8" s="18"/>
      <c r="K8" s="18"/>
      <c r="L8" s="12">
        <f>L7</f>
        <v>0</v>
      </c>
      <c r="M8" s="12"/>
      <c r="N8" s="12"/>
    </row>
    <row r="9" spans="1:14" x14ac:dyDescent="0.25">
      <c r="A9" s="6">
        <v>3</v>
      </c>
      <c r="B9" s="13" t="s">
        <v>22</v>
      </c>
      <c r="C9" s="8" t="s">
        <v>86</v>
      </c>
      <c r="D9" s="14" t="str">
        <f>D7</f>
        <v>Raft</v>
      </c>
      <c r="E9" s="14"/>
      <c r="F9" s="15"/>
      <c r="G9" s="15"/>
      <c r="H9" s="15"/>
      <c r="I9" s="15"/>
      <c r="J9" s="15"/>
      <c r="K9" s="15"/>
      <c r="L9" s="15">
        <f>PRODUCT(H9:K9)</f>
        <v>0</v>
      </c>
      <c r="M9" s="14"/>
      <c r="N9" s="14"/>
    </row>
    <row r="10" spans="1:14" x14ac:dyDescent="0.25">
      <c r="A10" s="16"/>
      <c r="B10" s="11" t="s">
        <v>20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f>L9</f>
        <v>0</v>
      </c>
      <c r="M10" s="12" t="s">
        <v>19</v>
      </c>
      <c r="N10" s="12"/>
    </row>
    <row r="11" spans="1:14" x14ac:dyDescent="0.25">
      <c r="A11" s="4"/>
      <c r="B11" s="5" t="s">
        <v>23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19"/>
      <c r="B12" s="20" t="s">
        <v>24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x14ac:dyDescent="0.25">
      <c r="A13" s="19"/>
      <c r="B13" s="20" t="s">
        <v>24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x14ac:dyDescent="0.25">
      <c r="A14" s="19"/>
      <c r="B14" s="20" t="s">
        <v>24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x14ac:dyDescent="0.25">
      <c r="A15" s="4"/>
      <c r="B15" s="5" t="s">
        <v>25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22">
        <v>4</v>
      </c>
      <c r="B16" s="13" t="s">
        <v>26</v>
      </c>
      <c r="C16" s="14"/>
      <c r="D16" s="14"/>
      <c r="E16" s="23"/>
      <c r="F16" s="15">
        <f>G16</f>
        <v>92</v>
      </c>
      <c r="G16" s="15">
        <v>92</v>
      </c>
      <c r="H16" s="15">
        <v>14.5</v>
      </c>
      <c r="I16" s="15">
        <v>14.5</v>
      </c>
      <c r="J16" s="15"/>
      <c r="K16" s="15">
        <v>1</v>
      </c>
      <c r="L16" s="15">
        <f>PRODUCT(H16:K16)</f>
        <v>210.25</v>
      </c>
      <c r="M16" s="14" t="s">
        <v>27</v>
      </c>
      <c r="N16" s="15"/>
    </row>
    <row r="17" spans="1:14" x14ac:dyDescent="0.25">
      <c r="A17" s="24"/>
      <c r="B17" s="25" t="s">
        <v>20</v>
      </c>
      <c r="C17" s="12"/>
      <c r="D17" s="12"/>
      <c r="E17" s="12"/>
      <c r="F17" s="12"/>
      <c r="G17" s="12"/>
      <c r="H17" s="12"/>
      <c r="I17" s="12"/>
      <c r="J17" s="12"/>
      <c r="K17" s="12"/>
      <c r="L17" s="12">
        <f>SUM(L16:L16)</f>
        <v>210.25</v>
      </c>
      <c r="M17" s="12" t="s">
        <v>27</v>
      </c>
      <c r="N17" s="12"/>
    </row>
    <row r="18" spans="1:14" x14ac:dyDescent="0.25">
      <c r="A18" s="4"/>
      <c r="B18" s="5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96">
        <v>5</v>
      </c>
      <c r="B19" s="20" t="s">
        <v>29</v>
      </c>
      <c r="C19" s="14"/>
      <c r="D19" s="26"/>
      <c r="E19" s="26"/>
      <c r="F19" s="26"/>
      <c r="G19" s="26"/>
      <c r="H19" s="26"/>
      <c r="I19" s="26"/>
      <c r="J19" s="26"/>
      <c r="K19" s="26"/>
      <c r="L19" s="27">
        <f>L6+L8+L10</f>
        <v>630.75</v>
      </c>
      <c r="M19" s="26"/>
      <c r="N19" s="26"/>
    </row>
    <row r="20" spans="1:14" x14ac:dyDescent="0.25">
      <c r="A20" s="97"/>
      <c r="B20" s="20" t="s">
        <v>30</v>
      </c>
      <c r="C20" s="14"/>
      <c r="D20" s="26"/>
      <c r="E20" s="26"/>
      <c r="F20" s="26"/>
      <c r="G20" s="26"/>
      <c r="H20" s="26"/>
      <c r="I20" s="26"/>
      <c r="J20" s="26"/>
      <c r="K20" s="26"/>
      <c r="L20" s="27">
        <v>154.19999999999999</v>
      </c>
      <c r="M20" s="26"/>
      <c r="N20" s="26"/>
    </row>
    <row r="21" spans="1:14" x14ac:dyDescent="0.25">
      <c r="A21" s="98"/>
      <c r="B21" s="20" t="s">
        <v>31</v>
      </c>
      <c r="C21" s="14"/>
      <c r="D21" s="26"/>
      <c r="E21" s="26"/>
      <c r="F21" s="26"/>
      <c r="G21" s="26"/>
      <c r="H21" s="26"/>
      <c r="I21" s="26"/>
      <c r="J21" s="26"/>
      <c r="K21" s="26"/>
      <c r="L21" s="27">
        <f>L32</f>
        <v>6.4800000000000013</v>
      </c>
      <c r="M21" s="26"/>
      <c r="N21" s="26"/>
    </row>
    <row r="22" spans="1:14" x14ac:dyDescent="0.25">
      <c r="A22" s="24"/>
      <c r="B22" s="25" t="s">
        <v>32</v>
      </c>
      <c r="C22" s="12"/>
      <c r="D22" s="12"/>
      <c r="E22" s="12"/>
      <c r="F22" s="12"/>
      <c r="G22" s="12"/>
      <c r="H22" s="12"/>
      <c r="I22" s="12"/>
      <c r="J22" s="12"/>
      <c r="K22" s="12"/>
      <c r="L22" s="12">
        <f>L19-L20-L21</f>
        <v>470.07</v>
      </c>
      <c r="M22" s="12" t="s">
        <v>33</v>
      </c>
      <c r="N22" s="12"/>
    </row>
    <row r="23" spans="1:14" ht="15.75" thickBot="1" x14ac:dyDescent="0.3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ht="16.5" thickTop="1" thickBot="1" x14ac:dyDescent="0.3">
      <c r="A24" s="3"/>
      <c r="B24" s="3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9.5" thickTop="1" x14ac:dyDescent="0.25">
      <c r="A25" s="4"/>
      <c r="B25" s="31" t="s">
        <v>35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32">
        <v>6</v>
      </c>
      <c r="B26" s="33" t="s">
        <v>87</v>
      </c>
      <c r="C26" s="34" t="s">
        <v>88</v>
      </c>
      <c r="D26" s="34" t="s">
        <v>89</v>
      </c>
      <c r="E26" s="34"/>
      <c r="F26" s="35">
        <v>92</v>
      </c>
      <c r="G26" s="35">
        <f>F26+J26</f>
        <v>92.1</v>
      </c>
      <c r="H26" s="35">
        <v>2.6</v>
      </c>
      <c r="I26" s="35">
        <f>H26</f>
        <v>2.6</v>
      </c>
      <c r="J26" s="35">
        <v>0.1</v>
      </c>
      <c r="K26" s="35">
        <v>6</v>
      </c>
      <c r="L26" s="34">
        <f>PRODUCT(H26:K26)</f>
        <v>4.0560000000000009</v>
      </c>
      <c r="M26" s="34" t="s">
        <v>19</v>
      </c>
      <c r="N26" s="33"/>
    </row>
    <row r="27" spans="1:14" x14ac:dyDescent="0.25">
      <c r="A27" s="43"/>
      <c r="B27" s="33" t="s">
        <v>87</v>
      </c>
      <c r="C27" s="34" t="s">
        <v>88</v>
      </c>
      <c r="D27" s="34" t="s">
        <v>90</v>
      </c>
      <c r="E27" s="34"/>
      <c r="F27" s="35">
        <f>95-2</f>
        <v>93</v>
      </c>
      <c r="G27" s="35">
        <f>F27+J27</f>
        <v>93.1</v>
      </c>
      <c r="H27" s="35">
        <v>1.6</v>
      </c>
      <c r="I27" s="35">
        <f>1.6</f>
        <v>1.6</v>
      </c>
      <c r="J27" s="35">
        <f>J26</f>
        <v>0.1</v>
      </c>
      <c r="K27" s="35">
        <v>2</v>
      </c>
      <c r="L27" s="34">
        <f t="shared" ref="L27:L31" si="0">PRODUCT(H27:K27)</f>
        <v>0.51200000000000012</v>
      </c>
      <c r="M27" s="34" t="s">
        <v>19</v>
      </c>
      <c r="N27" s="33"/>
    </row>
    <row r="28" spans="1:14" x14ac:dyDescent="0.25">
      <c r="A28" s="43"/>
      <c r="B28" s="33" t="s">
        <v>87</v>
      </c>
      <c r="C28" s="34" t="s">
        <v>88</v>
      </c>
      <c r="D28" s="34" t="s">
        <v>91</v>
      </c>
      <c r="E28" s="34"/>
      <c r="F28" s="35">
        <f>G28+J28</f>
        <v>94.6</v>
      </c>
      <c r="G28" s="35">
        <f>95-0.5</f>
        <v>94.5</v>
      </c>
      <c r="H28" s="35">
        <f>10-0.35-0.35-0.7</f>
        <v>8.6000000000000014</v>
      </c>
      <c r="I28" s="35">
        <v>0.4</v>
      </c>
      <c r="J28" s="35">
        <f t="shared" ref="J28:J31" si="1">J27</f>
        <v>0.1</v>
      </c>
      <c r="K28" s="35">
        <v>2</v>
      </c>
      <c r="L28" s="34">
        <f t="shared" si="0"/>
        <v>0.68800000000000017</v>
      </c>
      <c r="M28" s="34" t="s">
        <v>19</v>
      </c>
      <c r="N28" s="33"/>
    </row>
    <row r="29" spans="1:14" x14ac:dyDescent="0.25">
      <c r="A29" s="43"/>
      <c r="B29" s="33" t="s">
        <v>87</v>
      </c>
      <c r="C29" s="34" t="s">
        <v>88</v>
      </c>
      <c r="D29" s="34" t="s">
        <v>92</v>
      </c>
      <c r="E29" s="34"/>
      <c r="F29" s="35">
        <f t="shared" ref="F29:G31" si="2">F28</f>
        <v>94.6</v>
      </c>
      <c r="G29" s="35">
        <f t="shared" si="2"/>
        <v>94.5</v>
      </c>
      <c r="H29" s="35">
        <f>8-0.3-0.3</f>
        <v>7.4</v>
      </c>
      <c r="I29" s="35">
        <f>I28</f>
        <v>0.4</v>
      </c>
      <c r="J29" s="35">
        <f t="shared" si="1"/>
        <v>0.1</v>
      </c>
      <c r="K29" s="35">
        <v>3</v>
      </c>
      <c r="L29" s="34">
        <f t="shared" si="0"/>
        <v>0.88800000000000012</v>
      </c>
      <c r="M29" s="34" t="s">
        <v>19</v>
      </c>
      <c r="N29" s="33"/>
    </row>
    <row r="30" spans="1:14" x14ac:dyDescent="0.25">
      <c r="A30" s="43"/>
      <c r="B30" s="33" t="s">
        <v>87</v>
      </c>
      <c r="C30" s="34" t="s">
        <v>88</v>
      </c>
      <c r="D30" s="34" t="s">
        <v>93</v>
      </c>
      <c r="E30" s="34"/>
      <c r="F30" s="35">
        <f t="shared" si="2"/>
        <v>94.6</v>
      </c>
      <c r="G30" s="35">
        <f t="shared" si="2"/>
        <v>94.5</v>
      </c>
      <c r="H30" s="35">
        <f>5-0.25-0.25</f>
        <v>4.5</v>
      </c>
      <c r="I30" s="35">
        <f>I29</f>
        <v>0.4</v>
      </c>
      <c r="J30" s="35">
        <f t="shared" si="1"/>
        <v>0.1</v>
      </c>
      <c r="K30" s="35">
        <v>1</v>
      </c>
      <c r="L30" s="34">
        <f t="shared" si="0"/>
        <v>0.18000000000000002</v>
      </c>
      <c r="M30" s="34" t="s">
        <v>19</v>
      </c>
      <c r="N30" s="33"/>
    </row>
    <row r="31" spans="1:14" x14ac:dyDescent="0.25">
      <c r="A31" s="43"/>
      <c r="B31" s="33" t="s">
        <v>87</v>
      </c>
      <c r="C31" s="34" t="s">
        <v>88</v>
      </c>
      <c r="D31" s="34" t="s">
        <v>94</v>
      </c>
      <c r="E31" s="34"/>
      <c r="F31" s="35">
        <f t="shared" si="2"/>
        <v>94.6</v>
      </c>
      <c r="G31" s="35">
        <f t="shared" si="2"/>
        <v>94.5</v>
      </c>
      <c r="H31" s="35">
        <f>2.5-0.25-0.3</f>
        <v>1.95</v>
      </c>
      <c r="I31" s="35">
        <f>I30</f>
        <v>0.4</v>
      </c>
      <c r="J31" s="35">
        <f t="shared" si="1"/>
        <v>0.1</v>
      </c>
      <c r="K31" s="35">
        <v>2</v>
      </c>
      <c r="L31" s="34">
        <f t="shared" si="0"/>
        <v>0.15600000000000003</v>
      </c>
      <c r="M31" s="34" t="s">
        <v>19</v>
      </c>
      <c r="N31" s="33"/>
    </row>
    <row r="32" spans="1:14" x14ac:dyDescent="0.25">
      <c r="A32" s="24"/>
      <c r="B32" s="36" t="str">
        <f>B26</f>
        <v>0--3Mtr</v>
      </c>
      <c r="C32" s="12"/>
      <c r="D32" s="12"/>
      <c r="E32" s="12"/>
      <c r="F32" s="12"/>
      <c r="G32" s="12"/>
      <c r="H32" s="12"/>
      <c r="I32" s="12"/>
      <c r="J32" s="12"/>
      <c r="K32" s="12"/>
      <c r="L32" s="12">
        <f>SUM(L26:L31)</f>
        <v>6.4800000000000013</v>
      </c>
      <c r="M32" s="12" t="s">
        <v>19</v>
      </c>
      <c r="N32" s="12"/>
    </row>
    <row r="33" spans="1:14" ht="18.75" x14ac:dyDescent="0.25">
      <c r="A33" s="4"/>
      <c r="B33" s="31" t="s">
        <v>37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99">
        <v>7</v>
      </c>
      <c r="B34" s="37" t="s">
        <v>38</v>
      </c>
      <c r="C34" s="34" t="s">
        <v>88</v>
      </c>
      <c r="D34" s="34" t="s">
        <v>89</v>
      </c>
      <c r="E34" s="34"/>
      <c r="F34" s="35">
        <v>92.1</v>
      </c>
      <c r="G34" s="35">
        <f>F34+J34</f>
        <v>92.5</v>
      </c>
      <c r="H34" s="35">
        <v>2.5</v>
      </c>
      <c r="I34" s="35">
        <f>H34</f>
        <v>2.5</v>
      </c>
      <c r="J34" s="35">
        <v>0.4</v>
      </c>
      <c r="K34" s="35">
        <v>6</v>
      </c>
      <c r="L34" s="35">
        <f>PRODUCT(H34:K34)</f>
        <v>15</v>
      </c>
      <c r="M34" s="34" t="s">
        <v>19</v>
      </c>
      <c r="N34" s="34" t="s">
        <v>41</v>
      </c>
    </row>
    <row r="35" spans="1:14" x14ac:dyDescent="0.25">
      <c r="A35" s="100"/>
      <c r="B35" s="37" t="s">
        <v>38</v>
      </c>
      <c r="C35" s="34" t="s">
        <v>88</v>
      </c>
      <c r="D35" s="81" t="str">
        <f>D34</f>
        <v>F1</v>
      </c>
      <c r="E35" s="34"/>
      <c r="F35" s="82">
        <f>G34</f>
        <v>92.5</v>
      </c>
      <c r="G35" s="35">
        <f t="shared" ref="G35:G41" si="3">F35+J35</f>
        <v>92.8</v>
      </c>
      <c r="H35" s="35">
        <f>((2.5*2.5)+(0.7*0.7))</f>
        <v>6.74</v>
      </c>
      <c r="I35" s="35">
        <f>SQRT((((2.5*2.5)*(0.7*0.7))))</f>
        <v>1.7499999999999998</v>
      </c>
      <c r="J35" s="35">
        <v>0.3</v>
      </c>
      <c r="K35" s="35">
        <f>K34</f>
        <v>6</v>
      </c>
      <c r="L35" s="35">
        <f>(H35+I35)*J35</f>
        <v>2.5470000000000002</v>
      </c>
      <c r="M35" s="34" t="s">
        <v>19</v>
      </c>
      <c r="N35" s="34" t="s">
        <v>95</v>
      </c>
    </row>
    <row r="36" spans="1:14" x14ac:dyDescent="0.25">
      <c r="A36" s="100"/>
      <c r="B36" s="37" t="s">
        <v>38</v>
      </c>
      <c r="C36" s="34" t="s">
        <v>88</v>
      </c>
      <c r="D36" s="38" t="s">
        <v>90</v>
      </c>
      <c r="E36" s="34"/>
      <c r="F36" s="39">
        <v>93.1</v>
      </c>
      <c r="G36" s="35">
        <f t="shared" si="3"/>
        <v>93.35</v>
      </c>
      <c r="H36" s="35">
        <v>1.5</v>
      </c>
      <c r="I36" s="35">
        <v>1.5</v>
      </c>
      <c r="J36" s="35">
        <v>0.25</v>
      </c>
      <c r="K36" s="35">
        <v>2</v>
      </c>
      <c r="L36" s="35">
        <f t="shared" ref="L36" si="4">PRODUCT(H36:K36)</f>
        <v>1.125</v>
      </c>
      <c r="M36" s="34" t="s">
        <v>19</v>
      </c>
      <c r="N36" s="34" t="s">
        <v>41</v>
      </c>
    </row>
    <row r="37" spans="1:14" x14ac:dyDescent="0.25">
      <c r="A37" s="100"/>
      <c r="B37" s="37" t="s">
        <v>38</v>
      </c>
      <c r="C37" s="34" t="s">
        <v>88</v>
      </c>
      <c r="D37" s="38" t="str">
        <f>D36</f>
        <v>F2</v>
      </c>
      <c r="E37" s="34"/>
      <c r="F37" s="39">
        <f>G36</f>
        <v>93.35</v>
      </c>
      <c r="G37" s="35">
        <f t="shared" si="3"/>
        <v>93.5</v>
      </c>
      <c r="H37" s="35">
        <f>((1.5*1.5)+(0.5*0.5))</f>
        <v>2.5</v>
      </c>
      <c r="I37" s="35">
        <f>SQRT((((1.5*1.5)*(0.5*0.5))))</f>
        <v>0.75</v>
      </c>
      <c r="J37" s="35">
        <v>0.15</v>
      </c>
      <c r="K37" s="35">
        <f>K36</f>
        <v>2</v>
      </c>
      <c r="L37" s="35">
        <f>(H37+I37)*J37</f>
        <v>0.48749999999999999</v>
      </c>
      <c r="M37" s="34" t="s">
        <v>19</v>
      </c>
      <c r="N37" s="34" t="s">
        <v>95</v>
      </c>
    </row>
    <row r="38" spans="1:14" x14ac:dyDescent="0.25">
      <c r="A38" s="100"/>
      <c r="B38" s="37" t="s">
        <v>38</v>
      </c>
      <c r="C38" s="34" t="s">
        <v>88</v>
      </c>
      <c r="D38" s="38" t="s">
        <v>91</v>
      </c>
      <c r="E38" s="34"/>
      <c r="F38" s="39">
        <f>95-0.5</f>
        <v>94.5</v>
      </c>
      <c r="G38" s="35">
        <f t="shared" si="3"/>
        <v>95</v>
      </c>
      <c r="H38" s="35">
        <v>8.6000000000000014</v>
      </c>
      <c r="I38" s="35">
        <v>0.3</v>
      </c>
      <c r="J38" s="35">
        <v>0.5</v>
      </c>
      <c r="K38" s="35">
        <v>2</v>
      </c>
      <c r="L38" s="35">
        <f>PRODUCT(H38:K38)</f>
        <v>2.5800000000000005</v>
      </c>
      <c r="M38" s="34" t="s">
        <v>19</v>
      </c>
      <c r="N38" s="34"/>
    </row>
    <row r="39" spans="1:14" x14ac:dyDescent="0.25">
      <c r="A39" s="43"/>
      <c r="B39" s="37" t="s">
        <v>38</v>
      </c>
      <c r="C39" s="34" t="s">
        <v>88</v>
      </c>
      <c r="D39" s="38" t="s">
        <v>92</v>
      </c>
      <c r="E39" s="34"/>
      <c r="F39" s="39">
        <f>F38</f>
        <v>94.5</v>
      </c>
      <c r="G39" s="35">
        <f t="shared" si="3"/>
        <v>95</v>
      </c>
      <c r="H39" s="35">
        <v>7.4</v>
      </c>
      <c r="I39" s="35">
        <f>I38</f>
        <v>0.3</v>
      </c>
      <c r="J39" s="35">
        <f>J38</f>
        <v>0.5</v>
      </c>
      <c r="K39" s="35">
        <v>3</v>
      </c>
      <c r="L39" s="35">
        <f t="shared" ref="L39:L43" si="5">PRODUCT(H39:K39)</f>
        <v>3.33</v>
      </c>
      <c r="M39" s="34" t="s">
        <v>19</v>
      </c>
      <c r="N39" s="34"/>
    </row>
    <row r="40" spans="1:14" x14ac:dyDescent="0.25">
      <c r="A40" s="43"/>
      <c r="B40" s="37" t="s">
        <v>39</v>
      </c>
      <c r="C40" s="34" t="s">
        <v>88</v>
      </c>
      <c r="D40" s="38" t="s">
        <v>93</v>
      </c>
      <c r="E40" s="34"/>
      <c r="F40" s="39">
        <f>95-0.4</f>
        <v>94.6</v>
      </c>
      <c r="G40" s="35">
        <f t="shared" si="3"/>
        <v>95</v>
      </c>
      <c r="H40" s="35">
        <f>5-0.25-0.25</f>
        <v>4.5</v>
      </c>
      <c r="I40" s="35">
        <f t="shared" ref="I40:I41" si="6">I39</f>
        <v>0.3</v>
      </c>
      <c r="J40" s="35">
        <v>0.4</v>
      </c>
      <c r="K40" s="35">
        <v>1</v>
      </c>
      <c r="L40" s="35">
        <f t="shared" si="5"/>
        <v>0.53999999999999992</v>
      </c>
      <c r="M40" s="34" t="s">
        <v>19</v>
      </c>
      <c r="N40" s="34"/>
    </row>
    <row r="41" spans="1:14" x14ac:dyDescent="0.25">
      <c r="A41" s="43"/>
      <c r="B41" s="37" t="s">
        <v>39</v>
      </c>
      <c r="C41" s="34" t="s">
        <v>88</v>
      </c>
      <c r="D41" s="38" t="s">
        <v>94</v>
      </c>
      <c r="E41" s="34"/>
      <c r="F41" s="39">
        <f>F40</f>
        <v>94.6</v>
      </c>
      <c r="G41" s="35">
        <f t="shared" si="3"/>
        <v>95</v>
      </c>
      <c r="H41" s="35">
        <f>2.5-0.25-0.3</f>
        <v>1.95</v>
      </c>
      <c r="I41" s="35">
        <f t="shared" si="6"/>
        <v>0.3</v>
      </c>
      <c r="J41" s="35">
        <f>J40</f>
        <v>0.4</v>
      </c>
      <c r="K41" s="35">
        <v>2</v>
      </c>
      <c r="L41" s="35">
        <f t="shared" si="5"/>
        <v>0.46799999999999997</v>
      </c>
      <c r="M41" s="34" t="s">
        <v>19</v>
      </c>
      <c r="N41" s="34"/>
    </row>
    <row r="42" spans="1:14" x14ac:dyDescent="0.25">
      <c r="A42" s="43"/>
      <c r="B42" s="37" t="s">
        <v>38</v>
      </c>
      <c r="C42" s="34" t="s">
        <v>88</v>
      </c>
      <c r="D42" s="38" t="s">
        <v>96</v>
      </c>
      <c r="E42" s="34"/>
      <c r="F42" s="39">
        <f>(95-2.5)+0.1+0.4+0.3</f>
        <v>93.3</v>
      </c>
      <c r="G42" s="35">
        <v>95</v>
      </c>
      <c r="H42" s="35">
        <v>0.7</v>
      </c>
      <c r="I42" s="35">
        <v>0.6</v>
      </c>
      <c r="J42" s="35">
        <f>G42-F42</f>
        <v>1.7000000000000028</v>
      </c>
      <c r="K42" s="35">
        <v>6</v>
      </c>
      <c r="L42" s="35">
        <f t="shared" si="5"/>
        <v>4.2840000000000069</v>
      </c>
      <c r="M42" s="34" t="s">
        <v>19</v>
      </c>
      <c r="N42" s="34"/>
    </row>
    <row r="43" spans="1:14" x14ac:dyDescent="0.25">
      <c r="A43" s="43"/>
      <c r="B43" s="37" t="s">
        <v>39</v>
      </c>
      <c r="C43" s="34" t="s">
        <v>88</v>
      </c>
      <c r="D43" s="38" t="s">
        <v>97</v>
      </c>
      <c r="E43" s="34"/>
      <c r="F43" s="39">
        <v>93.5</v>
      </c>
      <c r="G43" s="35">
        <f>G42</f>
        <v>95</v>
      </c>
      <c r="H43" s="35">
        <v>0.5</v>
      </c>
      <c r="I43" s="35">
        <v>0.5</v>
      </c>
      <c r="J43" s="35">
        <f>G43-F43</f>
        <v>1.5</v>
      </c>
      <c r="K43" s="35">
        <v>2</v>
      </c>
      <c r="L43" s="35">
        <f t="shared" si="5"/>
        <v>0.75</v>
      </c>
      <c r="M43" s="34" t="s">
        <v>19</v>
      </c>
      <c r="N43" s="34"/>
    </row>
    <row r="44" spans="1:14" x14ac:dyDescent="0.25">
      <c r="A44" s="40"/>
      <c r="B44" s="36" t="s">
        <v>40</v>
      </c>
      <c r="C44" s="41"/>
      <c r="D44" s="41"/>
      <c r="E44" s="41"/>
      <c r="F44" s="42"/>
      <c r="G44" s="42"/>
      <c r="H44" s="42"/>
      <c r="I44" s="42"/>
      <c r="J44" s="42"/>
      <c r="K44" s="42"/>
      <c r="L44" s="41">
        <f>SUM(L34:L43)</f>
        <v>31.11150000000001</v>
      </c>
      <c r="M44" s="41" t="str">
        <f>M36</f>
        <v>Cum</v>
      </c>
      <c r="N44" s="41"/>
    </row>
    <row r="45" spans="1:14" ht="15.75" thickBot="1" x14ac:dyDescent="0.3">
      <c r="A45" s="44"/>
      <c r="B45" s="45"/>
      <c r="C45" s="46"/>
      <c r="D45" s="46"/>
      <c r="E45" s="46"/>
      <c r="F45" s="47"/>
      <c r="G45" s="47"/>
      <c r="H45" s="47"/>
      <c r="I45" s="47"/>
      <c r="J45" s="47"/>
      <c r="K45" s="47"/>
      <c r="L45" s="46"/>
      <c r="M45" s="46"/>
      <c r="N45" s="48"/>
    </row>
    <row r="46" spans="1:14" ht="15.75" thickTop="1" x14ac:dyDescent="0.25">
      <c r="A46" s="49"/>
      <c r="B46" s="49" t="s">
        <v>42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</row>
    <row r="47" spans="1:14" s="83" customFormat="1" x14ac:dyDescent="0.25">
      <c r="A47" s="101">
        <v>10</v>
      </c>
      <c r="B47" s="50" t="s">
        <v>38</v>
      </c>
      <c r="C47" s="51" t="s">
        <v>88</v>
      </c>
      <c r="D47" s="51" t="s">
        <v>89</v>
      </c>
      <c r="E47" s="52"/>
      <c r="F47" s="53">
        <v>92.1</v>
      </c>
      <c r="G47" s="53">
        <v>92.5</v>
      </c>
      <c r="H47" s="53">
        <v>2.5</v>
      </c>
      <c r="I47" s="53"/>
      <c r="J47" s="53">
        <v>0.4</v>
      </c>
      <c r="K47" s="53">
        <v>12</v>
      </c>
      <c r="L47" s="53">
        <f>PRODUCT(H47:K47)</f>
        <v>12</v>
      </c>
      <c r="M47" s="51" t="s">
        <v>27</v>
      </c>
      <c r="N47" s="51"/>
    </row>
    <row r="48" spans="1:14" s="83" customFormat="1" x14ac:dyDescent="0.25">
      <c r="A48" s="101"/>
      <c r="B48" s="50" t="s">
        <v>38</v>
      </c>
      <c r="C48" s="51" t="s">
        <v>88</v>
      </c>
      <c r="D48" s="51" t="s">
        <v>90</v>
      </c>
      <c r="E48" s="52"/>
      <c r="F48" s="53">
        <v>93.1</v>
      </c>
      <c r="G48" s="53">
        <v>93.35</v>
      </c>
      <c r="H48" s="53">
        <v>1.5</v>
      </c>
      <c r="I48" s="53"/>
      <c r="J48" s="53">
        <v>0.25</v>
      </c>
      <c r="K48" s="53">
        <v>4</v>
      </c>
      <c r="L48" s="53">
        <f t="shared" ref="L48:L63" si="7">PRODUCT(H48:K48)</f>
        <v>1.5</v>
      </c>
      <c r="M48" s="51" t="s">
        <v>27</v>
      </c>
      <c r="N48" s="51"/>
    </row>
    <row r="49" spans="1:14" s="83" customFormat="1" x14ac:dyDescent="0.25">
      <c r="A49" s="101"/>
      <c r="B49" s="50" t="s">
        <v>38</v>
      </c>
      <c r="C49" s="51" t="s">
        <v>88</v>
      </c>
      <c r="D49" s="51" t="s">
        <v>91</v>
      </c>
      <c r="E49" s="52"/>
      <c r="F49" s="53">
        <v>94.5</v>
      </c>
      <c r="G49" s="53">
        <v>95</v>
      </c>
      <c r="H49" s="53">
        <v>8.6000000000000014</v>
      </c>
      <c r="I49" s="53"/>
      <c r="J49" s="53">
        <v>0.5</v>
      </c>
      <c r="K49" s="53">
        <v>4</v>
      </c>
      <c r="L49" s="53">
        <f t="shared" si="7"/>
        <v>17.200000000000003</v>
      </c>
      <c r="M49" s="51" t="s">
        <v>27</v>
      </c>
      <c r="N49" s="51"/>
    </row>
    <row r="50" spans="1:14" s="83" customFormat="1" x14ac:dyDescent="0.25">
      <c r="A50" s="101"/>
      <c r="B50" s="50" t="s">
        <v>38</v>
      </c>
      <c r="C50" s="51" t="s">
        <v>88</v>
      </c>
      <c r="D50" s="51" t="s">
        <v>92</v>
      </c>
      <c r="E50" s="52"/>
      <c r="F50" s="53">
        <v>94.5</v>
      </c>
      <c r="G50" s="53">
        <v>95</v>
      </c>
      <c r="H50" s="53">
        <v>7.4</v>
      </c>
      <c r="I50" s="53"/>
      <c r="J50" s="53">
        <v>0.5</v>
      </c>
      <c r="K50" s="53">
        <v>6</v>
      </c>
      <c r="L50" s="53">
        <f t="shared" si="7"/>
        <v>22.200000000000003</v>
      </c>
      <c r="M50" s="51" t="s">
        <v>27</v>
      </c>
      <c r="N50" s="51"/>
    </row>
    <row r="51" spans="1:14" s="83" customFormat="1" x14ac:dyDescent="0.25">
      <c r="A51" s="101"/>
      <c r="B51" s="50" t="s">
        <v>38</v>
      </c>
      <c r="C51" s="51" t="s">
        <v>88</v>
      </c>
      <c r="D51" s="51" t="s">
        <v>93</v>
      </c>
      <c r="E51" s="52"/>
      <c r="F51" s="53">
        <v>94.6</v>
      </c>
      <c r="G51" s="53">
        <v>95</v>
      </c>
      <c r="H51" s="53">
        <v>4.5</v>
      </c>
      <c r="I51" s="53"/>
      <c r="J51" s="53">
        <v>0.4</v>
      </c>
      <c r="K51" s="53">
        <v>2</v>
      </c>
      <c r="L51" s="53">
        <f t="shared" si="7"/>
        <v>3.6</v>
      </c>
      <c r="M51" s="51" t="s">
        <v>27</v>
      </c>
      <c r="N51" s="51"/>
    </row>
    <row r="52" spans="1:14" s="83" customFormat="1" x14ac:dyDescent="0.25">
      <c r="A52" s="101"/>
      <c r="B52" s="50" t="s">
        <v>38</v>
      </c>
      <c r="C52" s="51" t="s">
        <v>88</v>
      </c>
      <c r="D52" s="51" t="s">
        <v>94</v>
      </c>
      <c r="E52" s="52"/>
      <c r="F52" s="53">
        <v>94.6</v>
      </c>
      <c r="G52" s="53">
        <v>95</v>
      </c>
      <c r="H52" s="53">
        <v>1.95</v>
      </c>
      <c r="I52" s="53"/>
      <c r="J52" s="53">
        <v>0.4</v>
      </c>
      <c r="K52" s="53">
        <v>4</v>
      </c>
      <c r="L52" s="53">
        <f t="shared" si="7"/>
        <v>3.12</v>
      </c>
      <c r="M52" s="51" t="s">
        <v>27</v>
      </c>
      <c r="N52" s="51"/>
    </row>
    <row r="53" spans="1:14" s="83" customFormat="1" x14ac:dyDescent="0.25">
      <c r="A53" s="101"/>
      <c r="B53" s="50" t="s">
        <v>38</v>
      </c>
      <c r="C53" s="51" t="s">
        <v>88</v>
      </c>
      <c r="D53" s="51" t="s">
        <v>96</v>
      </c>
      <c r="E53" s="52"/>
      <c r="F53" s="53">
        <v>93.3</v>
      </c>
      <c r="G53" s="53">
        <v>95</v>
      </c>
      <c r="H53" s="53">
        <v>0.7</v>
      </c>
      <c r="I53" s="53"/>
      <c r="J53" s="53">
        <v>1.7000000000000028</v>
      </c>
      <c r="K53" s="53">
        <v>12</v>
      </c>
      <c r="L53" s="53">
        <f t="shared" si="7"/>
        <v>14.280000000000022</v>
      </c>
      <c r="M53" s="51" t="s">
        <v>27</v>
      </c>
      <c r="N53" s="51"/>
    </row>
    <row r="54" spans="1:14" s="83" customFormat="1" x14ac:dyDescent="0.25">
      <c r="A54" s="101"/>
      <c r="B54" s="50" t="s">
        <v>38</v>
      </c>
      <c r="C54" s="51" t="s">
        <v>88</v>
      </c>
      <c r="D54" s="51" t="s">
        <v>97</v>
      </c>
      <c r="E54" s="52"/>
      <c r="F54" s="53">
        <v>93.5</v>
      </c>
      <c r="G54" s="53">
        <v>95</v>
      </c>
      <c r="H54" s="53">
        <v>0.5</v>
      </c>
      <c r="I54" s="53"/>
      <c r="J54" s="53">
        <v>1.5</v>
      </c>
      <c r="K54" s="53">
        <v>4</v>
      </c>
      <c r="L54" s="53">
        <f t="shared" si="7"/>
        <v>3</v>
      </c>
      <c r="M54" s="51" t="s">
        <v>27</v>
      </c>
      <c r="N54" s="51"/>
    </row>
    <row r="55" spans="1:14" s="83" customFormat="1" x14ac:dyDescent="0.25">
      <c r="A55" s="101"/>
      <c r="B55" s="50"/>
      <c r="C55" s="51"/>
      <c r="D55" s="51"/>
      <c r="E55" s="52"/>
      <c r="F55" s="53"/>
      <c r="G55" s="53"/>
      <c r="H55" s="53"/>
      <c r="I55" s="53"/>
      <c r="J55" s="53"/>
      <c r="K55" s="53"/>
      <c r="L55" s="53"/>
      <c r="M55" s="51"/>
      <c r="N55" s="51"/>
    </row>
    <row r="56" spans="1:14" s="83" customFormat="1" x14ac:dyDescent="0.25">
      <c r="A56" s="101"/>
      <c r="B56" s="50" t="s">
        <v>38</v>
      </c>
      <c r="C56" s="51" t="s">
        <v>88</v>
      </c>
      <c r="D56" s="51" t="s">
        <v>89</v>
      </c>
      <c r="E56" s="52"/>
      <c r="F56" s="53">
        <v>92.1</v>
      </c>
      <c r="G56" s="53">
        <v>92.5</v>
      </c>
      <c r="H56" s="53"/>
      <c r="I56" s="53">
        <v>2.5</v>
      </c>
      <c r="J56" s="53">
        <v>0.4</v>
      </c>
      <c r="K56" s="53">
        <v>12</v>
      </c>
      <c r="L56" s="53">
        <f t="shared" si="7"/>
        <v>12</v>
      </c>
      <c r="M56" s="51" t="s">
        <v>27</v>
      </c>
      <c r="N56" s="51"/>
    </row>
    <row r="57" spans="1:14" s="83" customFormat="1" x14ac:dyDescent="0.25">
      <c r="A57" s="101"/>
      <c r="B57" s="50" t="s">
        <v>38</v>
      </c>
      <c r="C57" s="51" t="s">
        <v>88</v>
      </c>
      <c r="D57" s="51" t="s">
        <v>90</v>
      </c>
      <c r="E57" s="52"/>
      <c r="F57" s="53">
        <v>93.1</v>
      </c>
      <c r="G57" s="53">
        <v>93.35</v>
      </c>
      <c r="H57" s="53"/>
      <c r="I57" s="53">
        <v>1.5</v>
      </c>
      <c r="J57" s="53">
        <v>0.25</v>
      </c>
      <c r="K57" s="53">
        <v>4</v>
      </c>
      <c r="L57" s="53">
        <f t="shared" si="7"/>
        <v>1.5</v>
      </c>
      <c r="M57" s="51" t="s">
        <v>27</v>
      </c>
      <c r="N57" s="51"/>
    </row>
    <row r="58" spans="1:14" s="83" customFormat="1" x14ac:dyDescent="0.25">
      <c r="A58" s="101"/>
      <c r="B58" s="50" t="s">
        <v>38</v>
      </c>
      <c r="C58" s="51" t="s">
        <v>88</v>
      </c>
      <c r="D58" s="51" t="s">
        <v>91</v>
      </c>
      <c r="E58" s="52"/>
      <c r="F58" s="53">
        <v>94.5</v>
      </c>
      <c r="G58" s="53">
        <v>95</v>
      </c>
      <c r="H58" s="53">
        <v>8.6000000000000014</v>
      </c>
      <c r="I58" s="53">
        <v>0.3</v>
      </c>
      <c r="J58" s="53"/>
      <c r="K58" s="53">
        <v>2</v>
      </c>
      <c r="L58" s="53">
        <f t="shared" si="7"/>
        <v>5.160000000000001</v>
      </c>
      <c r="M58" s="51" t="s">
        <v>27</v>
      </c>
      <c r="N58" s="51"/>
    </row>
    <row r="59" spans="1:14" s="83" customFormat="1" x14ac:dyDescent="0.25">
      <c r="A59" s="101"/>
      <c r="B59" s="50" t="s">
        <v>38</v>
      </c>
      <c r="C59" s="51" t="s">
        <v>88</v>
      </c>
      <c r="D59" s="51" t="s">
        <v>92</v>
      </c>
      <c r="E59" s="52"/>
      <c r="F59" s="53">
        <v>94.5</v>
      </c>
      <c r="G59" s="53">
        <v>95</v>
      </c>
      <c r="H59" s="53">
        <v>7.4</v>
      </c>
      <c r="I59" s="53">
        <v>0.3</v>
      </c>
      <c r="J59" s="53"/>
      <c r="K59" s="53">
        <v>3</v>
      </c>
      <c r="L59" s="53">
        <f t="shared" si="7"/>
        <v>6.66</v>
      </c>
      <c r="M59" s="51" t="s">
        <v>27</v>
      </c>
      <c r="N59" s="51"/>
    </row>
    <row r="60" spans="1:14" s="83" customFormat="1" x14ac:dyDescent="0.25">
      <c r="A60" s="101"/>
      <c r="B60" s="50" t="s">
        <v>38</v>
      </c>
      <c r="C60" s="51" t="s">
        <v>88</v>
      </c>
      <c r="D60" s="51" t="s">
        <v>93</v>
      </c>
      <c r="E60" s="52"/>
      <c r="F60" s="53">
        <v>94.6</v>
      </c>
      <c r="G60" s="53">
        <v>95</v>
      </c>
      <c r="H60" s="53">
        <v>4.5</v>
      </c>
      <c r="I60" s="53">
        <v>0.3</v>
      </c>
      <c r="J60" s="53"/>
      <c r="K60" s="53">
        <v>1</v>
      </c>
      <c r="L60" s="53">
        <f t="shared" si="7"/>
        <v>1.3499999999999999</v>
      </c>
      <c r="M60" s="51" t="s">
        <v>27</v>
      </c>
      <c r="N60" s="51"/>
    </row>
    <row r="61" spans="1:14" s="83" customFormat="1" x14ac:dyDescent="0.25">
      <c r="A61" s="101"/>
      <c r="B61" s="50" t="s">
        <v>38</v>
      </c>
      <c r="C61" s="51" t="s">
        <v>88</v>
      </c>
      <c r="D61" s="51" t="s">
        <v>94</v>
      </c>
      <c r="E61" s="52"/>
      <c r="F61" s="53">
        <v>94.6</v>
      </c>
      <c r="G61" s="53">
        <v>95</v>
      </c>
      <c r="H61" s="53">
        <v>1.95</v>
      </c>
      <c r="I61" s="53">
        <v>0.3</v>
      </c>
      <c r="J61" s="53"/>
      <c r="K61" s="53">
        <v>2</v>
      </c>
      <c r="L61" s="53">
        <f t="shared" si="7"/>
        <v>1.17</v>
      </c>
      <c r="M61" s="51" t="s">
        <v>27</v>
      </c>
      <c r="N61" s="51"/>
    </row>
    <row r="62" spans="1:14" x14ac:dyDescent="0.25">
      <c r="A62" s="101"/>
      <c r="B62" s="50" t="s">
        <v>38</v>
      </c>
      <c r="C62" s="51" t="s">
        <v>88</v>
      </c>
      <c r="D62" s="51" t="s">
        <v>96</v>
      </c>
      <c r="E62" s="51"/>
      <c r="F62" s="53">
        <v>93.3</v>
      </c>
      <c r="G62" s="53">
        <v>95</v>
      </c>
      <c r="H62" s="53"/>
      <c r="I62" s="53">
        <v>0.6</v>
      </c>
      <c r="J62" s="53">
        <v>1.7000000000000028</v>
      </c>
      <c r="K62" s="53">
        <v>12</v>
      </c>
      <c r="L62" s="53">
        <f t="shared" si="7"/>
        <v>12.24000000000002</v>
      </c>
      <c r="M62" s="51" t="s">
        <v>27</v>
      </c>
      <c r="N62" s="51"/>
    </row>
    <row r="63" spans="1:14" x14ac:dyDescent="0.25">
      <c r="A63" s="101"/>
      <c r="B63" s="50" t="s">
        <v>38</v>
      </c>
      <c r="C63" s="51" t="s">
        <v>88</v>
      </c>
      <c r="D63" s="51" t="s">
        <v>97</v>
      </c>
      <c r="E63" s="52"/>
      <c r="F63" s="53">
        <v>93.5</v>
      </c>
      <c r="G63" s="53">
        <v>95</v>
      </c>
      <c r="H63" s="53"/>
      <c r="I63" s="53">
        <v>0.5</v>
      </c>
      <c r="J63" s="53">
        <v>1.5</v>
      </c>
      <c r="K63" s="53">
        <v>4</v>
      </c>
      <c r="L63" s="53">
        <f t="shared" si="7"/>
        <v>3</v>
      </c>
      <c r="M63" s="51" t="s">
        <v>27</v>
      </c>
      <c r="N63" s="51"/>
    </row>
    <row r="64" spans="1:14" x14ac:dyDescent="0.25">
      <c r="A64" s="40"/>
      <c r="B64" s="25" t="s">
        <v>43</v>
      </c>
      <c r="C64" s="54"/>
      <c r="D64" s="54"/>
      <c r="E64" s="54"/>
      <c r="F64" s="55"/>
      <c r="G64" s="55"/>
      <c r="H64" s="55"/>
      <c r="I64" s="55"/>
      <c r="J64" s="55"/>
      <c r="K64" s="55"/>
      <c r="L64" s="54">
        <f>SUM(L47:L63)</f>
        <v>119.98000000000005</v>
      </c>
      <c r="M64" s="54" t="str">
        <f>M63</f>
        <v>Sqm</v>
      </c>
      <c r="N64" s="54"/>
    </row>
  </sheetData>
  <mergeCells count="4">
    <mergeCell ref="F1:G1"/>
    <mergeCell ref="A19:A21"/>
    <mergeCell ref="A34:A38"/>
    <mergeCell ref="A47:A63"/>
  </mergeCells>
  <printOptions horizontalCentered="1"/>
  <pageMargins left="0.25" right="0.25" top="0.5" bottom="0.5" header="0.3" footer="0.3"/>
  <pageSetup scale="81" orientation="portrait" r:id="rId1"/>
  <rowBreaks count="1" manualBreakCount="1">
    <brk id="45" max="12" man="1"/>
  </rowBreaks>
  <colBreaks count="1" manualBreakCount="1">
    <brk id="13" max="6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view="pageBreakPreview" zoomScale="115" zoomScaleNormal="100" zoomScaleSheetLayoutView="115" workbookViewId="0">
      <selection activeCell="J5" activeCellId="2" sqref="F5 H5 J5"/>
    </sheetView>
  </sheetViews>
  <sheetFormatPr defaultRowHeight="15" x14ac:dyDescent="0.25"/>
  <cols>
    <col min="1" max="1" width="7.85546875" customWidth="1"/>
    <col min="2" max="2" width="31.28515625" customWidth="1"/>
    <col min="5" max="5" width="10.7109375" customWidth="1"/>
  </cols>
  <sheetData>
    <row r="3" spans="1:12" s="92" customFormat="1" x14ac:dyDescent="0.25">
      <c r="A3" s="91" t="s">
        <v>0</v>
      </c>
      <c r="B3" s="91" t="s">
        <v>98</v>
      </c>
      <c r="C3" s="91" t="s">
        <v>107</v>
      </c>
      <c r="D3" s="91" t="s">
        <v>99</v>
      </c>
      <c r="E3" s="91" t="s">
        <v>53</v>
      </c>
      <c r="F3" s="91" t="s">
        <v>100</v>
      </c>
      <c r="G3" s="91" t="s">
        <v>11</v>
      </c>
      <c r="H3" s="91" t="s">
        <v>102</v>
      </c>
      <c r="I3" s="91" t="s">
        <v>11</v>
      </c>
      <c r="J3" s="91" t="s">
        <v>101</v>
      </c>
      <c r="K3" s="91" t="s">
        <v>11</v>
      </c>
    </row>
    <row r="4" spans="1:12" x14ac:dyDescent="0.25">
      <c r="A4" s="84">
        <v>1</v>
      </c>
      <c r="B4" s="84" t="s">
        <v>35</v>
      </c>
      <c r="C4" s="85" t="s">
        <v>103</v>
      </c>
      <c r="D4" s="86" t="s">
        <v>105</v>
      </c>
      <c r="E4" s="87">
        <v>6.4800000000000013</v>
      </c>
      <c r="F4" s="85">
        <f>3.47815384615385*E4</f>
        <v>22.538436923076951</v>
      </c>
      <c r="G4" s="85" t="s">
        <v>108</v>
      </c>
      <c r="H4" s="85">
        <f>(772.923076923077/1000)*E4</f>
        <v>5.0085415384615404</v>
      </c>
      <c r="I4" s="85" t="s">
        <v>77</v>
      </c>
      <c r="J4" s="85">
        <f>(1642.46153846154/1000)*E4</f>
        <v>10.643150769230781</v>
      </c>
      <c r="K4" s="85" t="s">
        <v>77</v>
      </c>
    </row>
    <row r="5" spans="1:12" x14ac:dyDescent="0.25">
      <c r="A5" s="84">
        <v>2</v>
      </c>
      <c r="B5" s="84" t="s">
        <v>37</v>
      </c>
      <c r="C5" s="85" t="s">
        <v>104</v>
      </c>
      <c r="D5" s="86" t="s">
        <v>106</v>
      </c>
      <c r="E5" s="88">
        <v>31.11150000000001</v>
      </c>
      <c r="F5" s="88">
        <f>8.22109090909091*E5</f>
        <v>255.77046981818191</v>
      </c>
      <c r="G5" s="85" t="str">
        <f>G4</f>
        <v>Bags</v>
      </c>
      <c r="H5" s="88">
        <f>(685.090909090909/1000)*E5</f>
        <v>21.314205818181822</v>
      </c>
      <c r="I5" s="85" t="str">
        <f>I4</f>
        <v>MT</v>
      </c>
      <c r="J5" s="88">
        <f>(1455.81818181818/1000)*E5</f>
        <v>45.292687363636318</v>
      </c>
      <c r="K5" s="85" t="str">
        <f>K4</f>
        <v>MT</v>
      </c>
    </row>
    <row r="6" spans="1:12" x14ac:dyDescent="0.25">
      <c r="A6" s="85"/>
      <c r="B6" s="84" t="s">
        <v>109</v>
      </c>
      <c r="C6" s="85"/>
      <c r="D6" s="85"/>
      <c r="E6" s="85"/>
      <c r="F6" s="85">
        <f>SUM(F4:F5)</f>
        <v>278.30890674125885</v>
      </c>
      <c r="G6" s="85" t="str">
        <f>G5</f>
        <v>Bags</v>
      </c>
      <c r="H6" s="85">
        <f>SUM(H4:H5)</f>
        <v>26.322747356643362</v>
      </c>
      <c r="I6" s="85" t="str">
        <f>I5</f>
        <v>MT</v>
      </c>
      <c r="J6" s="85">
        <f>SUM(J4:J5)</f>
        <v>55.935838132867097</v>
      </c>
      <c r="K6" s="85" t="str">
        <f>K5</f>
        <v>MT</v>
      </c>
    </row>
    <row r="7" spans="1:12" ht="30" customHeight="1" x14ac:dyDescent="0.25">
      <c r="A7" s="85"/>
      <c r="B7" s="93" t="s">
        <v>110</v>
      </c>
      <c r="C7" s="84"/>
      <c r="D7" s="84"/>
      <c r="E7" s="84"/>
      <c r="F7" s="89">
        <v>3.5</v>
      </c>
      <c r="G7" s="85" t="str">
        <f>G6</f>
        <v>Bags</v>
      </c>
      <c r="H7" s="90">
        <v>12</v>
      </c>
      <c r="I7" s="85" t="str">
        <f>I6</f>
        <v>MT</v>
      </c>
      <c r="J7" s="90">
        <v>8</v>
      </c>
      <c r="K7" s="85" t="str">
        <f>K6</f>
        <v>MT</v>
      </c>
    </row>
    <row r="8" spans="1:12" s="92" customFormat="1" x14ac:dyDescent="0.25">
      <c r="A8" s="91"/>
      <c r="B8" s="91" t="s">
        <v>20</v>
      </c>
      <c r="C8" s="91"/>
      <c r="D8" s="91"/>
      <c r="E8" s="91"/>
      <c r="F8" s="91">
        <f>F6+(F6*F7%)</f>
        <v>288.04971847720293</v>
      </c>
      <c r="G8" s="91" t="str">
        <f>G7</f>
        <v>Bags</v>
      </c>
      <c r="H8" s="91">
        <f t="shared" ref="H8:J8" si="0">H6+(H6*H7%)</f>
        <v>29.481477039440566</v>
      </c>
      <c r="I8" s="91" t="str">
        <f>I7</f>
        <v>MT</v>
      </c>
      <c r="J8" s="91">
        <f t="shared" si="0"/>
        <v>60.410705183496468</v>
      </c>
      <c r="K8" s="91" t="str">
        <f>K7</f>
        <v>MT</v>
      </c>
    </row>
    <row r="12" spans="1:12" x14ac:dyDescent="0.25">
      <c r="L12">
        <f>F6*3.5%</f>
        <v>9.7408117359440602</v>
      </c>
    </row>
    <row r="17" spans="6:8" x14ac:dyDescent="0.25">
      <c r="F17">
        <f>(3/(1+1.5+3))*1.57</f>
        <v>0.85636363636363633</v>
      </c>
      <c r="G17">
        <v>1700</v>
      </c>
      <c r="H17">
        <f>G17*F17</f>
        <v>1455.8181818181818</v>
      </c>
    </row>
  </sheetData>
  <printOptions horizontalCentered="1"/>
  <pageMargins left="0" right="0" top="0.5" bottom="0.5" header="0.3" footer="0.3"/>
  <pageSetup paperSize="9"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Abstract</vt:lpstr>
      <vt:lpstr>Measurement Sheet</vt:lpstr>
      <vt:lpstr>Cement Requirement</vt:lpstr>
      <vt:lpstr>Abstract!Print_Area</vt:lpstr>
      <vt:lpstr>'Cement Requirement'!Print_Area</vt:lpstr>
      <vt:lpstr>'Measurement Sheet'!Print_Area</vt:lpstr>
      <vt:lpstr>Abstract!Print_Titles</vt:lpstr>
      <vt:lpstr>'Measurement Sheet'!Print_Titles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2023-08-16T10:20:31Z</cp:lastPrinted>
  <dcterms:created xsi:type="dcterms:W3CDTF">2023-08-16T09:29:17Z</dcterms:created>
  <dcterms:modified xsi:type="dcterms:W3CDTF">2023-08-26T12:40:49Z</dcterms:modified>
</cp:coreProperties>
</file>