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Master Folder\Master Folder\Approved\S.I.D\Aqua\Civil\Klin\Approved abstract\"/>
    </mc:Choice>
  </mc:AlternateContent>
  <bookViews>
    <workbookView xWindow="360" yWindow="75" windowWidth="10515" windowHeight="4440" activeTab="8"/>
  </bookViews>
  <sheets>
    <sheet name="RA 1" sheetId="6" r:id="rId1"/>
    <sheet name="RA 2" sheetId="7" r:id="rId2"/>
    <sheet name="RA 3" sheetId="1" r:id="rId3"/>
    <sheet name="RA 4" sheetId="2" r:id="rId4"/>
    <sheet name="RA 5" sheetId="3" r:id="rId5"/>
    <sheet name="RA 6" sheetId="4" r:id="rId6"/>
    <sheet name="RA 7" sheetId="5" r:id="rId7"/>
    <sheet name="RA 7 Measurement" sheetId="9" r:id="rId8"/>
    <sheet name="RA 8" sheetId="10" r:id="rId9"/>
    <sheet name="RA 8 Measurement" sheetId="11" r:id="rId10"/>
    <sheet name="RA 8 BBS" sheetId="12" r:id="rId11"/>
    <sheet name="Total Upto Date" sheetId="8" r:id="rId12"/>
  </sheets>
  <definedNames>
    <definedName name="_xlnm.Print_Area" localSheetId="0">'RA 1'!$A$1:$M$31</definedName>
    <definedName name="_xlnm.Print_Area" localSheetId="5">'RA 6'!$A$1:$L$68</definedName>
    <definedName name="_xlnm.Print_Area" localSheetId="6">'RA 7'!$A$1:$L$35</definedName>
    <definedName name="_xlnm.Print_Area" localSheetId="8">'RA 8'!$A$1:$L$35</definedName>
    <definedName name="_xlnm.Print_Area" localSheetId="9">'RA 8 Measurement'!$A$1:$O$70</definedName>
    <definedName name="_xlnm.Print_Area" localSheetId="11">'Total Upto Date'!$A$1:$R$19</definedName>
    <definedName name="_xlnm.Print_Titles" localSheetId="0">'RA 1'!$1:$7</definedName>
    <definedName name="_xlnm.Print_Titles" localSheetId="5">'RA 6'!$1:$8</definedName>
    <definedName name="_xlnm.Print_Titles" localSheetId="6">'RA 7'!$1:$6</definedName>
    <definedName name="_xlnm.Print_Titles" localSheetId="8">'RA 8'!$1:$6</definedName>
    <definedName name="_xlnm.Print_Titles" localSheetId="9">'RA 8 Measurement'!$1:$8</definedName>
  </definedNames>
  <calcPr calcId="162913"/>
</workbook>
</file>

<file path=xl/calcChain.xml><?xml version="1.0" encoding="utf-8"?>
<calcChain xmlns="http://schemas.openxmlformats.org/spreadsheetml/2006/main">
  <c r="N20" i="10" l="1"/>
  <c r="K34" i="10" l="1"/>
  <c r="L34" i="10" s="1"/>
  <c r="J34" i="10"/>
  <c r="K31" i="10"/>
  <c r="J31" i="10"/>
  <c r="E31" i="10"/>
  <c r="H31" i="10" s="1"/>
  <c r="K30" i="10"/>
  <c r="E30" i="10"/>
  <c r="J30" i="10" s="1"/>
  <c r="K29" i="10"/>
  <c r="L29" i="10" s="1"/>
  <c r="J29" i="10"/>
  <c r="H29" i="10"/>
  <c r="J27" i="10"/>
  <c r="K27" i="10"/>
  <c r="L27" i="10" s="1"/>
  <c r="H27" i="10"/>
  <c r="K26" i="10"/>
  <c r="L26" i="10" s="1"/>
  <c r="J26" i="10"/>
  <c r="H26" i="10"/>
  <c r="K25" i="10"/>
  <c r="L25" i="10" s="1"/>
  <c r="H25" i="10"/>
  <c r="K23" i="10"/>
  <c r="L23" i="10" s="1"/>
  <c r="F23" i="10"/>
  <c r="E23" i="10"/>
  <c r="H23" i="10" s="1"/>
  <c r="K22" i="10"/>
  <c r="E22" i="10"/>
  <c r="J22" i="10" s="1"/>
  <c r="K21" i="10"/>
  <c r="L21" i="10" s="1"/>
  <c r="J21" i="10"/>
  <c r="H21" i="10"/>
  <c r="K20" i="10"/>
  <c r="L20" i="10" s="1"/>
  <c r="J20" i="10"/>
  <c r="H20" i="10"/>
  <c r="K19" i="10"/>
  <c r="L19" i="10" s="1"/>
  <c r="J19" i="10"/>
  <c r="H19" i="10"/>
  <c r="K18" i="10"/>
  <c r="L18" i="10" s="1"/>
  <c r="J18" i="10"/>
  <c r="H18" i="10"/>
  <c r="K16" i="10"/>
  <c r="L16" i="10" s="1"/>
  <c r="H16" i="10"/>
  <c r="L15" i="10"/>
  <c r="K15" i="10"/>
  <c r="H15" i="10"/>
  <c r="K14" i="10"/>
  <c r="L14" i="10" s="1"/>
  <c r="H14" i="10"/>
  <c r="K13" i="10"/>
  <c r="L13" i="10" s="1"/>
  <c r="H13" i="10"/>
  <c r="K12" i="10"/>
  <c r="L12" i="10" s="1"/>
  <c r="H12" i="10"/>
  <c r="K11" i="10"/>
  <c r="L11" i="10" s="1"/>
  <c r="H11" i="10"/>
  <c r="K10" i="10"/>
  <c r="L10" i="10" s="1"/>
  <c r="H10" i="10"/>
  <c r="K9" i="10"/>
  <c r="L9" i="10" s="1"/>
  <c r="H9" i="10"/>
  <c r="K8" i="10"/>
  <c r="L8" i="10" s="1"/>
  <c r="H8" i="10"/>
  <c r="K7" i="10"/>
  <c r="L7" i="10" s="1"/>
  <c r="H7" i="10"/>
  <c r="H30" i="10" l="1"/>
  <c r="L30" i="10"/>
  <c r="J23" i="10"/>
  <c r="L22" i="10"/>
  <c r="H22" i="10"/>
  <c r="H35" i="10" s="1"/>
  <c r="J25" i="10"/>
  <c r="L31" i="10"/>
  <c r="L47" i="12"/>
  <c r="P47" i="12"/>
  <c r="Q49" i="12"/>
  <c r="R50" i="12" s="1"/>
  <c r="Q52" i="12" s="1"/>
  <c r="V39" i="12"/>
  <c r="U39" i="12"/>
  <c r="N37" i="12"/>
  <c r="K37" i="12"/>
  <c r="N36" i="12"/>
  <c r="G36" i="12"/>
  <c r="K36" i="12" s="1"/>
  <c r="N35" i="12"/>
  <c r="K35" i="12"/>
  <c r="N34" i="12"/>
  <c r="K34" i="12"/>
  <c r="N33" i="12"/>
  <c r="K33" i="12"/>
  <c r="N32" i="12"/>
  <c r="K32" i="12"/>
  <c r="N31" i="12"/>
  <c r="K31" i="12"/>
  <c r="N30" i="12"/>
  <c r="K30" i="12"/>
  <c r="N29" i="12"/>
  <c r="K29" i="12"/>
  <c r="N28" i="12"/>
  <c r="K28" i="12"/>
  <c r="N27" i="12"/>
  <c r="K27" i="12"/>
  <c r="N26" i="12"/>
  <c r="G26" i="12"/>
  <c r="K26" i="12" s="1"/>
  <c r="N25" i="12"/>
  <c r="H25" i="12"/>
  <c r="G25" i="12"/>
  <c r="N24" i="12"/>
  <c r="I24" i="12"/>
  <c r="K24" i="12" s="1"/>
  <c r="H24" i="12"/>
  <c r="G24" i="12"/>
  <c r="N23" i="12"/>
  <c r="K23" i="12"/>
  <c r="N22" i="12"/>
  <c r="G22" i="12"/>
  <c r="K22" i="12" s="1"/>
  <c r="N21" i="12"/>
  <c r="I21" i="12"/>
  <c r="H21" i="12"/>
  <c r="G21" i="12"/>
  <c r="N20" i="12"/>
  <c r="K20" i="12"/>
  <c r="G20" i="12"/>
  <c r="N19" i="12"/>
  <c r="F19" i="12"/>
  <c r="K19" i="12" s="1"/>
  <c r="N18" i="12"/>
  <c r="F18" i="12"/>
  <c r="K18" i="12" s="1"/>
  <c r="N17" i="12"/>
  <c r="J17" i="12"/>
  <c r="G17" i="12"/>
  <c r="F17" i="12"/>
  <c r="N16" i="12"/>
  <c r="J16" i="12"/>
  <c r="G16" i="12"/>
  <c r="F16" i="12"/>
  <c r="N15" i="12"/>
  <c r="J15" i="12"/>
  <c r="G15" i="12"/>
  <c r="F15" i="12"/>
  <c r="N14" i="12"/>
  <c r="J14" i="12"/>
  <c r="G14" i="12"/>
  <c r="K14" i="12" s="1"/>
  <c r="F14" i="12"/>
  <c r="N13" i="12"/>
  <c r="J13" i="12"/>
  <c r="G13" i="12"/>
  <c r="F13" i="12"/>
  <c r="L12" i="12"/>
  <c r="N12" i="12" s="1"/>
  <c r="F12" i="12"/>
  <c r="K12" i="12" s="1"/>
  <c r="N11" i="12"/>
  <c r="F11" i="12"/>
  <c r="K11" i="12" s="1"/>
  <c r="N10" i="12"/>
  <c r="G10" i="12"/>
  <c r="K10" i="12" s="1"/>
  <c r="N9" i="12"/>
  <c r="K9" i="12"/>
  <c r="G9" i="12"/>
  <c r="N8" i="12"/>
  <c r="K8" i="12"/>
  <c r="N7" i="12"/>
  <c r="G7" i="12"/>
  <c r="K7" i="12" s="1"/>
  <c r="N6" i="12"/>
  <c r="K6" i="12"/>
  <c r="N5" i="12"/>
  <c r="G5" i="12"/>
  <c r="K5" i="12" s="1"/>
  <c r="N4" i="12"/>
  <c r="K4" i="12"/>
  <c r="K13" i="12" l="1"/>
  <c r="K16" i="12"/>
  <c r="K15" i="12"/>
  <c r="K17" i="12"/>
  <c r="K21" i="12"/>
  <c r="K25" i="12"/>
  <c r="M50" i="11"/>
  <c r="M51" i="11"/>
  <c r="M53" i="11"/>
  <c r="M55" i="11"/>
  <c r="M56" i="11"/>
  <c r="M57" i="11"/>
  <c r="M58" i="11"/>
  <c r="M59" i="11"/>
  <c r="M60" i="11"/>
  <c r="M61" i="11"/>
  <c r="M62" i="11"/>
  <c r="J68" i="11"/>
  <c r="G68" i="11"/>
  <c r="L68" i="11" s="1"/>
  <c r="L64" i="11"/>
  <c r="J64" i="11"/>
  <c r="M64" i="11" s="1"/>
  <c r="L63" i="11"/>
  <c r="M63" i="11" s="1"/>
  <c r="G62" i="11"/>
  <c r="G61" i="11"/>
  <c r="G60" i="11"/>
  <c r="G58" i="11"/>
  <c r="G57" i="11"/>
  <c r="G56" i="11"/>
  <c r="J54" i="11"/>
  <c r="M54" i="11" s="1"/>
  <c r="L52" i="11"/>
  <c r="J52" i="11"/>
  <c r="M52" i="11" s="1"/>
  <c r="L49" i="11"/>
  <c r="M49" i="11" s="1"/>
  <c r="J48" i="11"/>
  <c r="G48" i="11"/>
  <c r="L48" i="11" s="1"/>
  <c r="K41" i="11"/>
  <c r="M41" i="11" s="1"/>
  <c r="M42" i="11" s="1"/>
  <c r="M44" i="11" s="1"/>
  <c r="M45" i="11" s="1"/>
  <c r="M34" i="11"/>
  <c r="G34" i="11"/>
  <c r="M33" i="11"/>
  <c r="M35" i="11" s="1"/>
  <c r="M37" i="11" s="1"/>
  <c r="M38" i="11" s="1"/>
  <c r="I33" i="10" s="1"/>
  <c r="G33" i="11"/>
  <c r="L27" i="11"/>
  <c r="M27" i="11" s="1"/>
  <c r="G27" i="11"/>
  <c r="M26" i="11"/>
  <c r="G26" i="11"/>
  <c r="M25" i="11"/>
  <c r="G25" i="11"/>
  <c r="M24" i="11"/>
  <c r="G24" i="11"/>
  <c r="M23" i="11"/>
  <c r="G23" i="11"/>
  <c r="M22" i="11"/>
  <c r="G22" i="11"/>
  <c r="L19" i="11"/>
  <c r="M19" i="11" s="1"/>
  <c r="F18" i="11"/>
  <c r="L18" i="11" s="1"/>
  <c r="M18" i="11" s="1"/>
  <c r="F17" i="11"/>
  <c r="L17" i="11" s="1"/>
  <c r="M17" i="11" s="1"/>
  <c r="G16" i="11"/>
  <c r="F16" i="11"/>
  <c r="F15" i="11"/>
  <c r="L15" i="11" s="1"/>
  <c r="M15" i="11" s="1"/>
  <c r="L14" i="11"/>
  <c r="M14" i="11" s="1"/>
  <c r="L13" i="11"/>
  <c r="J13" i="11"/>
  <c r="F12" i="11"/>
  <c r="L12" i="11" s="1"/>
  <c r="M12" i="11" s="1"/>
  <c r="M48" i="11" l="1"/>
  <c r="M65" i="11" s="1"/>
  <c r="M13" i="11"/>
  <c r="K33" i="10"/>
  <c r="L33" i="10" s="1"/>
  <c r="J33" i="10"/>
  <c r="M68" i="11"/>
  <c r="M69" i="11" s="1"/>
  <c r="L16" i="11"/>
  <c r="M16" i="11" s="1"/>
  <c r="M20" i="11" s="1"/>
  <c r="M28" i="11"/>
  <c r="M30" i="11" s="1"/>
  <c r="M31" i="11" s="1"/>
  <c r="I32" i="10" s="1"/>
  <c r="J32" i="10" l="1"/>
  <c r="J35" i="10" s="1"/>
  <c r="K32" i="10"/>
  <c r="L32" i="10" s="1"/>
  <c r="L35" i="10" s="1"/>
  <c r="H50" i="5"/>
  <c r="I25" i="5" l="1"/>
  <c r="I27" i="5"/>
  <c r="J18" i="5"/>
  <c r="J19" i="5"/>
  <c r="J20" i="5"/>
  <c r="K34" i="5"/>
  <c r="J34" i="5"/>
  <c r="K33" i="5"/>
  <c r="L33" i="5" s="1"/>
  <c r="J33" i="5"/>
  <c r="I32" i="5"/>
  <c r="K32" i="5" s="1"/>
  <c r="L34" i="5" l="1"/>
  <c r="L32" i="5" l="1"/>
  <c r="J32" i="5"/>
  <c r="L45" i="4"/>
  <c r="L39" i="4"/>
  <c r="P17" i="8" l="1"/>
  <c r="P11" i="8"/>
  <c r="P13" i="8"/>
  <c r="R13" i="8" s="1"/>
  <c r="R11" i="8"/>
  <c r="P7" i="8"/>
  <c r="R7" i="8" s="1"/>
  <c r="P9" i="8"/>
  <c r="R9" i="8" s="1"/>
  <c r="P15" i="8"/>
  <c r="R15" i="8" s="1"/>
  <c r="P5" i="8" l="1"/>
  <c r="R5" i="8" s="1"/>
  <c r="K31" i="5" l="1"/>
  <c r="E31" i="5"/>
  <c r="J31" i="5" s="1"/>
  <c r="K30" i="5"/>
  <c r="E30" i="5"/>
  <c r="H30" i="5" s="1"/>
  <c r="K29" i="5"/>
  <c r="L29" i="5" s="1"/>
  <c r="J29" i="5"/>
  <c r="H29" i="5"/>
  <c r="K27" i="5"/>
  <c r="L27" i="5" s="1"/>
  <c r="J27" i="5"/>
  <c r="H27" i="5"/>
  <c r="K26" i="5"/>
  <c r="L26" i="5" s="1"/>
  <c r="J26" i="5"/>
  <c r="H26" i="5"/>
  <c r="K25" i="5"/>
  <c r="L25" i="5" s="1"/>
  <c r="H25" i="5"/>
  <c r="K23" i="5"/>
  <c r="F23" i="5"/>
  <c r="E23" i="5"/>
  <c r="H23" i="5" s="1"/>
  <c r="K22" i="5"/>
  <c r="E22" i="5"/>
  <c r="H22" i="5" s="1"/>
  <c r="K21" i="5"/>
  <c r="L21" i="5" s="1"/>
  <c r="J21" i="5"/>
  <c r="H21" i="5"/>
  <c r="K20" i="5"/>
  <c r="L20" i="5" s="1"/>
  <c r="H20" i="5"/>
  <c r="K19" i="5"/>
  <c r="L19" i="5" s="1"/>
  <c r="H19" i="5"/>
  <c r="K18" i="5"/>
  <c r="L18" i="5" s="1"/>
  <c r="H18" i="5"/>
  <c r="K16" i="5"/>
  <c r="L16" i="5" s="1"/>
  <c r="H16" i="5"/>
  <c r="K15" i="5"/>
  <c r="L15" i="5" s="1"/>
  <c r="H15" i="5"/>
  <c r="K14" i="5"/>
  <c r="L14" i="5" s="1"/>
  <c r="H14" i="5"/>
  <c r="K13" i="5"/>
  <c r="L13" i="5" s="1"/>
  <c r="H13" i="5"/>
  <c r="K12" i="5"/>
  <c r="L12" i="5" s="1"/>
  <c r="H12" i="5"/>
  <c r="K11" i="5"/>
  <c r="L11" i="5" s="1"/>
  <c r="H11" i="5"/>
  <c r="K10" i="5"/>
  <c r="L10" i="5" s="1"/>
  <c r="H10" i="5"/>
  <c r="K9" i="5"/>
  <c r="L9" i="5" s="1"/>
  <c r="H9" i="5"/>
  <c r="K8" i="5"/>
  <c r="L8" i="5" s="1"/>
  <c r="H8" i="5"/>
  <c r="K7" i="5"/>
  <c r="L7" i="5" s="1"/>
  <c r="H7" i="5"/>
  <c r="L22" i="5" l="1"/>
  <c r="J23" i="5"/>
  <c r="L23" i="5"/>
  <c r="H31" i="5"/>
  <c r="H35" i="5" s="1"/>
  <c r="J30" i="5"/>
  <c r="J22" i="5"/>
  <c r="J35" i="5" s="1"/>
  <c r="L30" i="5"/>
  <c r="L31" i="5"/>
  <c r="L35" i="5" s="1"/>
  <c r="J25" i="5"/>
  <c r="H20" i="4"/>
  <c r="Q20" i="4" s="1"/>
  <c r="Q19" i="4"/>
  <c r="Q26" i="4"/>
  <c r="Q30" i="4"/>
  <c r="K25" i="3"/>
  <c r="K30" i="2"/>
  <c r="L30" i="2" s="1"/>
  <c r="K29" i="2"/>
  <c r="E29" i="2"/>
  <c r="K28" i="2"/>
  <c r="E28" i="2"/>
  <c r="H28" i="2" s="1"/>
  <c r="K27" i="2"/>
  <c r="L27" i="2" s="1"/>
  <c r="J27" i="2"/>
  <c r="H27" i="2"/>
  <c r="K26" i="2"/>
  <c r="L26" i="2" s="1"/>
  <c r="H26" i="2"/>
  <c r="K25" i="2"/>
  <c r="E25" i="2"/>
  <c r="H25" i="2" s="1"/>
  <c r="K24" i="2"/>
  <c r="L24" i="2" s="1"/>
  <c r="J24" i="2"/>
  <c r="H24" i="2"/>
  <c r="K23" i="2"/>
  <c r="F23" i="2"/>
  <c r="E23" i="2"/>
  <c r="H23" i="2" s="1"/>
  <c r="K22" i="2"/>
  <c r="E22" i="2"/>
  <c r="H22" i="2" s="1"/>
  <c r="K21" i="2"/>
  <c r="L21" i="2" s="1"/>
  <c r="J21" i="2"/>
  <c r="H21" i="2"/>
  <c r="K20" i="2"/>
  <c r="L20" i="2" s="1"/>
  <c r="H20" i="2"/>
  <c r="K19" i="2"/>
  <c r="L19" i="2" s="1"/>
  <c r="J19" i="2"/>
  <c r="H19" i="2"/>
  <c r="K18" i="2"/>
  <c r="L18" i="2" s="1"/>
  <c r="H18" i="2"/>
  <c r="K17" i="2"/>
  <c r="L17" i="2" s="1"/>
  <c r="H17" i="2"/>
  <c r="K16" i="2"/>
  <c r="L16" i="2" s="1"/>
  <c r="H16" i="2"/>
  <c r="K15" i="2"/>
  <c r="L15" i="2" s="1"/>
  <c r="J15" i="2"/>
  <c r="H15" i="2"/>
  <c r="K14" i="2"/>
  <c r="L14" i="2" s="1"/>
  <c r="H14" i="2"/>
  <c r="K13" i="2"/>
  <c r="L13" i="2" s="1"/>
  <c r="H13" i="2"/>
  <c r="K12" i="2"/>
  <c r="L12" i="2" s="1"/>
  <c r="H12" i="2"/>
  <c r="K11" i="2"/>
  <c r="L11" i="2" s="1"/>
  <c r="H11" i="2"/>
  <c r="K10" i="2"/>
  <c r="L10" i="2" s="1"/>
  <c r="H10" i="2"/>
  <c r="K9" i="2"/>
  <c r="L9" i="2" s="1"/>
  <c r="H9" i="2"/>
  <c r="J15" i="1"/>
  <c r="J19" i="1"/>
  <c r="J21" i="1"/>
  <c r="J24" i="1"/>
  <c r="J27" i="1"/>
  <c r="J28" i="1"/>
  <c r="K30" i="1"/>
  <c r="L30" i="1" s="1"/>
  <c r="K29" i="1"/>
  <c r="E29" i="1"/>
  <c r="H28" i="1"/>
  <c r="E28" i="1"/>
  <c r="K28" i="1" s="1"/>
  <c r="L28" i="1" s="1"/>
  <c r="K27" i="1"/>
  <c r="L27" i="1" s="1"/>
  <c r="H27" i="1"/>
  <c r="K26" i="1"/>
  <c r="L26" i="1" s="1"/>
  <c r="H26" i="1"/>
  <c r="K25" i="1"/>
  <c r="E25" i="1"/>
  <c r="J25" i="1" s="1"/>
  <c r="K24" i="1"/>
  <c r="L24" i="1" s="1"/>
  <c r="H24" i="1"/>
  <c r="F23" i="1"/>
  <c r="E23" i="1"/>
  <c r="K23" i="1" s="1"/>
  <c r="L23" i="1" s="1"/>
  <c r="K22" i="1"/>
  <c r="H22" i="1"/>
  <c r="E22" i="1"/>
  <c r="J22" i="1" s="1"/>
  <c r="K21" i="1"/>
  <c r="L21" i="1" s="1"/>
  <c r="H21" i="1"/>
  <c r="K20" i="1"/>
  <c r="L20" i="1" s="1"/>
  <c r="H20" i="1"/>
  <c r="K19" i="1"/>
  <c r="L19" i="1" s="1"/>
  <c r="H19" i="1"/>
  <c r="K18" i="1"/>
  <c r="L18" i="1" s="1"/>
  <c r="H18" i="1"/>
  <c r="K17" i="1"/>
  <c r="L17" i="1" s="1"/>
  <c r="H17" i="1"/>
  <c r="K16" i="1"/>
  <c r="L16" i="1" s="1"/>
  <c r="H16" i="1"/>
  <c r="K15" i="1"/>
  <c r="L15" i="1" s="1"/>
  <c r="H15" i="1"/>
  <c r="K14" i="1"/>
  <c r="L14" i="1" s="1"/>
  <c r="H14" i="1"/>
  <c r="K13" i="1"/>
  <c r="L13" i="1" s="1"/>
  <c r="H13" i="1"/>
  <c r="K12" i="1"/>
  <c r="L12" i="1" s="1"/>
  <c r="H12" i="1"/>
  <c r="K11" i="1"/>
  <c r="L11" i="1" s="1"/>
  <c r="H11" i="1"/>
  <c r="K10" i="1"/>
  <c r="L10" i="1" s="1"/>
  <c r="H10" i="1"/>
  <c r="K9" i="1"/>
  <c r="L9" i="1" s="1"/>
  <c r="H9" i="1"/>
  <c r="I10" i="7"/>
  <c r="I11" i="7"/>
  <c r="I12" i="7"/>
  <c r="I13" i="7"/>
  <c r="I14" i="7"/>
  <c r="I15" i="7"/>
  <c r="I16" i="7"/>
  <c r="I17" i="7"/>
  <c r="I18" i="7"/>
  <c r="I19" i="7"/>
  <c r="I20" i="7"/>
  <c r="I21" i="7"/>
  <c r="I24" i="7"/>
  <c r="I26" i="7"/>
  <c r="I27" i="7"/>
  <c r="I9" i="7"/>
  <c r="J22" i="2" l="1"/>
  <c r="L22" i="2"/>
  <c r="L23" i="2"/>
  <c r="L29" i="2"/>
  <c r="L25" i="2"/>
  <c r="L28" i="2"/>
  <c r="J25" i="2"/>
  <c r="J28" i="2"/>
  <c r="H29" i="2"/>
  <c r="H31" i="2" s="1"/>
  <c r="H25" i="1"/>
  <c r="L29" i="1"/>
  <c r="L25" i="1"/>
  <c r="L31" i="1" s="1"/>
  <c r="L22" i="1"/>
  <c r="J31" i="1"/>
  <c r="H29" i="1"/>
  <c r="H23" i="1"/>
  <c r="L31" i="2" l="1"/>
  <c r="H31" i="1"/>
  <c r="J31" i="2"/>
  <c r="J46" i="7"/>
  <c r="L16" i="7"/>
  <c r="L20" i="7"/>
  <c r="L24" i="7"/>
  <c r="K10" i="7"/>
  <c r="L10" i="7" s="1"/>
  <c r="K11" i="7"/>
  <c r="L11" i="7" s="1"/>
  <c r="K12" i="7"/>
  <c r="L12" i="7" s="1"/>
  <c r="K13" i="7"/>
  <c r="L13" i="7" s="1"/>
  <c r="K14" i="7"/>
  <c r="L14" i="7" s="1"/>
  <c r="K15" i="7"/>
  <c r="L15" i="7" s="1"/>
  <c r="K16" i="7"/>
  <c r="K17" i="7"/>
  <c r="L17" i="7" s="1"/>
  <c r="K18" i="7"/>
  <c r="L18" i="7" s="1"/>
  <c r="K19" i="7"/>
  <c r="L19" i="7" s="1"/>
  <c r="K20" i="7"/>
  <c r="K21" i="7"/>
  <c r="L21" i="7" s="1"/>
  <c r="K22" i="7"/>
  <c r="L22" i="7" s="1"/>
  <c r="K24" i="7"/>
  <c r="K26" i="7"/>
  <c r="L26" i="7" s="1"/>
  <c r="K27" i="7"/>
  <c r="L27" i="7" s="1"/>
  <c r="K29" i="7"/>
  <c r="L29" i="7" s="1"/>
  <c r="K30" i="7"/>
  <c r="L30" i="7" s="1"/>
  <c r="H10" i="7"/>
  <c r="H11" i="7"/>
  <c r="H12" i="7"/>
  <c r="H13" i="7"/>
  <c r="H14" i="7"/>
  <c r="H15" i="7"/>
  <c r="H16" i="7"/>
  <c r="H17" i="7"/>
  <c r="H18" i="7"/>
  <c r="H19" i="7"/>
  <c r="H20" i="7"/>
  <c r="H21" i="7"/>
  <c r="H22" i="7"/>
  <c r="H24" i="7"/>
  <c r="H25" i="7"/>
  <c r="H26" i="7"/>
  <c r="H27" i="7"/>
  <c r="H9" i="7"/>
  <c r="I14" i="6"/>
  <c r="K14" i="6" s="1"/>
  <c r="L14" i="6" s="1"/>
  <c r="I17" i="6"/>
  <c r="I18" i="6"/>
  <c r="K18" i="6" s="1"/>
  <c r="I26" i="6"/>
  <c r="K26" i="6" s="1"/>
  <c r="J9" i="6"/>
  <c r="J10" i="6"/>
  <c r="J11" i="6"/>
  <c r="J12" i="6"/>
  <c r="J13" i="6"/>
  <c r="J15" i="6"/>
  <c r="J16" i="6"/>
  <c r="J19" i="6"/>
  <c r="J20" i="6"/>
  <c r="J21" i="6"/>
  <c r="J24" i="6"/>
  <c r="J27" i="6"/>
  <c r="K10" i="6"/>
  <c r="L10" i="6" s="1"/>
  <c r="K11" i="6"/>
  <c r="L11" i="6" s="1"/>
  <c r="K12" i="6"/>
  <c r="L12" i="6" s="1"/>
  <c r="K13" i="6"/>
  <c r="L13" i="6" s="1"/>
  <c r="K15" i="6"/>
  <c r="L15" i="6" s="1"/>
  <c r="K16" i="6"/>
  <c r="L16" i="6" s="1"/>
  <c r="K17" i="6"/>
  <c r="L17" i="6" s="1"/>
  <c r="K19" i="6"/>
  <c r="L19" i="6" s="1"/>
  <c r="K20" i="6"/>
  <c r="K21" i="6"/>
  <c r="K22" i="6"/>
  <c r="K23" i="6"/>
  <c r="K24" i="6"/>
  <c r="L24" i="6" s="1"/>
  <c r="K27" i="6"/>
  <c r="L27" i="6" s="1"/>
  <c r="K28" i="6"/>
  <c r="K30" i="6"/>
  <c r="L30" i="6" s="1"/>
  <c r="E29" i="7"/>
  <c r="H29" i="7" s="1"/>
  <c r="E28" i="7"/>
  <c r="I28" i="7" s="1"/>
  <c r="K28" i="7" s="1"/>
  <c r="L28" i="7" s="1"/>
  <c r="E25" i="7"/>
  <c r="I25" i="7" s="1"/>
  <c r="K25" i="7" s="1"/>
  <c r="L25" i="7" s="1"/>
  <c r="F23" i="7"/>
  <c r="E23" i="7"/>
  <c r="I23" i="7" s="1"/>
  <c r="K23" i="7" s="1"/>
  <c r="L23" i="7" s="1"/>
  <c r="E22" i="7"/>
  <c r="I22" i="7" s="1"/>
  <c r="K9" i="7"/>
  <c r="L9" i="7" s="1"/>
  <c r="J31" i="7"/>
  <c r="E25" i="6"/>
  <c r="I25" i="6" s="1"/>
  <c r="K25" i="6" s="1"/>
  <c r="F23" i="6"/>
  <c r="E23" i="6"/>
  <c r="L23" i="6" s="1"/>
  <c r="E29" i="6"/>
  <c r="I29" i="6" s="1"/>
  <c r="K29" i="6" s="1"/>
  <c r="L29" i="6" s="1"/>
  <c r="E28" i="6"/>
  <c r="J28" i="6" s="1"/>
  <c r="E22" i="6"/>
  <c r="J22" i="6" s="1"/>
  <c r="K9" i="6"/>
  <c r="L9" i="6" s="1"/>
  <c r="J23" i="6" l="1"/>
  <c r="J31" i="6" s="1"/>
  <c r="H28" i="7"/>
  <c r="H23" i="7"/>
  <c r="H31" i="7" s="1"/>
  <c r="L31" i="7"/>
  <c r="L22" i="6"/>
  <c r="L18" i="6"/>
  <c r="L20" i="6"/>
  <c r="H31" i="6"/>
  <c r="L21" i="6"/>
  <c r="L25" i="6"/>
  <c r="L28" i="6"/>
  <c r="L26" i="6"/>
  <c r="F25" i="4"/>
  <c r="I23" i="4"/>
  <c r="J23" i="4" s="1"/>
  <c r="J31" i="4"/>
  <c r="J29" i="4"/>
  <c r="I28" i="4"/>
  <c r="J28" i="4" s="1"/>
  <c r="I27" i="4"/>
  <c r="J27" i="4" s="1"/>
  <c r="L31" i="6" l="1"/>
  <c r="K32" i="4"/>
  <c r="K33" i="4"/>
  <c r="L33" i="4" s="1"/>
  <c r="K31" i="4"/>
  <c r="L31" i="4" s="1"/>
  <c r="K28" i="4"/>
  <c r="L28" i="4" s="1"/>
  <c r="K29" i="4"/>
  <c r="L29" i="4" s="1"/>
  <c r="K27" i="4"/>
  <c r="L27" i="4" s="1"/>
  <c r="K21" i="4"/>
  <c r="L21" i="4" s="1"/>
  <c r="K22" i="4"/>
  <c r="K23" i="4"/>
  <c r="K24" i="4"/>
  <c r="K25" i="4"/>
  <c r="K20" i="4"/>
  <c r="K10" i="4"/>
  <c r="L10" i="4" s="1"/>
  <c r="K11" i="4"/>
  <c r="L11" i="4" s="1"/>
  <c r="K12" i="4"/>
  <c r="L12" i="4" s="1"/>
  <c r="K13" i="4"/>
  <c r="K14" i="4"/>
  <c r="L14" i="4" s="1"/>
  <c r="K15" i="4"/>
  <c r="L15" i="4" s="1"/>
  <c r="K16" i="4"/>
  <c r="K17" i="4"/>
  <c r="K18" i="4"/>
  <c r="L18" i="4" s="1"/>
  <c r="K9" i="4"/>
  <c r="L9" i="4" s="1"/>
  <c r="L34" i="4"/>
  <c r="E33" i="4"/>
  <c r="J33" i="4" s="1"/>
  <c r="E32" i="4"/>
  <c r="H31" i="4"/>
  <c r="Q31" i="4" s="1"/>
  <c r="H29" i="4"/>
  <c r="Q29" i="4" s="1"/>
  <c r="H28" i="4"/>
  <c r="Q28" i="4" s="1"/>
  <c r="H27" i="4"/>
  <c r="Q27" i="4" s="1"/>
  <c r="E25" i="4"/>
  <c r="J25" i="4" s="1"/>
  <c r="L24" i="4"/>
  <c r="E24" i="4"/>
  <c r="J24" i="4" s="1"/>
  <c r="L23" i="4"/>
  <c r="H23" i="4"/>
  <c r="Q23" i="4" s="1"/>
  <c r="L22" i="4"/>
  <c r="H22" i="4"/>
  <c r="Q22" i="4" s="1"/>
  <c r="H21" i="4"/>
  <c r="Q21" i="4" s="1"/>
  <c r="L20" i="4"/>
  <c r="H18" i="4"/>
  <c r="Q18" i="4" s="1"/>
  <c r="L17" i="4"/>
  <c r="H17" i="4"/>
  <c r="Q17" i="4" s="1"/>
  <c r="L16" i="4"/>
  <c r="H16" i="4"/>
  <c r="Q16" i="4" s="1"/>
  <c r="H15" i="4"/>
  <c r="Q15" i="4" s="1"/>
  <c r="H14" i="4"/>
  <c r="Q14" i="4" s="1"/>
  <c r="L13" i="4"/>
  <c r="H13" i="4"/>
  <c r="Q13" i="4" s="1"/>
  <c r="H12" i="4"/>
  <c r="Q12" i="4" s="1"/>
  <c r="H11" i="4"/>
  <c r="Q11" i="4" s="1"/>
  <c r="H10" i="4"/>
  <c r="Q10" i="4" s="1"/>
  <c r="H9" i="4"/>
  <c r="Q9" i="4" s="1"/>
  <c r="L34" i="3"/>
  <c r="K33" i="3"/>
  <c r="L33" i="3" s="1"/>
  <c r="E33" i="3"/>
  <c r="J33" i="3" s="1"/>
  <c r="K32" i="3"/>
  <c r="J32" i="3"/>
  <c r="E32" i="3"/>
  <c r="H32" i="3" s="1"/>
  <c r="K31" i="3"/>
  <c r="L31" i="3" s="1"/>
  <c r="J31" i="3"/>
  <c r="H31" i="3"/>
  <c r="K29" i="3"/>
  <c r="L29" i="3" s="1"/>
  <c r="J29" i="3"/>
  <c r="H29" i="3"/>
  <c r="K28" i="3"/>
  <c r="L28" i="3" s="1"/>
  <c r="J28" i="3"/>
  <c r="H28" i="3"/>
  <c r="K27" i="3"/>
  <c r="L27" i="3" s="1"/>
  <c r="J27" i="3"/>
  <c r="H27" i="3"/>
  <c r="E25" i="3"/>
  <c r="L25" i="3" s="1"/>
  <c r="K24" i="3"/>
  <c r="E24" i="3"/>
  <c r="J24" i="3" s="1"/>
  <c r="K23" i="3"/>
  <c r="L23" i="3" s="1"/>
  <c r="J23" i="3"/>
  <c r="H23" i="3"/>
  <c r="K22" i="3"/>
  <c r="L22" i="3" s="1"/>
  <c r="J22" i="3"/>
  <c r="H22" i="3"/>
  <c r="K21" i="3"/>
  <c r="L21" i="3" s="1"/>
  <c r="J21" i="3"/>
  <c r="H21" i="3"/>
  <c r="I20" i="3"/>
  <c r="K20" i="3" s="1"/>
  <c r="L20" i="3" s="1"/>
  <c r="K18" i="3"/>
  <c r="L18" i="3" s="1"/>
  <c r="J18" i="3"/>
  <c r="H18" i="3"/>
  <c r="K17" i="3"/>
  <c r="L17" i="3" s="1"/>
  <c r="J17" i="3"/>
  <c r="H17" i="3"/>
  <c r="K16" i="3"/>
  <c r="L16" i="3" s="1"/>
  <c r="J16" i="3"/>
  <c r="H16" i="3"/>
  <c r="K15" i="3"/>
  <c r="L15" i="3" s="1"/>
  <c r="J15" i="3"/>
  <c r="H15" i="3"/>
  <c r="K14" i="3"/>
  <c r="L14" i="3" s="1"/>
  <c r="J14" i="3"/>
  <c r="H14" i="3"/>
  <c r="K13" i="3"/>
  <c r="L13" i="3" s="1"/>
  <c r="J13" i="3"/>
  <c r="H13" i="3"/>
  <c r="K12" i="3"/>
  <c r="L12" i="3" s="1"/>
  <c r="J12" i="3"/>
  <c r="H12" i="3"/>
  <c r="K11" i="3"/>
  <c r="L11" i="3" s="1"/>
  <c r="J11" i="3"/>
  <c r="H11" i="3"/>
  <c r="K10" i="3"/>
  <c r="L10" i="3" s="1"/>
  <c r="H10" i="3"/>
  <c r="K9" i="3"/>
  <c r="L9" i="3" s="1"/>
  <c r="H9" i="3"/>
  <c r="H32" i="4" l="1"/>
  <c r="Q32" i="4" s="1"/>
  <c r="J32" i="4"/>
  <c r="J35" i="4" s="1"/>
  <c r="L32" i="4"/>
  <c r="L35" i="4" s="1"/>
  <c r="J20" i="3"/>
  <c r="J35" i="3" s="1"/>
  <c r="H24" i="3"/>
  <c r="H25" i="3"/>
  <c r="H25" i="4"/>
  <c r="Q25" i="4" s="1"/>
  <c r="H33" i="4"/>
  <c r="Q33" i="4" s="1"/>
  <c r="H33" i="3"/>
  <c r="H24" i="4"/>
  <c r="Q24" i="4" s="1"/>
  <c r="L25" i="4"/>
  <c r="L24" i="3"/>
  <c r="L35" i="3" s="1"/>
  <c r="H35" i="4"/>
  <c r="L32" i="3"/>
  <c r="H41" i="4" l="1"/>
  <c r="H35" i="3"/>
  <c r="V19" i="12"/>
  <c r="V30" i="12"/>
  <c r="V37" i="12"/>
  <c r="V13" i="12"/>
  <c r="V31" i="12"/>
  <c r="V21" i="12"/>
  <c r="V26" i="12"/>
  <c r="V14" i="12"/>
  <c r="V29" i="12"/>
  <c r="V11" i="12"/>
  <c r="V20" i="12"/>
  <c r="V17" i="12"/>
  <c r="V16" i="12"/>
  <c r="V25" i="12"/>
  <c r="V28" i="12"/>
  <c r="V32" i="12"/>
  <c r="V9" i="12"/>
  <c r="V24" i="12"/>
  <c r="V34" i="12"/>
  <c r="V7" i="12"/>
  <c r="V18" i="12"/>
  <c r="V27" i="12"/>
  <c r="V6" i="12"/>
  <c r="V22" i="12"/>
  <c r="V8" i="12"/>
  <c r="V12" i="12"/>
  <c r="V35" i="12"/>
  <c r="V23" i="12"/>
  <c r="V15" i="12"/>
  <c r="V33" i="12"/>
  <c r="V36" i="12"/>
  <c r="R21" i="12"/>
  <c r="R30" i="12"/>
  <c r="R14" i="12"/>
  <c r="R28" i="12"/>
  <c r="R12" i="12"/>
  <c r="R22" i="12"/>
  <c r="R27" i="12"/>
  <c r="R13" i="12"/>
  <c r="R33" i="12"/>
  <c r="R6" i="12"/>
  <c r="R9" i="12"/>
  <c r="R18" i="12"/>
  <c r="R20" i="12"/>
  <c r="R24" i="12"/>
  <c r="R32" i="12"/>
  <c r="R29" i="12"/>
  <c r="R31" i="12"/>
  <c r="R26" i="12"/>
  <c r="R8" i="12"/>
  <c r="R19" i="12"/>
  <c r="R15" i="12"/>
  <c r="R34" i="12"/>
  <c r="R37" i="12"/>
  <c r="R16" i="12"/>
  <c r="R11" i="12"/>
  <c r="R35" i="12"/>
  <c r="R25" i="12"/>
  <c r="R36" i="12"/>
  <c r="R23" i="12"/>
  <c r="R7" i="12"/>
  <c r="R17" i="12"/>
  <c r="P32" i="12"/>
  <c r="P30" i="12"/>
  <c r="P11" i="12"/>
  <c r="P13" i="12"/>
  <c r="P22" i="12"/>
  <c r="P31" i="12"/>
  <c r="P17" i="12"/>
  <c r="P37" i="12"/>
  <c r="P33" i="12"/>
  <c r="P15" i="12"/>
  <c r="P18" i="12"/>
  <c r="P29" i="12"/>
  <c r="P21" i="12"/>
  <c r="P27" i="12"/>
  <c r="P28" i="12"/>
  <c r="P19" i="12"/>
  <c r="P25" i="12"/>
  <c r="P12" i="12"/>
  <c r="P35" i="12"/>
  <c r="P9" i="12"/>
  <c r="P6" i="12"/>
  <c r="P7" i="12"/>
  <c r="P8" i="12"/>
  <c r="P14" i="12"/>
  <c r="P34" i="12"/>
  <c r="P36" i="12"/>
  <c r="P16" i="12"/>
  <c r="P24" i="12"/>
  <c r="P20" i="12"/>
  <c r="P23" i="12"/>
  <c r="P26" i="12"/>
  <c r="S34" i="12"/>
  <c r="S25" i="12"/>
  <c r="S17" i="12"/>
  <c r="S26" i="12"/>
  <c r="S30" i="12"/>
  <c r="S28" i="12"/>
  <c r="S9" i="12"/>
  <c r="S35" i="12"/>
  <c r="S14" i="12"/>
  <c r="S19" i="12"/>
  <c r="S16" i="12"/>
  <c r="S6" i="12"/>
  <c r="S33" i="12"/>
  <c r="S8" i="12"/>
  <c r="S36" i="12"/>
  <c r="S29" i="12"/>
  <c r="S21" i="12"/>
  <c r="S23" i="12"/>
  <c r="S27" i="12"/>
  <c r="S15" i="12"/>
  <c r="S13" i="12"/>
  <c r="S18" i="12"/>
  <c r="S7" i="12"/>
  <c r="S12" i="12"/>
  <c r="S11" i="12"/>
  <c r="S31" i="12"/>
  <c r="S32" i="12"/>
  <c r="S37" i="12"/>
  <c r="S24" i="12"/>
  <c r="S22" i="12"/>
  <c r="S20" i="12"/>
  <c r="T17" i="12"/>
  <c r="T16" i="12"/>
  <c r="T22" i="12"/>
  <c r="T21" i="12"/>
  <c r="T29" i="12"/>
  <c r="T7" i="12"/>
  <c r="T35" i="12"/>
  <c r="T23" i="12"/>
  <c r="T13" i="12"/>
  <c r="T32" i="12"/>
  <c r="T11" i="12"/>
  <c r="T24" i="12"/>
  <c r="T26" i="12"/>
  <c r="T28" i="12"/>
  <c r="T37" i="12"/>
  <c r="T18" i="12"/>
  <c r="T6" i="12"/>
  <c r="T8" i="12"/>
  <c r="T30" i="12"/>
  <c r="T12" i="12"/>
  <c r="T33" i="12"/>
  <c r="T34" i="12"/>
  <c r="T14" i="12"/>
  <c r="T27" i="12"/>
  <c r="T9" i="12"/>
  <c r="T31" i="12"/>
  <c r="T20" i="12"/>
  <c r="T36" i="12"/>
  <c r="T25" i="12"/>
  <c r="T19" i="12"/>
  <c r="T15" i="12"/>
  <c r="O6" i="12"/>
  <c r="O14" i="12"/>
  <c r="O28" i="12"/>
  <c r="O15" i="12"/>
  <c r="O19" i="12"/>
  <c r="O29" i="12"/>
  <c r="O23" i="12"/>
  <c r="O8" i="12"/>
  <c r="O7" i="12"/>
  <c r="O24" i="12"/>
  <c r="O12" i="12"/>
  <c r="O9" i="12"/>
  <c r="O22" i="12"/>
  <c r="O34" i="12"/>
  <c r="O37" i="12"/>
  <c r="O20" i="12"/>
  <c r="O13" i="12"/>
  <c r="O25" i="12"/>
  <c r="O33" i="12"/>
  <c r="O27" i="12"/>
  <c r="O18" i="12"/>
  <c r="O11" i="12"/>
  <c r="O26" i="12"/>
  <c r="O35" i="12"/>
  <c r="O21" i="12"/>
  <c r="O30" i="12"/>
  <c r="O31" i="12"/>
  <c r="O32" i="12"/>
  <c r="O36" i="12"/>
  <c r="O16" i="12"/>
  <c r="O17" i="12"/>
  <c r="U8" i="12"/>
  <c r="U18" i="12"/>
  <c r="U21" i="12"/>
  <c r="U34" i="12"/>
  <c r="U33" i="12"/>
  <c r="U32" i="12"/>
  <c r="U25" i="12"/>
  <c r="U14" i="12"/>
  <c r="U16" i="12"/>
  <c r="U20" i="12"/>
  <c r="U30" i="12"/>
  <c r="U29" i="12"/>
  <c r="U24" i="12"/>
  <c r="U19" i="12"/>
  <c r="U12" i="12"/>
  <c r="U27" i="12"/>
  <c r="U17" i="12"/>
  <c r="U13" i="12"/>
  <c r="U9" i="12"/>
  <c r="U37" i="12"/>
  <c r="U26" i="12"/>
  <c r="U23" i="12"/>
  <c r="U35" i="12"/>
  <c r="U36" i="12"/>
  <c r="U15" i="12"/>
  <c r="U22" i="12"/>
  <c r="U7" i="12"/>
  <c r="U11" i="12"/>
  <c r="U6" i="12"/>
  <c r="U28" i="12"/>
  <c r="U31" i="12"/>
  <c r="Q34" i="12"/>
  <c r="Q31" i="12"/>
  <c r="Q27" i="12"/>
  <c r="Q17" i="12"/>
  <c r="Q35" i="12"/>
  <c r="Q29" i="12"/>
  <c r="Q13" i="12"/>
  <c r="Q30" i="12"/>
  <c r="Q19" i="12"/>
  <c r="Q8" i="12"/>
  <c r="Q14" i="12"/>
  <c r="Q9" i="12"/>
  <c r="Q32" i="12"/>
  <c r="Q15" i="12"/>
  <c r="Q18" i="12"/>
  <c r="Q37" i="12"/>
  <c r="Q21" i="12"/>
  <c r="Q16" i="12"/>
  <c r="Q6" i="12"/>
  <c r="Q28" i="12"/>
  <c r="Q23" i="12"/>
  <c r="Q26" i="12"/>
  <c r="Q36" i="12"/>
  <c r="Q33" i="12"/>
  <c r="Q20" i="12"/>
  <c r="Q25" i="12"/>
  <c r="Q24" i="12"/>
  <c r="Q22" i="12"/>
  <c r="Q7" i="12"/>
  <c r="Q12" i="12"/>
  <c r="Q11" i="12"/>
  <c r="S40" i="12"/>
  <c r="V40" i="12"/>
  <c r="S10" i="12"/>
  <c r="S5" i="12"/>
  <c r="S38" i="12"/>
  <c r="P40" i="12"/>
  <c r="Q10" i="12"/>
  <c r="Q5" i="12"/>
  <c r="Q38" i="12"/>
  <c r="Q40" i="12"/>
  <c r="T10" i="12"/>
  <c r="T5" i="12"/>
  <c r="T38" i="12"/>
  <c r="T40" i="12"/>
  <c r="W40" i="12"/>
  <c r="O41" i="12"/>
  <c r="V10" i="12"/>
  <c r="V5" i="12"/>
  <c r="V38" i="12"/>
  <c r="P10" i="12"/>
  <c r="P5" i="12"/>
  <c r="P38" i="12"/>
  <c r="R40" i="12"/>
  <c r="U40" i="12"/>
  <c r="U10" i="12"/>
  <c r="U5" i="12"/>
  <c r="U38" i="12"/>
  <c r="O10" i="12"/>
  <c r="O5" i="12"/>
  <c r="O38" i="12"/>
  <c r="O40" i="12"/>
  <c r="R10" i="12"/>
  <c r="R5" i="12"/>
  <c r="R38" i="12"/>
</calcChain>
</file>

<file path=xl/sharedStrings.xml><?xml version="1.0" encoding="utf-8"?>
<sst xmlns="http://schemas.openxmlformats.org/spreadsheetml/2006/main" count="903" uniqueCount="221">
  <si>
    <t>Nakoda Pipe Impex Pvt Ltd</t>
  </si>
  <si>
    <t>Civil Work Estimate</t>
  </si>
  <si>
    <t>Upto Plinth Level</t>
  </si>
  <si>
    <t>Bill No RA3</t>
  </si>
  <si>
    <t>Bill Month March 2023</t>
  </si>
  <si>
    <t xml:space="preserve">Sl No </t>
  </si>
  <si>
    <t>Item No</t>
  </si>
  <si>
    <t>Description</t>
  </si>
  <si>
    <t>UOM</t>
  </si>
  <si>
    <t>Rate</t>
  </si>
  <si>
    <t>Division</t>
  </si>
  <si>
    <t>Upto Prev Bill</t>
  </si>
  <si>
    <t>This Bill</t>
  </si>
  <si>
    <t>Total Till Date</t>
  </si>
  <si>
    <t>Remarks</t>
  </si>
  <si>
    <t>Quantity</t>
  </si>
  <si>
    <t>Amount</t>
  </si>
  <si>
    <t xml:space="preserve"> Earthwork in Excavation in all type of soil/soft rock &amp; Disposal of the surplus excavated material in spoil dumps, till area at 0 to 3 mtrs hieghts and descents within a lead upto 500 Mtr including all</t>
  </si>
  <si>
    <t>m3</t>
  </si>
  <si>
    <t>Klin</t>
  </si>
  <si>
    <t xml:space="preserve"> Earthwork in Excavation in all type of soil/soft rock &amp; Disposal of the surplus excavated material in spoil dumps, till area at 3 to 6 mtrs hieghts and descents within a lead upto 500 Mtr including all</t>
  </si>
  <si>
    <t>Soil Dressing</t>
  </si>
  <si>
    <t>m2</t>
  </si>
  <si>
    <t>Hard Rock breaking 0-3</t>
  </si>
  <si>
    <t>Hard Rock breaking 3-6</t>
  </si>
  <si>
    <t>Hard Rock breaking 6-9</t>
  </si>
  <si>
    <t>Backfilling</t>
  </si>
  <si>
    <t xml:space="preserve">Sand Filling </t>
  </si>
  <si>
    <t xml:space="preserve">Aggregate filling </t>
  </si>
  <si>
    <t>Rock Soling</t>
  </si>
  <si>
    <t>Supplying, laying and compacting plain cement concrete (all grade) as defined by IS 456 with graded stone aggregates in all foundation and bed blocks, manholes, chambers, tunnels, floor, pavement, screedings etc. As per the drawings, specification and instruction of the engineer at all heights and depths above and below plniths to require materials, tools and plants, labour complete (use vibrator) 3 to 6 Mtr</t>
  </si>
  <si>
    <t>Supplying, laying and compacting plain cement concrete (all grade) as defined by IS 456 with graded stone aggregates in all foundation and bed blocks, manholes, chambers, tunnels, floor, pavement, screedings etc. As per the drawings, specification and instruction of the engineer at all heights and depths above and below plniths to require materials, tools and plants, labour complete (use vibrator) 6 to 9Mtr</t>
  </si>
  <si>
    <t>Supplying, laying reinforced cement concrete (all grade) as defined by IS 456 up to +/- 0 M t o +/-3Mtrs heights/depth with proper compaction and curing</t>
  </si>
  <si>
    <t>Supplying, laying reinforced cement concrete (all grade) as defined by IS 456 up to +/- 3 M t o +/-6Mtrs heights/depth with proper compaction and curing</t>
  </si>
  <si>
    <t>Provinding and fixing shuttering in postion with necessary centring, branches , droppings etc. And removing the same after specification periods for all type shuttering for all plain and reinforced cement concrete including all chambers, splays, keys, wedges, nails, brackets, cutting holes for embedded steel/pipes and applying shuttering oil in shuttering surface in contact with concrete, all materials tools , plants and labour complete, shuttering for +/- 3M.</t>
  </si>
  <si>
    <t>Provinding and fixing shuttering in postion with necessary centring, branches , droppings etc. And removing the same after specification periods for all type shuttering for all plain and reinforced cement concrete including all chambers, splays, keys, wedges, nails, brackets, cutting holes for embedded steel/pipes and applying shuttering oil in shuttering surface in contact with concrete, all materials tools , plants and labour complete, shuttering for +/- 3M to +/- 6 Mtr</t>
  </si>
  <si>
    <t>Provinding and fixing shuttering in postion with necessary centring, branches , droppings etc. And removing the same after specification periods for all type shuttering for all plain and reinforced cement concrete including all chambers, splays, keys, wedges, nails, brackets, cutting holes for embedded steel/pipes and applying shuttering oil in shuttering surface in contact with concrete, all materials tools , plants and labour complete, shuttering for +/- 6M to +/- 9 Mtr</t>
  </si>
  <si>
    <t>Taking delivery transporting within site area placing and fixing in postion steel reinforcement including angles/pins provided for the approved welded joint at all levels above and belorh plinth level for RCC and precast reinforced concrete works including cutting, bending cranking, binding tack welding as necessary as per drawing, specification and direction of the engineer including wire, cover blocks, electrodes etc. And strengthening and de coling where necessary all materials, tools and plamts and labour complete.0-3</t>
  </si>
  <si>
    <t>MT</t>
  </si>
  <si>
    <t>Taking delivery transporting within site area placing and fixing in postion steel reinforcement including angles/pins provided for the approved welded joint at all levels above and belorh plinth level for RCC and precast reinforced concrete works including cutting, bending cranking, binding tack welding as necessary as per drawing, specification and direction of the engineer including wire, cover blocks, electrodes etc. And strengthening and de coling where necessary all materials, tools and plamts and labour complete.3-6</t>
  </si>
  <si>
    <t>Taking delivery transporting within site area placing and fixing in postion steel reinforcement including angles/pins provided for the approved welded joint at all levels above and belorh plinth level for RCC and precast reinforced concrete works including cutting, bending cranking, binding tack welding as necessary as per drawing, specification and direction of the engineer including wire, cover blocks, electrodes etc. And strengthening and de coling where necessary all materials, tools and plamts and labour complete.6-9</t>
  </si>
  <si>
    <t>Bill No RA4</t>
  </si>
  <si>
    <t>Bill Month April 2023</t>
  </si>
  <si>
    <t>Excavation</t>
  </si>
  <si>
    <t>Concrete</t>
  </si>
  <si>
    <t>Supplying, laying reinforced cement concrete (all grade) as defined by IS 456 up to +/- 6 M t o +/-9Mtrs heights/depth with proper compaction and curing</t>
  </si>
  <si>
    <t>Shuttering</t>
  </si>
  <si>
    <t>Re- In forcements</t>
  </si>
  <si>
    <t>Bill No RA5</t>
  </si>
  <si>
    <t>Bill Month May 2023</t>
  </si>
  <si>
    <t>Supplying, laying and compacting plain cement concrete (all grade) as defined by IS 456 with graded stone aggregates in all foundation and bed blocks, manholes, chambers, tunnels, floor, pavement, screedings etc. As per the drawings, specification and instruction of the engineer at all heights and depths above and below plniths to require materials, tools and plants, labour complete (use vibrator) 0 to 3 Mtr</t>
  </si>
  <si>
    <t>Bill No RA6</t>
  </si>
  <si>
    <t>Bill Month June 2023</t>
  </si>
  <si>
    <t>Bill No RA1</t>
  </si>
  <si>
    <t>Supplying, laying reinforced cement concrete (all grade) as defined by IS 456 up to +/- 6 M t o +/-9 Mtrs heights/depth with proper compaction and curing</t>
  </si>
  <si>
    <t>Bill No RA2</t>
  </si>
  <si>
    <t>Bill Month Jan2023</t>
  </si>
  <si>
    <t>Abhishek Acharya</t>
  </si>
  <si>
    <t>Billing Engineer</t>
  </si>
  <si>
    <t>Site Incharge</t>
  </si>
  <si>
    <t xml:space="preserve">Rupesh Verma </t>
  </si>
  <si>
    <t>Aquaplast Infracon</t>
  </si>
  <si>
    <t>Anirudh Sinha</t>
  </si>
  <si>
    <t>Civil Incharge (S.I.D)</t>
  </si>
  <si>
    <t>Bill No RA 7</t>
  </si>
  <si>
    <t>Bill Month July 2023</t>
  </si>
  <si>
    <t>Sl No</t>
  </si>
  <si>
    <t>Block</t>
  </si>
  <si>
    <t>DRI</t>
  </si>
  <si>
    <t>PSSB</t>
  </si>
  <si>
    <t>Cooling Tower</t>
  </si>
  <si>
    <t>RA-1</t>
  </si>
  <si>
    <t>RA-2</t>
  </si>
  <si>
    <t>RA-3</t>
  </si>
  <si>
    <t>RA-4</t>
  </si>
  <si>
    <t>RA-5</t>
  </si>
  <si>
    <t>RA-6</t>
  </si>
  <si>
    <t>RA-7</t>
  </si>
  <si>
    <t>RA-8</t>
  </si>
  <si>
    <t>RA-9</t>
  </si>
  <si>
    <t>RA-10</t>
  </si>
  <si>
    <t>RA-11</t>
  </si>
  <si>
    <t>RA-12</t>
  </si>
  <si>
    <t>Total Estmated Value</t>
  </si>
  <si>
    <t>Total</t>
  </si>
  <si>
    <t>S.I.D</t>
  </si>
  <si>
    <t>Iron Circuit</t>
  </si>
  <si>
    <t>Over Head Tank</t>
  </si>
  <si>
    <t>Day Bin</t>
  </si>
  <si>
    <t>RA  1</t>
  </si>
  <si>
    <t>RA 3</t>
  </si>
  <si>
    <t>RA 1</t>
  </si>
  <si>
    <t>Balance</t>
  </si>
  <si>
    <t>Div</t>
  </si>
  <si>
    <t>Fabrication &amp; Fixing of insert Plates</t>
  </si>
  <si>
    <t>JigS &amp; Fixture</t>
  </si>
  <si>
    <t>Fixing of Foundation bolts 32 mm Dia &amp; Above</t>
  </si>
  <si>
    <t>MB NO - 8th</t>
  </si>
  <si>
    <t>Measurement of 8th RA Bill</t>
  </si>
  <si>
    <t>Name of Work :- SID  Axis-01 (KIB, KP-1)</t>
  </si>
  <si>
    <t>Client :- Shree Nakoda Pipe Impex PVT Ltd.</t>
  </si>
  <si>
    <t>Date Of Start:-01/07/2023</t>
  </si>
  <si>
    <t>Date Of Measurmenr :- 07/08/2023</t>
  </si>
  <si>
    <t>Date of Completion :-31/07/2023</t>
  </si>
  <si>
    <t>Sr. No.</t>
  </si>
  <si>
    <t>Structure</t>
  </si>
  <si>
    <t>Discription/Particular</t>
  </si>
  <si>
    <t>GRID</t>
  </si>
  <si>
    <t>Reduced Level</t>
  </si>
  <si>
    <t>Nos</t>
  </si>
  <si>
    <t>Unit/Nos</t>
  </si>
  <si>
    <t>Length</t>
  </si>
  <si>
    <t>Width</t>
  </si>
  <si>
    <t>Hight</t>
  </si>
  <si>
    <t>Qty.</t>
  </si>
  <si>
    <t>Unit</t>
  </si>
  <si>
    <t>Remark</t>
  </si>
  <si>
    <t>RL from</t>
  </si>
  <si>
    <t>RL to</t>
  </si>
  <si>
    <t>KP-3</t>
  </si>
  <si>
    <t>RCC UPTO (+/-) 6.0 Mtr TO (+/-) 9.0 Mtr from NGL -94.325</t>
  </si>
  <si>
    <t>SID</t>
  </si>
  <si>
    <t>Column Casting</t>
  </si>
  <si>
    <t>Deck Slab</t>
  </si>
  <si>
    <t>Deck Slab hunch Bottum</t>
  </si>
  <si>
    <t>Side Hunch 1 B/T KP-2</t>
  </si>
  <si>
    <t>Tringle Area</t>
  </si>
  <si>
    <t>Side hunch 2</t>
  </si>
  <si>
    <t>KIB</t>
  </si>
  <si>
    <t>Column Cap Casting</t>
  </si>
  <si>
    <t>CUM</t>
  </si>
  <si>
    <t>Insrt Plate UPTO (+/-) 6.0 Mtr TO (+/-) 9.0 Mtr from NGL -94.325</t>
  </si>
  <si>
    <t xml:space="preserve">KP-3 Hunch Near KP-1 &amp; KP-2 </t>
  </si>
  <si>
    <t>IP AT FRONT &amp; TOP</t>
  </si>
  <si>
    <t>Lux  (50X50X6)</t>
  </si>
  <si>
    <t>(103.088+103.012)/2=103.049 AVG</t>
  </si>
  <si>
    <t>Hunch in Froun Of Store</t>
  </si>
  <si>
    <t>IP Ficing At Beam 100 lvl top</t>
  </si>
  <si>
    <t>Hunch IP Fixing</t>
  </si>
  <si>
    <t>Steel Density</t>
  </si>
  <si>
    <t>Total In Wt. (KG)</t>
  </si>
  <si>
    <t>Total Wt in TON</t>
  </si>
  <si>
    <t>Kerb  UPTO (+/-) 6.0 Mtr TO (+/-) 9.0 Mtr from NGL -94.325</t>
  </si>
  <si>
    <t>KP-3 Top leve Deck  Kerb Angle Fixing</t>
  </si>
  <si>
    <t xml:space="preserve"> Embeddad rod fixing  (+/-) 6.0 Mtr TO (+/-) 9.0 Mtr from NGL </t>
  </si>
  <si>
    <t>KP-1 Deck Slab Embadded Rod</t>
  </si>
  <si>
    <t xml:space="preserve">Shuttering UPTO (+/-) 6.0 Mtr TO (+/-) 9.0 Mtr from NGL </t>
  </si>
  <si>
    <t>Column Side only Hunch hight</t>
  </si>
  <si>
    <t>hunch Tringle area</t>
  </si>
  <si>
    <t>hunch Bottum</t>
  </si>
  <si>
    <t>Deck Side Slab</t>
  </si>
  <si>
    <t>Deck Column Above Hunch</t>
  </si>
  <si>
    <t>Deck Slab bottum</t>
  </si>
  <si>
    <t>Slab bottum At Slop</t>
  </si>
  <si>
    <t>Side Hunch 1 Squar area</t>
  </si>
  <si>
    <t>Hunch front Shuttering</t>
  </si>
  <si>
    <t xml:space="preserve">Hunch Bottum slop </t>
  </si>
  <si>
    <t>Tringle area (4X2)</t>
  </si>
  <si>
    <t>Side Hunch 2 Squar area</t>
  </si>
  <si>
    <t xml:space="preserve"> </t>
  </si>
  <si>
    <t>Hunch Front</t>
  </si>
  <si>
    <t>Tringle area (2X2)</t>
  </si>
  <si>
    <t>KIB Column Cap Shuttering</t>
  </si>
  <si>
    <t>SQM</t>
  </si>
  <si>
    <t xml:space="preserve">Pocket fixing UPTO (+/-) 6.0 Mtr TO (+/-) 9.0 Mtr from NGL </t>
  </si>
  <si>
    <t>Pocket at Deck Slab</t>
  </si>
  <si>
    <t>REINFORCEMENT  DETAILS</t>
  </si>
  <si>
    <t>DRG  NO</t>
  </si>
  <si>
    <t>LOCATION</t>
  </si>
  <si>
    <t>BAR MARK</t>
  </si>
  <si>
    <t>TYPE</t>
  </si>
  <si>
    <t>DIA</t>
  </si>
  <si>
    <t>DIMENSIONS ( IN MM. )</t>
  </si>
  <si>
    <t xml:space="preserve">CUTTING LENGTH (MTR.) </t>
  </si>
  <si>
    <t>QUANTITY</t>
  </si>
  <si>
    <t>DIA OF BARS (MM)</t>
  </si>
  <si>
    <t>(MM)</t>
  </si>
  <si>
    <t>a</t>
  </si>
  <si>
    <t xml:space="preserve">     b     </t>
  </si>
  <si>
    <t>c</t>
  </si>
  <si>
    <t>d</t>
  </si>
  <si>
    <t>e/Hook</t>
  </si>
  <si>
    <t>SET</t>
  </si>
  <si>
    <t>NO/SET</t>
  </si>
  <si>
    <t>TOTAL</t>
  </si>
  <si>
    <t xml:space="preserve">KP-3 Deck Slab bottum Distribution Bar RL </t>
  </si>
  <si>
    <t>Bottum Extra Bar</t>
  </si>
  <si>
    <t>bottum bar Main bar</t>
  </si>
  <si>
    <t>Top Main Bar</t>
  </si>
  <si>
    <t>Top distribution bar</t>
  </si>
  <si>
    <t>inner Ring 1</t>
  </si>
  <si>
    <t>inner Ring 2</t>
  </si>
  <si>
    <t>Column Vertical</t>
  </si>
  <si>
    <t>A</t>
  </si>
  <si>
    <t>Column Junction Ring</t>
  </si>
  <si>
    <t>E</t>
  </si>
  <si>
    <t>Slab bottum Hunch inclied Area</t>
  </si>
  <si>
    <t>Hunch main bar Binder</t>
  </si>
  <si>
    <t>U -Bar For Hunch</t>
  </si>
  <si>
    <t>C</t>
  </si>
  <si>
    <t>Outer Hunch Steel main bar Near KP-3, KIB</t>
  </si>
  <si>
    <t>Binder</t>
  </si>
  <si>
    <t>Tringle area Binder</t>
  </si>
  <si>
    <t>Outer Hunch Steel main bar Near KP-3 , KIB</t>
  </si>
  <si>
    <t>Extra bar for Pocket fixing</t>
  </si>
  <si>
    <t>Embedded Fixing</t>
  </si>
  <si>
    <t>Extra Bar At Deck Slab Top</t>
  </si>
  <si>
    <t>KIB Column Cap Steel C1</t>
  </si>
  <si>
    <t>Master Ring</t>
  </si>
  <si>
    <t>Sub Ring</t>
  </si>
  <si>
    <t>DIA WISE TOTAL LENGTH IN M.</t>
  </si>
  <si>
    <t>DIA WISE UNIT WEIGHT KG PER M.</t>
  </si>
  <si>
    <t>DIA WISE TOTAL WEIGHT IN KG.</t>
  </si>
  <si>
    <t>TOTAL REINFORCE MENT QUANTITY IN M.T.</t>
  </si>
  <si>
    <t>Kg</t>
  </si>
  <si>
    <t>KG</t>
  </si>
  <si>
    <t>Bill No RA 8</t>
  </si>
  <si>
    <t>Bill Month August 2023</t>
  </si>
  <si>
    <t>Rate Not Finalised</t>
  </si>
  <si>
    <t>Rate not Finalised</t>
  </si>
  <si>
    <t>Vendor Name :- Aquaplast infracon Pvt Ltd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</si>
</sst>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38">
    <font>
      <sz val="11"/>
      <color theme="1"/>
      <name val="Calibri"/>
      <family val="2"/>
      <scheme val="minor"/>
    </font>
    <font>
      <b/>
      <i/>
      <sz val="11"/>
      <color theme="1"/>
      <name val="Calibri"/>
      <family val="2"/>
      <scheme val="minor"/>
    </font>
    <font>
      <b/>
      <i/>
      <sz val="14"/>
      <color theme="1"/>
      <name val="Calibri"/>
      <family val="2"/>
      <scheme val="minor"/>
    </font>
    <font>
      <i/>
      <sz val="11"/>
      <color theme="1"/>
      <name val="Calibri"/>
      <family val="2"/>
      <scheme val="minor"/>
    </font>
    <font>
      <b/>
      <sz val="11"/>
      <color theme="1"/>
      <name val="Calibri"/>
      <family val="2"/>
      <scheme val="minor"/>
    </font>
    <font>
      <sz val="11"/>
      <color theme="0"/>
      <name val="Artifakt Element Black"/>
      <family val="2"/>
    </font>
    <font>
      <sz val="11"/>
      <color theme="1"/>
      <name val="Berlin Sans FB Demi"/>
      <family val="2"/>
    </font>
    <font>
      <sz val="11"/>
      <color theme="1"/>
      <name val="Calibri"/>
      <family val="2"/>
      <scheme val="minor"/>
    </font>
    <font>
      <sz val="11"/>
      <color indexed="8"/>
      <name val="Calibri"/>
      <family val="2"/>
    </font>
    <font>
      <sz val="10"/>
      <name val="Arial"/>
      <family val="2"/>
    </font>
    <font>
      <sz val="12"/>
      <color theme="1"/>
      <name val="Calibri"/>
      <family val="2"/>
      <scheme val="minor"/>
    </font>
    <font>
      <b/>
      <u/>
      <sz val="14"/>
      <color theme="1"/>
      <name val="Calibri"/>
      <family val="2"/>
      <scheme val="minor"/>
    </font>
    <font>
      <b/>
      <sz val="12"/>
      <color theme="1"/>
      <name val="Calibri"/>
      <family val="2"/>
      <scheme val="minor"/>
    </font>
    <font>
      <b/>
      <sz val="12"/>
      <color theme="1"/>
      <name val="Times New Roman"/>
      <family val="1"/>
    </font>
    <font>
      <sz val="11"/>
      <color theme="0"/>
      <name val="Calibri"/>
      <family val="2"/>
      <scheme val="minor"/>
    </font>
    <font>
      <b/>
      <i/>
      <sz val="16"/>
      <color theme="1"/>
      <name val="Calibri"/>
      <family val="2"/>
      <scheme val="minor"/>
    </font>
    <font>
      <b/>
      <i/>
      <sz val="16"/>
      <color indexed="8"/>
      <name val="Yu Gothic UI Semibold"/>
      <family val="2"/>
    </font>
    <font>
      <b/>
      <i/>
      <sz val="10"/>
      <color theme="1"/>
      <name val="Calibri"/>
      <family val="2"/>
      <scheme val="minor"/>
    </font>
    <font>
      <b/>
      <i/>
      <sz val="10"/>
      <name val="Yu Gothic UI"/>
      <family val="2"/>
    </font>
    <font>
      <b/>
      <i/>
      <sz val="10"/>
      <color theme="0"/>
      <name val="Yu Gothic UI Semibold"/>
      <family val="2"/>
    </font>
    <font>
      <b/>
      <i/>
      <sz val="10"/>
      <color theme="0"/>
      <name val="Arial"/>
      <family val="2"/>
    </font>
    <font>
      <i/>
      <sz val="10"/>
      <color theme="0"/>
      <name val="Times New Roman"/>
      <family val="1"/>
    </font>
    <font>
      <i/>
      <sz val="10"/>
      <color theme="0"/>
      <name val="Yu Gothic Medium"/>
      <family val="2"/>
    </font>
    <font>
      <b/>
      <i/>
      <sz val="10"/>
      <color theme="0"/>
      <name val="Yu Gothic Medium"/>
      <family val="2"/>
    </font>
    <font>
      <i/>
      <sz val="11"/>
      <color theme="0"/>
      <name val="Calibri"/>
      <family val="2"/>
      <scheme val="minor"/>
    </font>
    <font>
      <b/>
      <i/>
      <sz val="10"/>
      <color rgb="FF000000"/>
      <name val="Yu Gothic UI Semibold"/>
      <family val="2"/>
    </font>
    <font>
      <b/>
      <i/>
      <sz val="10"/>
      <color indexed="8"/>
      <name val="Yu Gothic UI Semibold"/>
      <family val="2"/>
    </font>
    <font>
      <i/>
      <sz val="12"/>
      <color theme="1"/>
      <name val="Calibri"/>
      <family val="2"/>
      <scheme val="minor"/>
    </font>
    <font>
      <i/>
      <sz val="10"/>
      <name val="Yu Gothic Medium"/>
      <family val="2"/>
    </font>
    <font>
      <i/>
      <sz val="10"/>
      <color rgb="FF000000"/>
      <name val="Yu Gothic Medium"/>
      <family val="2"/>
    </font>
    <font>
      <i/>
      <sz val="10"/>
      <color rgb="FF000000"/>
      <name val="Times New Roman"/>
      <family val="1"/>
    </font>
    <font>
      <i/>
      <sz val="10"/>
      <name val="Arial"/>
      <family val="2"/>
    </font>
    <font>
      <i/>
      <sz val="10"/>
      <color theme="1"/>
      <name val="Calibri"/>
      <family val="2"/>
      <scheme val="minor"/>
    </font>
    <font>
      <i/>
      <u/>
      <sz val="10"/>
      <color theme="1"/>
      <name val="Calibri"/>
      <family val="2"/>
      <scheme val="minor"/>
    </font>
    <font>
      <b/>
      <i/>
      <sz val="10"/>
      <color theme="0"/>
      <name val="Calibri"/>
      <family val="2"/>
      <scheme val="minor"/>
    </font>
    <font>
      <i/>
      <sz val="10"/>
      <color theme="0"/>
      <name val="Calibri"/>
      <family val="2"/>
      <scheme val="minor"/>
    </font>
    <font>
      <b/>
      <i/>
      <sz val="10"/>
      <name val="Arial"/>
      <family val="2"/>
    </font>
    <font>
      <i/>
      <sz val="10"/>
      <color theme="0"/>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1"/>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double">
        <color indexed="64"/>
      </top>
      <bottom style="double">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double">
        <color indexed="64"/>
      </bottom>
      <diagonal/>
    </border>
    <border>
      <left/>
      <right/>
      <top style="double">
        <color indexed="64"/>
      </top>
      <bottom/>
      <diagonal/>
    </border>
    <border>
      <left style="hair">
        <color indexed="64"/>
      </left>
      <right style="hair">
        <color indexed="64"/>
      </right>
      <top style="hair">
        <color indexed="64"/>
      </top>
      <bottom style="hair">
        <color indexed="64"/>
      </bottom>
      <diagonal/>
    </border>
  </borders>
  <cellStyleXfs count="5">
    <xf numFmtId="0" fontId="0" fillId="0" borderId="0"/>
    <xf numFmtId="0" fontId="7" fillId="0" borderId="0"/>
    <xf numFmtId="0" fontId="8" fillId="0" borderId="0"/>
    <xf numFmtId="0" fontId="9" fillId="0" borderId="0"/>
    <xf numFmtId="0" fontId="7" fillId="0" borderId="0"/>
  </cellStyleXfs>
  <cellXfs count="185">
    <xf numFmtId="0" fontId="0" fillId="0" borderId="0" xfId="0"/>
    <xf numFmtId="0" fontId="1" fillId="0" borderId="0" xfId="0" applyFont="1" applyBorder="1"/>
    <xf numFmtId="0" fontId="1" fillId="0" borderId="0" xfId="0" applyFont="1" applyBorder="1" applyAlignment="1">
      <alignment vertical="center"/>
    </xf>
    <xf numFmtId="0" fontId="2" fillId="2" borderId="1" xfId="0" applyFont="1" applyFill="1" applyBorder="1" applyAlignment="1">
      <alignment vertical="center" wrapText="1"/>
    </xf>
    <xf numFmtId="0" fontId="1" fillId="2" borderId="1" xfId="0" applyFont="1" applyFill="1" applyBorder="1"/>
    <xf numFmtId="0" fontId="1" fillId="2" borderId="1" xfId="0" applyFont="1" applyFill="1" applyBorder="1" applyAlignment="1">
      <alignment vertical="center"/>
    </xf>
    <xf numFmtId="0" fontId="1" fillId="0" borderId="1" xfId="0" applyFont="1" applyBorder="1" applyAlignment="1">
      <alignment horizontal="center" vertical="center"/>
    </xf>
    <xf numFmtId="0" fontId="1" fillId="0" borderId="1" xfId="0" applyFont="1" applyBorder="1"/>
    <xf numFmtId="0" fontId="1" fillId="0" borderId="1" xfId="0" applyFont="1" applyBorder="1" applyAlignment="1">
      <alignment wrapText="1"/>
    </xf>
    <xf numFmtId="0" fontId="1" fillId="0" borderId="1" xfId="0" applyFont="1" applyBorder="1" applyAlignment="1">
      <alignment vertical="center"/>
    </xf>
    <xf numFmtId="0" fontId="1" fillId="0" borderId="2" xfId="0" applyFont="1" applyBorder="1" applyAlignment="1">
      <alignment vertical="center"/>
    </xf>
    <xf numFmtId="164" fontId="1" fillId="0" borderId="1" xfId="0" applyNumberFormat="1" applyFont="1" applyBorder="1" applyAlignment="1">
      <alignment vertical="center"/>
    </xf>
    <xf numFmtId="0" fontId="1" fillId="0" borderId="1" xfId="0" applyFont="1" applyBorder="1" applyAlignment="1">
      <alignment vertical="center" wrapText="1"/>
    </xf>
    <xf numFmtId="0" fontId="0" fillId="3" borderId="1" xfId="0" applyFill="1" applyBorder="1"/>
    <xf numFmtId="0" fontId="3" fillId="3" borderId="1" xfId="0" applyFont="1" applyFill="1" applyBorder="1" applyAlignment="1">
      <alignment vertical="center"/>
    </xf>
    <xf numFmtId="0" fontId="1" fillId="3" borderId="1" xfId="0" applyFont="1" applyFill="1" applyBorder="1" applyAlignment="1">
      <alignment vertical="center"/>
    </xf>
    <xf numFmtId="0" fontId="1" fillId="2" borderId="1" xfId="0" applyFont="1" applyFill="1" applyBorder="1" applyAlignment="1">
      <alignment horizontal="center" vertical="center"/>
    </xf>
    <xf numFmtId="0" fontId="1" fillId="2" borderId="1" xfId="0" applyFont="1" applyFill="1" applyBorder="1" applyAlignment="1">
      <alignment wrapText="1"/>
    </xf>
    <xf numFmtId="0" fontId="1" fillId="2" borderId="2" xfId="0" applyFont="1" applyFill="1" applyBorder="1" applyAlignment="1">
      <alignment vertical="center"/>
    </xf>
    <xf numFmtId="0" fontId="1" fillId="0" borderId="1" xfId="0" applyFont="1" applyFill="1" applyBorder="1" applyAlignment="1">
      <alignment horizontal="center" vertical="center"/>
    </xf>
    <xf numFmtId="0" fontId="1" fillId="0" borderId="1" xfId="0" applyFont="1" applyFill="1" applyBorder="1" applyAlignment="1">
      <alignment vertical="center"/>
    </xf>
    <xf numFmtId="0" fontId="1" fillId="0" borderId="1" xfId="0" applyFont="1" applyFill="1" applyBorder="1" applyAlignment="1">
      <alignment vertical="center" wrapText="1"/>
    </xf>
    <xf numFmtId="0" fontId="1" fillId="0" borderId="2" xfId="0" applyFont="1" applyFill="1" applyBorder="1" applyAlignment="1">
      <alignment vertical="center"/>
    </xf>
    <xf numFmtId="0" fontId="1" fillId="0" borderId="1" xfId="0" applyFont="1" applyFill="1" applyBorder="1"/>
    <xf numFmtId="0" fontId="1" fillId="0" borderId="0" xfId="0" applyFont="1" applyFill="1" applyBorder="1" applyAlignment="1">
      <alignment vertical="center"/>
    </xf>
    <xf numFmtId="164" fontId="1" fillId="0" borderId="1" xfId="0" applyNumberFormat="1" applyFont="1" applyFill="1" applyBorder="1" applyAlignment="1">
      <alignment vertical="center"/>
    </xf>
    <xf numFmtId="0" fontId="3" fillId="0" borderId="0" xfId="0" applyFont="1" applyFill="1"/>
    <xf numFmtId="0" fontId="0" fillId="0" borderId="0" xfId="0" applyFill="1"/>
    <xf numFmtId="0" fontId="1" fillId="0" borderId="1" xfId="0" applyFont="1" applyFill="1" applyBorder="1" applyAlignment="1">
      <alignment wrapText="1"/>
    </xf>
    <xf numFmtId="0" fontId="1" fillId="0" borderId="0" xfId="0" applyFont="1"/>
    <xf numFmtId="0" fontId="3" fillId="0" borderId="0" xfId="0" applyFont="1"/>
    <xf numFmtId="0" fontId="1" fillId="0" borderId="0" xfId="0" applyFont="1" applyAlignment="1">
      <alignment horizontal="right"/>
    </xf>
    <xf numFmtId="0" fontId="5" fillId="4" borderId="0" xfId="0" applyFont="1" applyFill="1"/>
    <xf numFmtId="0" fontId="4" fillId="0" borderId="0" xfId="0" applyFont="1"/>
    <xf numFmtId="2" fontId="4" fillId="0" borderId="0" xfId="0" applyNumberFormat="1" applyFont="1"/>
    <xf numFmtId="0" fontId="6" fillId="2" borderId="3" xfId="0" applyFont="1" applyFill="1" applyBorder="1" applyAlignment="1">
      <alignment horizontal="right"/>
    </xf>
    <xf numFmtId="17" fontId="6" fillId="2" borderId="3" xfId="0" applyNumberFormat="1" applyFont="1" applyFill="1" applyBorder="1" applyAlignment="1">
      <alignment horizontal="right"/>
    </xf>
    <xf numFmtId="2" fontId="6" fillId="2" borderId="3" xfId="0" applyNumberFormat="1" applyFont="1" applyFill="1" applyBorder="1" applyAlignment="1">
      <alignment horizontal="right"/>
    </xf>
    <xf numFmtId="0" fontId="5" fillId="5" borderId="0" xfId="0" applyFont="1" applyFill="1"/>
    <xf numFmtId="17" fontId="5" fillId="5" borderId="0" xfId="0" applyNumberFormat="1" applyFont="1" applyFill="1"/>
    <xf numFmtId="17" fontId="5" fillId="5" borderId="0" xfId="0" applyNumberFormat="1" applyFont="1" applyFill="1" applyAlignment="1">
      <alignment horizontal="right"/>
    </xf>
    <xf numFmtId="17" fontId="0" fillId="5" borderId="0" xfId="0" applyNumberFormat="1" applyFill="1"/>
    <xf numFmtId="0" fontId="0" fillId="5" borderId="0" xfId="0" applyFill="1"/>
    <xf numFmtId="0" fontId="5" fillId="4" borderId="0" xfId="0" applyFont="1" applyFill="1" applyAlignment="1">
      <alignment horizontal="center" vertical="center" wrapText="1"/>
    </xf>
    <xf numFmtId="0" fontId="5" fillId="4" borderId="0" xfId="0" applyFont="1" applyFill="1" applyAlignment="1">
      <alignment vertical="center" wrapText="1"/>
    </xf>
    <xf numFmtId="17" fontId="5" fillId="4" borderId="0" xfId="0" applyNumberFormat="1" applyFont="1" applyFill="1" applyAlignment="1">
      <alignment vertical="center" wrapText="1"/>
    </xf>
    <xf numFmtId="17" fontId="5" fillId="4" borderId="0" xfId="0" applyNumberFormat="1" applyFont="1" applyFill="1" applyAlignment="1">
      <alignment horizontal="right" vertical="center" wrapText="1"/>
    </xf>
    <xf numFmtId="17" fontId="0" fillId="0" borderId="0" xfId="0" applyNumberFormat="1" applyAlignment="1">
      <alignment vertical="center" wrapText="1"/>
    </xf>
    <xf numFmtId="0" fontId="0" fillId="0" borderId="0" xfId="0" applyAlignment="1">
      <alignment vertical="center" wrapText="1"/>
    </xf>
    <xf numFmtId="0" fontId="1" fillId="0" borderId="0" xfId="0" applyFont="1" applyBorder="1" applyAlignment="1">
      <alignment horizontal="right" vertical="center"/>
    </xf>
    <xf numFmtId="0" fontId="7" fillId="5" borderId="1" xfId="4" applyFill="1" applyBorder="1"/>
    <xf numFmtId="0" fontId="12" fillId="5" borderId="1" xfId="4" applyFont="1" applyFill="1" applyBorder="1" applyAlignment="1">
      <alignment horizontal="center" vertical="center"/>
    </xf>
    <xf numFmtId="0" fontId="12" fillId="5" borderId="1" xfId="4" applyFont="1" applyFill="1" applyBorder="1" applyAlignment="1">
      <alignment horizontal="center" vertical="center" wrapText="1"/>
    </xf>
    <xf numFmtId="0" fontId="12" fillId="5" borderId="1" xfId="4" applyFont="1" applyFill="1" applyBorder="1" applyAlignment="1">
      <alignment vertical="center"/>
    </xf>
    <xf numFmtId="0" fontId="12" fillId="5" borderId="1" xfId="4" applyFont="1" applyFill="1" applyBorder="1" applyAlignment="1">
      <alignment vertical="center" wrapText="1"/>
    </xf>
    <xf numFmtId="0" fontId="12" fillId="5" borderId="1" xfId="4" applyFont="1" applyFill="1" applyBorder="1" applyAlignment="1">
      <alignment horizontal="center"/>
    </xf>
    <xf numFmtId="0" fontId="4" fillId="5" borderId="1" xfId="4" applyFont="1" applyFill="1" applyBorder="1" applyAlignment="1">
      <alignment horizontal="center"/>
    </xf>
    <xf numFmtId="0" fontId="12" fillId="5" borderId="4" xfId="4" applyFont="1" applyFill="1" applyBorder="1" applyAlignment="1">
      <alignment horizontal="center" vertical="center" wrapText="1"/>
    </xf>
    <xf numFmtId="0" fontId="12" fillId="5" borderId="5" xfId="4" applyFont="1" applyFill="1" applyBorder="1" applyAlignment="1">
      <alignment horizontal="center" vertical="center" wrapText="1"/>
    </xf>
    <xf numFmtId="0" fontId="12" fillId="5" borderId="6" xfId="4" applyFont="1" applyFill="1" applyBorder="1" applyAlignment="1">
      <alignment horizontal="center" vertical="center" wrapText="1"/>
    </xf>
    <xf numFmtId="2" fontId="10" fillId="5" borderId="1" xfId="4" applyNumberFormat="1" applyFont="1" applyFill="1" applyBorder="1" applyAlignment="1">
      <alignment horizontal="center" vertical="center" wrapText="1"/>
    </xf>
    <xf numFmtId="0" fontId="10" fillId="5" borderId="1" xfId="4" applyFont="1" applyFill="1" applyBorder="1" applyAlignment="1">
      <alignment horizontal="center" vertical="center"/>
    </xf>
    <xf numFmtId="165" fontId="12" fillId="5" borderId="1" xfId="4" applyNumberFormat="1" applyFont="1" applyFill="1" applyBorder="1" applyAlignment="1">
      <alignment horizontal="center" vertical="center"/>
    </xf>
    <xf numFmtId="165" fontId="10" fillId="5" borderId="1" xfId="4" applyNumberFormat="1" applyFont="1" applyFill="1" applyBorder="1" applyAlignment="1">
      <alignment horizontal="center" vertical="center"/>
    </xf>
    <xf numFmtId="0" fontId="7" fillId="5" borderId="1" xfId="4" applyFill="1" applyBorder="1" applyAlignment="1">
      <alignment horizontal="center"/>
    </xf>
    <xf numFmtId="0" fontId="12" fillId="0" borderId="4" xfId="4" applyFont="1" applyBorder="1" applyAlignment="1">
      <alignment horizontal="center" vertical="center" wrapText="1"/>
    </xf>
    <xf numFmtId="0" fontId="12" fillId="0" borderId="5" xfId="4" applyFont="1" applyBorder="1" applyAlignment="1">
      <alignment horizontal="center" vertical="center" wrapText="1"/>
    </xf>
    <xf numFmtId="0" fontId="12" fillId="0" borderId="6" xfId="4" applyFont="1" applyBorder="1" applyAlignment="1">
      <alignment horizontal="center" vertical="center" wrapText="1"/>
    </xf>
    <xf numFmtId="2" fontId="10" fillId="5" borderId="1" xfId="4" applyNumberFormat="1" applyFont="1" applyFill="1" applyBorder="1" applyAlignment="1">
      <alignment horizontal="center" vertical="center"/>
    </xf>
    <xf numFmtId="0" fontId="10" fillId="5" borderId="1" xfId="4" applyFont="1" applyFill="1" applyBorder="1" applyAlignment="1">
      <alignment horizontal="center"/>
    </xf>
    <xf numFmtId="2" fontId="10" fillId="5" borderId="1" xfId="4" applyNumberFormat="1" applyFont="1" applyFill="1" applyBorder="1" applyAlignment="1">
      <alignment horizontal="center" wrapText="1"/>
    </xf>
    <xf numFmtId="0" fontId="7" fillId="5" borderId="4" xfId="4" applyFill="1" applyBorder="1" applyAlignment="1">
      <alignment horizontal="center"/>
    </xf>
    <xf numFmtId="0" fontId="7" fillId="5" borderId="5" xfId="4" applyFill="1" applyBorder="1" applyAlignment="1">
      <alignment horizontal="center"/>
    </xf>
    <xf numFmtId="0" fontId="7" fillId="5" borderId="6" xfId="4" applyFill="1" applyBorder="1" applyAlignment="1">
      <alignment horizontal="center"/>
    </xf>
    <xf numFmtId="0" fontId="12" fillId="5" borderId="1" xfId="4" applyFont="1" applyFill="1" applyBorder="1" applyAlignment="1">
      <alignment horizontal="left"/>
    </xf>
    <xf numFmtId="165" fontId="12" fillId="5" borderId="1" xfId="4" applyNumberFormat="1" applyFont="1" applyFill="1" applyBorder="1" applyAlignment="1">
      <alignment horizontal="center" wrapText="1"/>
    </xf>
    <xf numFmtId="2" fontId="12" fillId="5" borderId="1" xfId="4" applyNumberFormat="1" applyFont="1" applyFill="1" applyBorder="1" applyAlignment="1">
      <alignment horizontal="center" vertical="center"/>
    </xf>
    <xf numFmtId="2" fontId="13" fillId="5" borderId="1" xfId="4" applyNumberFormat="1" applyFont="1" applyFill="1" applyBorder="1" applyAlignment="1">
      <alignment horizontal="center"/>
    </xf>
    <xf numFmtId="2" fontId="4" fillId="5" borderId="1" xfId="4" applyNumberFormat="1" applyFont="1" applyFill="1" applyBorder="1" applyAlignment="1">
      <alignment horizontal="center"/>
    </xf>
    <xf numFmtId="2" fontId="7" fillId="5" borderId="1" xfId="4" applyNumberFormat="1" applyFill="1" applyBorder="1" applyAlignment="1">
      <alignment horizontal="center"/>
    </xf>
    <xf numFmtId="0" fontId="12" fillId="5" borderId="1" xfId="4" applyFont="1" applyFill="1" applyBorder="1" applyAlignment="1">
      <alignment horizontal="left" vertical="center"/>
    </xf>
    <xf numFmtId="164" fontId="4" fillId="5" borderId="1" xfId="4" applyNumberFormat="1" applyFont="1" applyFill="1" applyBorder="1" applyAlignment="1">
      <alignment horizontal="center"/>
    </xf>
    <xf numFmtId="0" fontId="0" fillId="0" borderId="0" xfId="0" applyBorder="1"/>
    <xf numFmtId="0" fontId="14" fillId="4" borderId="0" xfId="0" applyFont="1" applyFill="1"/>
    <xf numFmtId="0" fontId="0" fillId="0" borderId="8" xfId="0" applyBorder="1"/>
    <xf numFmtId="0" fontId="0" fillId="0" borderId="3" xfId="0" applyBorder="1"/>
    <xf numFmtId="0" fontId="15" fillId="0" borderId="8" xfId="1" applyFont="1" applyBorder="1" applyAlignment="1">
      <alignment horizontal="center" vertical="center"/>
    </xf>
    <xf numFmtId="0" fontId="15" fillId="0" borderId="8" xfId="1" applyFont="1" applyBorder="1" applyAlignment="1">
      <alignment vertical="center"/>
    </xf>
    <xf numFmtId="0" fontId="3" fillId="0" borderId="8" xfId="0" applyFont="1" applyBorder="1"/>
    <xf numFmtId="0" fontId="17" fillId="0" borderId="8" xfId="1" applyFont="1" applyBorder="1" applyAlignment="1">
      <alignment vertical="center"/>
    </xf>
    <xf numFmtId="164" fontId="17" fillId="0" borderId="8" xfId="1" applyNumberFormat="1" applyFont="1" applyBorder="1" applyAlignment="1">
      <alignment horizontal="center" vertical="center"/>
    </xf>
    <xf numFmtId="0" fontId="18" fillId="5" borderId="3" xfId="1" applyFont="1" applyFill="1" applyBorder="1" applyAlignment="1">
      <alignment horizontal="center" vertical="center" wrapText="1"/>
    </xf>
    <xf numFmtId="0" fontId="18" fillId="5" borderId="3" xfId="1" applyFont="1" applyFill="1" applyBorder="1" applyAlignment="1">
      <alignment vertical="center" wrapText="1"/>
    </xf>
    <xf numFmtId="164" fontId="18" fillId="5" borderId="3" xfId="1" applyNumberFormat="1" applyFont="1" applyFill="1" applyBorder="1" applyAlignment="1">
      <alignment vertical="center" wrapText="1"/>
    </xf>
    <xf numFmtId="0" fontId="3" fillId="0" borderId="3" xfId="0" applyFont="1" applyBorder="1"/>
    <xf numFmtId="0" fontId="18" fillId="5" borderId="7" xfId="1" applyFont="1" applyFill="1" applyBorder="1" applyAlignment="1">
      <alignment horizontal="center" vertical="center" wrapText="1"/>
    </xf>
    <xf numFmtId="0" fontId="18" fillId="5" borderId="7" xfId="1" applyFont="1" applyFill="1" applyBorder="1" applyAlignment="1">
      <alignment vertical="center" wrapText="1"/>
    </xf>
    <xf numFmtId="0" fontId="18" fillId="5" borderId="0" xfId="1" applyFont="1" applyFill="1" applyBorder="1" applyAlignment="1">
      <alignment horizontal="center" vertical="center" wrapText="1"/>
    </xf>
    <xf numFmtId="164" fontId="18" fillId="5" borderId="7" xfId="1" applyNumberFormat="1" applyFont="1" applyFill="1" applyBorder="1" applyAlignment="1">
      <alignment vertical="center" wrapText="1"/>
    </xf>
    <xf numFmtId="0" fontId="3" fillId="0" borderId="0" xfId="0" applyFont="1" applyBorder="1"/>
    <xf numFmtId="164" fontId="18" fillId="5" borderId="3" xfId="1" applyNumberFormat="1" applyFont="1" applyFill="1" applyBorder="1" applyAlignment="1">
      <alignment horizontal="center" vertical="center" wrapText="1"/>
    </xf>
    <xf numFmtId="0" fontId="19" fillId="4" borderId="0" xfId="1" applyFont="1" applyFill="1" applyBorder="1" applyAlignment="1">
      <alignment horizontal="center" vertical="center" wrapText="1"/>
    </xf>
    <xf numFmtId="0" fontId="21" fillId="4" borderId="0" xfId="1" applyFont="1" applyFill="1" applyBorder="1" applyAlignment="1">
      <alignment horizontal="center" vertical="center" wrapText="1"/>
    </xf>
    <xf numFmtId="0" fontId="22" fillId="4" borderId="0" xfId="1" applyFont="1" applyFill="1" applyBorder="1" applyAlignment="1">
      <alignment horizontal="center" vertical="center" wrapText="1"/>
    </xf>
    <xf numFmtId="164" fontId="23" fillId="4" borderId="0" xfId="1" applyNumberFormat="1" applyFont="1" applyFill="1" applyBorder="1" applyAlignment="1">
      <alignment horizontal="center" vertical="center" wrapText="1"/>
    </xf>
    <xf numFmtId="0" fontId="21" fillId="4" borderId="0" xfId="1" applyFont="1" applyFill="1" applyBorder="1" applyAlignment="1">
      <alignment horizontal="center" wrapText="1"/>
    </xf>
    <xf numFmtId="0" fontId="24" fillId="4" borderId="0" xfId="0" applyFont="1" applyFill="1"/>
    <xf numFmtId="0" fontId="25" fillId="5" borderId="9" xfId="1" applyFont="1" applyFill="1" applyBorder="1" applyAlignment="1">
      <alignment horizontal="center" vertical="center" wrapText="1"/>
    </xf>
    <xf numFmtId="0" fontId="26" fillId="5" borderId="9" xfId="2" applyFont="1" applyFill="1" applyBorder="1" applyAlignment="1">
      <alignment horizontal="center" vertical="center" wrapText="1"/>
    </xf>
    <xf numFmtId="0" fontId="27" fillId="5" borderId="9" xfId="3" applyFont="1" applyFill="1" applyBorder="1" applyAlignment="1">
      <alignment horizontal="center" vertical="center"/>
    </xf>
    <xf numFmtId="0" fontId="28" fillId="5" borderId="9" xfId="1" applyFont="1" applyFill="1" applyBorder="1" applyAlignment="1">
      <alignment horizontal="center" vertical="center" wrapText="1"/>
    </xf>
    <xf numFmtId="164" fontId="28" fillId="5" borderId="9" xfId="1" applyNumberFormat="1" applyFont="1" applyFill="1" applyBorder="1" applyAlignment="1">
      <alignment horizontal="center" vertical="center" wrapText="1"/>
    </xf>
    <xf numFmtId="2" fontId="28" fillId="5" borderId="9" xfId="1" applyNumberFormat="1" applyFont="1" applyFill="1" applyBorder="1" applyAlignment="1">
      <alignment horizontal="center" vertical="center"/>
    </xf>
    <xf numFmtId="164" fontId="28" fillId="5" borderId="9" xfId="1" applyNumberFormat="1" applyFont="1" applyFill="1" applyBorder="1" applyAlignment="1">
      <alignment horizontal="center" vertical="center"/>
    </xf>
    <xf numFmtId="1" fontId="28" fillId="5" borderId="9" xfId="1" applyNumberFormat="1" applyFont="1" applyFill="1" applyBorder="1" applyAlignment="1">
      <alignment horizontal="center" vertical="center"/>
    </xf>
    <xf numFmtId="164" fontId="29" fillId="5" borderId="9" xfId="1" applyNumberFormat="1" applyFont="1" applyFill="1" applyBorder="1" applyAlignment="1">
      <alignment horizontal="center" vertical="center" wrapText="1"/>
    </xf>
    <xf numFmtId="164" fontId="30" fillId="5" borderId="9" xfId="1" applyNumberFormat="1" applyFont="1" applyFill="1" applyBorder="1" applyAlignment="1">
      <alignment horizontal="center" wrapText="1"/>
    </xf>
    <xf numFmtId="0" fontId="26" fillId="5" borderId="9" xfId="2" applyFont="1" applyFill="1" applyBorder="1" applyAlignment="1">
      <alignment vertical="center" wrapText="1"/>
    </xf>
    <xf numFmtId="0" fontId="31" fillId="5" borderId="9" xfId="3" applyFont="1" applyFill="1" applyBorder="1" applyAlignment="1">
      <alignment horizontal="center"/>
    </xf>
    <xf numFmtId="164" fontId="28" fillId="5" borderId="9" xfId="1" applyNumberFormat="1" applyFont="1" applyFill="1" applyBorder="1" applyAlignment="1">
      <alignment horizontal="center" wrapText="1"/>
    </xf>
    <xf numFmtId="164" fontId="31" fillId="5" borderId="9" xfId="3" applyNumberFormat="1" applyFont="1" applyFill="1" applyBorder="1" applyAlignment="1">
      <alignment horizontal="center"/>
    </xf>
    <xf numFmtId="0" fontId="28" fillId="5" borderId="9" xfId="1" applyFont="1" applyFill="1" applyBorder="1" applyAlignment="1">
      <alignment horizontal="center" wrapText="1"/>
    </xf>
    <xf numFmtId="0" fontId="17" fillId="0" borderId="9" xfId="1" applyFont="1" applyBorder="1" applyAlignment="1">
      <alignment horizontal="center" vertical="center"/>
    </xf>
    <xf numFmtId="0" fontId="32" fillId="0" borderId="9" xfId="1" applyFont="1" applyBorder="1" applyAlignment="1">
      <alignment horizontal="left" vertical="top"/>
    </xf>
    <xf numFmtId="0" fontId="32" fillId="0" borderId="9" xfId="1" applyFont="1" applyBorder="1" applyAlignment="1">
      <alignment horizontal="center"/>
    </xf>
    <xf numFmtId="0" fontId="32" fillId="0" borderId="9" xfId="1" applyFont="1" applyBorder="1" applyAlignment="1">
      <alignment horizontal="center" vertical="top"/>
    </xf>
    <xf numFmtId="0" fontId="17" fillId="0" borderId="9" xfId="1" applyFont="1" applyBorder="1" applyAlignment="1">
      <alignment horizontal="center" vertical="top"/>
    </xf>
    <xf numFmtId="0" fontId="33" fillId="0" borderId="9" xfId="1" applyFont="1" applyBorder="1" applyAlignment="1">
      <alignment horizontal="left" vertical="top"/>
    </xf>
    <xf numFmtId="0" fontId="17" fillId="0" borderId="0" xfId="1" applyFont="1" applyBorder="1" applyAlignment="1">
      <alignment horizontal="center" vertical="center"/>
    </xf>
    <xf numFmtId="0" fontId="32" fillId="0" borderId="0" xfId="1" applyFont="1" applyBorder="1" applyAlignment="1">
      <alignment horizontal="left" vertical="top"/>
    </xf>
    <xf numFmtId="0" fontId="32" fillId="0" borderId="0" xfId="1" applyFont="1" applyBorder="1" applyAlignment="1">
      <alignment horizontal="center"/>
    </xf>
    <xf numFmtId="164" fontId="17" fillId="0" borderId="0" xfId="1" applyNumberFormat="1" applyFont="1" applyBorder="1" applyAlignment="1">
      <alignment horizontal="center" vertical="top"/>
    </xf>
    <xf numFmtId="0" fontId="17" fillId="0" borderId="0" xfId="1" applyFont="1" applyBorder="1" applyAlignment="1">
      <alignment horizontal="center" vertical="top"/>
    </xf>
    <xf numFmtId="0" fontId="34" fillId="4" borderId="0" xfId="1" applyFont="1" applyFill="1" applyBorder="1" applyAlignment="1">
      <alignment horizontal="center" vertical="center"/>
    </xf>
    <xf numFmtId="0" fontId="20" fillId="4" borderId="0" xfId="3" applyFont="1" applyFill="1" applyBorder="1"/>
    <xf numFmtId="0" fontId="35" fillId="4" borderId="0" xfId="1" applyFont="1" applyFill="1" applyBorder="1" applyAlignment="1">
      <alignment vertical="center"/>
    </xf>
    <xf numFmtId="0" fontId="35" fillId="4" borderId="0" xfId="1" applyFont="1" applyFill="1" applyBorder="1" applyAlignment="1">
      <alignment horizontal="center" vertical="center"/>
    </xf>
    <xf numFmtId="164" fontId="35" fillId="4" borderId="0" xfId="1" applyNumberFormat="1" applyFont="1" applyFill="1" applyBorder="1" applyAlignment="1">
      <alignment horizontal="center" vertical="center"/>
    </xf>
    <xf numFmtId="0" fontId="32" fillId="0" borderId="9" xfId="1" applyFont="1" applyBorder="1" applyAlignment="1">
      <alignment vertical="center"/>
    </xf>
    <xf numFmtId="0" fontId="32" fillId="0" borderId="9" xfId="1" applyFont="1" applyBorder="1" applyAlignment="1">
      <alignment horizontal="center" vertical="center"/>
    </xf>
    <xf numFmtId="164" fontId="32" fillId="0" borderId="9" xfId="1" applyNumberFormat="1" applyFont="1" applyBorder="1" applyAlignment="1">
      <alignment horizontal="center" vertical="center"/>
    </xf>
    <xf numFmtId="2" fontId="31" fillId="5" borderId="9" xfId="3" applyNumberFormat="1" applyFont="1" applyFill="1" applyBorder="1" applyAlignment="1">
      <alignment horizontal="center"/>
    </xf>
    <xf numFmtId="164" fontId="17" fillId="0" borderId="9" xfId="1" applyNumberFormat="1" applyFont="1" applyBorder="1" applyAlignment="1">
      <alignment horizontal="center" vertical="center"/>
    </xf>
    <xf numFmtId="0" fontId="32" fillId="0" borderId="0" xfId="1" applyFont="1" applyBorder="1" applyAlignment="1">
      <alignment vertical="center"/>
    </xf>
    <xf numFmtId="0" fontId="32" fillId="0" borderId="0" xfId="1" applyFont="1" applyBorder="1" applyAlignment="1">
      <alignment horizontal="center" vertical="center"/>
    </xf>
    <xf numFmtId="164" fontId="32" fillId="0" borderId="0" xfId="1" applyNumberFormat="1" applyFont="1" applyBorder="1" applyAlignment="1">
      <alignment horizontal="center" vertical="center"/>
    </xf>
    <xf numFmtId="0" fontId="37" fillId="4" borderId="0" xfId="3" applyFont="1" applyFill="1" applyBorder="1" applyAlignment="1">
      <alignment horizontal="center" vertical="center"/>
    </xf>
    <xf numFmtId="0" fontId="37" fillId="4" borderId="0" xfId="3" applyFont="1" applyFill="1" applyBorder="1" applyAlignment="1">
      <alignment horizontal="center"/>
    </xf>
    <xf numFmtId="0" fontId="20" fillId="4" borderId="0" xfId="3" applyFont="1" applyFill="1" applyBorder="1" applyAlignment="1">
      <alignment horizontal="center"/>
    </xf>
    <xf numFmtId="0" fontId="31" fillId="5" borderId="9" xfId="3" applyFont="1" applyFill="1" applyBorder="1" applyAlignment="1">
      <alignment horizontal="center" vertical="center"/>
    </xf>
    <xf numFmtId="0" fontId="17" fillId="0" borderId="9" xfId="1" applyFont="1" applyBorder="1" applyAlignment="1">
      <alignment vertical="center"/>
    </xf>
    <xf numFmtId="0" fontId="31" fillId="0" borderId="9" xfId="3" applyFont="1" applyBorder="1" applyAlignment="1">
      <alignment horizontal="center"/>
    </xf>
    <xf numFmtId="0" fontId="32" fillId="0" borderId="9" xfId="1" applyFont="1" applyBorder="1" applyAlignment="1">
      <alignment vertical="top"/>
    </xf>
    <xf numFmtId="164" fontId="17" fillId="0" borderId="9" xfId="1" applyNumberFormat="1" applyFont="1" applyBorder="1" applyAlignment="1">
      <alignment horizontal="center" vertical="top"/>
    </xf>
    <xf numFmtId="164" fontId="32" fillId="0" borderId="0" xfId="1" applyNumberFormat="1" applyFont="1" applyBorder="1" applyAlignment="1">
      <alignment horizontal="center" vertical="top"/>
    </xf>
    <xf numFmtId="0" fontId="32" fillId="0" borderId="0" xfId="1" applyFont="1" applyBorder="1" applyAlignment="1">
      <alignment horizontal="center" vertical="top"/>
    </xf>
    <xf numFmtId="0" fontId="35" fillId="4" borderId="0" xfId="1" applyFont="1" applyFill="1" applyBorder="1" applyAlignment="1">
      <alignment horizontal="left" vertical="top"/>
    </xf>
    <xf numFmtId="164" fontId="35" fillId="4" borderId="0" xfId="1" applyNumberFormat="1" applyFont="1" applyFill="1" applyBorder="1" applyAlignment="1">
      <alignment horizontal="center" vertical="top"/>
    </xf>
    <xf numFmtId="0" fontId="35" fillId="4" borderId="0" xfId="1" applyFont="1" applyFill="1" applyBorder="1" applyAlignment="1">
      <alignment horizontal="center" vertical="top"/>
    </xf>
    <xf numFmtId="0" fontId="17" fillId="0" borderId="9" xfId="1" applyFont="1" applyBorder="1" applyAlignment="1">
      <alignment horizontal="left" vertical="top"/>
    </xf>
    <xf numFmtId="0" fontId="3" fillId="0" borderId="0" xfId="0" applyFont="1" applyBorder="1" applyAlignment="1">
      <alignment horizontal="center"/>
    </xf>
    <xf numFmtId="0" fontId="17" fillId="0" borderId="3" xfId="1" applyFont="1" applyBorder="1" applyAlignment="1">
      <alignment vertical="center"/>
    </xf>
    <xf numFmtId="0" fontId="17" fillId="0" borderId="3" xfId="1" applyFont="1" applyBorder="1" applyAlignment="1">
      <alignment horizontal="right" vertical="center"/>
    </xf>
    <xf numFmtId="0" fontId="2" fillId="2" borderId="1" xfId="0" applyFont="1" applyFill="1" applyBorder="1" applyAlignment="1">
      <alignment horizontal="center" vertical="center" wrapText="1"/>
    </xf>
    <xf numFmtId="0" fontId="16" fillId="5" borderId="8" xfId="2" applyFont="1" applyFill="1" applyBorder="1" applyAlignment="1">
      <alignment horizontal="left" vertical="center" wrapText="1"/>
    </xf>
    <xf numFmtId="0" fontId="17" fillId="0" borderId="8" xfId="1" applyFont="1" applyBorder="1" applyAlignment="1">
      <alignment horizontal="left" vertical="center"/>
    </xf>
    <xf numFmtId="0" fontId="18" fillId="5" borderId="3" xfId="1" applyFont="1" applyFill="1" applyBorder="1" applyAlignment="1">
      <alignment horizontal="center" vertical="center" wrapText="1"/>
    </xf>
    <xf numFmtId="0" fontId="36" fillId="5" borderId="9" xfId="3" applyFont="1" applyFill="1" applyBorder="1" applyAlignment="1">
      <alignment horizontal="center"/>
    </xf>
    <xf numFmtId="0" fontId="20" fillId="4" borderId="0" xfId="3" applyFont="1" applyFill="1" applyBorder="1" applyAlignment="1">
      <alignment horizontal="left"/>
    </xf>
    <xf numFmtId="0" fontId="17" fillId="0" borderId="0" xfId="1" applyFont="1" applyBorder="1" applyAlignment="1">
      <alignment horizontal="center"/>
    </xf>
    <xf numFmtId="0" fontId="17" fillId="0" borderId="9" xfId="1" applyFont="1" applyBorder="1" applyAlignment="1">
      <alignment horizontal="center" vertical="center"/>
    </xf>
    <xf numFmtId="0" fontId="20" fillId="4" borderId="0" xfId="3" applyFont="1" applyFill="1" applyBorder="1" applyAlignment="1">
      <alignment horizontal="center"/>
    </xf>
    <xf numFmtId="0" fontId="17" fillId="0" borderId="9" xfId="1" applyFont="1" applyBorder="1" applyAlignment="1">
      <alignment horizontal="center" vertical="top"/>
    </xf>
    <xf numFmtId="0" fontId="11" fillId="5" borderId="1" xfId="4" applyFont="1" applyFill="1" applyBorder="1" applyAlignment="1">
      <alignment horizontal="center"/>
    </xf>
    <xf numFmtId="0" fontId="12" fillId="5" borderId="1" xfId="4" applyFont="1" applyFill="1" applyBorder="1" applyAlignment="1">
      <alignment horizontal="center" vertical="center"/>
    </xf>
    <xf numFmtId="0" fontId="12" fillId="5" borderId="1" xfId="4" applyFont="1" applyFill="1" applyBorder="1" applyAlignment="1">
      <alignment horizontal="center" wrapText="1"/>
    </xf>
    <xf numFmtId="0" fontId="12" fillId="5" borderId="4" xfId="4" applyFont="1" applyFill="1" applyBorder="1" applyAlignment="1">
      <alignment horizontal="center" vertical="center" wrapText="1"/>
    </xf>
    <xf numFmtId="0" fontId="12" fillId="5" borderId="5" xfId="4" applyFont="1" applyFill="1" applyBorder="1" applyAlignment="1">
      <alignment horizontal="center" vertical="center" wrapText="1"/>
    </xf>
    <xf numFmtId="0" fontId="12" fillId="5" borderId="6" xfId="4" applyFont="1" applyFill="1" applyBorder="1" applyAlignment="1">
      <alignment horizontal="center" vertical="center" wrapText="1"/>
    </xf>
    <xf numFmtId="0" fontId="12" fillId="0" borderId="4" xfId="4" applyFont="1" applyBorder="1" applyAlignment="1">
      <alignment horizontal="center" vertical="center" wrapText="1"/>
    </xf>
    <xf numFmtId="0" fontId="12" fillId="0" borderId="5" xfId="4" applyFont="1" applyBorder="1" applyAlignment="1">
      <alignment horizontal="center" vertical="center" wrapText="1"/>
    </xf>
    <xf numFmtId="0" fontId="12" fillId="0" borderId="6" xfId="4" applyFont="1" applyBorder="1" applyAlignment="1">
      <alignment horizontal="center" vertical="center" wrapText="1"/>
    </xf>
    <xf numFmtId="0" fontId="7" fillId="5" borderId="4" xfId="4" applyFill="1" applyBorder="1" applyAlignment="1">
      <alignment horizontal="center"/>
    </xf>
    <xf numFmtId="0" fontId="7" fillId="5" borderId="5" xfId="4" applyFill="1" applyBorder="1" applyAlignment="1">
      <alignment horizontal="center"/>
    </xf>
    <xf numFmtId="0" fontId="7" fillId="5" borderId="6" xfId="4" applyFill="1" applyBorder="1" applyAlignment="1">
      <alignment horizontal="center"/>
    </xf>
  </cellXfs>
  <cellStyles count="5">
    <cellStyle name="Normal" xfId="0" builtinId="0"/>
    <cellStyle name="Normal 2" xfId="3"/>
    <cellStyle name="Normal 2 2" xfId="4"/>
    <cellStyle name="Normal 4 2" xfId="1"/>
    <cellStyle name="Normal_200840"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view="pageBreakPreview" topLeftCell="A28" zoomScaleNormal="100" zoomScaleSheetLayoutView="100" workbookViewId="0">
      <selection activeCell="L31" sqref="L31"/>
    </sheetView>
  </sheetViews>
  <sheetFormatPr defaultRowHeight="15"/>
  <cols>
    <col min="1" max="1" width="9.28515625" bestFit="1" customWidth="1"/>
    <col min="3" max="3" width="67.42578125" customWidth="1"/>
    <col min="5" max="5" width="10.140625" bestFit="1" customWidth="1"/>
    <col min="6" max="6" width="11.5703125" customWidth="1"/>
    <col min="7" max="7" width="10.140625" bestFit="1" customWidth="1"/>
    <col min="8" max="8" width="14.42578125" bestFit="1" customWidth="1"/>
    <col min="9" max="9" width="11.42578125" customWidth="1"/>
    <col min="10" max="10" width="12.7109375" customWidth="1"/>
    <col min="11" max="11" width="10.140625" bestFit="1" customWidth="1"/>
    <col min="12" max="12" width="14.42578125" bestFit="1" customWidth="1"/>
    <col min="13" max="13" width="11.140625" customWidth="1"/>
  </cols>
  <sheetData>
    <row r="1" spans="1:13">
      <c r="A1" s="1" t="s">
        <v>0</v>
      </c>
      <c r="B1" s="1"/>
      <c r="C1" s="1"/>
      <c r="D1" s="2"/>
      <c r="E1" s="2"/>
      <c r="F1" s="2"/>
      <c r="G1" s="2"/>
      <c r="H1" s="2"/>
      <c r="I1" s="2"/>
      <c r="J1" s="2"/>
      <c r="K1" s="2"/>
      <c r="L1" s="2"/>
      <c r="M1" s="1"/>
    </row>
    <row r="2" spans="1:13">
      <c r="A2" s="1" t="s">
        <v>1</v>
      </c>
      <c r="B2" s="1"/>
      <c r="C2" s="1"/>
      <c r="D2" s="2"/>
      <c r="E2" s="2"/>
      <c r="F2" s="2"/>
      <c r="G2" s="2"/>
      <c r="H2" s="2"/>
      <c r="I2" s="2"/>
      <c r="J2" s="2"/>
      <c r="K2" s="2"/>
      <c r="L2" s="2"/>
      <c r="M2" s="1"/>
    </row>
    <row r="3" spans="1:13">
      <c r="A3" s="1" t="s">
        <v>2</v>
      </c>
      <c r="B3" s="1"/>
      <c r="C3" s="1"/>
      <c r="D3" s="2"/>
      <c r="E3" s="2"/>
      <c r="F3" s="2"/>
      <c r="G3" s="2"/>
      <c r="H3" s="2"/>
      <c r="I3" s="2"/>
      <c r="J3" s="2"/>
      <c r="K3" s="2"/>
      <c r="L3" s="2"/>
      <c r="M3" s="1"/>
    </row>
    <row r="4" spans="1:13">
      <c r="A4" s="1" t="s">
        <v>53</v>
      </c>
      <c r="B4" s="1"/>
      <c r="C4" s="1"/>
      <c r="D4" s="2"/>
      <c r="E4" s="2"/>
      <c r="F4" s="2"/>
      <c r="G4" s="2"/>
      <c r="H4" s="2"/>
      <c r="I4" s="2"/>
      <c r="J4" s="2"/>
      <c r="K4" s="2"/>
      <c r="L4" s="2"/>
      <c r="M4" s="1"/>
    </row>
    <row r="5" spans="1:13">
      <c r="A5" s="1" t="s">
        <v>56</v>
      </c>
      <c r="B5" s="1"/>
      <c r="C5" s="1"/>
      <c r="D5" s="2"/>
      <c r="E5" s="2"/>
      <c r="F5" s="2"/>
      <c r="G5" s="2"/>
      <c r="H5" s="2"/>
      <c r="I5" s="2"/>
      <c r="J5" s="2"/>
      <c r="K5" s="2"/>
      <c r="L5" s="2"/>
      <c r="M5" s="1"/>
    </row>
    <row r="6" spans="1:13">
      <c r="A6" s="1"/>
      <c r="B6" s="1"/>
      <c r="C6" s="1"/>
      <c r="D6" s="2"/>
      <c r="E6" s="2"/>
      <c r="F6" s="2"/>
      <c r="G6" s="2"/>
      <c r="H6" s="2"/>
      <c r="I6" s="2"/>
      <c r="J6" s="2"/>
      <c r="K6" s="2"/>
      <c r="L6" s="2"/>
      <c r="M6" s="1"/>
    </row>
    <row r="7" spans="1:13" ht="37.5">
      <c r="A7" s="3" t="s">
        <v>5</v>
      </c>
      <c r="B7" s="3" t="s">
        <v>6</v>
      </c>
      <c r="C7" s="3" t="s">
        <v>7</v>
      </c>
      <c r="D7" s="3" t="s">
        <v>8</v>
      </c>
      <c r="E7" s="3" t="s">
        <v>9</v>
      </c>
      <c r="F7" s="3" t="s">
        <v>10</v>
      </c>
      <c r="G7" s="163" t="s">
        <v>11</v>
      </c>
      <c r="H7" s="163"/>
      <c r="I7" s="163" t="s">
        <v>12</v>
      </c>
      <c r="J7" s="163"/>
      <c r="K7" s="163" t="s">
        <v>13</v>
      </c>
      <c r="L7" s="163"/>
      <c r="M7" s="3" t="s">
        <v>14</v>
      </c>
    </row>
    <row r="8" spans="1:13">
      <c r="A8" s="4"/>
      <c r="B8" s="4"/>
      <c r="C8" s="4"/>
      <c r="D8" s="5"/>
      <c r="E8" s="5"/>
      <c r="F8" s="5"/>
      <c r="G8" s="5" t="s">
        <v>15</v>
      </c>
      <c r="H8" s="5" t="s">
        <v>16</v>
      </c>
      <c r="I8" s="5" t="s">
        <v>15</v>
      </c>
      <c r="J8" s="5" t="s">
        <v>16</v>
      </c>
      <c r="K8" s="5" t="s">
        <v>15</v>
      </c>
      <c r="L8" s="5" t="s">
        <v>16</v>
      </c>
      <c r="M8" s="4"/>
    </row>
    <row r="9" spans="1:13" ht="45">
      <c r="A9" s="6">
        <v>1</v>
      </c>
      <c r="B9" s="7"/>
      <c r="C9" s="8" t="s">
        <v>17</v>
      </c>
      <c r="D9" s="9" t="s">
        <v>18</v>
      </c>
      <c r="E9" s="9">
        <v>180</v>
      </c>
      <c r="F9" s="9" t="s">
        <v>19</v>
      </c>
      <c r="G9" s="9"/>
      <c r="H9" s="9"/>
      <c r="I9" s="9">
        <v>2225.5500000000002</v>
      </c>
      <c r="J9" s="9">
        <f>I9*E9</f>
        <v>400599.00000000006</v>
      </c>
      <c r="K9" s="10">
        <f>I9+G9</f>
        <v>2225.5500000000002</v>
      </c>
      <c r="L9" s="10">
        <f>K9*E9</f>
        <v>400599.00000000006</v>
      </c>
      <c r="M9" s="7"/>
    </row>
    <row r="10" spans="1:13" ht="45">
      <c r="A10" s="6">
        <v>2</v>
      </c>
      <c r="B10" s="7"/>
      <c r="C10" s="8" t="s">
        <v>20</v>
      </c>
      <c r="D10" s="9" t="s">
        <v>18</v>
      </c>
      <c r="E10" s="9">
        <v>220</v>
      </c>
      <c r="F10" s="9" t="s">
        <v>19</v>
      </c>
      <c r="G10" s="9"/>
      <c r="H10" s="9"/>
      <c r="I10" s="9">
        <v>1530.181</v>
      </c>
      <c r="J10" s="9">
        <f t="shared" ref="J10:J28" si="0">I10*E10</f>
        <v>336639.82</v>
      </c>
      <c r="K10" s="10">
        <f t="shared" ref="K10:K30" si="1">I10+G10</f>
        <v>1530.181</v>
      </c>
      <c r="L10" s="10">
        <f t="shared" ref="L10:L30" si="2">K10*E10</f>
        <v>336639.82</v>
      </c>
      <c r="M10" s="7"/>
    </row>
    <row r="11" spans="1:13">
      <c r="A11" s="6">
        <v>3</v>
      </c>
      <c r="B11" s="7"/>
      <c r="C11" s="8" t="s">
        <v>21</v>
      </c>
      <c r="D11" s="9" t="s">
        <v>22</v>
      </c>
      <c r="E11" s="9">
        <v>25</v>
      </c>
      <c r="F11" s="9" t="s">
        <v>19</v>
      </c>
      <c r="G11" s="9"/>
      <c r="H11" s="9"/>
      <c r="I11" s="9">
        <v>621.625</v>
      </c>
      <c r="J11" s="9">
        <f t="shared" si="0"/>
        <v>15540.625</v>
      </c>
      <c r="K11" s="10">
        <f t="shared" si="1"/>
        <v>621.625</v>
      </c>
      <c r="L11" s="10">
        <f t="shared" si="2"/>
        <v>15540.625</v>
      </c>
      <c r="M11" s="7"/>
    </row>
    <row r="12" spans="1:13">
      <c r="A12" s="6">
        <v>4</v>
      </c>
      <c r="B12" s="7"/>
      <c r="C12" s="8" t="s">
        <v>23</v>
      </c>
      <c r="D12" s="9" t="s">
        <v>18</v>
      </c>
      <c r="E12" s="9">
        <v>1050</v>
      </c>
      <c r="F12" s="9" t="s">
        <v>19</v>
      </c>
      <c r="G12" s="9"/>
      <c r="H12" s="9"/>
      <c r="I12" s="9"/>
      <c r="J12" s="9">
        <f t="shared" si="0"/>
        <v>0</v>
      </c>
      <c r="K12" s="10">
        <f t="shared" si="1"/>
        <v>0</v>
      </c>
      <c r="L12" s="10">
        <f t="shared" si="2"/>
        <v>0</v>
      </c>
      <c r="M12" s="7"/>
    </row>
    <row r="13" spans="1:13">
      <c r="A13" s="6">
        <v>5</v>
      </c>
      <c r="B13" s="7"/>
      <c r="C13" s="8" t="s">
        <v>24</v>
      </c>
      <c r="D13" s="9" t="s">
        <v>18</v>
      </c>
      <c r="E13" s="9">
        <v>1150</v>
      </c>
      <c r="F13" s="9" t="s">
        <v>19</v>
      </c>
      <c r="G13" s="9"/>
      <c r="H13" s="9"/>
      <c r="I13" s="9">
        <v>510.221</v>
      </c>
      <c r="J13" s="9">
        <f t="shared" si="0"/>
        <v>586754.15</v>
      </c>
      <c r="K13" s="10">
        <f t="shared" si="1"/>
        <v>510.221</v>
      </c>
      <c r="L13" s="10">
        <f t="shared" si="2"/>
        <v>586754.15</v>
      </c>
      <c r="M13" s="7"/>
    </row>
    <row r="14" spans="1:13">
      <c r="A14" s="6">
        <v>6</v>
      </c>
      <c r="B14" s="7"/>
      <c r="C14" s="8" t="s">
        <v>25</v>
      </c>
      <c r="D14" s="9" t="s">
        <v>18</v>
      </c>
      <c r="E14" s="9">
        <v>1299.5</v>
      </c>
      <c r="F14" s="9" t="s">
        <v>19</v>
      </c>
      <c r="G14" s="2"/>
      <c r="H14" s="9"/>
      <c r="I14" s="9">
        <f>J14/E14</f>
        <v>500.98797229703735</v>
      </c>
      <c r="J14" s="9">
        <v>651033.87</v>
      </c>
      <c r="K14" s="10">
        <f t="shared" si="1"/>
        <v>500.98797229703735</v>
      </c>
      <c r="L14" s="10">
        <f t="shared" si="2"/>
        <v>651033.87</v>
      </c>
      <c r="M14" s="7"/>
    </row>
    <row r="15" spans="1:13">
      <c r="A15" s="6">
        <v>7</v>
      </c>
      <c r="B15" s="7"/>
      <c r="C15" s="8" t="s">
        <v>26</v>
      </c>
      <c r="D15" s="9" t="s">
        <v>18</v>
      </c>
      <c r="E15" s="9">
        <v>80</v>
      </c>
      <c r="F15" s="9" t="s">
        <v>19</v>
      </c>
      <c r="G15" s="7"/>
      <c r="H15" s="9"/>
      <c r="I15" s="9"/>
      <c r="J15" s="11">
        <f t="shared" si="0"/>
        <v>0</v>
      </c>
      <c r="K15" s="10">
        <f t="shared" si="1"/>
        <v>0</v>
      </c>
      <c r="L15" s="10">
        <f t="shared" si="2"/>
        <v>0</v>
      </c>
      <c r="M15" s="7"/>
    </row>
    <row r="16" spans="1:13">
      <c r="A16" s="6">
        <v>8</v>
      </c>
      <c r="B16" s="7"/>
      <c r="C16" s="8" t="s">
        <v>27</v>
      </c>
      <c r="D16" s="9" t="s">
        <v>18</v>
      </c>
      <c r="E16" s="9">
        <v>1180</v>
      </c>
      <c r="F16" s="9" t="s">
        <v>19</v>
      </c>
      <c r="G16" s="7"/>
      <c r="H16" s="9"/>
      <c r="I16" s="9">
        <v>12.877000000000001</v>
      </c>
      <c r="J16" s="9">
        <f t="shared" si="0"/>
        <v>15194.86</v>
      </c>
      <c r="K16" s="10">
        <f t="shared" si="1"/>
        <v>12.877000000000001</v>
      </c>
      <c r="L16" s="10">
        <f t="shared" si="2"/>
        <v>15194.86</v>
      </c>
      <c r="M16" s="7"/>
    </row>
    <row r="17" spans="1:13">
      <c r="A17" s="6">
        <v>9</v>
      </c>
      <c r="B17" s="7"/>
      <c r="C17" s="8" t="s">
        <v>28</v>
      </c>
      <c r="D17" s="9" t="s">
        <v>18</v>
      </c>
      <c r="E17" s="9">
        <v>1700</v>
      </c>
      <c r="F17" s="9" t="s">
        <v>19</v>
      </c>
      <c r="G17" s="7"/>
      <c r="H17" s="9"/>
      <c r="I17" s="9">
        <f>J17/E17</f>
        <v>57.617988235294121</v>
      </c>
      <c r="J17" s="9">
        <v>97950.58</v>
      </c>
      <c r="K17" s="10">
        <f t="shared" si="1"/>
        <v>57.617988235294121</v>
      </c>
      <c r="L17" s="10">
        <f t="shared" si="2"/>
        <v>97950.58</v>
      </c>
      <c r="M17" s="7"/>
    </row>
    <row r="18" spans="1:13">
      <c r="A18" s="6">
        <v>10</v>
      </c>
      <c r="B18" s="7"/>
      <c r="C18" s="8" t="s">
        <v>29</v>
      </c>
      <c r="D18" s="9" t="s">
        <v>18</v>
      </c>
      <c r="E18" s="9">
        <v>900</v>
      </c>
      <c r="F18" s="9" t="s">
        <v>19</v>
      </c>
      <c r="G18" s="7"/>
      <c r="H18" s="9"/>
      <c r="I18" s="9">
        <f>J18/E18</f>
        <v>80.438322222222226</v>
      </c>
      <c r="J18" s="9">
        <v>72394.490000000005</v>
      </c>
      <c r="K18" s="10">
        <f t="shared" si="1"/>
        <v>80.438322222222226</v>
      </c>
      <c r="L18" s="10">
        <f t="shared" si="2"/>
        <v>72394.490000000005</v>
      </c>
      <c r="M18" s="7"/>
    </row>
    <row r="19" spans="1:13" ht="90">
      <c r="A19" s="6">
        <v>11</v>
      </c>
      <c r="B19" s="9"/>
      <c r="C19" s="12" t="s">
        <v>30</v>
      </c>
      <c r="D19" s="9" t="s">
        <v>18</v>
      </c>
      <c r="E19" s="9">
        <v>2599</v>
      </c>
      <c r="F19" s="9" t="s">
        <v>19</v>
      </c>
      <c r="G19" s="9"/>
      <c r="H19" s="9"/>
      <c r="I19" s="9">
        <v>31.311</v>
      </c>
      <c r="J19" s="9">
        <f t="shared" si="0"/>
        <v>81377.289000000004</v>
      </c>
      <c r="K19" s="10">
        <f t="shared" si="1"/>
        <v>31.311</v>
      </c>
      <c r="L19" s="10">
        <f t="shared" si="2"/>
        <v>81377.289000000004</v>
      </c>
      <c r="M19" s="9"/>
    </row>
    <row r="20" spans="1:13" ht="90">
      <c r="A20" s="6">
        <v>12</v>
      </c>
      <c r="B20" s="9"/>
      <c r="C20" s="12" t="s">
        <v>31</v>
      </c>
      <c r="D20" s="9" t="s">
        <v>18</v>
      </c>
      <c r="E20" s="9">
        <v>2898</v>
      </c>
      <c r="F20" s="9" t="s">
        <v>19</v>
      </c>
      <c r="G20" s="9"/>
      <c r="H20" s="9"/>
      <c r="I20" s="9">
        <v>44.829000000000001</v>
      </c>
      <c r="J20" s="9">
        <f t="shared" si="0"/>
        <v>129914.442</v>
      </c>
      <c r="K20" s="10">
        <f t="shared" si="1"/>
        <v>44.829000000000001</v>
      </c>
      <c r="L20" s="10">
        <f t="shared" si="2"/>
        <v>129914.442</v>
      </c>
      <c r="M20" s="9"/>
    </row>
    <row r="21" spans="1:13" ht="45">
      <c r="A21" s="6">
        <v>13</v>
      </c>
      <c r="B21" s="7"/>
      <c r="C21" s="8" t="s">
        <v>32</v>
      </c>
      <c r="D21" s="9" t="s">
        <v>18</v>
      </c>
      <c r="E21" s="9">
        <v>2750</v>
      </c>
      <c r="F21" s="9" t="s">
        <v>19</v>
      </c>
      <c r="G21" s="9"/>
      <c r="H21" s="9"/>
      <c r="I21" s="9"/>
      <c r="J21" s="9">
        <f t="shared" si="0"/>
        <v>0</v>
      </c>
      <c r="K21" s="10">
        <f t="shared" si="1"/>
        <v>0</v>
      </c>
      <c r="L21" s="10">
        <f t="shared" si="2"/>
        <v>0</v>
      </c>
      <c r="M21" s="7"/>
    </row>
    <row r="22" spans="1:13" ht="45">
      <c r="A22" s="6">
        <v>14</v>
      </c>
      <c r="B22" s="7"/>
      <c r="C22" s="8" t="s">
        <v>33</v>
      </c>
      <c r="D22" s="9" t="s">
        <v>18</v>
      </c>
      <c r="E22" s="9">
        <f>E21+(E21*13%)</f>
        <v>3107.5</v>
      </c>
      <c r="F22" s="9" t="s">
        <v>19</v>
      </c>
      <c r="G22" s="9"/>
      <c r="H22" s="9"/>
      <c r="I22" s="9">
        <v>304.5</v>
      </c>
      <c r="J22" s="9">
        <f t="shared" si="0"/>
        <v>946233.75</v>
      </c>
      <c r="K22" s="10">
        <f t="shared" si="1"/>
        <v>304.5</v>
      </c>
      <c r="L22" s="10">
        <f t="shared" si="2"/>
        <v>946233.75</v>
      </c>
      <c r="M22" s="7"/>
    </row>
    <row r="23" spans="1:13" ht="45">
      <c r="A23" s="6"/>
      <c r="B23" s="7"/>
      <c r="C23" s="8" t="s">
        <v>54</v>
      </c>
      <c r="D23" s="9" t="s">
        <v>18</v>
      </c>
      <c r="E23" s="9">
        <f>E21+(E21*26%)</f>
        <v>3465</v>
      </c>
      <c r="F23" s="9" t="str">
        <f>F22</f>
        <v>Klin</v>
      </c>
      <c r="G23" s="9"/>
      <c r="H23" s="9"/>
      <c r="I23" s="9">
        <v>220.27</v>
      </c>
      <c r="J23" s="9">
        <f t="shared" si="0"/>
        <v>763235.55</v>
      </c>
      <c r="K23" s="10">
        <f t="shared" si="1"/>
        <v>220.27</v>
      </c>
      <c r="L23" s="10">
        <f t="shared" si="2"/>
        <v>763235.55</v>
      </c>
      <c r="M23" s="7"/>
    </row>
    <row r="24" spans="1:13" ht="105">
      <c r="A24" s="6">
        <v>15</v>
      </c>
      <c r="B24" s="7"/>
      <c r="C24" s="12" t="s">
        <v>34</v>
      </c>
      <c r="D24" s="9" t="s">
        <v>22</v>
      </c>
      <c r="E24" s="9">
        <v>400</v>
      </c>
      <c r="F24" s="9" t="s">
        <v>19</v>
      </c>
      <c r="G24" s="9"/>
      <c r="H24" s="9"/>
      <c r="I24" s="9"/>
      <c r="J24" s="9">
        <f t="shared" si="0"/>
        <v>0</v>
      </c>
      <c r="K24" s="10">
        <f t="shared" si="1"/>
        <v>0</v>
      </c>
      <c r="L24" s="10">
        <f t="shared" si="2"/>
        <v>0</v>
      </c>
      <c r="M24" s="7"/>
    </row>
    <row r="25" spans="1:13" ht="105">
      <c r="A25" s="6">
        <v>16</v>
      </c>
      <c r="B25" s="7"/>
      <c r="C25" s="8" t="s">
        <v>35</v>
      </c>
      <c r="D25" s="9" t="s">
        <v>22</v>
      </c>
      <c r="E25" s="9">
        <f>E24+(E24*13%)</f>
        <v>452</v>
      </c>
      <c r="F25" s="9" t="s">
        <v>19</v>
      </c>
      <c r="G25" s="9"/>
      <c r="H25" s="9"/>
      <c r="I25" s="9">
        <f>J25/E25</f>
        <v>93.753318584070797</v>
      </c>
      <c r="J25" s="9">
        <v>42376.5</v>
      </c>
      <c r="K25" s="10">
        <f t="shared" si="1"/>
        <v>93.753318584070797</v>
      </c>
      <c r="L25" s="10">
        <f t="shared" si="2"/>
        <v>42376.5</v>
      </c>
      <c r="M25" s="7"/>
    </row>
    <row r="26" spans="1:13" ht="105">
      <c r="A26" s="6">
        <v>17</v>
      </c>
      <c r="B26" s="7"/>
      <c r="C26" s="8" t="s">
        <v>36</v>
      </c>
      <c r="D26" s="9" t="s">
        <v>22</v>
      </c>
      <c r="E26" s="9">
        <v>504</v>
      </c>
      <c r="F26" s="9" t="s">
        <v>19</v>
      </c>
      <c r="G26" s="9"/>
      <c r="H26" s="9"/>
      <c r="I26" s="9">
        <f>J26/E26</f>
        <v>167.31365079365079</v>
      </c>
      <c r="J26" s="9">
        <v>84326.080000000002</v>
      </c>
      <c r="K26" s="10">
        <f t="shared" si="1"/>
        <v>167.31365079365079</v>
      </c>
      <c r="L26" s="10">
        <f t="shared" si="2"/>
        <v>84326.080000000002</v>
      </c>
      <c r="M26" s="7"/>
    </row>
    <row r="27" spans="1:13" ht="120">
      <c r="A27" s="6">
        <v>18</v>
      </c>
      <c r="B27" s="7"/>
      <c r="C27" s="12" t="s">
        <v>37</v>
      </c>
      <c r="D27" s="9" t="s">
        <v>38</v>
      </c>
      <c r="E27" s="9">
        <v>9000</v>
      </c>
      <c r="F27" s="9" t="s">
        <v>19</v>
      </c>
      <c r="G27" s="9"/>
      <c r="H27" s="9"/>
      <c r="I27" s="9">
        <v>8.7629999999999999</v>
      </c>
      <c r="J27" s="9">
        <f t="shared" si="0"/>
        <v>78867</v>
      </c>
      <c r="K27" s="10">
        <f t="shared" si="1"/>
        <v>8.7629999999999999</v>
      </c>
      <c r="L27" s="10">
        <f t="shared" si="2"/>
        <v>78867</v>
      </c>
      <c r="M27" s="7"/>
    </row>
    <row r="28" spans="1:13" ht="120">
      <c r="A28" s="6">
        <v>19</v>
      </c>
      <c r="B28" s="7"/>
      <c r="C28" s="12" t="s">
        <v>39</v>
      </c>
      <c r="D28" s="9" t="s">
        <v>38</v>
      </c>
      <c r="E28" s="9">
        <f>E27+(E27*13%)</f>
        <v>10170</v>
      </c>
      <c r="F28" s="9" t="s">
        <v>19</v>
      </c>
      <c r="G28" s="9"/>
      <c r="H28" s="9"/>
      <c r="I28" s="9">
        <v>28.465126999999999</v>
      </c>
      <c r="J28" s="9">
        <f t="shared" si="0"/>
        <v>289490.34158999997</v>
      </c>
      <c r="K28" s="10">
        <f t="shared" si="1"/>
        <v>28.465126999999999</v>
      </c>
      <c r="L28" s="10">
        <f t="shared" si="2"/>
        <v>289490.34158999997</v>
      </c>
      <c r="M28" s="7"/>
    </row>
    <row r="29" spans="1:13" ht="120">
      <c r="A29" s="6">
        <v>20</v>
      </c>
      <c r="B29" s="7"/>
      <c r="C29" s="12" t="s">
        <v>40</v>
      </c>
      <c r="D29" s="9" t="s">
        <v>38</v>
      </c>
      <c r="E29" s="9">
        <f>E27+(E27*26%)</f>
        <v>11340</v>
      </c>
      <c r="F29" s="9" t="s">
        <v>19</v>
      </c>
      <c r="G29" s="9"/>
      <c r="H29" s="9"/>
      <c r="I29" s="9">
        <f>J29/E29</f>
        <v>36.543168430335101</v>
      </c>
      <c r="J29" s="9">
        <v>414399.53</v>
      </c>
      <c r="K29" s="10">
        <f t="shared" si="1"/>
        <v>36.543168430335101</v>
      </c>
      <c r="L29" s="10">
        <f t="shared" si="2"/>
        <v>414399.53</v>
      </c>
      <c r="M29" s="7"/>
    </row>
    <row r="30" spans="1:13">
      <c r="A30" s="6">
        <v>21</v>
      </c>
      <c r="B30" s="7"/>
      <c r="C30" s="12"/>
      <c r="D30" s="9"/>
      <c r="E30" s="9"/>
      <c r="F30" s="9"/>
      <c r="G30" s="9"/>
      <c r="H30" s="9"/>
      <c r="I30" s="9"/>
      <c r="J30" s="9"/>
      <c r="K30" s="10">
        <f t="shared" si="1"/>
        <v>0</v>
      </c>
      <c r="L30" s="10">
        <f t="shared" si="2"/>
        <v>0</v>
      </c>
      <c r="M30" s="7"/>
    </row>
    <row r="31" spans="1:13">
      <c r="A31" s="13"/>
      <c r="B31" s="13"/>
      <c r="C31" s="13"/>
      <c r="D31" s="14"/>
      <c r="E31" s="14"/>
      <c r="F31" s="14"/>
      <c r="G31" s="14"/>
      <c r="H31" s="15">
        <f>SUM(H9:H30)</f>
        <v>0</v>
      </c>
      <c r="I31" s="15"/>
      <c r="J31" s="15">
        <f>SUM(J9:J29)</f>
        <v>5006327.8775900006</v>
      </c>
      <c r="K31" s="15"/>
      <c r="L31" s="15">
        <f>SUM(L9:L30)</f>
        <v>5006327.8775900006</v>
      </c>
      <c r="M31" s="13"/>
    </row>
  </sheetData>
  <mergeCells count="3">
    <mergeCell ref="G7:H7"/>
    <mergeCell ref="I7:J7"/>
    <mergeCell ref="K7:L7"/>
  </mergeCells>
  <pageMargins left="0.7" right="0.7" top="0.75" bottom="0.75" header="0.3" footer="0.3"/>
  <pageSetup paperSize="9" scale="43"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view="pageBreakPreview" zoomScale="115" zoomScaleNormal="100" zoomScaleSheetLayoutView="115" workbookViewId="0">
      <selection activeCell="G13" sqref="G13:G14"/>
    </sheetView>
  </sheetViews>
  <sheetFormatPr defaultRowHeight="15"/>
  <cols>
    <col min="1" max="1" width="7.85546875" style="160" customWidth="1"/>
    <col min="2" max="2" width="13.42578125" style="99" customWidth="1"/>
    <col min="3" max="3" width="8.85546875" style="99" bestFit="1" customWidth="1"/>
    <col min="4" max="4" width="30.7109375" style="99" customWidth="1"/>
    <col min="5" max="5" width="8.28515625" style="99" customWidth="1"/>
    <col min="6" max="6" width="9.42578125" style="99" customWidth="1"/>
    <col min="7" max="7" width="8" style="99" bestFit="1" customWidth="1"/>
    <col min="8" max="8" width="8" style="99" customWidth="1"/>
    <col min="9" max="9" width="10.28515625" style="99" customWidth="1"/>
    <col min="10" max="11" width="8.5703125" style="99" customWidth="1"/>
    <col min="12" max="12" width="9" style="99" customWidth="1"/>
    <col min="13" max="13" width="8.5703125" style="99" bestFit="1" customWidth="1"/>
    <col min="14" max="14" width="8.28515625" style="99" customWidth="1"/>
    <col min="15" max="15" width="27" style="99" customWidth="1"/>
    <col min="16" max="16" width="9.140625" style="30"/>
  </cols>
  <sheetData>
    <row r="1" spans="1:16" s="84" customFormat="1" ht="22.5" thickTop="1" thickBot="1">
      <c r="A1" s="86" t="s">
        <v>97</v>
      </c>
      <c r="B1" s="87"/>
      <c r="C1" s="87"/>
      <c r="D1" s="87"/>
      <c r="E1" s="87"/>
      <c r="F1" s="87"/>
      <c r="G1" s="87"/>
      <c r="H1" s="87"/>
      <c r="I1" s="87"/>
      <c r="J1" s="87"/>
      <c r="K1" s="87"/>
      <c r="L1" s="87"/>
      <c r="M1" s="87"/>
      <c r="N1" s="87"/>
      <c r="O1" s="87"/>
      <c r="P1" s="88"/>
    </row>
    <row r="2" spans="1:16" s="84" customFormat="1" ht="26.25" customHeight="1" thickTop="1" thickBot="1">
      <c r="A2" s="164" t="s">
        <v>98</v>
      </c>
      <c r="B2" s="164"/>
      <c r="C2" s="164"/>
      <c r="D2" s="164"/>
      <c r="E2" s="164"/>
      <c r="F2" s="164"/>
      <c r="G2" s="164"/>
      <c r="H2" s="164"/>
      <c r="I2" s="164"/>
      <c r="J2" s="164"/>
      <c r="K2" s="164"/>
      <c r="L2" s="164"/>
      <c r="M2" s="164"/>
      <c r="N2" s="164"/>
      <c r="O2" s="164"/>
      <c r="P2" s="88"/>
    </row>
    <row r="3" spans="1:16" s="84" customFormat="1" ht="16.5" thickTop="1" thickBot="1">
      <c r="A3" s="165" t="s">
        <v>99</v>
      </c>
      <c r="B3" s="165"/>
      <c r="C3" s="165"/>
      <c r="D3" s="165"/>
      <c r="E3" s="89"/>
      <c r="F3" s="89"/>
      <c r="G3" s="89"/>
      <c r="H3" s="89"/>
      <c r="I3" s="89"/>
      <c r="J3" s="89"/>
      <c r="K3" s="89"/>
      <c r="L3" s="89"/>
      <c r="M3" s="90"/>
      <c r="N3" s="89"/>
      <c r="O3" s="89"/>
      <c r="P3" s="88"/>
    </row>
    <row r="4" spans="1:16" s="84" customFormat="1" ht="16.5" thickTop="1" thickBot="1">
      <c r="A4" s="165" t="s">
        <v>100</v>
      </c>
      <c r="B4" s="165"/>
      <c r="C4" s="165"/>
      <c r="D4" s="165"/>
      <c r="E4" s="89"/>
      <c r="F4" s="89"/>
      <c r="G4" s="89"/>
      <c r="H4" s="89"/>
      <c r="I4" s="89"/>
      <c r="J4" s="89"/>
      <c r="K4" s="89"/>
      <c r="L4" s="89"/>
      <c r="M4" s="90"/>
      <c r="N4" s="89"/>
      <c r="O4" s="89"/>
      <c r="P4" s="88"/>
    </row>
    <row r="5" spans="1:16" s="84" customFormat="1" ht="16.5" thickTop="1" thickBot="1">
      <c r="A5" s="165" t="s">
        <v>220</v>
      </c>
      <c r="B5" s="165"/>
      <c r="C5" s="165"/>
      <c r="D5" s="165"/>
      <c r="E5" s="89"/>
      <c r="F5" s="89"/>
      <c r="G5" s="89"/>
      <c r="H5" s="89"/>
      <c r="I5" s="89"/>
      <c r="K5" s="161"/>
      <c r="L5" s="161"/>
      <c r="M5" s="161"/>
      <c r="N5" s="161"/>
      <c r="O5" s="162" t="s">
        <v>101</v>
      </c>
      <c r="P5" s="88"/>
    </row>
    <row r="6" spans="1:16" s="84" customFormat="1" ht="16.5" thickTop="1" thickBot="1">
      <c r="A6" s="165" t="s">
        <v>102</v>
      </c>
      <c r="B6" s="165"/>
      <c r="C6" s="165"/>
      <c r="D6" s="165"/>
      <c r="E6" s="89"/>
      <c r="F6" s="89"/>
      <c r="G6" s="89"/>
      <c r="H6" s="89"/>
      <c r="I6" s="89"/>
      <c r="K6" s="161"/>
      <c r="L6" s="161"/>
      <c r="M6" s="161"/>
      <c r="N6" s="161"/>
      <c r="O6" s="162" t="s">
        <v>103</v>
      </c>
      <c r="P6" s="88"/>
    </row>
    <row r="7" spans="1:16" s="85" customFormat="1" ht="16.5" customHeight="1" thickTop="1" thickBot="1">
      <c r="A7" s="91" t="s">
        <v>104</v>
      </c>
      <c r="B7" s="92" t="s">
        <v>67</v>
      </c>
      <c r="C7" s="92" t="s">
        <v>105</v>
      </c>
      <c r="D7" s="92" t="s">
        <v>106</v>
      </c>
      <c r="E7" s="92" t="s">
        <v>107</v>
      </c>
      <c r="F7" s="166" t="s">
        <v>108</v>
      </c>
      <c r="G7" s="166"/>
      <c r="H7" s="92" t="s">
        <v>109</v>
      </c>
      <c r="I7" s="92" t="s">
        <v>110</v>
      </c>
      <c r="J7" s="92" t="s">
        <v>111</v>
      </c>
      <c r="K7" s="92" t="s">
        <v>112</v>
      </c>
      <c r="L7" s="92" t="s">
        <v>113</v>
      </c>
      <c r="M7" s="93" t="s">
        <v>114</v>
      </c>
      <c r="N7" s="92" t="s">
        <v>115</v>
      </c>
      <c r="O7" s="92" t="s">
        <v>116</v>
      </c>
      <c r="P7" s="94"/>
    </row>
    <row r="8" spans="1:16" s="82" customFormat="1" ht="16.5" thickTop="1" thickBot="1">
      <c r="A8" s="95"/>
      <c r="B8" s="96"/>
      <c r="C8" s="96"/>
      <c r="D8" s="96"/>
      <c r="E8" s="96"/>
      <c r="F8" s="97" t="s">
        <v>117</v>
      </c>
      <c r="G8" s="97" t="s">
        <v>118</v>
      </c>
      <c r="H8" s="96"/>
      <c r="I8" s="96"/>
      <c r="J8" s="96"/>
      <c r="K8" s="96"/>
      <c r="L8" s="96"/>
      <c r="M8" s="98"/>
      <c r="N8" s="96"/>
      <c r="O8" s="96"/>
      <c r="P8" s="99"/>
    </row>
    <row r="9" spans="1:16" s="85" customFormat="1" ht="16.5" thickTop="1" thickBot="1">
      <c r="A9" s="166" t="s">
        <v>119</v>
      </c>
      <c r="B9" s="166"/>
      <c r="C9" s="166"/>
      <c r="D9" s="166"/>
      <c r="E9" s="91"/>
      <c r="F9" s="91"/>
      <c r="G9" s="91"/>
      <c r="H9" s="91"/>
      <c r="I9" s="91"/>
      <c r="J9" s="91"/>
      <c r="K9" s="91"/>
      <c r="L9" s="91"/>
      <c r="M9" s="100"/>
      <c r="N9" s="91"/>
      <c r="O9" s="91"/>
      <c r="P9" s="94"/>
    </row>
    <row r="10" spans="1:16" s="83" customFormat="1" ht="17.25" thickTop="1">
      <c r="A10" s="101">
        <v>1</v>
      </c>
      <c r="B10" s="168" t="s">
        <v>120</v>
      </c>
      <c r="C10" s="168"/>
      <c r="D10" s="168"/>
      <c r="E10" s="102"/>
      <c r="F10" s="103"/>
      <c r="G10" s="103"/>
      <c r="H10" s="103"/>
      <c r="I10" s="103"/>
      <c r="J10" s="103"/>
      <c r="K10" s="103"/>
      <c r="L10" s="103"/>
      <c r="M10" s="104"/>
      <c r="N10" s="104"/>
      <c r="O10" s="105"/>
      <c r="P10" s="106"/>
    </row>
    <row r="11" spans="1:16" ht="16.5">
      <c r="A11" s="107"/>
      <c r="B11" s="108" t="s">
        <v>121</v>
      </c>
      <c r="C11" s="108" t="s">
        <v>119</v>
      </c>
      <c r="D11" s="109"/>
      <c r="E11" s="108"/>
      <c r="F11" s="110"/>
      <c r="G11" s="111"/>
      <c r="H11" s="111"/>
      <c r="I11" s="112"/>
      <c r="J11" s="112"/>
      <c r="K11" s="113"/>
      <c r="L11" s="114"/>
      <c r="M11" s="115"/>
      <c r="N11" s="115"/>
      <c r="O11" s="116"/>
    </row>
    <row r="12" spans="1:16" ht="16.5">
      <c r="A12" s="107"/>
      <c r="B12" s="117"/>
      <c r="C12" s="108"/>
      <c r="D12" s="118" t="s">
        <v>122</v>
      </c>
      <c r="E12" s="108"/>
      <c r="F12" s="119">
        <f>G12-0.75</f>
        <v>101.352</v>
      </c>
      <c r="G12" s="119">
        <v>102.102</v>
      </c>
      <c r="H12" s="118">
        <v>2</v>
      </c>
      <c r="I12" s="118">
        <v>1</v>
      </c>
      <c r="J12" s="118">
        <v>3</v>
      </c>
      <c r="K12" s="118">
        <v>1.2</v>
      </c>
      <c r="L12" s="120">
        <f t="shared" ref="L12:L19" si="0">G12-F12</f>
        <v>0.75</v>
      </c>
      <c r="M12" s="115">
        <f>PRODUCT(H12:L12)</f>
        <v>5.3999999999999995</v>
      </c>
      <c r="N12" s="115"/>
      <c r="O12" s="116"/>
    </row>
    <row r="13" spans="1:16" ht="16.5">
      <c r="A13" s="107"/>
      <c r="B13" s="117"/>
      <c r="C13" s="108"/>
      <c r="D13" s="118" t="s">
        <v>123</v>
      </c>
      <c r="E13" s="108"/>
      <c r="F13" s="119">
        <v>102.102</v>
      </c>
      <c r="G13" s="119">
        <v>104.102</v>
      </c>
      <c r="H13" s="118">
        <v>1</v>
      </c>
      <c r="I13" s="118">
        <v>1</v>
      </c>
      <c r="J13" s="118">
        <f>4.1+1.2+1.2+0.15+0.15</f>
        <v>6.8000000000000007</v>
      </c>
      <c r="K13" s="118">
        <v>3</v>
      </c>
      <c r="L13" s="120">
        <f t="shared" si="0"/>
        <v>2</v>
      </c>
      <c r="M13" s="115">
        <f t="shared" ref="M13:M19" si="1">PRODUCT(H13:L13)</f>
        <v>40.800000000000004</v>
      </c>
      <c r="N13" s="115"/>
      <c r="O13" s="116"/>
    </row>
    <row r="14" spans="1:16" ht="16.5">
      <c r="A14" s="107"/>
      <c r="B14" s="117"/>
      <c r="C14" s="108"/>
      <c r="D14" s="118" t="s">
        <v>124</v>
      </c>
      <c r="E14" s="108"/>
      <c r="F14" s="119">
        <v>101.352</v>
      </c>
      <c r="G14" s="119">
        <v>102.102</v>
      </c>
      <c r="H14" s="118">
        <v>2</v>
      </c>
      <c r="I14" s="118">
        <v>0.5</v>
      </c>
      <c r="J14" s="118">
        <v>0.75</v>
      </c>
      <c r="K14" s="118">
        <v>3</v>
      </c>
      <c r="L14" s="120">
        <f t="shared" si="0"/>
        <v>0.75</v>
      </c>
      <c r="M14" s="115">
        <f t="shared" si="1"/>
        <v>1.6875</v>
      </c>
      <c r="N14" s="115"/>
      <c r="O14" s="116"/>
    </row>
    <row r="15" spans="1:16" ht="16.5">
      <c r="A15" s="107"/>
      <c r="B15" s="117"/>
      <c r="C15" s="108"/>
      <c r="D15" s="118" t="s">
        <v>125</v>
      </c>
      <c r="E15" s="108"/>
      <c r="F15" s="121">
        <f>103.01-0.45</f>
        <v>102.56</v>
      </c>
      <c r="G15" s="119">
        <v>103.01</v>
      </c>
      <c r="H15" s="118">
        <v>4</v>
      </c>
      <c r="I15" s="118">
        <v>1</v>
      </c>
      <c r="J15" s="118">
        <v>0.6</v>
      </c>
      <c r="K15" s="118">
        <v>0.6</v>
      </c>
      <c r="L15" s="120">
        <f t="shared" si="0"/>
        <v>0.45000000000000284</v>
      </c>
      <c r="M15" s="115">
        <f t="shared" si="1"/>
        <v>0.64800000000000402</v>
      </c>
      <c r="N15" s="115"/>
      <c r="O15" s="116"/>
    </row>
    <row r="16" spans="1:16" ht="16.5">
      <c r="A16" s="122"/>
      <c r="B16" s="123"/>
      <c r="C16" s="123"/>
      <c r="D16" s="118" t="s">
        <v>126</v>
      </c>
      <c r="E16" s="123"/>
      <c r="F16" s="124">
        <f>103.01-0.85</f>
        <v>102.16000000000001</v>
      </c>
      <c r="G16" s="124">
        <f>102.16+0.4</f>
        <v>102.56</v>
      </c>
      <c r="H16" s="118">
        <v>4</v>
      </c>
      <c r="I16" s="118">
        <v>0.5</v>
      </c>
      <c r="J16" s="118">
        <v>0.6</v>
      </c>
      <c r="K16" s="118">
        <v>0.6</v>
      </c>
      <c r="L16" s="120">
        <f t="shared" si="0"/>
        <v>0.39999999999999147</v>
      </c>
      <c r="M16" s="115">
        <f t="shared" si="1"/>
        <v>0.28799999999999387</v>
      </c>
      <c r="N16" s="123"/>
      <c r="O16" s="123"/>
    </row>
    <row r="17" spans="1:16" ht="16.5">
      <c r="A17" s="122"/>
      <c r="B17" s="123"/>
      <c r="C17" s="123"/>
      <c r="D17" s="118" t="s">
        <v>127</v>
      </c>
      <c r="E17" s="123"/>
      <c r="F17" s="124">
        <f>103.012-0.7</f>
        <v>102.312</v>
      </c>
      <c r="G17" s="124">
        <v>103.012</v>
      </c>
      <c r="H17" s="118">
        <v>2</v>
      </c>
      <c r="I17" s="118">
        <v>1</v>
      </c>
      <c r="J17" s="118">
        <v>0.9</v>
      </c>
      <c r="K17" s="118">
        <v>1</v>
      </c>
      <c r="L17" s="120">
        <f t="shared" si="0"/>
        <v>0.70000000000000284</v>
      </c>
      <c r="M17" s="115">
        <f t="shared" si="1"/>
        <v>1.2600000000000051</v>
      </c>
      <c r="N17" s="123"/>
      <c r="O17" s="123"/>
    </row>
    <row r="18" spans="1:16" ht="16.5">
      <c r="A18" s="122"/>
      <c r="B18" s="123"/>
      <c r="C18" s="123"/>
      <c r="D18" s="125" t="s">
        <v>126</v>
      </c>
      <c r="E18" s="123"/>
      <c r="F18" s="124">
        <f>102.312-0.466</f>
        <v>101.846</v>
      </c>
      <c r="G18" s="124">
        <v>102.312</v>
      </c>
      <c r="H18" s="118">
        <v>2</v>
      </c>
      <c r="I18" s="118">
        <v>0.5</v>
      </c>
      <c r="J18" s="118">
        <v>0.9</v>
      </c>
      <c r="K18" s="118">
        <v>1</v>
      </c>
      <c r="L18" s="120">
        <f t="shared" si="0"/>
        <v>0.46599999999999397</v>
      </c>
      <c r="M18" s="115">
        <f t="shared" si="1"/>
        <v>0.41939999999999461</v>
      </c>
      <c r="N18" s="123"/>
      <c r="O18" s="123"/>
    </row>
    <row r="19" spans="1:16" ht="16.5">
      <c r="A19" s="122"/>
      <c r="B19" s="126" t="s">
        <v>121</v>
      </c>
      <c r="C19" s="126" t="s">
        <v>128</v>
      </c>
      <c r="D19" s="125" t="s">
        <v>129</v>
      </c>
      <c r="E19" s="123"/>
      <c r="F19" s="124">
        <v>105.991</v>
      </c>
      <c r="G19" s="124">
        <v>106.5</v>
      </c>
      <c r="H19" s="118">
        <v>6</v>
      </c>
      <c r="I19" s="118">
        <v>1</v>
      </c>
      <c r="J19" s="118">
        <v>1.1000000000000001</v>
      </c>
      <c r="K19" s="118">
        <v>0.85</v>
      </c>
      <c r="L19" s="120">
        <f t="shared" si="0"/>
        <v>0.50900000000000034</v>
      </c>
      <c r="M19" s="115">
        <f t="shared" si="1"/>
        <v>2.8554900000000019</v>
      </c>
      <c r="N19" s="127"/>
      <c r="O19" s="123"/>
    </row>
    <row r="20" spans="1:16">
      <c r="A20" s="128"/>
      <c r="B20" s="129"/>
      <c r="C20" s="129"/>
      <c r="D20" s="129"/>
      <c r="E20" s="129"/>
      <c r="F20" s="130"/>
      <c r="G20" s="130"/>
      <c r="H20" s="130"/>
      <c r="I20" s="130"/>
      <c r="J20" s="130"/>
      <c r="K20" s="169" t="s">
        <v>84</v>
      </c>
      <c r="L20" s="169"/>
      <c r="M20" s="131">
        <f>SUM(M12:M19)</f>
        <v>53.358390000000007</v>
      </c>
      <c r="N20" s="132" t="s">
        <v>130</v>
      </c>
      <c r="O20" s="129"/>
    </row>
    <row r="21" spans="1:16" s="83" customFormat="1">
      <c r="A21" s="133">
        <v>2</v>
      </c>
      <c r="B21" s="134" t="s">
        <v>131</v>
      </c>
      <c r="C21" s="134"/>
      <c r="D21" s="134"/>
      <c r="E21" s="135"/>
      <c r="F21" s="136"/>
      <c r="G21" s="136"/>
      <c r="H21" s="135"/>
      <c r="I21" s="135"/>
      <c r="J21" s="135"/>
      <c r="K21" s="135"/>
      <c r="L21" s="135"/>
      <c r="M21" s="137"/>
      <c r="N21" s="135"/>
      <c r="O21" s="135"/>
      <c r="P21" s="106"/>
    </row>
    <row r="22" spans="1:16">
      <c r="A22" s="122"/>
      <c r="B22" s="138"/>
      <c r="C22" s="138"/>
      <c r="D22" s="118" t="s">
        <v>132</v>
      </c>
      <c r="E22" s="138"/>
      <c r="F22" s="139">
        <v>103.04900000000001</v>
      </c>
      <c r="G22" s="139">
        <f>103.049-0.85</f>
        <v>102.19900000000001</v>
      </c>
      <c r="H22" s="118">
        <v>2</v>
      </c>
      <c r="I22" s="118">
        <v>4</v>
      </c>
      <c r="J22" s="118">
        <v>0.4</v>
      </c>
      <c r="K22" s="118">
        <v>0.4</v>
      </c>
      <c r="L22" s="118">
        <v>1.6E-2</v>
      </c>
      <c r="M22" s="140">
        <f t="shared" ref="M22:M27" si="2">H22*I22*J22*K22*L22</f>
        <v>2.0480000000000005E-2</v>
      </c>
      <c r="N22" s="138"/>
      <c r="O22" s="139" t="s">
        <v>133</v>
      </c>
    </row>
    <row r="23" spans="1:16">
      <c r="A23" s="122"/>
      <c r="B23" s="138"/>
      <c r="C23" s="138"/>
      <c r="D23" s="118" t="s">
        <v>134</v>
      </c>
      <c r="E23" s="138"/>
      <c r="F23" s="139">
        <v>103.04900000000001</v>
      </c>
      <c r="G23" s="139">
        <f>103.049-0.85</f>
        <v>102.19900000000001</v>
      </c>
      <c r="H23" s="118">
        <v>8</v>
      </c>
      <c r="I23" s="118">
        <v>2</v>
      </c>
      <c r="J23" s="118">
        <v>0.5</v>
      </c>
      <c r="K23" s="118">
        <v>0.1</v>
      </c>
      <c r="L23" s="118">
        <v>1.6E-2</v>
      </c>
      <c r="M23" s="140">
        <f t="shared" si="2"/>
        <v>1.2800000000000001E-2</v>
      </c>
      <c r="N23" s="138"/>
      <c r="O23" s="138" t="s">
        <v>135</v>
      </c>
    </row>
    <row r="24" spans="1:16">
      <c r="A24" s="122"/>
      <c r="B24" s="138"/>
      <c r="C24" s="138"/>
      <c r="D24" s="118" t="s">
        <v>136</v>
      </c>
      <c r="E24" s="138"/>
      <c r="F24" s="139">
        <v>103.04900000000001</v>
      </c>
      <c r="G24" s="139">
        <f>103.049-0.85</f>
        <v>102.19900000000001</v>
      </c>
      <c r="H24" s="118">
        <v>2</v>
      </c>
      <c r="I24" s="118">
        <v>3</v>
      </c>
      <c r="J24" s="118">
        <v>0.5</v>
      </c>
      <c r="K24" s="118">
        <v>0.5</v>
      </c>
      <c r="L24" s="118">
        <v>1.6E-2</v>
      </c>
      <c r="M24" s="140">
        <f t="shared" si="2"/>
        <v>2.4E-2</v>
      </c>
      <c r="N24" s="138"/>
      <c r="O24" s="138"/>
    </row>
    <row r="25" spans="1:16">
      <c r="A25" s="122"/>
      <c r="B25" s="138"/>
      <c r="C25" s="138"/>
      <c r="D25" s="118" t="s">
        <v>134</v>
      </c>
      <c r="E25" s="138"/>
      <c r="F25" s="139">
        <v>103.04900000000001</v>
      </c>
      <c r="G25" s="139">
        <f>103.049-0.85</f>
        <v>102.19900000000001</v>
      </c>
      <c r="H25" s="118">
        <v>6</v>
      </c>
      <c r="I25" s="118">
        <v>2</v>
      </c>
      <c r="J25" s="118">
        <v>0.5</v>
      </c>
      <c r="K25" s="118">
        <v>0.1</v>
      </c>
      <c r="L25" s="118">
        <v>1.6E-2</v>
      </c>
      <c r="M25" s="140">
        <f t="shared" si="2"/>
        <v>9.6000000000000009E-3</v>
      </c>
      <c r="N25" s="138"/>
      <c r="O25" s="138"/>
    </row>
    <row r="26" spans="1:16">
      <c r="A26" s="122"/>
      <c r="B26" s="138"/>
      <c r="C26" s="138"/>
      <c r="D26" s="118" t="s">
        <v>137</v>
      </c>
      <c r="E26" s="138"/>
      <c r="F26" s="139">
        <v>100</v>
      </c>
      <c r="G26" s="139">
        <f>100-0.45</f>
        <v>99.55</v>
      </c>
      <c r="H26" s="118">
        <v>5</v>
      </c>
      <c r="I26" s="118">
        <v>2</v>
      </c>
      <c r="J26" s="118">
        <v>0.15</v>
      </c>
      <c r="K26" s="118">
        <v>0.15</v>
      </c>
      <c r="L26" s="118">
        <v>1.6E-2</v>
      </c>
      <c r="M26" s="140">
        <f t="shared" si="2"/>
        <v>3.5999999999999999E-3</v>
      </c>
      <c r="N26" s="138"/>
      <c r="O26" s="138"/>
    </row>
    <row r="27" spans="1:16">
      <c r="A27" s="122"/>
      <c r="B27" s="138"/>
      <c r="C27" s="138"/>
      <c r="D27" s="118" t="s">
        <v>138</v>
      </c>
      <c r="E27" s="138"/>
      <c r="F27" s="139">
        <v>99.311999999999998</v>
      </c>
      <c r="G27" s="139">
        <f>99.321-0.5</f>
        <v>98.820999999999998</v>
      </c>
      <c r="H27" s="118">
        <v>3</v>
      </c>
      <c r="I27" s="118">
        <v>2</v>
      </c>
      <c r="J27" s="118">
        <v>0.5</v>
      </c>
      <c r="K27" s="118">
        <v>0.5</v>
      </c>
      <c r="L27" s="141">
        <f>F27-G27</f>
        <v>0.49099999999999966</v>
      </c>
      <c r="M27" s="140">
        <f t="shared" si="2"/>
        <v>0.73649999999999949</v>
      </c>
      <c r="N27" s="138"/>
      <c r="O27" s="138"/>
    </row>
    <row r="28" spans="1:16">
      <c r="A28" s="122"/>
      <c r="B28" s="138"/>
      <c r="C28" s="138"/>
      <c r="D28" s="118"/>
      <c r="E28" s="138"/>
      <c r="F28" s="139"/>
      <c r="G28" s="139"/>
      <c r="H28" s="138"/>
      <c r="I28" s="138"/>
      <c r="J28" s="138"/>
      <c r="K28" s="170" t="s">
        <v>84</v>
      </c>
      <c r="L28" s="170"/>
      <c r="M28" s="142">
        <f>SUM(M22:M27)</f>
        <v>0.80697999999999948</v>
      </c>
      <c r="N28" s="138"/>
      <c r="O28" s="138"/>
    </row>
    <row r="29" spans="1:16">
      <c r="A29" s="122"/>
      <c r="B29" s="138"/>
      <c r="C29" s="138"/>
      <c r="D29" s="118"/>
      <c r="E29" s="138"/>
      <c r="F29" s="139"/>
      <c r="G29" s="139"/>
      <c r="H29" s="138"/>
      <c r="I29" s="138"/>
      <c r="J29" s="138"/>
      <c r="K29" s="167" t="s">
        <v>139</v>
      </c>
      <c r="L29" s="167"/>
      <c r="M29" s="142">
        <v>7850</v>
      </c>
      <c r="N29" s="138"/>
      <c r="O29" s="138"/>
    </row>
    <row r="30" spans="1:16">
      <c r="A30" s="122"/>
      <c r="B30" s="138"/>
      <c r="C30" s="138"/>
      <c r="D30" s="118"/>
      <c r="E30" s="138"/>
      <c r="F30" s="139"/>
      <c r="G30" s="139"/>
      <c r="H30" s="138"/>
      <c r="I30" s="138"/>
      <c r="J30" s="138"/>
      <c r="K30" s="167" t="s">
        <v>140</v>
      </c>
      <c r="L30" s="167"/>
      <c r="M30" s="142">
        <f>M28*M29</f>
        <v>6334.792999999996</v>
      </c>
      <c r="N30" s="138"/>
      <c r="O30" s="138"/>
    </row>
    <row r="31" spans="1:16">
      <c r="A31" s="122"/>
      <c r="B31" s="138"/>
      <c r="C31" s="138"/>
      <c r="D31" s="118"/>
      <c r="E31" s="138"/>
      <c r="F31" s="139"/>
      <c r="G31" s="139"/>
      <c r="H31" s="138"/>
      <c r="I31" s="138"/>
      <c r="J31" s="138"/>
      <c r="K31" s="167" t="s">
        <v>141</v>
      </c>
      <c r="L31" s="167"/>
      <c r="M31" s="142">
        <f>M30/1000</f>
        <v>6.3347929999999959</v>
      </c>
      <c r="N31" s="122" t="s">
        <v>38</v>
      </c>
      <c r="O31" s="138"/>
    </row>
    <row r="32" spans="1:16">
      <c r="A32" s="128"/>
      <c r="B32" s="143"/>
      <c r="C32" s="143"/>
      <c r="D32" s="143"/>
      <c r="E32" s="143"/>
      <c r="F32" s="144"/>
      <c r="G32" s="144"/>
      <c r="H32" s="143"/>
      <c r="I32" s="143"/>
      <c r="J32" s="143"/>
      <c r="K32" s="143"/>
      <c r="L32" s="143"/>
      <c r="M32" s="145"/>
      <c r="N32" s="143"/>
      <c r="O32" s="143"/>
    </row>
    <row r="33" spans="1:16" s="83" customFormat="1">
      <c r="A33" s="133">
        <v>3</v>
      </c>
      <c r="B33" s="171" t="s">
        <v>142</v>
      </c>
      <c r="C33" s="171"/>
      <c r="D33" s="171"/>
      <c r="E33" s="135"/>
      <c r="F33" s="136">
        <v>104.102</v>
      </c>
      <c r="G33" s="136">
        <f>104.102-0.075</f>
        <v>104.027</v>
      </c>
      <c r="H33" s="146">
        <v>1</v>
      </c>
      <c r="I33" s="146">
        <v>2</v>
      </c>
      <c r="J33" s="147">
        <v>6.8</v>
      </c>
      <c r="K33" s="148">
        <v>0.15</v>
      </c>
      <c r="L33" s="148">
        <v>8.0000000000000002E-3</v>
      </c>
      <c r="M33" s="137">
        <f>L33*K33*J33*I33*H33</f>
        <v>1.6319999999999998E-2</v>
      </c>
      <c r="N33" s="135"/>
      <c r="O33" s="135"/>
      <c r="P33" s="106"/>
    </row>
    <row r="34" spans="1:16">
      <c r="A34" s="122"/>
      <c r="B34" s="138"/>
      <c r="C34" s="138"/>
      <c r="D34" s="138" t="s">
        <v>143</v>
      </c>
      <c r="E34" s="138"/>
      <c r="F34" s="139">
        <v>104.102</v>
      </c>
      <c r="G34" s="139">
        <f>104.102-0.075</f>
        <v>104.027</v>
      </c>
      <c r="H34" s="149">
        <v>1</v>
      </c>
      <c r="I34" s="149">
        <v>2</v>
      </c>
      <c r="J34" s="118">
        <v>3</v>
      </c>
      <c r="K34" s="118">
        <v>0.15</v>
      </c>
      <c r="L34" s="118">
        <v>8.0000000000000002E-3</v>
      </c>
      <c r="M34" s="140">
        <f>L34*K34*J34*I34*H34</f>
        <v>7.1999999999999998E-3</v>
      </c>
      <c r="N34" s="138"/>
      <c r="O34" s="138"/>
    </row>
    <row r="35" spans="1:16">
      <c r="A35" s="122"/>
      <c r="B35" s="138"/>
      <c r="C35" s="138"/>
      <c r="D35" s="138"/>
      <c r="E35" s="138"/>
      <c r="F35" s="138"/>
      <c r="G35" s="138"/>
      <c r="H35" s="138"/>
      <c r="I35" s="138"/>
      <c r="J35" s="138"/>
      <c r="K35" s="170" t="s">
        <v>84</v>
      </c>
      <c r="L35" s="170"/>
      <c r="M35" s="142">
        <f>SUM(M33:M34)</f>
        <v>2.3519999999999999E-2</v>
      </c>
      <c r="N35" s="138"/>
      <c r="O35" s="138"/>
    </row>
    <row r="36" spans="1:16">
      <c r="A36" s="122"/>
      <c r="B36" s="138"/>
      <c r="C36" s="138"/>
      <c r="D36" s="138"/>
      <c r="E36" s="138"/>
      <c r="F36" s="138"/>
      <c r="G36" s="138"/>
      <c r="H36" s="138"/>
      <c r="I36" s="138"/>
      <c r="J36" s="138"/>
      <c r="K36" s="167" t="s">
        <v>139</v>
      </c>
      <c r="L36" s="167"/>
      <c r="M36" s="142">
        <v>7850</v>
      </c>
      <c r="N36" s="138"/>
      <c r="O36" s="138"/>
    </row>
    <row r="37" spans="1:16">
      <c r="A37" s="122"/>
      <c r="B37" s="138"/>
      <c r="C37" s="138"/>
      <c r="D37" s="138"/>
      <c r="E37" s="138"/>
      <c r="F37" s="138"/>
      <c r="G37" s="138"/>
      <c r="H37" s="138"/>
      <c r="I37" s="138"/>
      <c r="J37" s="138"/>
      <c r="K37" s="167" t="s">
        <v>140</v>
      </c>
      <c r="L37" s="167"/>
      <c r="M37" s="142">
        <f>M35*M36</f>
        <v>184.63200000000001</v>
      </c>
      <c r="N37" s="138"/>
      <c r="O37" s="138"/>
    </row>
    <row r="38" spans="1:16">
      <c r="A38" s="122"/>
      <c r="B38" s="138"/>
      <c r="C38" s="138"/>
      <c r="D38" s="138"/>
      <c r="E38" s="138"/>
      <c r="F38" s="138"/>
      <c r="G38" s="138"/>
      <c r="H38" s="138"/>
      <c r="I38" s="138"/>
      <c r="J38" s="138"/>
      <c r="K38" s="167" t="s">
        <v>141</v>
      </c>
      <c r="L38" s="167"/>
      <c r="M38" s="142">
        <f>M37/1000</f>
        <v>0.18463200000000002</v>
      </c>
      <c r="N38" s="122" t="s">
        <v>38</v>
      </c>
      <c r="O38" s="138"/>
    </row>
    <row r="39" spans="1:16">
      <c r="A39" s="128"/>
      <c r="B39" s="143"/>
      <c r="C39" s="143"/>
      <c r="D39" s="143"/>
      <c r="E39" s="143"/>
      <c r="F39" s="143"/>
      <c r="G39" s="143"/>
      <c r="H39" s="143"/>
      <c r="I39" s="143"/>
      <c r="J39" s="143"/>
      <c r="K39" s="143"/>
      <c r="L39" s="143"/>
      <c r="M39" s="145"/>
      <c r="N39" s="143"/>
      <c r="O39" s="143"/>
    </row>
    <row r="40" spans="1:16" s="83" customFormat="1">
      <c r="A40" s="133">
        <v>4</v>
      </c>
      <c r="B40" s="134" t="s">
        <v>144</v>
      </c>
      <c r="C40" s="134"/>
      <c r="D40" s="134"/>
      <c r="E40" s="147"/>
      <c r="F40" s="147"/>
      <c r="G40" s="147"/>
      <c r="H40" s="148"/>
      <c r="I40" s="135"/>
      <c r="J40" s="135"/>
      <c r="K40" s="135"/>
      <c r="L40" s="135"/>
      <c r="M40" s="137"/>
      <c r="N40" s="135"/>
      <c r="O40" s="135"/>
      <c r="P40" s="106"/>
    </row>
    <row r="41" spans="1:16">
      <c r="A41" s="122"/>
      <c r="B41" s="138"/>
      <c r="C41" s="138"/>
      <c r="D41" s="118" t="s">
        <v>145</v>
      </c>
      <c r="E41" s="123"/>
      <c r="F41" s="123">
        <v>102.102</v>
      </c>
      <c r="G41" s="123">
        <v>104.102</v>
      </c>
      <c r="H41" s="118">
        <v>2</v>
      </c>
      <c r="I41" s="118">
        <v>1</v>
      </c>
      <c r="J41" s="118">
        <v>3.14</v>
      </c>
      <c r="K41" s="118">
        <f>0.03*0.03</f>
        <v>8.9999999999999998E-4</v>
      </c>
      <c r="L41" s="123">
        <v>6.24</v>
      </c>
      <c r="M41" s="140">
        <f>H41*I41*J41*K41*L41</f>
        <v>3.5268479999999998E-2</v>
      </c>
      <c r="N41" s="138"/>
      <c r="O41" s="138"/>
    </row>
    <row r="42" spans="1:16">
      <c r="A42" s="122"/>
      <c r="B42" s="138"/>
      <c r="C42" s="138"/>
      <c r="D42" s="138"/>
      <c r="E42" s="138"/>
      <c r="F42" s="138"/>
      <c r="G42" s="138"/>
      <c r="H42" s="138"/>
      <c r="I42" s="138"/>
      <c r="J42" s="138"/>
      <c r="K42" s="170" t="s">
        <v>84</v>
      </c>
      <c r="L42" s="170"/>
      <c r="M42" s="142">
        <f>SUM(M41)</f>
        <v>3.5268479999999998E-2</v>
      </c>
      <c r="N42" s="138"/>
      <c r="O42" s="138"/>
    </row>
    <row r="43" spans="1:16">
      <c r="A43" s="122"/>
      <c r="B43" s="138"/>
      <c r="C43" s="138"/>
      <c r="D43" s="138"/>
      <c r="E43" s="138"/>
      <c r="F43" s="138"/>
      <c r="G43" s="138"/>
      <c r="H43" s="138"/>
      <c r="I43" s="138"/>
      <c r="J43" s="138"/>
      <c r="K43" s="167" t="s">
        <v>139</v>
      </c>
      <c r="L43" s="167"/>
      <c r="M43" s="142">
        <v>7850</v>
      </c>
      <c r="N43" s="138"/>
      <c r="O43" s="138"/>
    </row>
    <row r="44" spans="1:16">
      <c r="A44" s="122"/>
      <c r="B44" s="138"/>
      <c r="C44" s="138"/>
      <c r="D44" s="138"/>
      <c r="E44" s="138"/>
      <c r="F44" s="138"/>
      <c r="G44" s="138"/>
      <c r="H44" s="138"/>
      <c r="I44" s="138"/>
      <c r="J44" s="138"/>
      <c r="K44" s="167" t="s">
        <v>140</v>
      </c>
      <c r="L44" s="167"/>
      <c r="M44" s="142">
        <f>M42*M43</f>
        <v>276.85756799999996</v>
      </c>
      <c r="N44" s="138"/>
      <c r="O44" s="138"/>
    </row>
    <row r="45" spans="1:16">
      <c r="A45" s="122"/>
      <c r="B45" s="138"/>
      <c r="C45" s="138"/>
      <c r="D45" s="138"/>
      <c r="E45" s="138"/>
      <c r="F45" s="138"/>
      <c r="G45" s="138"/>
      <c r="H45" s="138"/>
      <c r="I45" s="138"/>
      <c r="J45" s="138"/>
      <c r="K45" s="167" t="s">
        <v>141</v>
      </c>
      <c r="L45" s="167"/>
      <c r="M45" s="142">
        <f>M44/1000</f>
        <v>0.27685756799999994</v>
      </c>
      <c r="N45" s="122" t="s">
        <v>38</v>
      </c>
      <c r="O45" s="150" t="s">
        <v>218</v>
      </c>
    </row>
    <row r="46" spans="1:16">
      <c r="A46" s="128"/>
      <c r="B46" s="143"/>
      <c r="C46" s="143"/>
      <c r="D46" s="143"/>
      <c r="E46" s="143"/>
      <c r="F46" s="143"/>
      <c r="G46" s="143"/>
      <c r="H46" s="143"/>
      <c r="I46" s="143"/>
      <c r="J46" s="143"/>
      <c r="K46" s="143"/>
      <c r="L46" s="143"/>
      <c r="M46" s="145"/>
      <c r="N46" s="143"/>
      <c r="O46" s="143"/>
    </row>
    <row r="47" spans="1:16" s="83" customFormat="1">
      <c r="A47" s="133">
        <v>5</v>
      </c>
      <c r="B47" s="168" t="s">
        <v>146</v>
      </c>
      <c r="C47" s="168"/>
      <c r="D47" s="168"/>
      <c r="E47" s="135"/>
      <c r="F47" s="135"/>
      <c r="G47" s="135"/>
      <c r="H47" s="135"/>
      <c r="I47" s="135"/>
      <c r="J47" s="135"/>
      <c r="K47" s="135"/>
      <c r="L47" s="135"/>
      <c r="M47" s="137"/>
      <c r="N47" s="135"/>
      <c r="O47" s="136"/>
      <c r="P47" s="106"/>
    </row>
    <row r="48" spans="1:16">
      <c r="A48" s="122"/>
      <c r="B48" s="138"/>
      <c r="C48" s="138"/>
      <c r="D48" s="118" t="s">
        <v>147</v>
      </c>
      <c r="E48" s="123"/>
      <c r="F48" s="118">
        <v>102.102</v>
      </c>
      <c r="G48" s="118">
        <f>102.102-0.75</f>
        <v>101.352</v>
      </c>
      <c r="H48" s="118">
        <v>2</v>
      </c>
      <c r="I48" s="118">
        <v>1</v>
      </c>
      <c r="J48" s="118">
        <f>3</f>
        <v>3</v>
      </c>
      <c r="K48" s="118"/>
      <c r="L48" s="118">
        <f>F48-G48</f>
        <v>0.75</v>
      </c>
      <c r="M48" s="120">
        <f>PRODUCT(H48:L48)</f>
        <v>4.5</v>
      </c>
      <c r="N48" s="138"/>
      <c r="O48" s="139"/>
    </row>
    <row r="49" spans="1:15">
      <c r="A49" s="122"/>
      <c r="B49" s="138"/>
      <c r="C49" s="138"/>
      <c r="D49" s="118" t="s">
        <v>147</v>
      </c>
      <c r="E49" s="123"/>
      <c r="F49" s="118">
        <v>102.102</v>
      </c>
      <c r="G49" s="118">
        <v>101.352</v>
      </c>
      <c r="H49" s="118">
        <v>2</v>
      </c>
      <c r="I49" s="118">
        <v>2</v>
      </c>
      <c r="J49" s="118">
        <v>1.35</v>
      </c>
      <c r="K49" s="118"/>
      <c r="L49" s="118">
        <f>F49-G49</f>
        <v>0.75</v>
      </c>
      <c r="M49" s="120">
        <f t="shared" ref="M49:M64" si="3">PRODUCT(H49:L49)</f>
        <v>4.0500000000000007</v>
      </c>
      <c r="N49" s="138"/>
      <c r="O49" s="139"/>
    </row>
    <row r="50" spans="1:15">
      <c r="A50" s="122"/>
      <c r="B50" s="138"/>
      <c r="C50" s="138"/>
      <c r="D50" s="118" t="s">
        <v>148</v>
      </c>
      <c r="E50" s="123"/>
      <c r="F50" s="118">
        <v>102.102</v>
      </c>
      <c r="G50" s="118">
        <v>101.352</v>
      </c>
      <c r="H50" s="118">
        <v>4</v>
      </c>
      <c r="I50" s="118">
        <v>0.5</v>
      </c>
      <c r="J50" s="118">
        <v>0.75</v>
      </c>
      <c r="K50" s="118"/>
      <c r="L50" s="118">
        <v>0.75</v>
      </c>
      <c r="M50" s="120">
        <f t="shared" si="3"/>
        <v>1.125</v>
      </c>
      <c r="N50" s="138"/>
      <c r="O50" s="139"/>
    </row>
    <row r="51" spans="1:15">
      <c r="A51" s="122"/>
      <c r="B51" s="138"/>
      <c r="C51" s="138"/>
      <c r="D51" s="118" t="s">
        <v>149</v>
      </c>
      <c r="E51" s="123"/>
      <c r="F51" s="118">
        <v>102.102</v>
      </c>
      <c r="G51" s="118">
        <v>101.352</v>
      </c>
      <c r="H51" s="118">
        <v>2</v>
      </c>
      <c r="I51" s="118">
        <v>1</v>
      </c>
      <c r="J51" s="118">
        <v>1.06</v>
      </c>
      <c r="K51" s="118"/>
      <c r="L51" s="118">
        <v>3</v>
      </c>
      <c r="M51" s="120">
        <f t="shared" si="3"/>
        <v>6.36</v>
      </c>
      <c r="N51" s="138"/>
      <c r="O51" s="138"/>
    </row>
    <row r="52" spans="1:15">
      <c r="A52" s="122"/>
      <c r="B52" s="138"/>
      <c r="C52" s="138"/>
      <c r="D52" s="118" t="s">
        <v>150</v>
      </c>
      <c r="E52" s="123"/>
      <c r="F52" s="118">
        <v>104.102</v>
      </c>
      <c r="G52" s="118">
        <v>102.102</v>
      </c>
      <c r="H52" s="118">
        <v>2</v>
      </c>
      <c r="I52" s="118">
        <v>1</v>
      </c>
      <c r="J52" s="118">
        <f>4.1+0.15+0.15+1.2+1.2</f>
        <v>6.8000000000000007</v>
      </c>
      <c r="K52" s="118"/>
      <c r="L52" s="118">
        <f>F52-G52</f>
        <v>2</v>
      </c>
      <c r="M52" s="120">
        <f t="shared" si="3"/>
        <v>27.200000000000003</v>
      </c>
      <c r="N52" s="138"/>
      <c r="O52" s="139"/>
    </row>
    <row r="53" spans="1:15">
      <c r="A53" s="122"/>
      <c r="B53" s="123"/>
      <c r="C53" s="123"/>
      <c r="D53" s="118" t="s">
        <v>151</v>
      </c>
      <c r="E53" s="123"/>
      <c r="F53" s="118">
        <v>104.102</v>
      </c>
      <c r="G53" s="118">
        <v>102.102</v>
      </c>
      <c r="H53" s="118">
        <v>2</v>
      </c>
      <c r="I53" s="118">
        <v>1</v>
      </c>
      <c r="J53" s="118">
        <v>3</v>
      </c>
      <c r="K53" s="118"/>
      <c r="L53" s="118">
        <v>2</v>
      </c>
      <c r="M53" s="120">
        <f t="shared" si="3"/>
        <v>12</v>
      </c>
      <c r="N53" s="123"/>
      <c r="O53" s="125"/>
    </row>
    <row r="54" spans="1:15">
      <c r="A54" s="122"/>
      <c r="B54" s="123"/>
      <c r="C54" s="123"/>
      <c r="D54" s="118" t="s">
        <v>152</v>
      </c>
      <c r="E54" s="123"/>
      <c r="F54" s="118">
        <v>102.102</v>
      </c>
      <c r="G54" s="118">
        <v>102.102</v>
      </c>
      <c r="H54" s="118">
        <v>1</v>
      </c>
      <c r="I54" s="118">
        <v>1</v>
      </c>
      <c r="J54" s="118">
        <f>4.1+0.15+0.15-0.75-0.75</f>
        <v>2.9000000000000004</v>
      </c>
      <c r="K54" s="118"/>
      <c r="L54" s="118">
        <v>3</v>
      </c>
      <c r="M54" s="120">
        <f t="shared" si="3"/>
        <v>8.7000000000000011</v>
      </c>
      <c r="N54" s="123"/>
      <c r="O54" s="125"/>
    </row>
    <row r="55" spans="1:15">
      <c r="A55" s="122"/>
      <c r="B55" s="123"/>
      <c r="C55" s="123"/>
      <c r="D55" s="151" t="s">
        <v>153</v>
      </c>
      <c r="E55" s="123"/>
      <c r="F55" s="151"/>
      <c r="G55" s="151"/>
      <c r="H55" s="151">
        <v>2</v>
      </c>
      <c r="I55" s="151">
        <v>1</v>
      </c>
      <c r="J55" s="151">
        <v>1.06</v>
      </c>
      <c r="K55" s="151"/>
      <c r="L55" s="151">
        <v>0.75</v>
      </c>
      <c r="M55" s="120">
        <f t="shared" si="3"/>
        <v>1.59</v>
      </c>
      <c r="N55" s="123"/>
      <c r="O55" s="125"/>
    </row>
    <row r="56" spans="1:15">
      <c r="A56" s="122"/>
      <c r="B56" s="123"/>
      <c r="C56" s="123"/>
      <c r="D56" s="118" t="s">
        <v>154</v>
      </c>
      <c r="E56" s="123"/>
      <c r="F56" s="118">
        <v>103.08799999999999</v>
      </c>
      <c r="G56" s="118">
        <f>103.088-0.45</f>
        <v>102.63799999999999</v>
      </c>
      <c r="H56" s="118">
        <v>4</v>
      </c>
      <c r="I56" s="118">
        <v>2</v>
      </c>
      <c r="J56" s="118">
        <v>0.6</v>
      </c>
      <c r="K56" s="118"/>
      <c r="L56" s="118">
        <v>0.45</v>
      </c>
      <c r="M56" s="120">
        <f t="shared" si="3"/>
        <v>2.16</v>
      </c>
      <c r="N56" s="123"/>
      <c r="O56" s="125"/>
    </row>
    <row r="57" spans="1:15">
      <c r="A57" s="122"/>
      <c r="B57" s="123"/>
      <c r="C57" s="123"/>
      <c r="D57" s="118" t="s">
        <v>155</v>
      </c>
      <c r="E57" s="123"/>
      <c r="F57" s="118">
        <v>103.08799999999999</v>
      </c>
      <c r="G57" s="118">
        <f>103.088-0.45</f>
        <v>102.63799999999999</v>
      </c>
      <c r="H57" s="118">
        <v>4</v>
      </c>
      <c r="I57" s="118">
        <v>1</v>
      </c>
      <c r="J57" s="118">
        <v>0.45</v>
      </c>
      <c r="K57" s="118"/>
      <c r="L57" s="118">
        <v>0.6</v>
      </c>
      <c r="M57" s="120">
        <f t="shared" si="3"/>
        <v>1.08</v>
      </c>
      <c r="N57" s="123"/>
      <c r="O57" s="125"/>
    </row>
    <row r="58" spans="1:15">
      <c r="A58" s="122"/>
      <c r="B58" s="123"/>
      <c r="C58" s="123"/>
      <c r="D58" s="118" t="s">
        <v>156</v>
      </c>
      <c r="E58" s="123"/>
      <c r="F58" s="118">
        <v>102.63800000000001</v>
      </c>
      <c r="G58" s="118">
        <f>102.638-0.4</f>
        <v>102.238</v>
      </c>
      <c r="H58" s="118">
        <v>4</v>
      </c>
      <c r="I58" s="118">
        <v>1</v>
      </c>
      <c r="J58" s="118">
        <v>0.72099999999999997</v>
      </c>
      <c r="K58" s="118"/>
      <c r="L58" s="118">
        <v>0.6</v>
      </c>
      <c r="M58" s="120">
        <f t="shared" si="3"/>
        <v>1.7303999999999999</v>
      </c>
      <c r="N58" s="123"/>
      <c r="O58" s="123"/>
    </row>
    <row r="59" spans="1:15">
      <c r="A59" s="122"/>
      <c r="B59" s="123"/>
      <c r="C59" s="123"/>
      <c r="D59" s="118" t="s">
        <v>157</v>
      </c>
      <c r="E59" s="123"/>
      <c r="F59" s="118"/>
      <c r="G59" s="118"/>
      <c r="H59" s="118">
        <v>8</v>
      </c>
      <c r="I59" s="118">
        <v>0.5</v>
      </c>
      <c r="J59" s="118">
        <v>0.6</v>
      </c>
      <c r="K59" s="118"/>
      <c r="L59" s="118">
        <v>0.4</v>
      </c>
      <c r="M59" s="120">
        <f t="shared" si="3"/>
        <v>0.96</v>
      </c>
      <c r="N59" s="123"/>
      <c r="O59" s="123"/>
    </row>
    <row r="60" spans="1:15">
      <c r="A60" s="122"/>
      <c r="B60" s="123"/>
      <c r="C60" s="123"/>
      <c r="D60" s="118" t="s">
        <v>158</v>
      </c>
      <c r="E60" s="123"/>
      <c r="F60" s="118">
        <v>103.04900000000001</v>
      </c>
      <c r="G60" s="118">
        <f>103.049-0.7</f>
        <v>102.349</v>
      </c>
      <c r="H60" s="118">
        <v>2</v>
      </c>
      <c r="I60" s="118">
        <v>2</v>
      </c>
      <c r="J60" s="118">
        <v>0.9</v>
      </c>
      <c r="K60" s="118"/>
      <c r="L60" s="118">
        <v>0.7</v>
      </c>
      <c r="M60" s="120">
        <f t="shared" si="3"/>
        <v>2.52</v>
      </c>
      <c r="N60" s="123"/>
      <c r="O60" s="123"/>
    </row>
    <row r="61" spans="1:15">
      <c r="A61" s="122"/>
      <c r="B61" s="123" t="s">
        <v>159</v>
      </c>
      <c r="C61" s="123"/>
      <c r="D61" s="118" t="s">
        <v>160</v>
      </c>
      <c r="E61" s="123"/>
      <c r="F61" s="118">
        <v>103.04900000000001</v>
      </c>
      <c r="G61" s="118">
        <f>103.049-0.7</f>
        <v>102.349</v>
      </c>
      <c r="H61" s="118">
        <v>2</v>
      </c>
      <c r="I61" s="118">
        <v>1</v>
      </c>
      <c r="J61" s="118">
        <v>0.7</v>
      </c>
      <c r="K61" s="118"/>
      <c r="L61" s="118">
        <v>1</v>
      </c>
      <c r="M61" s="120">
        <f t="shared" si="3"/>
        <v>1.4</v>
      </c>
      <c r="N61" s="123"/>
      <c r="O61" s="123"/>
    </row>
    <row r="62" spans="1:15">
      <c r="A62" s="122"/>
      <c r="B62" s="123"/>
      <c r="C62" s="123"/>
      <c r="D62" s="118" t="s">
        <v>156</v>
      </c>
      <c r="E62" s="123"/>
      <c r="F62" s="118">
        <v>102.199</v>
      </c>
      <c r="G62" s="118">
        <f>102.199+0.4</f>
        <v>102.599</v>
      </c>
      <c r="H62" s="118">
        <v>2</v>
      </c>
      <c r="I62" s="118">
        <v>1</v>
      </c>
      <c r="J62" s="118">
        <v>1.077</v>
      </c>
      <c r="K62" s="118"/>
      <c r="L62" s="118">
        <v>1</v>
      </c>
      <c r="M62" s="120">
        <f t="shared" si="3"/>
        <v>2.1539999999999999</v>
      </c>
      <c r="N62" s="123"/>
      <c r="O62" s="123"/>
    </row>
    <row r="63" spans="1:15">
      <c r="A63" s="122"/>
      <c r="B63" s="123"/>
      <c r="C63" s="123"/>
      <c r="D63" s="118" t="s">
        <v>161</v>
      </c>
      <c r="E63" s="123"/>
      <c r="F63" s="118">
        <v>102.599</v>
      </c>
      <c r="G63" s="118">
        <v>102.199</v>
      </c>
      <c r="H63" s="118">
        <v>4</v>
      </c>
      <c r="I63" s="118">
        <v>0.5</v>
      </c>
      <c r="J63" s="118">
        <v>0.9</v>
      </c>
      <c r="K63" s="118"/>
      <c r="L63" s="118">
        <f>F63-G63</f>
        <v>0.40000000000000568</v>
      </c>
      <c r="M63" s="120">
        <f t="shared" si="3"/>
        <v>0.7200000000000103</v>
      </c>
      <c r="N63" s="123"/>
      <c r="O63" s="123"/>
    </row>
    <row r="64" spans="1:15">
      <c r="A64" s="122"/>
      <c r="B64" s="125" t="s">
        <v>128</v>
      </c>
      <c r="C64" s="152"/>
      <c r="D64" s="152" t="s">
        <v>162</v>
      </c>
      <c r="E64" s="123"/>
      <c r="F64" s="118">
        <v>105.991</v>
      </c>
      <c r="G64" s="118">
        <v>106.5</v>
      </c>
      <c r="H64" s="118">
        <v>6</v>
      </c>
      <c r="I64" s="118">
        <v>1</v>
      </c>
      <c r="J64" s="118">
        <f>1.1+1.1+0.85+0.85</f>
        <v>3.9000000000000004</v>
      </c>
      <c r="K64" s="118"/>
      <c r="L64" s="118">
        <f>G64-F64</f>
        <v>0.50900000000000034</v>
      </c>
      <c r="M64" s="120">
        <f t="shared" si="3"/>
        <v>11.910600000000009</v>
      </c>
      <c r="N64" s="125"/>
      <c r="O64" s="123"/>
    </row>
    <row r="65" spans="1:16">
      <c r="A65" s="122"/>
      <c r="B65" s="123"/>
      <c r="C65" s="123"/>
      <c r="D65" s="123"/>
      <c r="E65" s="123"/>
      <c r="F65" s="123"/>
      <c r="G65" s="123"/>
      <c r="H65" s="123"/>
      <c r="I65" s="123"/>
      <c r="J65" s="123"/>
      <c r="K65" s="172" t="s">
        <v>84</v>
      </c>
      <c r="L65" s="172"/>
      <c r="M65" s="153">
        <f>SUM(M48:M64)</f>
        <v>90.160000000000025</v>
      </c>
      <c r="N65" s="126" t="s">
        <v>163</v>
      </c>
      <c r="O65" s="123"/>
    </row>
    <row r="66" spans="1:16">
      <c r="A66" s="128"/>
      <c r="B66" s="129"/>
      <c r="C66" s="129"/>
      <c r="D66" s="129"/>
      <c r="E66" s="129"/>
      <c r="F66" s="129"/>
      <c r="G66" s="129"/>
      <c r="H66" s="129"/>
      <c r="I66" s="129"/>
      <c r="J66" s="129"/>
      <c r="K66" s="129"/>
      <c r="L66" s="129"/>
      <c r="M66" s="154"/>
      <c r="N66" s="155"/>
      <c r="O66" s="129"/>
    </row>
    <row r="67" spans="1:16" s="83" customFormat="1">
      <c r="A67" s="133">
        <v>6</v>
      </c>
      <c r="B67" s="168" t="s">
        <v>164</v>
      </c>
      <c r="C67" s="168"/>
      <c r="D67" s="168"/>
      <c r="E67" s="168"/>
      <c r="F67" s="168"/>
      <c r="G67" s="156"/>
      <c r="H67" s="156"/>
      <c r="I67" s="156"/>
      <c r="J67" s="156"/>
      <c r="K67" s="156"/>
      <c r="L67" s="156"/>
      <c r="M67" s="157"/>
      <c r="N67" s="158"/>
      <c r="O67" s="156"/>
      <c r="P67" s="106"/>
    </row>
    <row r="68" spans="1:16">
      <c r="A68" s="139"/>
      <c r="B68" s="123"/>
      <c r="C68" s="123"/>
      <c r="D68" s="118" t="s">
        <v>165</v>
      </c>
      <c r="E68" s="123"/>
      <c r="F68" s="125">
        <v>104.102</v>
      </c>
      <c r="G68" s="125">
        <f>104.102-1.13</f>
        <v>102.97200000000001</v>
      </c>
      <c r="H68" s="118">
        <v>10</v>
      </c>
      <c r="I68" s="118">
        <v>2</v>
      </c>
      <c r="J68" s="118">
        <f>0.25+0.25+0.25+0.25</f>
        <v>1</v>
      </c>
      <c r="K68" s="118"/>
      <c r="L68" s="118">
        <f>F68-G68</f>
        <v>1.1299999999999955</v>
      </c>
      <c r="M68" s="120">
        <f>L68*J68*I68*H68</f>
        <v>22.599999999999909</v>
      </c>
      <c r="N68" s="125"/>
      <c r="O68" s="123"/>
    </row>
    <row r="69" spans="1:16">
      <c r="A69" s="139"/>
      <c r="B69" s="123"/>
      <c r="C69" s="123"/>
      <c r="D69" s="123"/>
      <c r="E69" s="123"/>
      <c r="F69" s="123"/>
      <c r="G69" s="123"/>
      <c r="H69" s="123"/>
      <c r="I69" s="123"/>
      <c r="J69" s="123"/>
      <c r="K69" s="172" t="s">
        <v>84</v>
      </c>
      <c r="L69" s="172"/>
      <c r="M69" s="153">
        <f>SUM(M68)</f>
        <v>22.599999999999909</v>
      </c>
      <c r="N69" s="126" t="s">
        <v>163</v>
      </c>
      <c r="O69" s="159" t="s">
        <v>219</v>
      </c>
    </row>
    <row r="70" spans="1:16">
      <c r="A70" s="144"/>
      <c r="B70" s="129"/>
      <c r="C70" s="129"/>
      <c r="D70" s="129"/>
      <c r="E70" s="129"/>
      <c r="F70" s="129"/>
      <c r="G70" s="129"/>
      <c r="H70" s="129"/>
      <c r="I70" s="129"/>
      <c r="J70" s="129"/>
      <c r="K70" s="129"/>
      <c r="L70" s="129"/>
      <c r="M70" s="154"/>
      <c r="N70" s="129"/>
      <c r="O70" s="129"/>
    </row>
  </sheetData>
  <mergeCells count="26">
    <mergeCell ref="K65:L65"/>
    <mergeCell ref="B67:F67"/>
    <mergeCell ref="B47:D47"/>
    <mergeCell ref="K69:L69"/>
    <mergeCell ref="K38:L38"/>
    <mergeCell ref="K42:L42"/>
    <mergeCell ref="K43:L43"/>
    <mergeCell ref="K44:L44"/>
    <mergeCell ref="K45:L45"/>
    <mergeCell ref="F7:G7"/>
    <mergeCell ref="K37:L37"/>
    <mergeCell ref="K30:L30"/>
    <mergeCell ref="K31:L31"/>
    <mergeCell ref="A9:D9"/>
    <mergeCell ref="B10:D10"/>
    <mergeCell ref="K20:L20"/>
    <mergeCell ref="K28:L28"/>
    <mergeCell ref="K29:L29"/>
    <mergeCell ref="B33:D33"/>
    <mergeCell ref="K35:L35"/>
    <mergeCell ref="K36:L36"/>
    <mergeCell ref="A2:O2"/>
    <mergeCell ref="A3:D3"/>
    <mergeCell ref="A4:D4"/>
    <mergeCell ref="A5:D5"/>
    <mergeCell ref="A6:D6"/>
  </mergeCells>
  <printOptions horizontalCentered="1"/>
  <pageMargins left="0" right="0" top="0.5" bottom="0.5" header="0.3" footer="0.3"/>
  <pageSetup paperSize="9" scale="81" orientation="landscape"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2"/>
  <sheetViews>
    <sheetView topLeftCell="A10" workbookViewId="0">
      <selection activeCell="Q52" sqref="Q52"/>
    </sheetView>
  </sheetViews>
  <sheetFormatPr defaultRowHeight="15"/>
  <cols>
    <col min="1" max="2" width="14.85546875" customWidth="1"/>
    <col min="3" max="3" width="13.140625" customWidth="1"/>
    <col min="4" max="4" width="11.28515625"/>
    <col min="5" max="5" width="12" customWidth="1"/>
    <col min="6" max="6" width="9.5703125" customWidth="1"/>
    <col min="7" max="7" width="10" customWidth="1"/>
    <col min="8" max="8" width="9.7109375" customWidth="1"/>
    <col min="9" max="9" width="8.7109375" customWidth="1"/>
    <col min="10" max="10" width="7.85546875" customWidth="1"/>
    <col min="11" max="11" width="11.42578125" customWidth="1"/>
    <col min="12" max="12" width="8.140625" bestFit="1" customWidth="1"/>
    <col min="13" max="13" width="11.42578125" bestFit="1" customWidth="1"/>
    <col min="14" max="14" width="10.7109375" customWidth="1"/>
    <col min="15" max="15" width="9.28515625" customWidth="1"/>
    <col min="16" max="16" width="12.7109375" bestFit="1" customWidth="1"/>
    <col min="17" max="17" width="8.85546875" customWidth="1"/>
    <col min="18" max="18" width="9.28515625" customWidth="1"/>
    <col min="19" max="19" width="9" customWidth="1"/>
    <col min="20" max="20" width="12.140625" customWidth="1"/>
    <col min="21" max="21" width="13.28515625" customWidth="1"/>
    <col min="22" max="22" width="12.7109375" bestFit="1" customWidth="1"/>
  </cols>
  <sheetData>
    <row r="1" spans="1:23" ht="18.75">
      <c r="A1" s="173" t="s">
        <v>166</v>
      </c>
      <c r="B1" s="173"/>
      <c r="C1" s="173"/>
      <c r="D1" s="173"/>
      <c r="E1" s="173"/>
      <c r="F1" s="173"/>
      <c r="G1" s="173"/>
      <c r="H1" s="173"/>
      <c r="I1" s="173"/>
      <c r="J1" s="173"/>
      <c r="K1" s="173"/>
      <c r="L1" s="173"/>
      <c r="M1" s="173"/>
      <c r="N1" s="173"/>
      <c r="O1" s="173"/>
      <c r="P1" s="173"/>
      <c r="Q1" s="173"/>
      <c r="R1" s="173"/>
      <c r="S1" s="173"/>
      <c r="T1" s="173"/>
      <c r="U1" s="50"/>
      <c r="V1" s="50"/>
      <c r="W1" s="50"/>
    </row>
    <row r="2" spans="1:23" ht="15.75">
      <c r="A2" s="51" t="s">
        <v>167</v>
      </c>
      <c r="B2" s="51" t="s">
        <v>168</v>
      </c>
      <c r="C2" s="52" t="s">
        <v>169</v>
      </c>
      <c r="D2" s="174" t="s">
        <v>170</v>
      </c>
      <c r="E2" s="51" t="s">
        <v>171</v>
      </c>
      <c r="F2" s="174" t="s">
        <v>172</v>
      </c>
      <c r="G2" s="174"/>
      <c r="H2" s="174"/>
      <c r="I2" s="174"/>
      <c r="J2" s="174"/>
      <c r="K2" s="175" t="s">
        <v>173</v>
      </c>
      <c r="L2" s="174" t="s">
        <v>174</v>
      </c>
      <c r="M2" s="174"/>
      <c r="N2" s="174"/>
      <c r="O2" s="174" t="s">
        <v>175</v>
      </c>
      <c r="P2" s="174"/>
      <c r="Q2" s="174"/>
      <c r="R2" s="174"/>
      <c r="S2" s="174"/>
      <c r="T2" s="174"/>
      <c r="U2" s="50"/>
      <c r="V2" s="50"/>
      <c r="W2" s="50"/>
    </row>
    <row r="3" spans="1:23" ht="15.75">
      <c r="A3" s="53"/>
      <c r="B3" s="53"/>
      <c r="C3" s="54"/>
      <c r="D3" s="174"/>
      <c r="E3" s="51" t="s">
        <v>176</v>
      </c>
      <c r="F3" s="51" t="s">
        <v>177</v>
      </c>
      <c r="G3" s="51" t="s">
        <v>178</v>
      </c>
      <c r="H3" s="51" t="s">
        <v>179</v>
      </c>
      <c r="I3" s="51" t="s">
        <v>180</v>
      </c>
      <c r="J3" s="51" t="s">
        <v>181</v>
      </c>
      <c r="K3" s="175"/>
      <c r="L3" s="55" t="s">
        <v>182</v>
      </c>
      <c r="M3" s="55" t="s">
        <v>183</v>
      </c>
      <c r="N3" s="55" t="s">
        <v>184</v>
      </c>
      <c r="O3" s="55">
        <v>8</v>
      </c>
      <c r="P3" s="55">
        <v>10</v>
      </c>
      <c r="Q3" s="55">
        <v>12</v>
      </c>
      <c r="R3" s="55">
        <v>16</v>
      </c>
      <c r="S3" s="55">
        <v>20</v>
      </c>
      <c r="T3" s="55">
        <v>25</v>
      </c>
      <c r="U3" s="56">
        <v>32</v>
      </c>
      <c r="V3" s="56">
        <v>60</v>
      </c>
      <c r="W3" s="50"/>
    </row>
    <row r="4" spans="1:23" ht="15.75">
      <c r="A4" s="57" t="s">
        <v>159</v>
      </c>
      <c r="B4" s="58"/>
      <c r="C4" s="59"/>
      <c r="D4" s="51"/>
      <c r="E4" s="51"/>
      <c r="F4" s="51"/>
      <c r="G4" s="51"/>
      <c r="H4" s="51"/>
      <c r="I4" s="51"/>
      <c r="J4" s="51"/>
      <c r="K4" s="60">
        <f t="shared" ref="K4:K37" si="0">J4+I4+H4+G4+F4</f>
        <v>0</v>
      </c>
      <c r="L4" s="55"/>
      <c r="M4" s="55"/>
      <c r="N4" s="61">
        <f t="shared" ref="N4:N37" si="1">M4*L4</f>
        <v>0</v>
      </c>
      <c r="O4" s="62"/>
      <c r="P4" s="62"/>
      <c r="Q4" s="62"/>
      <c r="R4" s="62"/>
      <c r="S4" s="62"/>
      <c r="T4" s="62"/>
      <c r="U4" s="62"/>
      <c r="V4" s="62"/>
      <c r="W4" s="50"/>
    </row>
    <row r="5" spans="1:23" ht="15.75">
      <c r="A5" s="179" t="s">
        <v>185</v>
      </c>
      <c r="B5" s="180"/>
      <c r="C5" s="181"/>
      <c r="D5" s="51"/>
      <c r="E5" s="61">
        <v>32</v>
      </c>
      <c r="F5" s="61">
        <v>1.34</v>
      </c>
      <c r="G5" s="61">
        <f>6.8-0.08</f>
        <v>6.72</v>
      </c>
      <c r="H5" s="61">
        <v>1.34</v>
      </c>
      <c r="I5" s="61"/>
      <c r="J5" s="61"/>
      <c r="K5" s="60">
        <f t="shared" si="0"/>
        <v>9.4</v>
      </c>
      <c r="L5" s="61">
        <v>21</v>
      </c>
      <c r="M5" s="61">
        <v>1</v>
      </c>
      <c r="N5" s="61">
        <f t="shared" si="1"/>
        <v>21</v>
      </c>
      <c r="O5" s="63" t="str">
        <f t="shared" ref="O5:V20" ca="1" si="2">IF($E5=(O$10),(($K5*$N5)),"-")</f>
        <v>-</v>
      </c>
      <c r="P5" s="63" t="str">
        <f t="shared" ca="1" si="2"/>
        <v>-</v>
      </c>
      <c r="Q5" s="63" t="str">
        <f t="shared" ca="1" si="2"/>
        <v>-</v>
      </c>
      <c r="R5" s="63" t="str">
        <f t="shared" ca="1" si="2"/>
        <v>-</v>
      </c>
      <c r="S5" s="63" t="str">
        <f t="shared" ca="1" si="2"/>
        <v>-</v>
      </c>
      <c r="T5" s="63" t="str">
        <f t="shared" ca="1" si="2"/>
        <v>-</v>
      </c>
      <c r="U5" s="63">
        <f t="shared" ca="1" si="2"/>
        <v>197.4</v>
      </c>
      <c r="V5" s="63" t="str">
        <f t="shared" ca="1" si="2"/>
        <v>-</v>
      </c>
      <c r="W5" s="50"/>
    </row>
    <row r="6" spans="1:23" ht="15.75">
      <c r="A6" s="176" t="s">
        <v>186</v>
      </c>
      <c r="B6" s="177"/>
      <c r="C6" s="178"/>
      <c r="D6" s="51"/>
      <c r="E6" s="61">
        <v>25</v>
      </c>
      <c r="F6" s="61"/>
      <c r="G6" s="61">
        <v>6.72</v>
      </c>
      <c r="H6" s="61"/>
      <c r="I6" s="61"/>
      <c r="J6" s="61"/>
      <c r="K6" s="60">
        <f t="shared" si="0"/>
        <v>6.72</v>
      </c>
      <c r="L6" s="61">
        <v>21</v>
      </c>
      <c r="M6" s="61">
        <v>1</v>
      </c>
      <c r="N6" s="61">
        <f t="shared" si="1"/>
        <v>21</v>
      </c>
      <c r="O6" s="63" t="str">
        <f t="shared" ca="1" si="2"/>
        <v>-</v>
      </c>
      <c r="P6" s="63" t="str">
        <f t="shared" ca="1" si="2"/>
        <v>-</v>
      </c>
      <c r="Q6" s="63" t="str">
        <f t="shared" ca="1" si="2"/>
        <v>-</v>
      </c>
      <c r="R6" s="63" t="str">
        <f t="shared" ca="1" si="2"/>
        <v>-</v>
      </c>
      <c r="S6" s="63" t="str">
        <f t="shared" ca="1" si="2"/>
        <v>-</v>
      </c>
      <c r="T6" s="63">
        <f t="shared" ca="1" si="2"/>
        <v>141.12</v>
      </c>
      <c r="U6" s="63" t="str">
        <f t="shared" ca="1" si="2"/>
        <v>-</v>
      </c>
      <c r="V6" s="63" t="str">
        <f t="shared" ca="1" si="2"/>
        <v>-</v>
      </c>
      <c r="W6" s="50"/>
    </row>
    <row r="7" spans="1:23" ht="15.75">
      <c r="A7" s="176" t="s">
        <v>187</v>
      </c>
      <c r="B7" s="177"/>
      <c r="C7" s="178"/>
      <c r="D7" s="51"/>
      <c r="E7" s="61">
        <v>32</v>
      </c>
      <c r="F7" s="61">
        <v>1.34</v>
      </c>
      <c r="G7" s="61">
        <f>3-0.08</f>
        <v>2.92</v>
      </c>
      <c r="H7" s="61">
        <v>1.86</v>
      </c>
      <c r="I7" s="61"/>
      <c r="J7" s="61"/>
      <c r="K7" s="60">
        <f t="shared" si="0"/>
        <v>6.12</v>
      </c>
      <c r="L7" s="61">
        <v>46</v>
      </c>
      <c r="M7" s="61">
        <v>1</v>
      </c>
      <c r="N7" s="61">
        <f t="shared" si="1"/>
        <v>46</v>
      </c>
      <c r="O7" s="63" t="str">
        <f t="shared" ca="1" si="2"/>
        <v>-</v>
      </c>
      <c r="P7" s="63" t="str">
        <f t="shared" ca="1" si="2"/>
        <v>-</v>
      </c>
      <c r="Q7" s="63" t="str">
        <f t="shared" ca="1" si="2"/>
        <v>-</v>
      </c>
      <c r="R7" s="63" t="str">
        <f t="shared" ca="1" si="2"/>
        <v>-</v>
      </c>
      <c r="S7" s="63" t="str">
        <f t="shared" ca="1" si="2"/>
        <v>-</v>
      </c>
      <c r="T7" s="63" t="str">
        <f t="shared" ca="1" si="2"/>
        <v>-</v>
      </c>
      <c r="U7" s="63">
        <f t="shared" ca="1" si="2"/>
        <v>281.52</v>
      </c>
      <c r="V7" s="63" t="str">
        <f t="shared" ca="1" si="2"/>
        <v>-</v>
      </c>
      <c r="W7" s="50"/>
    </row>
    <row r="8" spans="1:23" ht="15.75">
      <c r="A8" s="57"/>
      <c r="B8" s="58" t="s">
        <v>188</v>
      </c>
      <c r="C8" s="59"/>
      <c r="D8" s="51"/>
      <c r="E8" s="61">
        <v>32</v>
      </c>
      <c r="F8" s="61">
        <v>1.34</v>
      </c>
      <c r="G8" s="61">
        <v>2.92</v>
      </c>
      <c r="H8" s="61">
        <v>1.86</v>
      </c>
      <c r="I8" s="61"/>
      <c r="J8" s="61"/>
      <c r="K8" s="60">
        <f t="shared" si="0"/>
        <v>6.12</v>
      </c>
      <c r="L8" s="61">
        <v>46</v>
      </c>
      <c r="M8" s="61">
        <v>1</v>
      </c>
      <c r="N8" s="61">
        <f t="shared" si="1"/>
        <v>46</v>
      </c>
      <c r="O8" s="63" t="str">
        <f t="shared" ca="1" si="2"/>
        <v>-</v>
      </c>
      <c r="P8" s="63" t="str">
        <f t="shared" ca="1" si="2"/>
        <v>-</v>
      </c>
      <c r="Q8" s="63" t="str">
        <f t="shared" ca="1" si="2"/>
        <v>-</v>
      </c>
      <c r="R8" s="63" t="str">
        <f t="shared" ca="1" si="2"/>
        <v>-</v>
      </c>
      <c r="S8" s="63" t="str">
        <f t="shared" ca="1" si="2"/>
        <v>-</v>
      </c>
      <c r="T8" s="63" t="str">
        <f t="shared" ca="1" si="2"/>
        <v>-</v>
      </c>
      <c r="U8" s="63">
        <f t="shared" ca="1" si="2"/>
        <v>281.52</v>
      </c>
      <c r="V8" s="63" t="str">
        <f t="shared" ca="1" si="2"/>
        <v>-</v>
      </c>
      <c r="W8" s="50"/>
    </row>
    <row r="9" spans="1:23" ht="15.75">
      <c r="A9" s="176" t="s">
        <v>189</v>
      </c>
      <c r="B9" s="177"/>
      <c r="C9" s="178"/>
      <c r="D9" s="51"/>
      <c r="E9" s="61">
        <v>32</v>
      </c>
      <c r="F9" s="61">
        <v>1.34</v>
      </c>
      <c r="G9" s="61">
        <f>6.8-0.08</f>
        <v>6.72</v>
      </c>
      <c r="H9" s="61">
        <v>1.34</v>
      </c>
      <c r="I9" s="61"/>
      <c r="J9" s="61"/>
      <c r="K9" s="60">
        <f t="shared" si="0"/>
        <v>9.4</v>
      </c>
      <c r="L9" s="61">
        <v>21</v>
      </c>
      <c r="M9" s="61">
        <v>1</v>
      </c>
      <c r="N9" s="61">
        <f t="shared" si="1"/>
        <v>21</v>
      </c>
      <c r="O9" s="63" t="str">
        <f t="shared" ca="1" si="2"/>
        <v>-</v>
      </c>
      <c r="P9" s="63" t="str">
        <f t="shared" ca="1" si="2"/>
        <v>-</v>
      </c>
      <c r="Q9" s="63" t="str">
        <f t="shared" ca="1" si="2"/>
        <v>-</v>
      </c>
      <c r="R9" s="63" t="str">
        <f t="shared" ca="1" si="2"/>
        <v>-</v>
      </c>
      <c r="S9" s="63" t="str">
        <f t="shared" ca="1" si="2"/>
        <v>-</v>
      </c>
      <c r="T9" s="63" t="str">
        <f t="shared" ca="1" si="2"/>
        <v>-</v>
      </c>
      <c r="U9" s="63">
        <f t="shared" ca="1" si="2"/>
        <v>197.4</v>
      </c>
      <c r="V9" s="63" t="str">
        <f t="shared" ca="1" si="2"/>
        <v>-</v>
      </c>
      <c r="W9" s="50"/>
    </row>
    <row r="10" spans="1:23" ht="15.75">
      <c r="A10" s="57"/>
      <c r="B10" s="58" t="s">
        <v>190</v>
      </c>
      <c r="C10" s="59"/>
      <c r="D10" s="51"/>
      <c r="E10" s="61">
        <v>16</v>
      </c>
      <c r="F10" s="64">
        <v>0.55000000000000004</v>
      </c>
      <c r="G10" s="61">
        <f>2-0.08</f>
        <v>1.92</v>
      </c>
      <c r="H10" s="61">
        <v>0.55000000000000004</v>
      </c>
      <c r="I10" s="61">
        <v>1.92</v>
      </c>
      <c r="J10" s="61">
        <v>0.2</v>
      </c>
      <c r="K10" s="60">
        <f t="shared" si="0"/>
        <v>5.14</v>
      </c>
      <c r="L10" s="61">
        <v>46</v>
      </c>
      <c r="M10" s="61">
        <v>2</v>
      </c>
      <c r="N10" s="61">
        <f t="shared" si="1"/>
        <v>92</v>
      </c>
      <c r="O10" s="63" t="str">
        <f t="shared" ca="1" si="2"/>
        <v>-</v>
      </c>
      <c r="P10" s="63" t="str">
        <f t="shared" ca="1" si="2"/>
        <v>-</v>
      </c>
      <c r="Q10" s="63" t="str">
        <f t="shared" ca="1" si="2"/>
        <v>-</v>
      </c>
      <c r="R10" s="63">
        <f t="shared" ca="1" si="2"/>
        <v>472.88</v>
      </c>
      <c r="S10" s="63" t="str">
        <f t="shared" ca="1" si="2"/>
        <v>-</v>
      </c>
      <c r="T10" s="63" t="str">
        <f t="shared" ca="1" si="2"/>
        <v>-</v>
      </c>
      <c r="U10" s="63" t="str">
        <f t="shared" ca="1" si="2"/>
        <v>-</v>
      </c>
      <c r="V10" s="63" t="str">
        <f t="shared" ca="1" si="2"/>
        <v>-</v>
      </c>
      <c r="W10" s="50"/>
    </row>
    <row r="11" spans="1:23" ht="15.75">
      <c r="A11" s="57"/>
      <c r="B11" s="58" t="s">
        <v>191</v>
      </c>
      <c r="C11" s="59"/>
      <c r="D11" s="51"/>
      <c r="E11" s="61">
        <v>16</v>
      </c>
      <c r="F11" s="64">
        <f>0.55/2</f>
        <v>0.27500000000000002</v>
      </c>
      <c r="G11" s="61">
        <v>1.92</v>
      </c>
      <c r="H11" s="61">
        <v>0.27</v>
      </c>
      <c r="I11" s="61">
        <v>1.92</v>
      </c>
      <c r="J11" s="61">
        <v>0.2</v>
      </c>
      <c r="K11" s="60">
        <f t="shared" si="0"/>
        <v>4.5850000000000009</v>
      </c>
      <c r="L11" s="61">
        <v>46</v>
      </c>
      <c r="M11" s="61">
        <v>1</v>
      </c>
      <c r="N11" s="61">
        <f t="shared" si="1"/>
        <v>46</v>
      </c>
      <c r="O11" s="63" t="str">
        <f t="shared" ca="1" si="2"/>
        <v>-</v>
      </c>
      <c r="P11" s="63" t="str">
        <f t="shared" ca="1" si="2"/>
        <v>-</v>
      </c>
      <c r="Q11" s="63" t="str">
        <f t="shared" ca="1" si="2"/>
        <v>-</v>
      </c>
      <c r="R11" s="63">
        <f t="shared" ca="1" si="2"/>
        <v>210.91000000000003</v>
      </c>
      <c r="S11" s="63" t="str">
        <f t="shared" ca="1" si="2"/>
        <v>-</v>
      </c>
      <c r="T11" s="63" t="str">
        <f t="shared" ca="1" si="2"/>
        <v>-</v>
      </c>
      <c r="U11" s="63" t="str">
        <f t="shared" ca="1" si="2"/>
        <v>-</v>
      </c>
      <c r="V11" s="63" t="str">
        <f t="shared" ca="1" si="2"/>
        <v>-</v>
      </c>
      <c r="W11" s="50"/>
    </row>
    <row r="12" spans="1:23" ht="31.5">
      <c r="A12" s="65"/>
      <c r="B12" s="66" t="s">
        <v>192</v>
      </c>
      <c r="C12" s="67"/>
      <c r="D12" s="51" t="s">
        <v>193</v>
      </c>
      <c r="E12" s="61">
        <v>32</v>
      </c>
      <c r="F12" s="61">
        <f>104.102-101.325</f>
        <v>2.777000000000001</v>
      </c>
      <c r="G12" s="61"/>
      <c r="H12" s="61"/>
      <c r="I12" s="61"/>
      <c r="J12" s="61"/>
      <c r="K12" s="60">
        <f t="shared" si="0"/>
        <v>2.777000000000001</v>
      </c>
      <c r="L12" s="61">
        <f>8+20+20+8</f>
        <v>56</v>
      </c>
      <c r="M12" s="61">
        <v>2</v>
      </c>
      <c r="N12" s="61">
        <f t="shared" si="1"/>
        <v>112</v>
      </c>
      <c r="O12" s="63" t="str">
        <f t="shared" ca="1" si="2"/>
        <v>-</v>
      </c>
      <c r="P12" s="63" t="str">
        <f t="shared" ca="1" si="2"/>
        <v>-</v>
      </c>
      <c r="Q12" s="63" t="str">
        <f t="shared" ca="1" si="2"/>
        <v>-</v>
      </c>
      <c r="R12" s="63" t="str">
        <f t="shared" ca="1" si="2"/>
        <v>-</v>
      </c>
      <c r="S12" s="63" t="str">
        <f t="shared" ca="1" si="2"/>
        <v>-</v>
      </c>
      <c r="T12" s="63" t="str">
        <f t="shared" ca="1" si="2"/>
        <v>-</v>
      </c>
      <c r="U12" s="63">
        <f t="shared" ca="1" si="2"/>
        <v>311.02400000000011</v>
      </c>
      <c r="V12" s="63" t="str">
        <f t="shared" ca="1" si="2"/>
        <v>-</v>
      </c>
      <c r="W12" s="50"/>
    </row>
    <row r="13" spans="1:23" ht="15.75">
      <c r="A13" s="179" t="s">
        <v>194</v>
      </c>
      <c r="B13" s="180"/>
      <c r="C13" s="181"/>
      <c r="D13" s="51" t="s">
        <v>195</v>
      </c>
      <c r="E13" s="61">
        <v>16</v>
      </c>
      <c r="F13" s="63">
        <f>0.152+0.152+0.152+0.152+0.032</f>
        <v>0.64</v>
      </c>
      <c r="G13" s="61">
        <f>1.2-0.08</f>
        <v>1.1199999999999999</v>
      </c>
      <c r="H13" s="61">
        <v>0.6</v>
      </c>
      <c r="I13" s="61">
        <v>1.1200000000000001</v>
      </c>
      <c r="J13" s="68">
        <f>0.2</f>
        <v>0.2</v>
      </c>
      <c r="K13" s="60">
        <f t="shared" si="0"/>
        <v>3.68</v>
      </c>
      <c r="L13" s="61">
        <v>11</v>
      </c>
      <c r="M13" s="61">
        <v>2</v>
      </c>
      <c r="N13" s="61">
        <f t="shared" si="1"/>
        <v>22</v>
      </c>
      <c r="O13" s="63" t="str">
        <f t="shared" ca="1" si="2"/>
        <v>-</v>
      </c>
      <c r="P13" s="63" t="str">
        <f t="shared" ca="1" si="2"/>
        <v>-</v>
      </c>
      <c r="Q13" s="63" t="str">
        <f t="shared" ca="1" si="2"/>
        <v>-</v>
      </c>
      <c r="R13" s="63">
        <f t="shared" ca="1" si="2"/>
        <v>80.960000000000008</v>
      </c>
      <c r="S13" s="63" t="str">
        <f t="shared" ca="1" si="2"/>
        <v>-</v>
      </c>
      <c r="T13" s="63" t="str">
        <f t="shared" ca="1" si="2"/>
        <v>-</v>
      </c>
      <c r="U13" s="63" t="str">
        <f t="shared" ca="1" si="2"/>
        <v>-</v>
      </c>
      <c r="V13" s="63" t="str">
        <f t="shared" ca="1" si="2"/>
        <v>-</v>
      </c>
      <c r="W13" s="50"/>
    </row>
    <row r="14" spans="1:23" ht="15.75">
      <c r="A14" s="179" t="s">
        <v>194</v>
      </c>
      <c r="B14" s="180"/>
      <c r="C14" s="181"/>
      <c r="D14" s="51" t="s">
        <v>195</v>
      </c>
      <c r="E14" s="61">
        <v>16</v>
      </c>
      <c r="F14" s="63">
        <f>0.152+0.152+0.152+0.152+0.032</f>
        <v>0.64</v>
      </c>
      <c r="G14" s="61">
        <f>1.2-0.08</f>
        <v>1.1199999999999999</v>
      </c>
      <c r="H14" s="61">
        <v>0.6</v>
      </c>
      <c r="I14" s="61">
        <v>1.1200000000000001</v>
      </c>
      <c r="J14" s="68">
        <f>0.2</f>
        <v>0.2</v>
      </c>
      <c r="K14" s="60">
        <f t="shared" si="0"/>
        <v>3.68</v>
      </c>
      <c r="L14" s="61">
        <v>11</v>
      </c>
      <c r="M14" s="61">
        <v>2</v>
      </c>
      <c r="N14" s="61">
        <f t="shared" si="1"/>
        <v>22</v>
      </c>
      <c r="O14" s="63" t="str">
        <f t="shared" ca="1" si="2"/>
        <v>-</v>
      </c>
      <c r="P14" s="63" t="str">
        <f t="shared" ca="1" si="2"/>
        <v>-</v>
      </c>
      <c r="Q14" s="63" t="str">
        <f t="shared" ca="1" si="2"/>
        <v>-</v>
      </c>
      <c r="R14" s="63">
        <f t="shared" ca="1" si="2"/>
        <v>80.960000000000008</v>
      </c>
      <c r="S14" s="63" t="str">
        <f t="shared" ca="1" si="2"/>
        <v>-</v>
      </c>
      <c r="T14" s="63" t="str">
        <f t="shared" ca="1" si="2"/>
        <v>-</v>
      </c>
      <c r="U14" s="63" t="str">
        <f t="shared" ca="1" si="2"/>
        <v>-</v>
      </c>
      <c r="V14" s="63" t="str">
        <f t="shared" ca="1" si="2"/>
        <v>-</v>
      </c>
      <c r="W14" s="50"/>
    </row>
    <row r="15" spans="1:23" ht="15.75">
      <c r="A15" s="179" t="s">
        <v>194</v>
      </c>
      <c r="B15" s="180"/>
      <c r="C15" s="181"/>
      <c r="D15" s="51" t="s">
        <v>195</v>
      </c>
      <c r="E15" s="61">
        <v>16</v>
      </c>
      <c r="F15" s="63">
        <f>0.152+0.152+0.152+0.152+0.032</f>
        <v>0.64</v>
      </c>
      <c r="G15" s="61">
        <f>1.2-0.08</f>
        <v>1.1199999999999999</v>
      </c>
      <c r="H15" s="61">
        <v>0.6</v>
      </c>
      <c r="I15" s="61">
        <v>1.1200000000000001</v>
      </c>
      <c r="J15" s="68">
        <f>0.2</f>
        <v>0.2</v>
      </c>
      <c r="K15" s="60">
        <f t="shared" si="0"/>
        <v>3.68</v>
      </c>
      <c r="L15" s="61">
        <v>11</v>
      </c>
      <c r="M15" s="61">
        <v>2</v>
      </c>
      <c r="N15" s="61">
        <f t="shared" si="1"/>
        <v>22</v>
      </c>
      <c r="O15" s="63" t="str">
        <f t="shared" ca="1" si="2"/>
        <v>-</v>
      </c>
      <c r="P15" s="63" t="str">
        <f t="shared" ca="1" si="2"/>
        <v>-</v>
      </c>
      <c r="Q15" s="63" t="str">
        <f t="shared" ca="1" si="2"/>
        <v>-</v>
      </c>
      <c r="R15" s="63">
        <f t="shared" ca="1" si="2"/>
        <v>80.960000000000008</v>
      </c>
      <c r="S15" s="63" t="str">
        <f t="shared" ca="1" si="2"/>
        <v>-</v>
      </c>
      <c r="T15" s="63" t="str">
        <f t="shared" ca="1" si="2"/>
        <v>-</v>
      </c>
      <c r="U15" s="63" t="str">
        <f t="shared" ca="1" si="2"/>
        <v>-</v>
      </c>
      <c r="V15" s="63" t="str">
        <f t="shared" ca="1" si="2"/>
        <v>-</v>
      </c>
      <c r="W15" s="50"/>
    </row>
    <row r="16" spans="1:23" ht="15.75">
      <c r="A16" s="179" t="s">
        <v>194</v>
      </c>
      <c r="B16" s="180"/>
      <c r="C16" s="181"/>
      <c r="D16" s="51" t="s">
        <v>195</v>
      </c>
      <c r="E16" s="61">
        <v>16</v>
      </c>
      <c r="F16" s="63">
        <f>0.152+0.152+0.152+0.152+0.032</f>
        <v>0.64</v>
      </c>
      <c r="G16" s="61">
        <f>1.2-0.08</f>
        <v>1.1199999999999999</v>
      </c>
      <c r="H16" s="61">
        <v>0.6</v>
      </c>
      <c r="I16" s="61">
        <v>1.1200000000000001</v>
      </c>
      <c r="J16" s="68">
        <f>0.2</f>
        <v>0.2</v>
      </c>
      <c r="K16" s="60">
        <f t="shared" si="0"/>
        <v>3.68</v>
      </c>
      <c r="L16" s="61">
        <v>11</v>
      </c>
      <c r="M16" s="61">
        <v>2</v>
      </c>
      <c r="N16" s="61">
        <f t="shared" si="1"/>
        <v>22</v>
      </c>
      <c r="O16" s="63" t="str">
        <f t="shared" ca="1" si="2"/>
        <v>-</v>
      </c>
      <c r="P16" s="63" t="str">
        <f t="shared" ca="1" si="2"/>
        <v>-</v>
      </c>
      <c r="Q16" s="63" t="str">
        <f t="shared" ca="1" si="2"/>
        <v>-</v>
      </c>
      <c r="R16" s="63">
        <f t="shared" ca="1" si="2"/>
        <v>80.960000000000008</v>
      </c>
      <c r="S16" s="63" t="str">
        <f t="shared" ca="1" si="2"/>
        <v>-</v>
      </c>
      <c r="T16" s="63" t="str">
        <f t="shared" ca="1" si="2"/>
        <v>-</v>
      </c>
      <c r="U16" s="63" t="str">
        <f t="shared" ca="1" si="2"/>
        <v>-</v>
      </c>
      <c r="V16" s="63" t="str">
        <f t="shared" ca="1" si="2"/>
        <v>-</v>
      </c>
      <c r="W16" s="50"/>
    </row>
    <row r="17" spans="1:23" ht="15.75">
      <c r="A17" s="179" t="s">
        <v>194</v>
      </c>
      <c r="B17" s="180"/>
      <c r="C17" s="181"/>
      <c r="D17" s="51" t="s">
        <v>195</v>
      </c>
      <c r="E17" s="61">
        <v>16</v>
      </c>
      <c r="F17" s="63">
        <f>3-0.08</f>
        <v>2.92</v>
      </c>
      <c r="G17" s="61">
        <f>1.2-0.08</f>
        <v>1.1199999999999999</v>
      </c>
      <c r="H17" s="61">
        <v>2.9</v>
      </c>
      <c r="I17" s="61">
        <v>1.1200000000000001</v>
      </c>
      <c r="J17" s="68">
        <f>0.2</f>
        <v>0.2</v>
      </c>
      <c r="K17" s="60">
        <f t="shared" si="0"/>
        <v>8.26</v>
      </c>
      <c r="L17" s="61">
        <v>11</v>
      </c>
      <c r="M17" s="61">
        <v>2</v>
      </c>
      <c r="N17" s="61">
        <f t="shared" si="1"/>
        <v>22</v>
      </c>
      <c r="O17" s="63" t="str">
        <f t="shared" ca="1" si="2"/>
        <v>-</v>
      </c>
      <c r="P17" s="63" t="str">
        <f t="shared" ca="1" si="2"/>
        <v>-</v>
      </c>
      <c r="Q17" s="63" t="str">
        <f t="shared" ca="1" si="2"/>
        <v>-</v>
      </c>
      <c r="R17" s="63">
        <f t="shared" ca="1" si="2"/>
        <v>181.72</v>
      </c>
      <c r="S17" s="63" t="str">
        <f t="shared" ca="1" si="2"/>
        <v>-</v>
      </c>
      <c r="T17" s="63" t="str">
        <f t="shared" ca="1" si="2"/>
        <v>-</v>
      </c>
      <c r="U17" s="63" t="str">
        <f t="shared" ca="1" si="2"/>
        <v>-</v>
      </c>
      <c r="V17" s="63" t="str">
        <f t="shared" ca="1" si="2"/>
        <v>-</v>
      </c>
      <c r="W17" s="50"/>
    </row>
    <row r="18" spans="1:23" ht="15.75">
      <c r="A18" s="179" t="s">
        <v>196</v>
      </c>
      <c r="B18" s="180"/>
      <c r="C18" s="181"/>
      <c r="D18" s="51" t="s">
        <v>193</v>
      </c>
      <c r="E18" s="61">
        <v>20</v>
      </c>
      <c r="F18" s="61">
        <f>1.06+0.8+0.8</f>
        <v>2.66</v>
      </c>
      <c r="G18" s="61"/>
      <c r="H18" s="61"/>
      <c r="I18" s="61"/>
      <c r="J18" s="61"/>
      <c r="K18" s="60">
        <f t="shared" si="0"/>
        <v>2.66</v>
      </c>
      <c r="L18" s="69">
        <v>21</v>
      </c>
      <c r="M18" s="61">
        <v>2</v>
      </c>
      <c r="N18" s="61">
        <f t="shared" si="1"/>
        <v>42</v>
      </c>
      <c r="O18" s="63" t="str">
        <f t="shared" ca="1" si="2"/>
        <v>-</v>
      </c>
      <c r="P18" s="63" t="str">
        <f t="shared" ca="1" si="2"/>
        <v>-</v>
      </c>
      <c r="Q18" s="63" t="str">
        <f t="shared" ca="1" si="2"/>
        <v>-</v>
      </c>
      <c r="R18" s="63" t="str">
        <f t="shared" ca="1" si="2"/>
        <v>-</v>
      </c>
      <c r="S18" s="63">
        <f t="shared" ca="1" si="2"/>
        <v>111.72</v>
      </c>
      <c r="T18" s="63" t="str">
        <f t="shared" ca="1" si="2"/>
        <v>-</v>
      </c>
      <c r="U18" s="63" t="str">
        <f t="shared" ca="1" si="2"/>
        <v>-</v>
      </c>
      <c r="V18" s="63" t="str">
        <f t="shared" ca="1" si="2"/>
        <v>-</v>
      </c>
      <c r="W18" s="50"/>
    </row>
    <row r="19" spans="1:23" ht="15.75">
      <c r="A19" s="176" t="s">
        <v>197</v>
      </c>
      <c r="B19" s="177"/>
      <c r="C19" s="178"/>
      <c r="D19" s="51" t="s">
        <v>193</v>
      </c>
      <c r="E19" s="61">
        <v>20</v>
      </c>
      <c r="F19" s="61">
        <f>3-0.08</f>
        <v>2.92</v>
      </c>
      <c r="G19" s="61"/>
      <c r="H19" s="61"/>
      <c r="I19" s="61"/>
      <c r="J19" s="61"/>
      <c r="K19" s="60">
        <f t="shared" si="0"/>
        <v>2.92</v>
      </c>
      <c r="L19" s="69">
        <v>8</v>
      </c>
      <c r="M19" s="61">
        <v>2</v>
      </c>
      <c r="N19" s="61">
        <f t="shared" si="1"/>
        <v>16</v>
      </c>
      <c r="O19" s="63" t="str">
        <f t="shared" ca="1" si="2"/>
        <v>-</v>
      </c>
      <c r="P19" s="63" t="str">
        <f t="shared" ca="1" si="2"/>
        <v>-</v>
      </c>
      <c r="Q19" s="63" t="str">
        <f t="shared" ca="1" si="2"/>
        <v>-</v>
      </c>
      <c r="R19" s="63" t="str">
        <f t="shared" ca="1" si="2"/>
        <v>-</v>
      </c>
      <c r="S19" s="63">
        <f t="shared" ca="1" si="2"/>
        <v>46.72</v>
      </c>
      <c r="T19" s="63" t="str">
        <f t="shared" ca="1" si="2"/>
        <v>-</v>
      </c>
      <c r="U19" s="63" t="str">
        <f t="shared" ca="1" si="2"/>
        <v>-</v>
      </c>
      <c r="V19" s="63" t="str">
        <f t="shared" ca="1" si="2"/>
        <v>-</v>
      </c>
      <c r="W19" s="50"/>
    </row>
    <row r="20" spans="1:23" ht="31.5">
      <c r="A20" s="57"/>
      <c r="B20" s="58" t="s">
        <v>198</v>
      </c>
      <c r="C20" s="59"/>
      <c r="D20" s="51" t="s">
        <v>199</v>
      </c>
      <c r="E20" s="61">
        <v>16</v>
      </c>
      <c r="F20" s="61">
        <v>2.5</v>
      </c>
      <c r="G20" s="61">
        <f>3-0.08</f>
        <v>2.92</v>
      </c>
      <c r="H20" s="61">
        <v>2.5</v>
      </c>
      <c r="I20" s="61"/>
      <c r="J20" s="61"/>
      <c r="K20" s="60">
        <f t="shared" si="0"/>
        <v>7.92</v>
      </c>
      <c r="L20" s="69">
        <v>21</v>
      </c>
      <c r="M20" s="69">
        <v>2</v>
      </c>
      <c r="N20" s="61">
        <f t="shared" si="1"/>
        <v>42</v>
      </c>
      <c r="O20" s="63" t="str">
        <f t="shared" ca="1" si="2"/>
        <v>-</v>
      </c>
      <c r="P20" s="63" t="str">
        <f t="shared" ca="1" si="2"/>
        <v>-</v>
      </c>
      <c r="Q20" s="63" t="str">
        <f t="shared" ca="1" si="2"/>
        <v>-</v>
      </c>
      <c r="R20" s="63">
        <f t="shared" ca="1" si="2"/>
        <v>332.64</v>
      </c>
      <c r="S20" s="63" t="str">
        <f t="shared" ca="1" si="2"/>
        <v>-</v>
      </c>
      <c r="T20" s="63" t="str">
        <f t="shared" ca="1" si="2"/>
        <v>-</v>
      </c>
      <c r="U20" s="63" t="str">
        <f t="shared" ca="1" si="2"/>
        <v>-</v>
      </c>
      <c r="V20" s="63" t="str">
        <f t="shared" ca="1" si="2"/>
        <v>-</v>
      </c>
      <c r="W20" s="50"/>
    </row>
    <row r="21" spans="1:23" ht="15.75">
      <c r="A21" s="176" t="s">
        <v>200</v>
      </c>
      <c r="B21" s="177"/>
      <c r="C21" s="178"/>
      <c r="D21" s="51"/>
      <c r="E21" s="61">
        <v>25</v>
      </c>
      <c r="F21" s="61">
        <v>1.25</v>
      </c>
      <c r="G21" s="61">
        <f>6.04</f>
        <v>6.04</v>
      </c>
      <c r="H21" s="61">
        <f>0.45-0.08</f>
        <v>0.37</v>
      </c>
      <c r="I21" s="61">
        <f>0.721-0.08</f>
        <v>0.64100000000000001</v>
      </c>
      <c r="J21" s="61">
        <v>1.25</v>
      </c>
      <c r="K21" s="60">
        <f t="shared" si="0"/>
        <v>9.5510000000000002</v>
      </c>
      <c r="L21" s="69">
        <v>6</v>
      </c>
      <c r="M21" s="69">
        <v>4</v>
      </c>
      <c r="N21" s="61">
        <f t="shared" si="1"/>
        <v>24</v>
      </c>
      <c r="O21" s="63" t="str">
        <f t="shared" ref="O21:V36" ca="1" si="3">IF($E21=(O$10),(($K21*$N21)),"-")</f>
        <v>-</v>
      </c>
      <c r="P21" s="63" t="str">
        <f t="shared" ca="1" si="3"/>
        <v>-</v>
      </c>
      <c r="Q21" s="63" t="str">
        <f t="shared" ca="1" si="3"/>
        <v>-</v>
      </c>
      <c r="R21" s="63" t="str">
        <f t="shared" ca="1" si="3"/>
        <v>-</v>
      </c>
      <c r="S21" s="63" t="str">
        <f t="shared" ca="1" si="3"/>
        <v>-</v>
      </c>
      <c r="T21" s="63">
        <f t="shared" ca="1" si="3"/>
        <v>229.22399999999999</v>
      </c>
      <c r="U21" s="63" t="str">
        <f t="shared" ca="1" si="3"/>
        <v>-</v>
      </c>
      <c r="V21" s="63" t="str">
        <f t="shared" ca="1" si="3"/>
        <v>-</v>
      </c>
      <c r="W21" s="50"/>
    </row>
    <row r="22" spans="1:23" ht="15.75">
      <c r="A22" s="176" t="s">
        <v>201</v>
      </c>
      <c r="B22" s="177"/>
      <c r="C22" s="178"/>
      <c r="D22" s="51"/>
      <c r="E22" s="61">
        <v>12</v>
      </c>
      <c r="F22" s="61">
        <v>0.6</v>
      </c>
      <c r="G22" s="61">
        <f>0.6-0.04</f>
        <v>0.55999999999999994</v>
      </c>
      <c r="H22" s="61">
        <v>0.56000000000000005</v>
      </c>
      <c r="I22" s="61">
        <v>0.56000000000000005</v>
      </c>
      <c r="J22" s="61">
        <v>0.6</v>
      </c>
      <c r="K22" s="60">
        <f t="shared" si="0"/>
        <v>2.8800000000000003</v>
      </c>
      <c r="L22" s="69">
        <v>4</v>
      </c>
      <c r="M22" s="69">
        <v>4</v>
      </c>
      <c r="N22" s="61">
        <f t="shared" si="1"/>
        <v>16</v>
      </c>
      <c r="O22" s="63" t="str">
        <f t="shared" ca="1" si="3"/>
        <v>-</v>
      </c>
      <c r="P22" s="63" t="str">
        <f t="shared" ca="1" si="3"/>
        <v>-</v>
      </c>
      <c r="Q22" s="63">
        <f t="shared" ca="1" si="3"/>
        <v>46.080000000000005</v>
      </c>
      <c r="R22" s="63" t="str">
        <f t="shared" ca="1" si="3"/>
        <v>-</v>
      </c>
      <c r="S22" s="63" t="str">
        <f t="shared" ca="1" si="3"/>
        <v>-</v>
      </c>
      <c r="T22" s="63" t="str">
        <f t="shared" ca="1" si="3"/>
        <v>-</v>
      </c>
      <c r="U22" s="63" t="str">
        <f t="shared" ca="1" si="3"/>
        <v>-</v>
      </c>
      <c r="V22" s="63" t="str">
        <f t="shared" ca="1" si="3"/>
        <v>-</v>
      </c>
      <c r="W22" s="50"/>
    </row>
    <row r="23" spans="1:23" ht="15.75">
      <c r="A23" s="176" t="s">
        <v>202</v>
      </c>
      <c r="B23" s="177"/>
      <c r="C23" s="178"/>
      <c r="D23" s="51"/>
      <c r="E23" s="61">
        <v>12</v>
      </c>
      <c r="F23" s="61">
        <v>0.6</v>
      </c>
      <c r="G23" s="61">
        <v>0.32</v>
      </c>
      <c r="H23" s="61">
        <v>0.56000000000000005</v>
      </c>
      <c r="I23" s="61">
        <v>0.32</v>
      </c>
      <c r="J23" s="61">
        <v>0.6</v>
      </c>
      <c r="K23" s="60">
        <f t="shared" si="0"/>
        <v>2.4</v>
      </c>
      <c r="L23" s="69">
        <v>6</v>
      </c>
      <c r="M23" s="69">
        <v>4</v>
      </c>
      <c r="N23" s="61">
        <f t="shared" si="1"/>
        <v>24</v>
      </c>
      <c r="O23" s="63" t="str">
        <f t="shared" ca="1" si="3"/>
        <v>-</v>
      </c>
      <c r="P23" s="63" t="str">
        <f t="shared" ca="1" si="3"/>
        <v>-</v>
      </c>
      <c r="Q23" s="63">
        <f t="shared" ca="1" si="3"/>
        <v>57.599999999999994</v>
      </c>
      <c r="R23" s="63" t="str">
        <f t="shared" ca="1" si="3"/>
        <v>-</v>
      </c>
      <c r="S23" s="63" t="str">
        <f t="shared" ca="1" si="3"/>
        <v>-</v>
      </c>
      <c r="T23" s="63" t="str">
        <f t="shared" ca="1" si="3"/>
        <v>-</v>
      </c>
      <c r="U23" s="63" t="str">
        <f t="shared" ca="1" si="3"/>
        <v>-</v>
      </c>
      <c r="V23" s="63" t="str">
        <f t="shared" ca="1" si="3"/>
        <v>-</v>
      </c>
      <c r="W23" s="50"/>
    </row>
    <row r="24" spans="1:23" ht="15.75">
      <c r="A24" s="176" t="s">
        <v>203</v>
      </c>
      <c r="B24" s="177"/>
      <c r="C24" s="178"/>
      <c r="D24" s="51"/>
      <c r="E24" s="61">
        <v>25</v>
      </c>
      <c r="F24" s="61">
        <v>1.25</v>
      </c>
      <c r="G24" s="61">
        <f>0.9-0.04</f>
        <v>0.86</v>
      </c>
      <c r="H24" s="61">
        <f>0.7-0.08</f>
        <v>0.62</v>
      </c>
      <c r="I24" s="61">
        <f>1.077-0.08</f>
        <v>0.997</v>
      </c>
      <c r="J24" s="61">
        <v>1.25</v>
      </c>
      <c r="K24" s="60">
        <f t="shared" si="0"/>
        <v>4.9770000000000003</v>
      </c>
      <c r="L24" s="69">
        <v>6</v>
      </c>
      <c r="M24" s="69">
        <v>2</v>
      </c>
      <c r="N24" s="61">
        <f t="shared" si="1"/>
        <v>12</v>
      </c>
      <c r="O24" s="63" t="str">
        <f t="shared" ca="1" si="3"/>
        <v>-</v>
      </c>
      <c r="P24" s="63" t="str">
        <f t="shared" ca="1" si="3"/>
        <v>-</v>
      </c>
      <c r="Q24" s="63" t="str">
        <f t="shared" ca="1" si="3"/>
        <v>-</v>
      </c>
      <c r="R24" s="63" t="str">
        <f t="shared" ca="1" si="3"/>
        <v>-</v>
      </c>
      <c r="S24" s="63" t="str">
        <f t="shared" ca="1" si="3"/>
        <v>-</v>
      </c>
      <c r="T24" s="63">
        <f t="shared" ca="1" si="3"/>
        <v>59.724000000000004</v>
      </c>
      <c r="U24" s="63" t="str">
        <f t="shared" ca="1" si="3"/>
        <v>-</v>
      </c>
      <c r="V24" s="63" t="str">
        <f t="shared" ca="1" si="3"/>
        <v>-</v>
      </c>
      <c r="W24" s="50"/>
    </row>
    <row r="25" spans="1:23" ht="15.75">
      <c r="A25" s="176" t="s">
        <v>201</v>
      </c>
      <c r="B25" s="177"/>
      <c r="C25" s="178"/>
      <c r="D25" s="51"/>
      <c r="E25" s="61">
        <v>12</v>
      </c>
      <c r="F25" s="61">
        <v>0.6</v>
      </c>
      <c r="G25" s="61">
        <f>1-0.04</f>
        <v>0.96</v>
      </c>
      <c r="H25" s="61">
        <f>0.9-0.08</f>
        <v>0.82000000000000006</v>
      </c>
      <c r="I25" s="61">
        <v>0.96</v>
      </c>
      <c r="J25" s="61">
        <v>0.6</v>
      </c>
      <c r="K25" s="60">
        <f t="shared" si="0"/>
        <v>3.94</v>
      </c>
      <c r="L25" s="69">
        <v>6</v>
      </c>
      <c r="M25" s="69">
        <v>2</v>
      </c>
      <c r="N25" s="61">
        <f t="shared" si="1"/>
        <v>12</v>
      </c>
      <c r="O25" s="63" t="str">
        <f t="shared" ca="1" si="3"/>
        <v>-</v>
      </c>
      <c r="P25" s="63" t="str">
        <f t="shared" ca="1" si="3"/>
        <v>-</v>
      </c>
      <c r="Q25" s="63">
        <f t="shared" ca="1" si="3"/>
        <v>47.28</v>
      </c>
      <c r="R25" s="63" t="str">
        <f t="shared" ca="1" si="3"/>
        <v>-</v>
      </c>
      <c r="S25" s="63" t="str">
        <f t="shared" ca="1" si="3"/>
        <v>-</v>
      </c>
      <c r="T25" s="63" t="str">
        <f t="shared" ca="1" si="3"/>
        <v>-</v>
      </c>
      <c r="U25" s="63" t="str">
        <f t="shared" ca="1" si="3"/>
        <v>-</v>
      </c>
      <c r="V25" s="63" t="str">
        <f t="shared" ca="1" si="3"/>
        <v>-</v>
      </c>
      <c r="W25" s="50"/>
    </row>
    <row r="26" spans="1:23" ht="15.75">
      <c r="A26" s="176" t="s">
        <v>202</v>
      </c>
      <c r="B26" s="177"/>
      <c r="C26" s="178"/>
      <c r="D26" s="51"/>
      <c r="E26" s="61">
        <v>12</v>
      </c>
      <c r="F26" s="61">
        <v>0.6</v>
      </c>
      <c r="G26" s="61">
        <f>0.53-0.04</f>
        <v>0.49000000000000005</v>
      </c>
      <c r="H26" s="61">
        <v>0.82</v>
      </c>
      <c r="I26" s="61">
        <v>0.49</v>
      </c>
      <c r="J26" s="61">
        <v>0.6</v>
      </c>
      <c r="K26" s="60">
        <f t="shared" si="0"/>
        <v>3</v>
      </c>
      <c r="L26" s="69">
        <v>4</v>
      </c>
      <c r="M26" s="69">
        <v>2</v>
      </c>
      <c r="N26" s="61">
        <f t="shared" si="1"/>
        <v>8</v>
      </c>
      <c r="O26" s="63" t="str">
        <f t="shared" ca="1" si="3"/>
        <v>-</v>
      </c>
      <c r="P26" s="63" t="str">
        <f t="shared" ca="1" si="3"/>
        <v>-</v>
      </c>
      <c r="Q26" s="63">
        <f t="shared" ca="1" si="3"/>
        <v>24</v>
      </c>
      <c r="R26" s="63" t="str">
        <f t="shared" ca="1" si="3"/>
        <v>-</v>
      </c>
      <c r="S26" s="63" t="str">
        <f t="shared" ca="1" si="3"/>
        <v>-</v>
      </c>
      <c r="T26" s="63" t="str">
        <f t="shared" ca="1" si="3"/>
        <v>-</v>
      </c>
      <c r="U26" s="63" t="str">
        <f t="shared" ca="1" si="3"/>
        <v>-</v>
      </c>
      <c r="V26" s="63" t="str">
        <f t="shared" ca="1" si="3"/>
        <v>-</v>
      </c>
      <c r="W26" s="50"/>
    </row>
    <row r="27" spans="1:23" ht="15.75">
      <c r="A27" s="176" t="s">
        <v>204</v>
      </c>
      <c r="B27" s="177"/>
      <c r="C27" s="178"/>
      <c r="D27" s="51"/>
      <c r="E27" s="61">
        <v>12</v>
      </c>
      <c r="F27" s="61">
        <v>6.7</v>
      </c>
      <c r="G27" s="61"/>
      <c r="H27" s="61"/>
      <c r="I27" s="61"/>
      <c r="J27" s="61"/>
      <c r="K27" s="70">
        <f t="shared" si="0"/>
        <v>6.7</v>
      </c>
      <c r="L27" s="69">
        <v>2</v>
      </c>
      <c r="M27" s="69">
        <v>2</v>
      </c>
      <c r="N27" s="61">
        <f t="shared" si="1"/>
        <v>4</v>
      </c>
      <c r="O27" s="63" t="str">
        <f t="shared" ca="1" si="3"/>
        <v>-</v>
      </c>
      <c r="P27" s="63" t="str">
        <f t="shared" ca="1" si="3"/>
        <v>-</v>
      </c>
      <c r="Q27" s="63">
        <f t="shared" ca="1" si="3"/>
        <v>26.8</v>
      </c>
      <c r="R27" s="63" t="str">
        <f t="shared" ca="1" si="3"/>
        <v>-</v>
      </c>
      <c r="S27" s="63" t="str">
        <f t="shared" ca="1" si="3"/>
        <v>-</v>
      </c>
      <c r="T27" s="63" t="str">
        <f t="shared" ca="1" si="3"/>
        <v>-</v>
      </c>
      <c r="U27" s="63" t="str">
        <f t="shared" ca="1" si="3"/>
        <v>-</v>
      </c>
      <c r="V27" s="63" t="str">
        <f t="shared" ca="1" si="3"/>
        <v>-</v>
      </c>
      <c r="W27" s="50"/>
    </row>
    <row r="28" spans="1:23" ht="15.75">
      <c r="A28" s="176"/>
      <c r="B28" s="177"/>
      <c r="C28" s="178"/>
      <c r="D28" s="51"/>
      <c r="E28" s="61">
        <v>12</v>
      </c>
      <c r="F28" s="61">
        <v>2.9</v>
      </c>
      <c r="G28" s="61"/>
      <c r="H28" s="61"/>
      <c r="I28" s="61"/>
      <c r="J28" s="61"/>
      <c r="K28" s="70">
        <f t="shared" si="0"/>
        <v>2.9</v>
      </c>
      <c r="L28" s="69">
        <v>10</v>
      </c>
      <c r="M28" s="69">
        <v>2</v>
      </c>
      <c r="N28" s="61">
        <f t="shared" si="1"/>
        <v>20</v>
      </c>
      <c r="O28" s="63" t="str">
        <f t="shared" ca="1" si="3"/>
        <v>-</v>
      </c>
      <c r="P28" s="63" t="str">
        <f t="shared" ca="1" si="3"/>
        <v>-</v>
      </c>
      <c r="Q28" s="63">
        <f t="shared" ca="1" si="3"/>
        <v>58</v>
      </c>
      <c r="R28" s="63" t="str">
        <f t="shared" ca="1" si="3"/>
        <v>-</v>
      </c>
      <c r="S28" s="63" t="str">
        <f t="shared" ca="1" si="3"/>
        <v>-</v>
      </c>
      <c r="T28" s="63" t="str">
        <f t="shared" ca="1" si="3"/>
        <v>-</v>
      </c>
      <c r="U28" s="63" t="str">
        <f t="shared" ca="1" si="3"/>
        <v>-</v>
      </c>
      <c r="V28" s="63" t="str">
        <f t="shared" ca="1" si="3"/>
        <v>-</v>
      </c>
      <c r="W28" s="50"/>
    </row>
    <row r="29" spans="1:23" ht="15.75">
      <c r="A29" s="176" t="s">
        <v>205</v>
      </c>
      <c r="B29" s="177"/>
      <c r="C29" s="178"/>
      <c r="D29" s="51"/>
      <c r="E29" s="61">
        <v>12</v>
      </c>
      <c r="F29" s="61">
        <v>0.4</v>
      </c>
      <c r="G29" s="61">
        <v>0.3</v>
      </c>
      <c r="H29" s="61">
        <v>1.5</v>
      </c>
      <c r="I29" s="61">
        <v>0.3</v>
      </c>
      <c r="J29" s="61">
        <v>0.4</v>
      </c>
      <c r="K29" s="60">
        <f t="shared" si="0"/>
        <v>2.9</v>
      </c>
      <c r="L29" s="69">
        <v>13</v>
      </c>
      <c r="M29" s="69">
        <v>1</v>
      </c>
      <c r="N29" s="61">
        <f t="shared" si="1"/>
        <v>13</v>
      </c>
      <c r="O29" s="63" t="str">
        <f t="shared" ca="1" si="3"/>
        <v>-</v>
      </c>
      <c r="P29" s="63" t="str">
        <f t="shared" ca="1" si="3"/>
        <v>-</v>
      </c>
      <c r="Q29" s="63">
        <f t="shared" ca="1" si="3"/>
        <v>37.699999999999996</v>
      </c>
      <c r="R29" s="63" t="str">
        <f t="shared" ca="1" si="3"/>
        <v>-</v>
      </c>
      <c r="S29" s="63" t="str">
        <f t="shared" ca="1" si="3"/>
        <v>-</v>
      </c>
      <c r="T29" s="63" t="str">
        <f t="shared" ca="1" si="3"/>
        <v>-</v>
      </c>
      <c r="U29" s="63" t="str">
        <f t="shared" ca="1" si="3"/>
        <v>-</v>
      </c>
      <c r="V29" s="63" t="str">
        <f t="shared" ca="1" si="3"/>
        <v>-</v>
      </c>
      <c r="W29" s="50"/>
    </row>
    <row r="30" spans="1:23" ht="15.75">
      <c r="A30" s="176" t="s">
        <v>206</v>
      </c>
      <c r="B30" s="177"/>
      <c r="C30" s="178"/>
      <c r="D30" s="51"/>
      <c r="E30" s="61">
        <v>16</v>
      </c>
      <c r="F30" s="61">
        <v>0.45</v>
      </c>
      <c r="G30" s="61">
        <v>5.9</v>
      </c>
      <c r="H30" s="61"/>
      <c r="I30" s="61"/>
      <c r="J30" s="61"/>
      <c r="K30" s="70">
        <f t="shared" si="0"/>
        <v>6.3500000000000005</v>
      </c>
      <c r="L30" s="69">
        <v>1</v>
      </c>
      <c r="M30" s="69">
        <v>18</v>
      </c>
      <c r="N30" s="61">
        <f t="shared" si="1"/>
        <v>18</v>
      </c>
      <c r="O30" s="63" t="str">
        <f t="shared" ca="1" si="3"/>
        <v>-</v>
      </c>
      <c r="P30" s="63" t="str">
        <f t="shared" ca="1" si="3"/>
        <v>-</v>
      </c>
      <c r="Q30" s="63" t="str">
        <f t="shared" ca="1" si="3"/>
        <v>-</v>
      </c>
      <c r="R30" s="63">
        <f t="shared" ca="1" si="3"/>
        <v>114.30000000000001</v>
      </c>
      <c r="S30" s="63" t="str">
        <f t="shared" ca="1" si="3"/>
        <v>-</v>
      </c>
      <c r="T30" s="63" t="str">
        <f t="shared" ca="1" si="3"/>
        <v>-</v>
      </c>
      <c r="U30" s="63" t="str">
        <f t="shared" ca="1" si="3"/>
        <v>-</v>
      </c>
      <c r="V30" s="63" t="str">
        <f t="shared" ca="1" si="3"/>
        <v>-</v>
      </c>
      <c r="W30" s="50"/>
    </row>
    <row r="31" spans="1:23" ht="15.75">
      <c r="A31" s="176" t="s">
        <v>206</v>
      </c>
      <c r="B31" s="177"/>
      <c r="C31" s="178"/>
      <c r="D31" s="51"/>
      <c r="E31" s="61">
        <v>16</v>
      </c>
      <c r="F31" s="61">
        <v>0.45</v>
      </c>
      <c r="G31" s="61">
        <v>1.6</v>
      </c>
      <c r="H31" s="61"/>
      <c r="I31" s="61"/>
      <c r="J31" s="61"/>
      <c r="K31" s="70">
        <f t="shared" si="0"/>
        <v>2.0500000000000003</v>
      </c>
      <c r="L31" s="69">
        <v>1</v>
      </c>
      <c r="M31" s="69">
        <v>18</v>
      </c>
      <c r="N31" s="61">
        <f t="shared" si="1"/>
        <v>18</v>
      </c>
      <c r="O31" s="63" t="str">
        <f t="shared" ca="1" si="3"/>
        <v>-</v>
      </c>
      <c r="P31" s="63" t="str">
        <f t="shared" ca="1" si="3"/>
        <v>-</v>
      </c>
      <c r="Q31" s="63" t="str">
        <f t="shared" ca="1" si="3"/>
        <v>-</v>
      </c>
      <c r="R31" s="63">
        <f t="shared" ca="1" si="3"/>
        <v>36.900000000000006</v>
      </c>
      <c r="S31" s="63" t="str">
        <f t="shared" ca="1" si="3"/>
        <v>-</v>
      </c>
      <c r="T31" s="63" t="str">
        <f t="shared" ca="1" si="3"/>
        <v>-</v>
      </c>
      <c r="U31" s="63" t="str">
        <f t="shared" ca="1" si="3"/>
        <v>-</v>
      </c>
      <c r="V31" s="63" t="str">
        <f t="shared" ca="1" si="3"/>
        <v>-</v>
      </c>
      <c r="W31" s="50"/>
    </row>
    <row r="32" spans="1:23" ht="15.75">
      <c r="A32" s="176" t="s">
        <v>206</v>
      </c>
      <c r="B32" s="177"/>
      <c r="C32" s="178"/>
      <c r="D32" s="51"/>
      <c r="E32" s="61">
        <v>16</v>
      </c>
      <c r="F32" s="61">
        <v>1.3</v>
      </c>
      <c r="G32" s="61"/>
      <c r="H32" s="61"/>
      <c r="I32" s="61"/>
      <c r="J32" s="61"/>
      <c r="K32" s="70">
        <f t="shared" si="0"/>
        <v>1.3</v>
      </c>
      <c r="L32" s="69">
        <v>1</v>
      </c>
      <c r="M32" s="69">
        <v>20</v>
      </c>
      <c r="N32" s="61">
        <f t="shared" si="1"/>
        <v>20</v>
      </c>
      <c r="O32" s="63" t="str">
        <f t="shared" ca="1" si="3"/>
        <v>-</v>
      </c>
      <c r="P32" s="63" t="str">
        <f t="shared" ca="1" si="3"/>
        <v>-</v>
      </c>
      <c r="Q32" s="63" t="str">
        <f t="shared" ca="1" si="3"/>
        <v>-</v>
      </c>
      <c r="R32" s="63">
        <f t="shared" ca="1" si="3"/>
        <v>26</v>
      </c>
      <c r="S32" s="63" t="str">
        <f t="shared" ca="1" si="3"/>
        <v>-</v>
      </c>
      <c r="T32" s="63" t="str">
        <f t="shared" ca="1" si="3"/>
        <v>-</v>
      </c>
      <c r="U32" s="63" t="str">
        <f t="shared" ca="1" si="3"/>
        <v>-</v>
      </c>
      <c r="V32" s="63" t="str">
        <f t="shared" ca="1" si="3"/>
        <v>-</v>
      </c>
      <c r="W32" s="50"/>
    </row>
    <row r="33" spans="1:23" ht="15.75">
      <c r="A33" s="176" t="s">
        <v>206</v>
      </c>
      <c r="B33" s="177"/>
      <c r="C33" s="178"/>
      <c r="D33" s="51"/>
      <c r="E33" s="61">
        <v>16</v>
      </c>
      <c r="F33" s="61">
        <v>0.4</v>
      </c>
      <c r="G33" s="61"/>
      <c r="H33" s="61"/>
      <c r="I33" s="61"/>
      <c r="J33" s="61"/>
      <c r="K33" s="70">
        <f t="shared" si="0"/>
        <v>0.4</v>
      </c>
      <c r="L33" s="69">
        <v>1</v>
      </c>
      <c r="M33" s="69">
        <v>40</v>
      </c>
      <c r="N33" s="61">
        <f t="shared" si="1"/>
        <v>40</v>
      </c>
      <c r="O33" s="63" t="str">
        <f t="shared" ca="1" si="3"/>
        <v>-</v>
      </c>
      <c r="P33" s="63" t="str">
        <f t="shared" ca="1" si="3"/>
        <v>-</v>
      </c>
      <c r="Q33" s="63" t="str">
        <f t="shared" ca="1" si="3"/>
        <v>-</v>
      </c>
      <c r="R33" s="63">
        <f t="shared" ca="1" si="3"/>
        <v>16</v>
      </c>
      <c r="S33" s="63" t="str">
        <f t="shared" ca="1" si="3"/>
        <v>-</v>
      </c>
      <c r="T33" s="63" t="str">
        <f t="shared" ca="1" si="3"/>
        <v>-</v>
      </c>
      <c r="U33" s="63" t="str">
        <f t="shared" ca="1" si="3"/>
        <v>-</v>
      </c>
      <c r="V33" s="63" t="str">
        <f t="shared" ca="1" si="3"/>
        <v>-</v>
      </c>
      <c r="W33" s="50"/>
    </row>
    <row r="34" spans="1:23" ht="15.75">
      <c r="A34" s="176" t="s">
        <v>206</v>
      </c>
      <c r="B34" s="177"/>
      <c r="C34" s="178"/>
      <c r="D34" s="51"/>
      <c r="E34" s="61">
        <v>16</v>
      </c>
      <c r="F34" s="61">
        <v>0.45</v>
      </c>
      <c r="G34" s="61">
        <v>2.9</v>
      </c>
      <c r="H34" s="61">
        <v>0.45</v>
      </c>
      <c r="I34" s="61"/>
      <c r="J34" s="61"/>
      <c r="K34" s="70">
        <f t="shared" si="0"/>
        <v>3.8000000000000003</v>
      </c>
      <c r="L34" s="69">
        <v>1</v>
      </c>
      <c r="M34" s="69">
        <v>22</v>
      </c>
      <c r="N34" s="61">
        <f t="shared" si="1"/>
        <v>22</v>
      </c>
      <c r="O34" s="63" t="str">
        <f t="shared" ca="1" si="3"/>
        <v>-</v>
      </c>
      <c r="P34" s="63" t="str">
        <f t="shared" ca="1" si="3"/>
        <v>-</v>
      </c>
      <c r="Q34" s="63" t="str">
        <f t="shared" ca="1" si="3"/>
        <v>-</v>
      </c>
      <c r="R34" s="63">
        <f t="shared" ca="1" si="3"/>
        <v>83.600000000000009</v>
      </c>
      <c r="S34" s="63" t="str">
        <f t="shared" ca="1" si="3"/>
        <v>-</v>
      </c>
      <c r="T34" s="63" t="str">
        <f t="shared" ca="1" si="3"/>
        <v>-</v>
      </c>
      <c r="U34" s="63" t="str">
        <f t="shared" ca="1" si="3"/>
        <v>-</v>
      </c>
      <c r="V34" s="63" t="str">
        <f t="shared" ca="1" si="3"/>
        <v>-</v>
      </c>
      <c r="W34" s="50"/>
    </row>
    <row r="35" spans="1:23" ht="15.75">
      <c r="A35" s="176" t="s">
        <v>207</v>
      </c>
      <c r="B35" s="177"/>
      <c r="C35" s="178"/>
      <c r="D35" s="51"/>
      <c r="E35" s="61">
        <v>25</v>
      </c>
      <c r="F35" s="61">
        <v>0.50900000000000001</v>
      </c>
      <c r="G35" s="61"/>
      <c r="H35" s="61"/>
      <c r="I35" s="61"/>
      <c r="J35" s="61"/>
      <c r="K35" s="70">
        <f t="shared" si="0"/>
        <v>0.50900000000000001</v>
      </c>
      <c r="L35" s="69">
        <v>6</v>
      </c>
      <c r="M35" s="69">
        <v>18</v>
      </c>
      <c r="N35" s="61">
        <f t="shared" si="1"/>
        <v>108</v>
      </c>
      <c r="O35" s="63" t="str">
        <f t="shared" ca="1" si="3"/>
        <v>-</v>
      </c>
      <c r="P35" s="63" t="str">
        <f t="shared" ca="1" si="3"/>
        <v>-</v>
      </c>
      <c r="Q35" s="63" t="str">
        <f t="shared" ca="1" si="3"/>
        <v>-</v>
      </c>
      <c r="R35" s="63" t="str">
        <f t="shared" ca="1" si="3"/>
        <v>-</v>
      </c>
      <c r="S35" s="63" t="str">
        <f t="shared" ca="1" si="3"/>
        <v>-</v>
      </c>
      <c r="T35" s="63">
        <f t="shared" ca="1" si="3"/>
        <v>54.972000000000001</v>
      </c>
      <c r="U35" s="63" t="str">
        <f t="shared" ca="1" si="3"/>
        <v>-</v>
      </c>
      <c r="V35" s="63" t="str">
        <f t="shared" ca="1" si="3"/>
        <v>-</v>
      </c>
      <c r="W35" s="50"/>
    </row>
    <row r="36" spans="1:23" ht="15.75">
      <c r="A36" s="176" t="s">
        <v>208</v>
      </c>
      <c r="B36" s="177"/>
      <c r="C36" s="178"/>
      <c r="D36" s="51"/>
      <c r="E36" s="61">
        <v>10</v>
      </c>
      <c r="F36" s="61">
        <v>0.92</v>
      </c>
      <c r="G36" s="61">
        <f>0.75-0.08</f>
        <v>0.67</v>
      </c>
      <c r="H36" s="61">
        <v>0.92</v>
      </c>
      <c r="I36" s="61">
        <v>0.67</v>
      </c>
      <c r="J36" s="61">
        <v>0.2</v>
      </c>
      <c r="K36" s="70">
        <f t="shared" si="0"/>
        <v>3.38</v>
      </c>
      <c r="L36" s="69">
        <v>3</v>
      </c>
      <c r="M36" s="69">
        <v>6</v>
      </c>
      <c r="N36" s="61">
        <f t="shared" si="1"/>
        <v>18</v>
      </c>
      <c r="O36" s="63" t="str">
        <f t="shared" ca="1" si="3"/>
        <v>-</v>
      </c>
      <c r="P36" s="63">
        <f t="shared" ca="1" si="3"/>
        <v>60.839999999999996</v>
      </c>
      <c r="Q36" s="63" t="str">
        <f t="shared" ca="1" si="3"/>
        <v>-</v>
      </c>
      <c r="R36" s="63" t="str">
        <f t="shared" ca="1" si="3"/>
        <v>-</v>
      </c>
      <c r="S36" s="63" t="str">
        <f t="shared" ca="1" si="3"/>
        <v>-</v>
      </c>
      <c r="T36" s="63" t="str">
        <f t="shared" ca="1" si="3"/>
        <v>-</v>
      </c>
      <c r="U36" s="63" t="str">
        <f t="shared" ca="1" si="3"/>
        <v>-</v>
      </c>
      <c r="V36" s="63" t="str">
        <f t="shared" ca="1" si="3"/>
        <v>-</v>
      </c>
      <c r="W36" s="50"/>
    </row>
    <row r="37" spans="1:23" ht="15.75">
      <c r="A37" s="176" t="s">
        <v>209</v>
      </c>
      <c r="B37" s="177"/>
      <c r="C37" s="178"/>
      <c r="D37" s="51"/>
      <c r="E37" s="61">
        <v>10</v>
      </c>
      <c r="F37" s="61">
        <v>0.34</v>
      </c>
      <c r="G37" s="61">
        <v>0.92</v>
      </c>
      <c r="H37" s="61">
        <v>0.34</v>
      </c>
      <c r="I37" s="61">
        <v>0.92</v>
      </c>
      <c r="J37" s="61">
        <v>0.2</v>
      </c>
      <c r="K37" s="70">
        <f t="shared" si="0"/>
        <v>2.72</v>
      </c>
      <c r="L37" s="69">
        <v>3</v>
      </c>
      <c r="M37" s="69">
        <v>6</v>
      </c>
      <c r="N37" s="61">
        <f t="shared" si="1"/>
        <v>18</v>
      </c>
      <c r="O37" s="63" t="str">
        <f t="shared" ref="O37:V37" ca="1" si="4">IF($E37=(O$10),(($K37*$N37)),"-")</f>
        <v>-</v>
      </c>
      <c r="P37" s="63">
        <f t="shared" ca="1" si="4"/>
        <v>48.96</v>
      </c>
      <c r="Q37" s="63" t="str">
        <f t="shared" ca="1" si="4"/>
        <v>-</v>
      </c>
      <c r="R37" s="63" t="str">
        <f t="shared" ca="1" si="4"/>
        <v>-</v>
      </c>
      <c r="S37" s="63" t="str">
        <f t="shared" ca="1" si="4"/>
        <v>-</v>
      </c>
      <c r="T37" s="63" t="str">
        <f t="shared" ca="1" si="4"/>
        <v>-</v>
      </c>
      <c r="U37" s="63" t="str">
        <f t="shared" ca="1" si="4"/>
        <v>-</v>
      </c>
      <c r="V37" s="63" t="str">
        <f t="shared" ca="1" si="4"/>
        <v>-</v>
      </c>
      <c r="W37" s="50"/>
    </row>
    <row r="38" spans="1:23" ht="15.75">
      <c r="A38" s="71"/>
      <c r="B38" s="72"/>
      <c r="C38" s="73"/>
      <c r="D38" s="50"/>
      <c r="E38" s="50"/>
      <c r="F38" s="50"/>
      <c r="G38" s="50"/>
      <c r="H38" s="50"/>
      <c r="I38" s="74" t="s">
        <v>210</v>
      </c>
      <c r="J38" s="50"/>
      <c r="K38" s="75"/>
      <c r="L38" s="50"/>
      <c r="M38" s="50"/>
      <c r="N38" s="51"/>
      <c r="O38" s="76">
        <f t="shared" ref="O38:V38" ca="1" si="5">SUM(O4:O37)</f>
        <v>0</v>
      </c>
      <c r="P38" s="76">
        <f t="shared" ca="1" si="5"/>
        <v>109.8</v>
      </c>
      <c r="Q38" s="76">
        <f t="shared" ca="1" si="5"/>
        <v>297.45999999999998</v>
      </c>
      <c r="R38" s="76">
        <f t="shared" ca="1" si="5"/>
        <v>1798.7900000000002</v>
      </c>
      <c r="S38" s="76">
        <f t="shared" ca="1" si="5"/>
        <v>158.44</v>
      </c>
      <c r="T38" s="76">
        <f t="shared" ca="1" si="5"/>
        <v>485.03999999999996</v>
      </c>
      <c r="U38" s="76">
        <f t="shared" ca="1" si="5"/>
        <v>1268.864</v>
      </c>
      <c r="V38" s="76">
        <f t="shared" ca="1" si="5"/>
        <v>0</v>
      </c>
      <c r="W38" s="76"/>
    </row>
    <row r="39" spans="1:23" ht="15.75">
      <c r="A39" s="71"/>
      <c r="B39" s="72"/>
      <c r="C39" s="73"/>
      <c r="D39" s="50"/>
      <c r="E39" s="50"/>
      <c r="F39" s="50"/>
      <c r="G39" s="50"/>
      <c r="H39" s="50"/>
      <c r="I39" s="74" t="s">
        <v>211</v>
      </c>
      <c r="J39" s="50"/>
      <c r="K39" s="75"/>
      <c r="L39" s="50"/>
      <c r="M39" s="50"/>
      <c r="N39" s="51"/>
      <c r="O39" s="77">
        <v>0.39</v>
      </c>
      <c r="P39" s="77">
        <v>0.62</v>
      </c>
      <c r="Q39" s="77">
        <v>0.89</v>
      </c>
      <c r="R39" s="77">
        <v>1.58</v>
      </c>
      <c r="S39" s="77">
        <v>2.4700000000000002</v>
      </c>
      <c r="T39" s="77">
        <v>3.86</v>
      </c>
      <c r="U39" s="78">
        <f>32*32/126</f>
        <v>8.1269841269841265</v>
      </c>
      <c r="V39" s="78">
        <f>60*60/162</f>
        <v>22.222222222222221</v>
      </c>
      <c r="W39" s="50"/>
    </row>
    <row r="40" spans="1:23" ht="15.75">
      <c r="A40" s="182"/>
      <c r="B40" s="183"/>
      <c r="C40" s="184"/>
      <c r="D40" s="50"/>
      <c r="E40" s="50"/>
      <c r="F40" s="50"/>
      <c r="G40" s="50"/>
      <c r="H40" s="50"/>
      <c r="I40" s="74" t="s">
        <v>212</v>
      </c>
      <c r="J40" s="50"/>
      <c r="K40" s="75"/>
      <c r="L40" s="50"/>
      <c r="M40" s="50"/>
      <c r="N40" s="51"/>
      <c r="O40" s="78">
        <f t="shared" ref="O40:V40" ca="1" si="6">O39*O38</f>
        <v>0</v>
      </c>
      <c r="P40" s="78">
        <f t="shared" ca="1" si="6"/>
        <v>68.075999999999993</v>
      </c>
      <c r="Q40" s="78">
        <f t="shared" ca="1" si="6"/>
        <v>264.73939999999999</v>
      </c>
      <c r="R40" s="78">
        <f t="shared" ca="1" si="6"/>
        <v>2842.0882000000006</v>
      </c>
      <c r="S40" s="78">
        <f t="shared" ca="1" si="6"/>
        <v>391.34680000000003</v>
      </c>
      <c r="T40" s="78">
        <f t="shared" ca="1" si="6"/>
        <v>1872.2543999999998</v>
      </c>
      <c r="U40" s="78">
        <f t="shared" ca="1" si="6"/>
        <v>10312.037587301587</v>
      </c>
      <c r="V40" s="78">
        <f t="shared" ca="1" si="6"/>
        <v>0</v>
      </c>
      <c r="W40" s="79">
        <f ca="1">SUM(O40:V40)</f>
        <v>15750.542387301588</v>
      </c>
    </row>
    <row r="41" spans="1:23" ht="15.75">
      <c r="A41" s="50"/>
      <c r="B41" s="50"/>
      <c r="C41" s="50"/>
      <c r="D41" s="50"/>
      <c r="E41" s="50"/>
      <c r="F41" s="50"/>
      <c r="G41" s="50"/>
      <c r="H41" s="50"/>
      <c r="I41" s="80" t="s">
        <v>213</v>
      </c>
      <c r="J41" s="50"/>
      <c r="K41" s="50"/>
      <c r="L41" s="50"/>
      <c r="M41" s="50"/>
      <c r="N41" s="50"/>
      <c r="O41" s="81">
        <f ca="1">W40/1000</f>
        <v>15.750542387301588</v>
      </c>
      <c r="P41" s="64"/>
      <c r="Q41" s="64"/>
      <c r="R41" s="64"/>
      <c r="S41" s="64"/>
      <c r="T41" s="64"/>
      <c r="U41" s="64"/>
      <c r="V41" s="50"/>
      <c r="W41" s="50"/>
    </row>
    <row r="46" spans="1:23">
      <c r="P46">
        <v>125</v>
      </c>
    </row>
    <row r="47" spans="1:23">
      <c r="L47">
        <f>110*0.61</f>
        <v>67.099999999999994</v>
      </c>
      <c r="O47">
        <v>12</v>
      </c>
      <c r="P47">
        <f>0.88*P46</f>
        <v>110</v>
      </c>
      <c r="Q47" t="s">
        <v>214</v>
      </c>
    </row>
    <row r="49" spans="17:19">
      <c r="Q49">
        <f>276.8</f>
        <v>276.8</v>
      </c>
      <c r="R49">
        <v>1.58</v>
      </c>
    </row>
    <row r="50" spans="17:19">
      <c r="Q50">
        <v>16</v>
      </c>
      <c r="R50">
        <f>R49*Q49</f>
        <v>437.34400000000005</v>
      </c>
      <c r="S50" t="s">
        <v>215</v>
      </c>
    </row>
    <row r="52" spans="17:19">
      <c r="Q52">
        <f>(R50+P47+L47)/1000</f>
        <v>0.6144440000000001</v>
      </c>
    </row>
  </sheetData>
  <mergeCells count="35">
    <mergeCell ref="A34:C34"/>
    <mergeCell ref="A35:C35"/>
    <mergeCell ref="A36:C36"/>
    <mergeCell ref="A37:C37"/>
    <mergeCell ref="A40:C40"/>
    <mergeCell ref="A33:C33"/>
    <mergeCell ref="A22:C22"/>
    <mergeCell ref="A23:C23"/>
    <mergeCell ref="A24:C24"/>
    <mergeCell ref="A25:C25"/>
    <mergeCell ref="A26:C26"/>
    <mergeCell ref="A27:C27"/>
    <mergeCell ref="A28:C28"/>
    <mergeCell ref="A29:C29"/>
    <mergeCell ref="A30:C30"/>
    <mergeCell ref="A31:C31"/>
    <mergeCell ref="A32:C32"/>
    <mergeCell ref="A21:C21"/>
    <mergeCell ref="A5:C5"/>
    <mergeCell ref="A6:C6"/>
    <mergeCell ref="A7:C7"/>
    <mergeCell ref="A9:C9"/>
    <mergeCell ref="A13:C13"/>
    <mergeCell ref="A14:C14"/>
    <mergeCell ref="A15:C15"/>
    <mergeCell ref="A16:C16"/>
    <mergeCell ref="A17:C17"/>
    <mergeCell ref="A18:C18"/>
    <mergeCell ref="A19:C19"/>
    <mergeCell ref="A1:T1"/>
    <mergeCell ref="D2:D3"/>
    <mergeCell ref="F2:J2"/>
    <mergeCell ref="K2:K3"/>
    <mergeCell ref="L2:N2"/>
    <mergeCell ref="O2:T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19"/>
  <sheetViews>
    <sheetView view="pageBreakPreview" zoomScale="115" zoomScaleNormal="100" zoomScaleSheetLayoutView="115" workbookViewId="0">
      <selection activeCell="R5" sqref="R5"/>
    </sheetView>
  </sheetViews>
  <sheetFormatPr defaultRowHeight="15"/>
  <cols>
    <col min="1" max="1" width="4.140625" customWidth="1"/>
    <col min="2" max="2" width="5.42578125" customWidth="1"/>
    <col min="3" max="3" width="15.42578125" customWidth="1"/>
    <col min="16" max="16" width="12.85546875" customWidth="1"/>
    <col min="17" max="17" width="14.42578125" customWidth="1"/>
    <col min="18" max="18" width="19.42578125" customWidth="1"/>
  </cols>
  <sheetData>
    <row r="2" spans="1:20" s="48" customFormat="1" ht="39.950000000000003" customHeight="1">
      <c r="A2" s="43" t="s">
        <v>66</v>
      </c>
      <c r="B2" s="44" t="s">
        <v>93</v>
      </c>
      <c r="C2" s="44" t="s">
        <v>67</v>
      </c>
      <c r="D2" s="45">
        <v>44927</v>
      </c>
      <c r="E2" s="45">
        <v>44958</v>
      </c>
      <c r="F2" s="45">
        <v>44986</v>
      </c>
      <c r="G2" s="45">
        <v>45017</v>
      </c>
      <c r="H2" s="45">
        <v>45047</v>
      </c>
      <c r="I2" s="45">
        <v>45078</v>
      </c>
      <c r="J2" s="45">
        <v>45108</v>
      </c>
      <c r="K2" s="45">
        <v>45139</v>
      </c>
      <c r="L2" s="45">
        <v>45170</v>
      </c>
      <c r="M2" s="45">
        <v>45200</v>
      </c>
      <c r="N2" s="45">
        <v>45231</v>
      </c>
      <c r="O2" s="45">
        <v>45261</v>
      </c>
      <c r="P2" s="46" t="s">
        <v>84</v>
      </c>
      <c r="Q2" s="46" t="s">
        <v>83</v>
      </c>
      <c r="R2" s="46" t="s">
        <v>92</v>
      </c>
      <c r="S2" s="47"/>
      <c r="T2" s="47"/>
    </row>
    <row r="3" spans="1:20" s="42" customFormat="1" ht="18" thickBot="1">
      <c r="A3" s="38"/>
      <c r="B3" s="38"/>
      <c r="C3" s="38"/>
      <c r="D3" s="39"/>
      <c r="E3" s="39"/>
      <c r="F3" s="39"/>
      <c r="G3" s="39"/>
      <c r="H3" s="39"/>
      <c r="I3" s="39"/>
      <c r="J3" s="39"/>
      <c r="K3" s="39"/>
      <c r="L3" s="39"/>
      <c r="M3" s="39"/>
      <c r="N3" s="39"/>
      <c r="O3" s="39"/>
      <c r="P3" s="40"/>
      <c r="Q3" s="40"/>
      <c r="R3" s="40"/>
      <c r="S3" s="41"/>
      <c r="T3" s="41"/>
    </row>
    <row r="4" spans="1:20" s="35" customFormat="1" ht="15.75" thickTop="1" thickBot="1">
      <c r="A4" s="35">
        <v>1</v>
      </c>
      <c r="B4" s="35" t="s">
        <v>85</v>
      </c>
      <c r="C4" s="35" t="s">
        <v>19</v>
      </c>
      <c r="D4" s="36" t="s">
        <v>71</v>
      </c>
      <c r="E4" s="36" t="s">
        <v>72</v>
      </c>
      <c r="F4" s="36" t="s">
        <v>73</v>
      </c>
      <c r="G4" s="36" t="s">
        <v>74</v>
      </c>
      <c r="H4" s="36" t="s">
        <v>75</v>
      </c>
      <c r="I4" s="36" t="s">
        <v>76</v>
      </c>
      <c r="J4" s="36" t="s">
        <v>77</v>
      </c>
      <c r="K4" s="36" t="s">
        <v>78</v>
      </c>
      <c r="L4" s="36" t="s">
        <v>79</v>
      </c>
      <c r="M4" s="36" t="s">
        <v>80</v>
      </c>
      <c r="N4" s="36" t="s">
        <v>81</v>
      </c>
      <c r="O4" s="36" t="s">
        <v>82</v>
      </c>
      <c r="P4" s="36"/>
      <c r="R4" s="36"/>
      <c r="S4" s="36"/>
      <c r="T4" s="36"/>
    </row>
    <row r="5" spans="1:20" s="33" customFormat="1" ht="16.5" thickTop="1" thickBot="1">
      <c r="D5" s="33">
        <v>5006327.8775900006</v>
      </c>
      <c r="E5" s="33">
        <v>3721574.2000000007</v>
      </c>
      <c r="F5" s="33">
        <v>1241857.6198734669</v>
      </c>
      <c r="G5" s="33">
        <v>1094687.4554519998</v>
      </c>
      <c r="H5" s="33">
        <v>1070669.5780000002</v>
      </c>
      <c r="I5" s="33">
        <v>429721.07710000064</v>
      </c>
      <c r="P5" s="33">
        <f>SUM(D5:O5)</f>
        <v>12564837.808015468</v>
      </c>
      <c r="Q5" s="34">
        <v>15277426.3717552</v>
      </c>
      <c r="R5" s="34">
        <f>Q5-P5</f>
        <v>2712588.5637397319</v>
      </c>
    </row>
    <row r="6" spans="1:20" s="35" customFormat="1" ht="15.75" thickTop="1" thickBot="1">
      <c r="A6" s="35">
        <v>2</v>
      </c>
      <c r="B6" s="35" t="s">
        <v>85</v>
      </c>
      <c r="C6" s="35" t="s">
        <v>68</v>
      </c>
      <c r="G6" s="35" t="s">
        <v>89</v>
      </c>
      <c r="I6" s="35" t="s">
        <v>90</v>
      </c>
      <c r="Q6" s="37"/>
      <c r="R6" s="37"/>
    </row>
    <row r="7" spans="1:20" s="33" customFormat="1" ht="16.5" thickTop="1" thickBot="1">
      <c r="G7" s="33">
        <v>1151411.418324901</v>
      </c>
      <c r="I7" s="33">
        <v>269981.70050000004</v>
      </c>
      <c r="P7" s="33">
        <f t="shared" ref="P7:P17" si="0">SUM(D7:O7)</f>
        <v>1421393.1188249011</v>
      </c>
      <c r="Q7" s="33">
        <v>7852713.5600527003</v>
      </c>
      <c r="R7" s="34">
        <f t="shared" ref="R7:R15" si="1">Q7-P7</f>
        <v>6431320.4412277993</v>
      </c>
    </row>
    <row r="8" spans="1:20" s="35" customFormat="1" ht="15.75" thickTop="1" thickBot="1">
      <c r="A8" s="35">
        <v>3</v>
      </c>
      <c r="B8" s="35" t="s">
        <v>85</v>
      </c>
      <c r="C8" s="35" t="s">
        <v>69</v>
      </c>
      <c r="R8" s="37"/>
    </row>
    <row r="9" spans="1:20" s="33" customFormat="1" ht="16.5" thickTop="1" thickBot="1">
      <c r="P9" s="33">
        <f t="shared" si="0"/>
        <v>0</v>
      </c>
      <c r="Q9" s="33">
        <v>3664853.1604895005</v>
      </c>
      <c r="R9" s="34">
        <f t="shared" si="1"/>
        <v>3664853.1604895005</v>
      </c>
    </row>
    <row r="10" spans="1:20" s="35" customFormat="1" ht="15.75" thickTop="1" thickBot="1">
      <c r="A10" s="35">
        <v>4</v>
      </c>
      <c r="B10" s="35" t="s">
        <v>85</v>
      </c>
      <c r="C10" s="35" t="s">
        <v>70</v>
      </c>
      <c r="R10" s="37"/>
    </row>
    <row r="11" spans="1:20" s="33" customFormat="1" ht="16.5" thickTop="1" thickBot="1">
      <c r="P11" s="33">
        <f t="shared" si="0"/>
        <v>0</v>
      </c>
      <c r="R11" s="34">
        <f t="shared" si="1"/>
        <v>0</v>
      </c>
    </row>
    <row r="12" spans="1:20" s="35" customFormat="1" ht="15.75" thickTop="1" thickBot="1">
      <c r="A12" s="35">
        <v>5</v>
      </c>
      <c r="B12" s="35" t="s">
        <v>85</v>
      </c>
      <c r="C12" s="35" t="s">
        <v>86</v>
      </c>
      <c r="R12" s="37"/>
    </row>
    <row r="13" spans="1:20" s="33" customFormat="1" ht="16.5" thickTop="1" thickBot="1">
      <c r="P13" s="33">
        <f t="shared" si="0"/>
        <v>0</v>
      </c>
      <c r="Q13" s="33">
        <v>295773.87500000006</v>
      </c>
      <c r="R13" s="34">
        <f t="shared" si="1"/>
        <v>295773.87500000006</v>
      </c>
    </row>
    <row r="14" spans="1:20" s="35" customFormat="1" ht="15.75" thickTop="1" thickBot="1">
      <c r="A14" s="35">
        <v>6</v>
      </c>
      <c r="B14" s="35" t="s">
        <v>85</v>
      </c>
      <c r="C14" s="35" t="s">
        <v>87</v>
      </c>
      <c r="F14" s="35" t="s">
        <v>91</v>
      </c>
      <c r="R14" s="37"/>
    </row>
    <row r="15" spans="1:20" s="33" customFormat="1" ht="16.5" thickTop="1" thickBot="1">
      <c r="F15" s="33">
        <v>80825.589259999993</v>
      </c>
      <c r="P15" s="33">
        <f t="shared" si="0"/>
        <v>80825.589259999993</v>
      </c>
      <c r="Q15" s="33">
        <v>892087.9012407515</v>
      </c>
      <c r="R15" s="34">
        <f t="shared" si="1"/>
        <v>811262.31198075146</v>
      </c>
    </row>
    <row r="16" spans="1:20" s="35" customFormat="1" ht="15.75" thickTop="1" thickBot="1">
      <c r="A16" s="35">
        <v>7</v>
      </c>
      <c r="B16" s="35" t="s">
        <v>85</v>
      </c>
      <c r="C16" s="35" t="s">
        <v>88</v>
      </c>
    </row>
    <row r="17" spans="1:18" s="33" customFormat="1" ht="15.75" thickTop="1">
      <c r="P17" s="33">
        <f t="shared" si="0"/>
        <v>0</v>
      </c>
    </row>
    <row r="19" spans="1:18" ht="17.25">
      <c r="A19" s="32"/>
      <c r="B19" s="32"/>
      <c r="C19" s="32"/>
      <c r="D19" s="32"/>
      <c r="E19" s="32"/>
      <c r="F19" s="32"/>
      <c r="G19" s="32"/>
      <c r="H19" s="32"/>
      <c r="I19" s="32"/>
      <c r="J19" s="32"/>
      <c r="K19" s="32"/>
      <c r="L19" s="32"/>
      <c r="M19" s="32"/>
      <c r="N19" s="32"/>
      <c r="O19" s="32"/>
      <c r="P19" s="32"/>
      <c r="Q19" s="32"/>
      <c r="R19" s="32"/>
    </row>
  </sheetData>
  <printOptions horizontalCentered="1"/>
  <pageMargins left="0" right="0" top="0.25" bottom="0.25" header="0.3" footer="0.3"/>
  <pageSetup paperSize="9" scale="77"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workbookViewId="0">
      <selection activeCell="J31" sqref="J31"/>
    </sheetView>
  </sheetViews>
  <sheetFormatPr defaultRowHeight="15"/>
  <cols>
    <col min="1" max="1" width="9.28515625" bestFit="1" customWidth="1"/>
    <col min="3" max="3" width="67.42578125" customWidth="1"/>
    <col min="5" max="5" width="10.140625" bestFit="1" customWidth="1"/>
    <col min="6" max="6" width="11.5703125" customWidth="1"/>
    <col min="7" max="7" width="10.140625" bestFit="1" customWidth="1"/>
    <col min="8" max="8" width="14.42578125" bestFit="1" customWidth="1"/>
    <col min="9" max="9" width="11.42578125" customWidth="1"/>
    <col min="10" max="10" width="12.7109375" customWidth="1"/>
    <col min="11" max="11" width="10.140625" bestFit="1" customWidth="1"/>
    <col min="12" max="12" width="14.42578125" bestFit="1" customWidth="1"/>
    <col min="13" max="13" width="11.140625" customWidth="1"/>
  </cols>
  <sheetData>
    <row r="1" spans="1:13">
      <c r="A1" s="1" t="s">
        <v>0</v>
      </c>
      <c r="B1" s="1"/>
      <c r="C1" s="1"/>
      <c r="D1" s="2"/>
      <c r="E1" s="2"/>
      <c r="F1" s="2"/>
      <c r="G1" s="2"/>
      <c r="H1" s="2"/>
      <c r="I1" s="2"/>
      <c r="J1" s="2"/>
      <c r="K1" s="2"/>
      <c r="L1" s="2"/>
      <c r="M1" s="1"/>
    </row>
    <row r="2" spans="1:13">
      <c r="A2" s="1" t="s">
        <v>1</v>
      </c>
      <c r="B2" s="1"/>
      <c r="C2" s="1"/>
      <c r="D2" s="2"/>
      <c r="E2" s="2"/>
      <c r="F2" s="2"/>
      <c r="G2" s="2"/>
      <c r="H2" s="2"/>
      <c r="I2" s="2"/>
      <c r="J2" s="2"/>
      <c r="K2" s="2"/>
      <c r="L2" s="2"/>
      <c r="M2" s="1"/>
    </row>
    <row r="3" spans="1:13">
      <c r="A3" s="1" t="s">
        <v>2</v>
      </c>
      <c r="B3" s="1"/>
      <c r="C3" s="1"/>
      <c r="D3" s="2"/>
      <c r="E3" s="2"/>
      <c r="F3" s="2"/>
      <c r="G3" s="2"/>
      <c r="H3" s="2"/>
      <c r="I3" s="2"/>
      <c r="J3" s="2"/>
      <c r="K3" s="2"/>
      <c r="L3" s="2"/>
      <c r="M3" s="1"/>
    </row>
    <row r="4" spans="1:13">
      <c r="A4" s="1" t="s">
        <v>55</v>
      </c>
      <c r="B4" s="1"/>
      <c r="C4" s="1"/>
      <c r="D4" s="2"/>
      <c r="E4" s="2"/>
      <c r="F4" s="2"/>
      <c r="G4" s="2"/>
      <c r="H4" s="2"/>
      <c r="I4" s="2"/>
      <c r="J4" s="2"/>
      <c r="K4" s="2"/>
      <c r="L4" s="2"/>
      <c r="M4" s="1"/>
    </row>
    <row r="5" spans="1:13">
      <c r="A5" s="1" t="s">
        <v>4</v>
      </c>
      <c r="B5" s="1"/>
      <c r="C5" s="1"/>
      <c r="D5" s="2"/>
      <c r="E5" s="2"/>
      <c r="F5" s="2"/>
      <c r="G5" s="2"/>
      <c r="H5" s="2"/>
      <c r="I5" s="2"/>
      <c r="J5" s="2"/>
      <c r="K5" s="2"/>
      <c r="L5" s="2"/>
      <c r="M5" s="1"/>
    </row>
    <row r="6" spans="1:13">
      <c r="A6" s="1"/>
      <c r="B6" s="1"/>
      <c r="C6" s="1"/>
      <c r="D6" s="2"/>
      <c r="E6" s="2"/>
      <c r="F6" s="2"/>
      <c r="G6" s="2"/>
      <c r="H6" s="2"/>
      <c r="I6" s="2"/>
      <c r="J6" s="2"/>
      <c r="K6" s="2"/>
      <c r="L6" s="2"/>
      <c r="M6" s="1"/>
    </row>
    <row r="7" spans="1:13" ht="37.5">
      <c r="A7" s="3" t="s">
        <v>5</v>
      </c>
      <c r="B7" s="3" t="s">
        <v>6</v>
      </c>
      <c r="C7" s="3" t="s">
        <v>7</v>
      </c>
      <c r="D7" s="3" t="s">
        <v>8</v>
      </c>
      <c r="E7" s="3" t="s">
        <v>9</v>
      </c>
      <c r="F7" s="3" t="s">
        <v>10</v>
      </c>
      <c r="G7" s="163" t="s">
        <v>11</v>
      </c>
      <c r="H7" s="163"/>
      <c r="I7" s="163" t="s">
        <v>12</v>
      </c>
      <c r="J7" s="163"/>
      <c r="K7" s="163" t="s">
        <v>13</v>
      </c>
      <c r="L7" s="163"/>
      <c r="M7" s="3" t="s">
        <v>14</v>
      </c>
    </row>
    <row r="8" spans="1:13">
      <c r="A8" s="4"/>
      <c r="B8" s="4"/>
      <c r="C8" s="4"/>
      <c r="D8" s="5"/>
      <c r="E8" s="5"/>
      <c r="F8" s="5"/>
      <c r="G8" s="5" t="s">
        <v>15</v>
      </c>
      <c r="H8" s="5" t="s">
        <v>16</v>
      </c>
      <c r="I8" s="5" t="s">
        <v>15</v>
      </c>
      <c r="J8" s="5" t="s">
        <v>16</v>
      </c>
      <c r="K8" s="5" t="s">
        <v>15</v>
      </c>
      <c r="L8" s="5" t="s">
        <v>16</v>
      </c>
      <c r="M8" s="4"/>
    </row>
    <row r="9" spans="1:13" ht="45">
      <c r="A9" s="6">
        <v>1</v>
      </c>
      <c r="B9" s="7"/>
      <c r="C9" s="8" t="s">
        <v>17</v>
      </c>
      <c r="D9" s="9" t="s">
        <v>18</v>
      </c>
      <c r="E9" s="9">
        <v>180</v>
      </c>
      <c r="F9" s="9" t="s">
        <v>19</v>
      </c>
      <c r="G9" s="9">
        <v>2225.5500000000002</v>
      </c>
      <c r="H9" s="9">
        <f>G9*E9</f>
        <v>400599.00000000006</v>
      </c>
      <c r="I9" s="9">
        <f>J9/E9</f>
        <v>803.36727777777764</v>
      </c>
      <c r="J9" s="9">
        <v>144606.10999999999</v>
      </c>
      <c r="K9" s="10">
        <f>I9+G9</f>
        <v>3028.9172777777776</v>
      </c>
      <c r="L9" s="10">
        <f>K9*E9</f>
        <v>545205.11</v>
      </c>
      <c r="M9" s="7"/>
    </row>
    <row r="10" spans="1:13" ht="45">
      <c r="A10" s="6">
        <v>2</v>
      </c>
      <c r="B10" s="7"/>
      <c r="C10" s="8" t="s">
        <v>20</v>
      </c>
      <c r="D10" s="9" t="s">
        <v>18</v>
      </c>
      <c r="E10" s="9">
        <v>220</v>
      </c>
      <c r="F10" s="9" t="s">
        <v>19</v>
      </c>
      <c r="G10" s="9">
        <v>1530.181</v>
      </c>
      <c r="H10" s="9">
        <f t="shared" ref="H10:H29" si="0">G10*E10</f>
        <v>336639.82</v>
      </c>
      <c r="I10" s="9">
        <f t="shared" ref="I10:I28" si="1">J10/E10</f>
        <v>0</v>
      </c>
      <c r="J10" s="9"/>
      <c r="K10" s="10">
        <f t="shared" ref="K10:K30" si="2">I10+G10</f>
        <v>1530.181</v>
      </c>
      <c r="L10" s="10">
        <f t="shared" ref="L10:L30" si="3">K10*E10</f>
        <v>336639.82</v>
      </c>
      <c r="M10" s="7"/>
    </row>
    <row r="11" spans="1:13">
      <c r="A11" s="6">
        <v>3</v>
      </c>
      <c r="B11" s="7"/>
      <c r="C11" s="8" t="s">
        <v>21</v>
      </c>
      <c r="D11" s="9" t="s">
        <v>22</v>
      </c>
      <c r="E11" s="9">
        <v>25</v>
      </c>
      <c r="F11" s="9" t="s">
        <v>19</v>
      </c>
      <c r="G11" s="9">
        <v>621.625</v>
      </c>
      <c r="H11" s="9">
        <f t="shared" si="0"/>
        <v>15540.625</v>
      </c>
      <c r="I11" s="9">
        <f t="shared" si="1"/>
        <v>126.5</v>
      </c>
      <c r="J11" s="9">
        <v>3162.5</v>
      </c>
      <c r="K11" s="10">
        <f t="shared" si="2"/>
        <v>748.125</v>
      </c>
      <c r="L11" s="10">
        <f t="shared" si="3"/>
        <v>18703.125</v>
      </c>
      <c r="M11" s="7"/>
    </row>
    <row r="12" spans="1:13">
      <c r="A12" s="6">
        <v>4</v>
      </c>
      <c r="B12" s="7"/>
      <c r="C12" s="8" t="s">
        <v>23</v>
      </c>
      <c r="D12" s="9" t="s">
        <v>18</v>
      </c>
      <c r="E12" s="9">
        <v>1050</v>
      </c>
      <c r="F12" s="9" t="s">
        <v>19</v>
      </c>
      <c r="G12" s="9">
        <v>0</v>
      </c>
      <c r="H12" s="9">
        <f t="shared" si="0"/>
        <v>0</v>
      </c>
      <c r="I12" s="9">
        <f t="shared" si="1"/>
        <v>1281.2922476190477</v>
      </c>
      <c r="J12" s="9">
        <v>1345356.86</v>
      </c>
      <c r="K12" s="10">
        <f t="shared" si="2"/>
        <v>1281.2922476190477</v>
      </c>
      <c r="L12" s="10">
        <f t="shared" si="3"/>
        <v>1345356.86</v>
      </c>
      <c r="M12" s="7"/>
    </row>
    <row r="13" spans="1:13">
      <c r="A13" s="6">
        <v>5</v>
      </c>
      <c r="B13" s="7"/>
      <c r="C13" s="8" t="s">
        <v>24</v>
      </c>
      <c r="D13" s="9" t="s">
        <v>18</v>
      </c>
      <c r="E13" s="9">
        <v>1150</v>
      </c>
      <c r="F13" s="9" t="s">
        <v>19</v>
      </c>
      <c r="G13" s="9">
        <v>510.221</v>
      </c>
      <c r="H13" s="9">
        <f t="shared" si="0"/>
        <v>586754.15</v>
      </c>
      <c r="I13" s="9">
        <f t="shared" si="1"/>
        <v>964.91099999999994</v>
      </c>
      <c r="J13" s="9">
        <v>1109647.6499999999</v>
      </c>
      <c r="K13" s="10">
        <f t="shared" si="2"/>
        <v>1475.1320000000001</v>
      </c>
      <c r="L13" s="10">
        <f t="shared" si="3"/>
        <v>1696401.8</v>
      </c>
      <c r="M13" s="7"/>
    </row>
    <row r="14" spans="1:13">
      <c r="A14" s="6">
        <v>6</v>
      </c>
      <c r="B14" s="7"/>
      <c r="C14" s="8" t="s">
        <v>25</v>
      </c>
      <c r="D14" s="9" t="s">
        <v>18</v>
      </c>
      <c r="E14" s="9">
        <v>1299.5</v>
      </c>
      <c r="F14" s="9" t="s">
        <v>19</v>
      </c>
      <c r="G14" s="2">
        <v>500.98797229703735</v>
      </c>
      <c r="H14" s="9">
        <f t="shared" si="0"/>
        <v>651033.87</v>
      </c>
      <c r="I14" s="9">
        <f t="shared" si="1"/>
        <v>0</v>
      </c>
      <c r="J14" s="9"/>
      <c r="K14" s="10">
        <f t="shared" si="2"/>
        <v>500.98797229703735</v>
      </c>
      <c r="L14" s="10">
        <f t="shared" si="3"/>
        <v>651033.87</v>
      </c>
      <c r="M14" s="7"/>
    </row>
    <row r="15" spans="1:13">
      <c r="A15" s="6">
        <v>7</v>
      </c>
      <c r="B15" s="7"/>
      <c r="C15" s="8" t="s">
        <v>26</v>
      </c>
      <c r="D15" s="9" t="s">
        <v>18</v>
      </c>
      <c r="E15" s="9">
        <v>80</v>
      </c>
      <c r="F15" s="9" t="s">
        <v>19</v>
      </c>
      <c r="G15" s="7">
        <v>0</v>
      </c>
      <c r="H15" s="9">
        <f t="shared" si="0"/>
        <v>0</v>
      </c>
      <c r="I15" s="9">
        <f t="shared" si="1"/>
        <v>0</v>
      </c>
      <c r="J15" s="11"/>
      <c r="K15" s="10">
        <f t="shared" si="2"/>
        <v>0</v>
      </c>
      <c r="L15" s="10">
        <f t="shared" si="3"/>
        <v>0</v>
      </c>
      <c r="M15" s="7"/>
    </row>
    <row r="16" spans="1:13">
      <c r="A16" s="6">
        <v>8</v>
      </c>
      <c r="B16" s="7"/>
      <c r="C16" s="8" t="s">
        <v>27</v>
      </c>
      <c r="D16" s="9" t="s">
        <v>18</v>
      </c>
      <c r="E16" s="9">
        <v>1180</v>
      </c>
      <c r="F16" s="9" t="s">
        <v>19</v>
      </c>
      <c r="G16" s="7">
        <v>12.877000000000001</v>
      </c>
      <c r="H16" s="9">
        <f t="shared" si="0"/>
        <v>15194.86</v>
      </c>
      <c r="I16" s="9">
        <f t="shared" si="1"/>
        <v>0</v>
      </c>
      <c r="J16" s="9"/>
      <c r="K16" s="10">
        <f t="shared" si="2"/>
        <v>12.877000000000001</v>
      </c>
      <c r="L16" s="10">
        <f t="shared" si="3"/>
        <v>15194.86</v>
      </c>
      <c r="M16" s="7"/>
    </row>
    <row r="17" spans="1:13">
      <c r="A17" s="6">
        <v>9</v>
      </c>
      <c r="B17" s="7"/>
      <c r="C17" s="8" t="s">
        <v>28</v>
      </c>
      <c r="D17" s="9" t="s">
        <v>18</v>
      </c>
      <c r="E17" s="9">
        <v>1700</v>
      </c>
      <c r="F17" s="9" t="s">
        <v>19</v>
      </c>
      <c r="G17" s="7">
        <v>57.617988235294121</v>
      </c>
      <c r="H17" s="9">
        <f t="shared" si="0"/>
        <v>97950.58</v>
      </c>
      <c r="I17" s="9">
        <f t="shared" si="1"/>
        <v>0</v>
      </c>
      <c r="J17" s="9"/>
      <c r="K17" s="10">
        <f t="shared" si="2"/>
        <v>57.617988235294121</v>
      </c>
      <c r="L17" s="10">
        <f t="shared" si="3"/>
        <v>97950.58</v>
      </c>
      <c r="M17" s="7"/>
    </row>
    <row r="18" spans="1:13">
      <c r="A18" s="6">
        <v>10</v>
      </c>
      <c r="B18" s="7"/>
      <c r="C18" s="8" t="s">
        <v>29</v>
      </c>
      <c r="D18" s="9" t="s">
        <v>18</v>
      </c>
      <c r="E18" s="9">
        <v>900</v>
      </c>
      <c r="F18" s="9" t="s">
        <v>19</v>
      </c>
      <c r="G18" s="7">
        <v>80.438322222222226</v>
      </c>
      <c r="H18" s="9">
        <f t="shared" si="0"/>
        <v>72394.490000000005</v>
      </c>
      <c r="I18" s="9">
        <f t="shared" si="1"/>
        <v>0</v>
      </c>
      <c r="J18" s="9"/>
      <c r="K18" s="10">
        <f t="shared" si="2"/>
        <v>80.438322222222226</v>
      </c>
      <c r="L18" s="10">
        <f t="shared" si="3"/>
        <v>72394.490000000005</v>
      </c>
      <c r="M18" s="7"/>
    </row>
    <row r="19" spans="1:13" ht="90">
      <c r="A19" s="6">
        <v>11</v>
      </c>
      <c r="B19" s="9"/>
      <c r="C19" s="12" t="s">
        <v>30</v>
      </c>
      <c r="D19" s="9" t="s">
        <v>18</v>
      </c>
      <c r="E19" s="9">
        <v>2599</v>
      </c>
      <c r="F19" s="9" t="s">
        <v>19</v>
      </c>
      <c r="G19" s="9">
        <v>31.311</v>
      </c>
      <c r="H19" s="9">
        <f t="shared" si="0"/>
        <v>81377.289000000004</v>
      </c>
      <c r="I19" s="9">
        <f t="shared" si="1"/>
        <v>11.015998460946518</v>
      </c>
      <c r="J19" s="9">
        <v>28630.58</v>
      </c>
      <c r="K19" s="10">
        <f t="shared" si="2"/>
        <v>42.32699846094652</v>
      </c>
      <c r="L19" s="10">
        <f t="shared" si="3"/>
        <v>110007.86900000001</v>
      </c>
      <c r="M19" s="9"/>
    </row>
    <row r="20" spans="1:13" ht="90">
      <c r="A20" s="6">
        <v>12</v>
      </c>
      <c r="B20" s="9"/>
      <c r="C20" s="12" t="s">
        <v>31</v>
      </c>
      <c r="D20" s="9" t="s">
        <v>18</v>
      </c>
      <c r="E20" s="9">
        <v>2898</v>
      </c>
      <c r="F20" s="9" t="s">
        <v>19</v>
      </c>
      <c r="G20" s="9">
        <v>44.829000000000001</v>
      </c>
      <c r="H20" s="9">
        <f t="shared" si="0"/>
        <v>129914.442</v>
      </c>
      <c r="I20" s="9">
        <f t="shared" si="1"/>
        <v>0</v>
      </c>
      <c r="J20" s="9"/>
      <c r="K20" s="10">
        <f t="shared" si="2"/>
        <v>44.829000000000001</v>
      </c>
      <c r="L20" s="10">
        <f t="shared" si="3"/>
        <v>129914.442</v>
      </c>
      <c r="M20" s="9"/>
    </row>
    <row r="21" spans="1:13" ht="45">
      <c r="A21" s="6">
        <v>13</v>
      </c>
      <c r="B21" s="7"/>
      <c r="C21" s="8" t="s">
        <v>32</v>
      </c>
      <c r="D21" s="9" t="s">
        <v>18</v>
      </c>
      <c r="E21" s="9">
        <v>2750</v>
      </c>
      <c r="F21" s="9" t="s">
        <v>19</v>
      </c>
      <c r="G21" s="9">
        <v>0</v>
      </c>
      <c r="H21" s="9">
        <f t="shared" si="0"/>
        <v>0</v>
      </c>
      <c r="I21" s="9">
        <f t="shared" si="1"/>
        <v>71.579701818181817</v>
      </c>
      <c r="J21" s="9">
        <v>196844.18</v>
      </c>
      <c r="K21" s="10">
        <f t="shared" si="2"/>
        <v>71.579701818181817</v>
      </c>
      <c r="L21" s="10">
        <f t="shared" si="3"/>
        <v>196844.18</v>
      </c>
      <c r="M21" s="7"/>
    </row>
    <row r="22" spans="1:13" ht="45">
      <c r="A22" s="6">
        <v>14</v>
      </c>
      <c r="B22" s="7"/>
      <c r="C22" s="8" t="s">
        <v>33</v>
      </c>
      <c r="D22" s="9" t="s">
        <v>18</v>
      </c>
      <c r="E22" s="9">
        <f>E21+(E21*13%)</f>
        <v>3107.5</v>
      </c>
      <c r="F22" s="9" t="s">
        <v>19</v>
      </c>
      <c r="G22" s="9">
        <v>304.5</v>
      </c>
      <c r="H22" s="9">
        <f t="shared" si="0"/>
        <v>946233.75</v>
      </c>
      <c r="I22" s="9">
        <f t="shared" si="1"/>
        <v>166.31310056315365</v>
      </c>
      <c r="J22" s="29">
        <v>516817.96</v>
      </c>
      <c r="K22" s="10">
        <f t="shared" si="2"/>
        <v>470.81310056315363</v>
      </c>
      <c r="L22" s="10">
        <f t="shared" si="3"/>
        <v>1463051.71</v>
      </c>
      <c r="M22" s="7"/>
    </row>
    <row r="23" spans="1:13" ht="45">
      <c r="A23" s="6"/>
      <c r="B23" s="7"/>
      <c r="C23" s="8" t="s">
        <v>54</v>
      </c>
      <c r="D23" s="9" t="s">
        <v>18</v>
      </c>
      <c r="E23" s="9">
        <f>E21+(E21*26%)</f>
        <v>3465</v>
      </c>
      <c r="F23" s="9" t="str">
        <f>F22</f>
        <v>Klin</v>
      </c>
      <c r="G23" s="9">
        <v>220.27</v>
      </c>
      <c r="H23" s="9">
        <f t="shared" si="0"/>
        <v>763235.55</v>
      </c>
      <c r="I23" s="9">
        <f t="shared" si="1"/>
        <v>0</v>
      </c>
      <c r="J23" s="9"/>
      <c r="K23" s="10">
        <f t="shared" si="2"/>
        <v>220.27</v>
      </c>
      <c r="L23" s="10">
        <f t="shared" si="3"/>
        <v>763235.55</v>
      </c>
      <c r="M23" s="7"/>
    </row>
    <row r="24" spans="1:13" ht="105">
      <c r="A24" s="6">
        <v>15</v>
      </c>
      <c r="B24" s="7"/>
      <c r="C24" s="12" t="s">
        <v>34</v>
      </c>
      <c r="D24" s="9" t="s">
        <v>22</v>
      </c>
      <c r="E24" s="9">
        <v>400</v>
      </c>
      <c r="F24" s="9" t="s">
        <v>19</v>
      </c>
      <c r="G24" s="9">
        <v>0</v>
      </c>
      <c r="H24" s="9">
        <f t="shared" si="0"/>
        <v>0</v>
      </c>
      <c r="I24" s="9">
        <f t="shared" si="1"/>
        <v>151.4067</v>
      </c>
      <c r="J24" s="9">
        <v>60562.68</v>
      </c>
      <c r="K24" s="10">
        <f t="shared" si="2"/>
        <v>151.4067</v>
      </c>
      <c r="L24" s="10">
        <f t="shared" si="3"/>
        <v>60562.68</v>
      </c>
      <c r="M24" s="7"/>
    </row>
    <row r="25" spans="1:13" ht="105">
      <c r="A25" s="6">
        <v>16</v>
      </c>
      <c r="B25" s="7"/>
      <c r="C25" s="8" t="s">
        <v>35</v>
      </c>
      <c r="D25" s="9" t="s">
        <v>22</v>
      </c>
      <c r="E25" s="9">
        <f>E24+(E24*13%)</f>
        <v>452</v>
      </c>
      <c r="F25" s="9" t="s">
        <v>19</v>
      </c>
      <c r="G25" s="9">
        <v>93.753318584070797</v>
      </c>
      <c r="H25" s="9">
        <f t="shared" si="0"/>
        <v>42376.5</v>
      </c>
      <c r="I25" s="9">
        <f t="shared" si="1"/>
        <v>235.08050884955753</v>
      </c>
      <c r="J25" s="9">
        <v>106256.39</v>
      </c>
      <c r="K25" s="10">
        <f t="shared" si="2"/>
        <v>328.83382743362836</v>
      </c>
      <c r="L25" s="10">
        <f t="shared" si="3"/>
        <v>148632.89000000001</v>
      </c>
      <c r="M25" s="7"/>
    </row>
    <row r="26" spans="1:13" ht="105">
      <c r="A26" s="6">
        <v>17</v>
      </c>
      <c r="B26" s="7"/>
      <c r="C26" s="8" t="s">
        <v>36</v>
      </c>
      <c r="D26" s="9" t="s">
        <v>22</v>
      </c>
      <c r="E26" s="9">
        <v>504</v>
      </c>
      <c r="F26" s="9" t="s">
        <v>19</v>
      </c>
      <c r="G26" s="9">
        <v>167.31365079365079</v>
      </c>
      <c r="H26" s="9">
        <f t="shared" si="0"/>
        <v>84326.080000000002</v>
      </c>
      <c r="I26" s="9">
        <f t="shared" si="1"/>
        <v>78.518055555555549</v>
      </c>
      <c r="J26" s="9">
        <v>39573.1</v>
      </c>
      <c r="K26" s="10">
        <f t="shared" si="2"/>
        <v>245.83170634920634</v>
      </c>
      <c r="L26" s="10">
        <f t="shared" si="3"/>
        <v>123899.18</v>
      </c>
      <c r="M26" s="7"/>
    </row>
    <row r="27" spans="1:13" ht="120">
      <c r="A27" s="6">
        <v>18</v>
      </c>
      <c r="B27" s="7"/>
      <c r="C27" s="12" t="s">
        <v>37</v>
      </c>
      <c r="D27" s="9" t="s">
        <v>38</v>
      </c>
      <c r="E27" s="9">
        <v>9000</v>
      </c>
      <c r="F27" s="9" t="s">
        <v>19</v>
      </c>
      <c r="G27" s="9">
        <v>8.7629999999999999</v>
      </c>
      <c r="H27" s="9">
        <f t="shared" si="0"/>
        <v>78867</v>
      </c>
      <c r="I27" s="9">
        <f t="shared" si="1"/>
        <v>4.3503722222222221</v>
      </c>
      <c r="J27" s="9">
        <v>39153.35</v>
      </c>
      <c r="K27" s="10">
        <f t="shared" si="2"/>
        <v>13.113372222222221</v>
      </c>
      <c r="L27" s="10">
        <f t="shared" si="3"/>
        <v>118020.34999999999</v>
      </c>
      <c r="M27" s="7"/>
    </row>
    <row r="28" spans="1:13" ht="120">
      <c r="A28" s="6">
        <v>19</v>
      </c>
      <c r="B28" s="7"/>
      <c r="C28" s="12" t="s">
        <v>39</v>
      </c>
      <c r="D28" s="9" t="s">
        <v>38</v>
      </c>
      <c r="E28" s="9">
        <f>E27+(E27*13%)</f>
        <v>10170</v>
      </c>
      <c r="F28" s="9" t="s">
        <v>19</v>
      </c>
      <c r="G28" s="9">
        <v>28.465126999999999</v>
      </c>
      <c r="H28" s="9">
        <f t="shared" si="0"/>
        <v>289490.34158999997</v>
      </c>
      <c r="I28" s="9">
        <f t="shared" si="1"/>
        <v>12.877368731563422</v>
      </c>
      <c r="J28" s="9">
        <v>130962.84</v>
      </c>
      <c r="K28" s="10">
        <f t="shared" si="2"/>
        <v>41.342495731563417</v>
      </c>
      <c r="L28" s="10">
        <f t="shared" si="3"/>
        <v>420453.18158999993</v>
      </c>
      <c r="M28" s="7"/>
    </row>
    <row r="29" spans="1:13" ht="120">
      <c r="A29" s="6">
        <v>20</v>
      </c>
      <c r="B29" s="7"/>
      <c r="C29" s="12" t="s">
        <v>40</v>
      </c>
      <c r="D29" s="9" t="s">
        <v>38</v>
      </c>
      <c r="E29" s="9">
        <f>E27+(E27*26%)</f>
        <v>11340</v>
      </c>
      <c r="F29" s="9" t="s">
        <v>19</v>
      </c>
      <c r="G29" s="9">
        <v>36.543168430335101</v>
      </c>
      <c r="H29" s="9">
        <f t="shared" si="0"/>
        <v>414399.53</v>
      </c>
      <c r="I29" s="9"/>
      <c r="J29" s="9"/>
      <c r="K29" s="10">
        <f t="shared" si="2"/>
        <v>36.543168430335101</v>
      </c>
      <c r="L29" s="10">
        <f t="shared" si="3"/>
        <v>414399.53</v>
      </c>
      <c r="M29" s="7"/>
    </row>
    <row r="30" spans="1:13">
      <c r="A30" s="6">
        <v>21</v>
      </c>
      <c r="B30" s="7"/>
      <c r="C30" s="12"/>
      <c r="D30" s="9"/>
      <c r="E30" s="9"/>
      <c r="F30" s="9"/>
      <c r="G30" s="9">
        <v>0</v>
      </c>
      <c r="H30" s="9"/>
      <c r="I30" s="9"/>
      <c r="J30" s="9"/>
      <c r="K30" s="10">
        <f t="shared" si="2"/>
        <v>0</v>
      </c>
      <c r="L30" s="10">
        <f t="shared" si="3"/>
        <v>0</v>
      </c>
      <c r="M30" s="7"/>
    </row>
    <row r="31" spans="1:13">
      <c r="A31" s="13"/>
      <c r="B31" s="13"/>
      <c r="C31" s="13"/>
      <c r="D31" s="14"/>
      <c r="E31" s="14"/>
      <c r="F31" s="14"/>
      <c r="G31" s="14"/>
      <c r="H31" s="15">
        <f>SUM(H9:H30)</f>
        <v>5006327.8775900006</v>
      </c>
      <c r="I31" s="15"/>
      <c r="J31" s="15">
        <f>SUM(J9:J29)</f>
        <v>3721574.2000000007</v>
      </c>
      <c r="K31" s="15"/>
      <c r="L31" s="15">
        <f>SUM(L9:L30)</f>
        <v>8727902.077589998</v>
      </c>
      <c r="M31" s="13"/>
    </row>
    <row r="38" spans="10:10">
      <c r="J38">
        <v>12614</v>
      </c>
    </row>
    <row r="39" spans="10:10">
      <c r="J39">
        <v>9990.2900000000009</v>
      </c>
    </row>
    <row r="40" spans="10:10">
      <c r="J40">
        <v>204408.36</v>
      </c>
    </row>
    <row r="41" spans="10:10">
      <c r="J41">
        <v>177985.5</v>
      </c>
    </row>
    <row r="42" spans="10:10">
      <c r="J42">
        <v>970830</v>
      </c>
    </row>
    <row r="43" spans="10:10">
      <c r="J43">
        <v>42150.35</v>
      </c>
    </row>
    <row r="44" spans="10:10">
      <c r="J44">
        <v>7062</v>
      </c>
    </row>
    <row r="45" spans="10:10">
      <c r="J45">
        <v>1223389.48</v>
      </c>
    </row>
    <row r="46" spans="10:10">
      <c r="J46">
        <f>SUM(J38:J45)</f>
        <v>2648429.98</v>
      </c>
    </row>
  </sheetData>
  <mergeCells count="3">
    <mergeCell ref="G7:H7"/>
    <mergeCell ref="I7:J7"/>
    <mergeCell ref="K7:L7"/>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topLeftCell="A28" workbookViewId="0">
      <selection activeCell="J31" sqref="J31"/>
    </sheetView>
  </sheetViews>
  <sheetFormatPr defaultRowHeight="15"/>
  <cols>
    <col min="1" max="1" width="9.28515625" bestFit="1" customWidth="1"/>
    <col min="3" max="3" width="67.42578125" customWidth="1"/>
    <col min="5" max="5" width="10.140625" bestFit="1" customWidth="1"/>
    <col min="6" max="6" width="11.5703125" customWidth="1"/>
    <col min="7" max="7" width="10.140625" bestFit="1" customWidth="1"/>
    <col min="8" max="8" width="14.42578125" bestFit="1" customWidth="1"/>
    <col min="9" max="9" width="11.42578125" customWidth="1"/>
    <col min="10" max="10" width="12.7109375" customWidth="1"/>
    <col min="11" max="11" width="10.140625" bestFit="1" customWidth="1"/>
    <col min="12" max="12" width="14.42578125" bestFit="1" customWidth="1"/>
    <col min="13" max="13" width="11.140625" customWidth="1"/>
  </cols>
  <sheetData>
    <row r="1" spans="1:13">
      <c r="A1" s="1" t="s">
        <v>0</v>
      </c>
      <c r="B1" s="1"/>
      <c r="C1" s="1"/>
      <c r="D1" s="2"/>
      <c r="E1" s="2"/>
      <c r="F1" s="2"/>
      <c r="G1" s="2"/>
      <c r="H1" s="2"/>
      <c r="I1" s="2"/>
      <c r="J1" s="2"/>
      <c r="K1" s="2"/>
      <c r="L1" s="2"/>
      <c r="M1" s="1"/>
    </row>
    <row r="2" spans="1:13">
      <c r="A2" s="1" t="s">
        <v>1</v>
      </c>
      <c r="B2" s="1"/>
      <c r="C2" s="1"/>
      <c r="D2" s="2"/>
      <c r="E2" s="2"/>
      <c r="F2" s="2"/>
      <c r="G2" s="2"/>
      <c r="H2" s="2"/>
      <c r="I2" s="2"/>
      <c r="J2" s="2"/>
      <c r="K2" s="2"/>
      <c r="L2" s="2"/>
      <c r="M2" s="1"/>
    </row>
    <row r="3" spans="1:13">
      <c r="A3" s="1" t="s">
        <v>2</v>
      </c>
      <c r="B3" s="1"/>
      <c r="C3" s="1"/>
      <c r="D3" s="2"/>
      <c r="E3" s="2"/>
      <c r="F3" s="2"/>
      <c r="G3" s="2"/>
      <c r="H3" s="2"/>
      <c r="I3" s="2"/>
      <c r="J3" s="2"/>
      <c r="K3" s="2"/>
      <c r="L3" s="2"/>
      <c r="M3" s="1"/>
    </row>
    <row r="4" spans="1:13">
      <c r="A4" s="1" t="s">
        <v>3</v>
      </c>
      <c r="B4" s="1"/>
      <c r="C4" s="1"/>
      <c r="D4" s="2"/>
      <c r="E4" s="2"/>
      <c r="F4" s="2"/>
      <c r="G4" s="2"/>
      <c r="H4" s="2"/>
      <c r="I4" s="2"/>
      <c r="J4" s="2"/>
      <c r="K4" s="2"/>
      <c r="L4" s="2"/>
      <c r="M4" s="1"/>
    </row>
    <row r="5" spans="1:13">
      <c r="A5" s="1" t="s">
        <v>4</v>
      </c>
      <c r="B5" s="1"/>
      <c r="C5" s="1"/>
      <c r="D5" s="2"/>
      <c r="E5" s="2"/>
      <c r="F5" s="2"/>
      <c r="G5" s="2"/>
      <c r="H5" s="2"/>
      <c r="I5" s="2"/>
      <c r="J5" s="2"/>
      <c r="K5" s="2"/>
      <c r="L5" s="2"/>
      <c r="M5" s="1"/>
    </row>
    <row r="6" spans="1:13">
      <c r="A6" s="1"/>
      <c r="B6" s="1"/>
      <c r="C6" s="1"/>
      <c r="D6" s="2"/>
      <c r="E6" s="2"/>
      <c r="F6" s="2"/>
      <c r="G6" s="2"/>
      <c r="H6" s="2"/>
      <c r="I6" s="2"/>
      <c r="J6" s="2"/>
      <c r="K6" s="2"/>
      <c r="L6" s="2"/>
      <c r="M6" s="1"/>
    </row>
    <row r="7" spans="1:13" ht="37.5">
      <c r="A7" s="3" t="s">
        <v>5</v>
      </c>
      <c r="B7" s="3" t="s">
        <v>6</v>
      </c>
      <c r="C7" s="3" t="s">
        <v>7</v>
      </c>
      <c r="D7" s="3" t="s">
        <v>8</v>
      </c>
      <c r="E7" s="3" t="s">
        <v>9</v>
      </c>
      <c r="F7" s="3" t="s">
        <v>10</v>
      </c>
      <c r="G7" s="163" t="s">
        <v>11</v>
      </c>
      <c r="H7" s="163"/>
      <c r="I7" s="163" t="s">
        <v>12</v>
      </c>
      <c r="J7" s="163"/>
      <c r="K7" s="163" t="s">
        <v>13</v>
      </c>
      <c r="L7" s="163"/>
      <c r="M7" s="3" t="s">
        <v>14</v>
      </c>
    </row>
    <row r="8" spans="1:13">
      <c r="A8" s="4"/>
      <c r="B8" s="4"/>
      <c r="C8" s="4"/>
      <c r="D8" s="5"/>
      <c r="E8" s="5"/>
      <c r="F8" s="5"/>
      <c r="G8" s="5" t="s">
        <v>15</v>
      </c>
      <c r="H8" s="5" t="s">
        <v>16</v>
      </c>
      <c r="I8" s="5" t="s">
        <v>15</v>
      </c>
      <c r="J8" s="5" t="s">
        <v>16</v>
      </c>
      <c r="K8" s="5" t="s">
        <v>15</v>
      </c>
      <c r="L8" s="5" t="s">
        <v>16</v>
      </c>
      <c r="M8" s="4"/>
    </row>
    <row r="9" spans="1:13" ht="45">
      <c r="A9" s="6">
        <v>1</v>
      </c>
      <c r="B9" s="7"/>
      <c r="C9" s="8" t="s">
        <v>17</v>
      </c>
      <c r="D9" s="9" t="s">
        <v>18</v>
      </c>
      <c r="E9" s="9">
        <v>180</v>
      </c>
      <c r="F9" s="9" t="s">
        <v>19</v>
      </c>
      <c r="G9" s="9">
        <v>3028.9172777777776</v>
      </c>
      <c r="H9" s="9">
        <f>G9*E9</f>
        <v>545205.11</v>
      </c>
      <c r="I9" s="9"/>
      <c r="J9" s="9"/>
      <c r="K9" s="10">
        <f>I9+G9</f>
        <v>3028.9172777777776</v>
      </c>
      <c r="L9" s="10">
        <f>K9*E9</f>
        <v>545205.11</v>
      </c>
      <c r="M9" s="7"/>
    </row>
    <row r="10" spans="1:13" ht="45">
      <c r="A10" s="6">
        <v>2</v>
      </c>
      <c r="B10" s="7"/>
      <c r="C10" s="8" t="s">
        <v>20</v>
      </c>
      <c r="D10" s="9" t="s">
        <v>18</v>
      </c>
      <c r="E10" s="9">
        <v>220</v>
      </c>
      <c r="F10" s="9" t="s">
        <v>19</v>
      </c>
      <c r="G10" s="9">
        <v>1530.181</v>
      </c>
      <c r="H10" s="9">
        <f t="shared" ref="H10:H29" si="0">G10*E10</f>
        <v>336639.82</v>
      </c>
      <c r="I10" s="9"/>
      <c r="J10" s="9"/>
      <c r="K10" s="10">
        <f t="shared" ref="K10:K30" si="1">I10+G10</f>
        <v>1530.181</v>
      </c>
      <c r="L10" s="10">
        <f t="shared" ref="L10:L30" si="2">K10*E10</f>
        <v>336639.82</v>
      </c>
      <c r="M10" s="7"/>
    </row>
    <row r="11" spans="1:13">
      <c r="A11" s="6">
        <v>3</v>
      </c>
      <c r="B11" s="7"/>
      <c r="C11" s="8" t="s">
        <v>21</v>
      </c>
      <c r="D11" s="9" t="s">
        <v>22</v>
      </c>
      <c r="E11" s="9">
        <v>25</v>
      </c>
      <c r="F11" s="9" t="s">
        <v>19</v>
      </c>
      <c r="G11" s="9">
        <v>748.125</v>
      </c>
      <c r="H11" s="9">
        <f t="shared" si="0"/>
        <v>18703.125</v>
      </c>
      <c r="I11" s="9"/>
      <c r="J11" s="9"/>
      <c r="K11" s="10">
        <f t="shared" si="1"/>
        <v>748.125</v>
      </c>
      <c r="L11" s="10">
        <f t="shared" si="2"/>
        <v>18703.125</v>
      </c>
      <c r="M11" s="7"/>
    </row>
    <row r="12" spans="1:13">
      <c r="A12" s="6">
        <v>4</v>
      </c>
      <c r="B12" s="7"/>
      <c r="C12" s="8" t="s">
        <v>23</v>
      </c>
      <c r="D12" s="9" t="s">
        <v>18</v>
      </c>
      <c r="E12" s="9">
        <v>1050</v>
      </c>
      <c r="F12" s="9" t="s">
        <v>19</v>
      </c>
      <c r="G12" s="9">
        <v>1281.2922476190477</v>
      </c>
      <c r="H12" s="9">
        <f t="shared" si="0"/>
        <v>1345356.86</v>
      </c>
      <c r="I12" s="9"/>
      <c r="J12" s="9"/>
      <c r="K12" s="10">
        <f t="shared" si="1"/>
        <v>1281.2922476190477</v>
      </c>
      <c r="L12" s="10">
        <f t="shared" si="2"/>
        <v>1345356.86</v>
      </c>
      <c r="M12" s="7"/>
    </row>
    <row r="13" spans="1:13">
      <c r="A13" s="6">
        <v>5</v>
      </c>
      <c r="B13" s="7"/>
      <c r="C13" s="8" t="s">
        <v>24</v>
      </c>
      <c r="D13" s="9" t="s">
        <v>18</v>
      </c>
      <c r="E13" s="9">
        <v>1150</v>
      </c>
      <c r="F13" s="9" t="s">
        <v>19</v>
      </c>
      <c r="G13" s="9">
        <v>1475.1320000000001</v>
      </c>
      <c r="H13" s="9">
        <f t="shared" si="0"/>
        <v>1696401.8</v>
      </c>
      <c r="I13" s="9"/>
      <c r="J13" s="9"/>
      <c r="K13" s="10">
        <f t="shared" si="1"/>
        <v>1475.1320000000001</v>
      </c>
      <c r="L13" s="10">
        <f t="shared" si="2"/>
        <v>1696401.8</v>
      </c>
      <c r="M13" s="7"/>
    </row>
    <row r="14" spans="1:13">
      <c r="A14" s="6">
        <v>6</v>
      </c>
      <c r="B14" s="7"/>
      <c r="C14" s="8" t="s">
        <v>25</v>
      </c>
      <c r="D14" s="9" t="s">
        <v>18</v>
      </c>
      <c r="E14" s="9">
        <v>1299.5</v>
      </c>
      <c r="F14" s="9" t="s">
        <v>19</v>
      </c>
      <c r="G14" s="2">
        <v>500.98797229703735</v>
      </c>
      <c r="H14" s="9">
        <f t="shared" si="0"/>
        <v>651033.87</v>
      </c>
      <c r="I14" s="9"/>
      <c r="J14" s="9"/>
      <c r="K14" s="10">
        <f t="shared" si="1"/>
        <v>500.98797229703735</v>
      </c>
      <c r="L14" s="10">
        <f t="shared" si="2"/>
        <v>651033.87</v>
      </c>
      <c r="M14" s="7"/>
    </row>
    <row r="15" spans="1:13">
      <c r="A15" s="6">
        <v>7</v>
      </c>
      <c r="B15" s="7"/>
      <c r="C15" s="8" t="s">
        <v>26</v>
      </c>
      <c r="D15" s="9" t="s">
        <v>18</v>
      </c>
      <c r="E15" s="9">
        <v>80</v>
      </c>
      <c r="F15" s="9" t="s">
        <v>19</v>
      </c>
      <c r="G15" s="7">
        <v>0</v>
      </c>
      <c r="H15" s="9">
        <f t="shared" si="0"/>
        <v>0</v>
      </c>
      <c r="I15" s="9">
        <v>3246.1501500000008</v>
      </c>
      <c r="J15" s="9">
        <f t="shared" ref="J15:J28" si="3">I15*E15</f>
        <v>259692.01200000008</v>
      </c>
      <c r="K15" s="10">
        <f t="shared" si="1"/>
        <v>3246.1501500000008</v>
      </c>
      <c r="L15" s="10">
        <f t="shared" si="2"/>
        <v>259692.01200000008</v>
      </c>
      <c r="M15" s="7"/>
    </row>
    <row r="16" spans="1:13">
      <c r="A16" s="6">
        <v>8</v>
      </c>
      <c r="B16" s="7"/>
      <c r="C16" s="8" t="s">
        <v>27</v>
      </c>
      <c r="D16" s="9" t="s">
        <v>18</v>
      </c>
      <c r="E16" s="9">
        <v>1180</v>
      </c>
      <c r="F16" s="9" t="s">
        <v>19</v>
      </c>
      <c r="G16" s="7">
        <v>12.877000000000001</v>
      </c>
      <c r="H16" s="9">
        <f t="shared" si="0"/>
        <v>15194.86</v>
      </c>
      <c r="I16" s="9"/>
      <c r="J16" s="9"/>
      <c r="K16" s="10">
        <f t="shared" si="1"/>
        <v>12.877000000000001</v>
      </c>
      <c r="L16" s="10">
        <f t="shared" si="2"/>
        <v>15194.86</v>
      </c>
      <c r="M16" s="7"/>
    </row>
    <row r="17" spans="1:13">
      <c r="A17" s="6">
        <v>9</v>
      </c>
      <c r="B17" s="7"/>
      <c r="C17" s="8" t="s">
        <v>28</v>
      </c>
      <c r="D17" s="9" t="s">
        <v>18</v>
      </c>
      <c r="E17" s="9">
        <v>1700</v>
      </c>
      <c r="F17" s="9" t="s">
        <v>19</v>
      </c>
      <c r="G17" s="7">
        <v>57.617988235294121</v>
      </c>
      <c r="H17" s="9">
        <f t="shared" si="0"/>
        <v>97950.58</v>
      </c>
      <c r="I17" s="9"/>
      <c r="J17" s="9"/>
      <c r="K17" s="10">
        <f t="shared" si="1"/>
        <v>57.617988235294121</v>
      </c>
      <c r="L17" s="10">
        <f t="shared" si="2"/>
        <v>97950.58</v>
      </c>
      <c r="M17" s="7"/>
    </row>
    <row r="18" spans="1:13">
      <c r="A18" s="6">
        <v>10</v>
      </c>
      <c r="B18" s="7"/>
      <c r="C18" s="8" t="s">
        <v>29</v>
      </c>
      <c r="D18" s="9" t="s">
        <v>18</v>
      </c>
      <c r="E18" s="9">
        <v>900</v>
      </c>
      <c r="F18" s="9" t="s">
        <v>19</v>
      </c>
      <c r="G18" s="7">
        <v>80.438322222222226</v>
      </c>
      <c r="H18" s="9">
        <f t="shared" si="0"/>
        <v>72394.490000000005</v>
      </c>
      <c r="I18" s="9"/>
      <c r="J18" s="9"/>
      <c r="K18" s="10">
        <f t="shared" si="1"/>
        <v>80.438322222222226</v>
      </c>
      <c r="L18" s="10">
        <f t="shared" si="2"/>
        <v>72394.490000000005</v>
      </c>
      <c r="M18" s="7"/>
    </row>
    <row r="19" spans="1:13" ht="90">
      <c r="A19" s="6">
        <v>11</v>
      </c>
      <c r="B19" s="9"/>
      <c r="C19" s="12" t="s">
        <v>30</v>
      </c>
      <c r="D19" s="9" t="s">
        <v>18</v>
      </c>
      <c r="E19" s="9">
        <v>2599</v>
      </c>
      <c r="F19" s="9" t="s">
        <v>19</v>
      </c>
      <c r="G19" s="9">
        <v>42.32699846094652</v>
      </c>
      <c r="H19" s="9">
        <f t="shared" si="0"/>
        <v>110007.86900000001</v>
      </c>
      <c r="I19" s="9">
        <v>15.813750000000002</v>
      </c>
      <c r="J19" s="9">
        <f t="shared" si="3"/>
        <v>41099.936250000006</v>
      </c>
      <c r="K19" s="10">
        <f t="shared" si="1"/>
        <v>58.140748460946526</v>
      </c>
      <c r="L19" s="10">
        <f t="shared" si="2"/>
        <v>151107.80525000003</v>
      </c>
      <c r="M19" s="9"/>
    </row>
    <row r="20" spans="1:13" ht="90">
      <c r="A20" s="6">
        <v>12</v>
      </c>
      <c r="B20" s="9"/>
      <c r="C20" s="12" t="s">
        <v>31</v>
      </c>
      <c r="D20" s="9" t="s">
        <v>18</v>
      </c>
      <c r="E20" s="9">
        <v>2898</v>
      </c>
      <c r="F20" s="9" t="s">
        <v>19</v>
      </c>
      <c r="G20" s="9">
        <v>44.829000000000001</v>
      </c>
      <c r="H20" s="9">
        <f t="shared" si="0"/>
        <v>129914.442</v>
      </c>
      <c r="I20" s="9"/>
      <c r="J20" s="9"/>
      <c r="K20" s="10">
        <f t="shared" si="1"/>
        <v>44.829000000000001</v>
      </c>
      <c r="L20" s="10">
        <f t="shared" si="2"/>
        <v>129914.442</v>
      </c>
      <c r="M20" s="9"/>
    </row>
    <row r="21" spans="1:13" ht="45">
      <c r="A21" s="6">
        <v>13</v>
      </c>
      <c r="B21" s="7"/>
      <c r="C21" s="8" t="s">
        <v>32</v>
      </c>
      <c r="D21" s="9" t="s">
        <v>18</v>
      </c>
      <c r="E21" s="9">
        <v>2750</v>
      </c>
      <c r="F21" s="9" t="s">
        <v>19</v>
      </c>
      <c r="G21" s="9">
        <v>71.579701818181817</v>
      </c>
      <c r="H21" s="9">
        <f t="shared" si="0"/>
        <v>196844.18</v>
      </c>
      <c r="I21" s="9">
        <v>81.591200000000001</v>
      </c>
      <c r="J21" s="9">
        <f t="shared" si="3"/>
        <v>224375.8</v>
      </c>
      <c r="K21" s="10">
        <f t="shared" si="1"/>
        <v>153.17090181818182</v>
      </c>
      <c r="L21" s="10">
        <f t="shared" si="2"/>
        <v>421219.98</v>
      </c>
      <c r="M21" s="7"/>
    </row>
    <row r="22" spans="1:13" ht="45">
      <c r="A22" s="6">
        <v>14</v>
      </c>
      <c r="B22" s="7"/>
      <c r="C22" s="8" t="s">
        <v>33</v>
      </c>
      <c r="D22" s="9" t="s">
        <v>18</v>
      </c>
      <c r="E22" s="9">
        <f>E21+(E21*13%)</f>
        <v>3107.5</v>
      </c>
      <c r="F22" s="9" t="s">
        <v>19</v>
      </c>
      <c r="G22" s="9">
        <v>470.81310056315363</v>
      </c>
      <c r="H22" s="9">
        <f t="shared" si="0"/>
        <v>1463051.71</v>
      </c>
      <c r="I22" s="9">
        <v>76.024999999999991</v>
      </c>
      <c r="J22" s="9">
        <f t="shared" si="3"/>
        <v>236247.68749999997</v>
      </c>
      <c r="K22" s="10">
        <f t="shared" si="1"/>
        <v>546.8381005631536</v>
      </c>
      <c r="L22" s="10">
        <f t="shared" si="2"/>
        <v>1699299.3974999997</v>
      </c>
      <c r="M22" s="7"/>
    </row>
    <row r="23" spans="1:13" ht="45">
      <c r="A23" s="6"/>
      <c r="B23" s="7"/>
      <c r="C23" s="8" t="s">
        <v>54</v>
      </c>
      <c r="D23" s="9" t="s">
        <v>18</v>
      </c>
      <c r="E23" s="9">
        <f>E21+(E21*26%)</f>
        <v>3465</v>
      </c>
      <c r="F23" s="9" t="str">
        <f>F22</f>
        <v>Klin</v>
      </c>
      <c r="G23" s="9">
        <v>220.27</v>
      </c>
      <c r="H23" s="9">
        <f t="shared" si="0"/>
        <v>763235.55</v>
      </c>
      <c r="I23" s="9"/>
      <c r="J23" s="9"/>
      <c r="K23" s="10">
        <f t="shared" si="1"/>
        <v>220.27</v>
      </c>
      <c r="L23" s="10">
        <f t="shared" si="2"/>
        <v>763235.55</v>
      </c>
      <c r="M23" s="7"/>
    </row>
    <row r="24" spans="1:13" ht="105">
      <c r="A24" s="6">
        <v>15</v>
      </c>
      <c r="B24" s="7"/>
      <c r="C24" s="12" t="s">
        <v>34</v>
      </c>
      <c r="D24" s="9" t="s">
        <v>22</v>
      </c>
      <c r="E24" s="9">
        <v>400</v>
      </c>
      <c r="F24" s="9" t="s">
        <v>19</v>
      </c>
      <c r="G24" s="9">
        <v>151.4067</v>
      </c>
      <c r="H24" s="9">
        <f t="shared" si="0"/>
        <v>60562.68</v>
      </c>
      <c r="I24" s="9">
        <v>301.30199999999991</v>
      </c>
      <c r="J24" s="9">
        <f t="shared" si="3"/>
        <v>120520.79999999996</v>
      </c>
      <c r="K24" s="10">
        <f t="shared" si="1"/>
        <v>452.70869999999991</v>
      </c>
      <c r="L24" s="10">
        <f t="shared" si="2"/>
        <v>181083.47999999995</v>
      </c>
      <c r="M24" s="7"/>
    </row>
    <row r="25" spans="1:13" ht="105">
      <c r="A25" s="6">
        <v>16</v>
      </c>
      <c r="B25" s="7"/>
      <c r="C25" s="8" t="s">
        <v>35</v>
      </c>
      <c r="D25" s="9" t="s">
        <v>22</v>
      </c>
      <c r="E25" s="9">
        <f>E24+(E24*13%)</f>
        <v>452</v>
      </c>
      <c r="F25" s="9" t="s">
        <v>19</v>
      </c>
      <c r="G25" s="9">
        <v>328.83382743362836</v>
      </c>
      <c r="H25" s="9">
        <f t="shared" si="0"/>
        <v>148632.89000000001</v>
      </c>
      <c r="I25" s="9">
        <v>149.04</v>
      </c>
      <c r="J25" s="9">
        <f t="shared" si="3"/>
        <v>67366.080000000002</v>
      </c>
      <c r="K25" s="10">
        <f t="shared" si="1"/>
        <v>477.87382743362832</v>
      </c>
      <c r="L25" s="10">
        <f t="shared" si="2"/>
        <v>215998.97</v>
      </c>
      <c r="M25" s="7"/>
    </row>
    <row r="26" spans="1:13" ht="105">
      <c r="A26" s="6">
        <v>17</v>
      </c>
      <c r="B26" s="7"/>
      <c r="C26" s="8" t="s">
        <v>36</v>
      </c>
      <c r="D26" s="9" t="s">
        <v>22</v>
      </c>
      <c r="E26" s="9">
        <v>504</v>
      </c>
      <c r="F26" s="9" t="s">
        <v>19</v>
      </c>
      <c r="G26" s="9">
        <v>245.83170634920634</v>
      </c>
      <c r="H26" s="9">
        <f t="shared" si="0"/>
        <v>123899.18</v>
      </c>
      <c r="I26" s="9"/>
      <c r="J26" s="9"/>
      <c r="K26" s="10">
        <f t="shared" si="1"/>
        <v>245.83170634920634</v>
      </c>
      <c r="L26" s="10">
        <f t="shared" si="2"/>
        <v>123899.18</v>
      </c>
      <c r="M26" s="7"/>
    </row>
    <row r="27" spans="1:13" ht="120">
      <c r="A27" s="6">
        <v>18</v>
      </c>
      <c r="B27" s="7"/>
      <c r="C27" s="12" t="s">
        <v>37</v>
      </c>
      <c r="D27" s="9" t="s">
        <v>38</v>
      </c>
      <c r="E27" s="9">
        <v>9000</v>
      </c>
      <c r="F27" s="9" t="s">
        <v>19</v>
      </c>
      <c r="G27" s="9">
        <v>13.113372222222221</v>
      </c>
      <c r="H27" s="9">
        <f t="shared" si="0"/>
        <v>118020.34999999999</v>
      </c>
      <c r="I27" s="9">
        <v>25.571334070034602</v>
      </c>
      <c r="J27" s="9">
        <f t="shared" si="3"/>
        <v>230142.00663031143</v>
      </c>
      <c r="K27" s="10">
        <f t="shared" si="1"/>
        <v>38.68470629225682</v>
      </c>
      <c r="L27" s="10">
        <f t="shared" si="2"/>
        <v>348162.35663031141</v>
      </c>
      <c r="M27" s="7"/>
    </row>
    <row r="28" spans="1:13" ht="120">
      <c r="A28" s="6">
        <v>19</v>
      </c>
      <c r="B28" s="7"/>
      <c r="C28" s="12" t="s">
        <v>39</v>
      </c>
      <c r="D28" s="9" t="s">
        <v>38</v>
      </c>
      <c r="E28" s="9">
        <f>E27+(E27*13%)</f>
        <v>10170</v>
      </c>
      <c r="F28" s="9" t="s">
        <v>19</v>
      </c>
      <c r="G28" s="9">
        <v>41.342495731563417</v>
      </c>
      <c r="H28" s="9">
        <f t="shared" si="0"/>
        <v>420453.18158999993</v>
      </c>
      <c r="I28" s="9">
        <v>6.13700073679012</v>
      </c>
      <c r="J28" s="9">
        <f t="shared" si="3"/>
        <v>62413.297493155522</v>
      </c>
      <c r="K28" s="10">
        <f t="shared" si="1"/>
        <v>47.479496468353538</v>
      </c>
      <c r="L28" s="10">
        <f t="shared" si="2"/>
        <v>482866.47908315546</v>
      </c>
      <c r="M28" s="7"/>
    </row>
    <row r="29" spans="1:13" ht="120">
      <c r="A29" s="6">
        <v>20</v>
      </c>
      <c r="B29" s="7"/>
      <c r="C29" s="12" t="s">
        <v>40</v>
      </c>
      <c r="D29" s="9" t="s">
        <v>38</v>
      </c>
      <c r="E29" s="9">
        <f>E27+(E27*26%)</f>
        <v>11340</v>
      </c>
      <c r="F29" s="9" t="s">
        <v>19</v>
      </c>
      <c r="G29" s="9">
        <v>36.543168430335101</v>
      </c>
      <c r="H29" s="9">
        <f t="shared" si="0"/>
        <v>414399.53</v>
      </c>
      <c r="I29" s="9"/>
      <c r="J29" s="9"/>
      <c r="K29" s="10">
        <f t="shared" si="1"/>
        <v>36.543168430335101</v>
      </c>
      <c r="L29" s="10">
        <f t="shared" si="2"/>
        <v>414399.53</v>
      </c>
      <c r="M29" s="7"/>
    </row>
    <row r="30" spans="1:13">
      <c r="A30" s="6">
        <v>21</v>
      </c>
      <c r="B30" s="7"/>
      <c r="C30" s="12"/>
      <c r="D30" s="9"/>
      <c r="E30" s="9"/>
      <c r="F30" s="9"/>
      <c r="G30" s="9">
        <v>0</v>
      </c>
      <c r="H30" s="9"/>
      <c r="I30" s="9"/>
      <c r="J30" s="9"/>
      <c r="K30" s="10">
        <f t="shared" si="1"/>
        <v>0</v>
      </c>
      <c r="L30" s="10">
        <f t="shared" si="2"/>
        <v>0</v>
      </c>
      <c r="M30" s="7"/>
    </row>
    <row r="31" spans="1:13">
      <c r="A31" s="13"/>
      <c r="B31" s="13"/>
      <c r="C31" s="13"/>
      <c r="D31" s="14"/>
      <c r="E31" s="14"/>
      <c r="F31" s="14"/>
      <c r="G31" s="14"/>
      <c r="H31" s="15">
        <f>SUM(H9:H30)</f>
        <v>8727902.077589998</v>
      </c>
      <c r="I31" s="15"/>
      <c r="J31" s="15">
        <f>SUM(J9:J29)</f>
        <v>1241857.6198734669</v>
      </c>
      <c r="K31" s="15"/>
      <c r="L31" s="15">
        <f>SUM(L9:L30)</f>
        <v>9969759.6974634677</v>
      </c>
      <c r="M31" s="13"/>
    </row>
  </sheetData>
  <mergeCells count="3">
    <mergeCell ref="G7:H7"/>
    <mergeCell ref="I7:J7"/>
    <mergeCell ref="K7:L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M31"/>
  <sheetViews>
    <sheetView topLeftCell="A31" workbookViewId="0">
      <selection activeCell="J31" sqref="J31"/>
    </sheetView>
  </sheetViews>
  <sheetFormatPr defaultRowHeight="15"/>
  <cols>
    <col min="1" max="1" width="9.28515625" bestFit="1" customWidth="1"/>
    <col min="3" max="3" width="67.42578125" customWidth="1"/>
    <col min="5" max="5" width="10.140625" bestFit="1" customWidth="1"/>
    <col min="7" max="7" width="10.140625" bestFit="1" customWidth="1"/>
    <col min="8" max="8" width="14.42578125" bestFit="1" customWidth="1"/>
    <col min="9" max="9" width="11.42578125" customWidth="1"/>
    <col min="10" max="10" width="12.7109375" customWidth="1"/>
    <col min="11" max="11" width="10.140625" bestFit="1" customWidth="1"/>
    <col min="12" max="12" width="14.42578125" bestFit="1" customWidth="1"/>
    <col min="13" max="13" width="11.140625" customWidth="1"/>
  </cols>
  <sheetData>
    <row r="1" spans="1:13">
      <c r="A1" s="1" t="s">
        <v>0</v>
      </c>
      <c r="B1" s="1"/>
      <c r="C1" s="1"/>
      <c r="D1" s="2"/>
      <c r="E1" s="2"/>
      <c r="F1" s="2"/>
      <c r="G1" s="2"/>
      <c r="H1" s="2"/>
      <c r="I1" s="2"/>
      <c r="J1" s="2"/>
      <c r="K1" s="2"/>
      <c r="L1" s="2"/>
      <c r="M1" s="1"/>
    </row>
    <row r="2" spans="1:13">
      <c r="A2" s="1" t="s">
        <v>1</v>
      </c>
      <c r="B2" s="1"/>
      <c r="C2" s="1"/>
      <c r="D2" s="2"/>
      <c r="E2" s="2"/>
      <c r="F2" s="2"/>
      <c r="G2" s="2"/>
      <c r="H2" s="2"/>
      <c r="I2" s="2"/>
      <c r="J2" s="2"/>
      <c r="K2" s="2"/>
      <c r="L2" s="2"/>
      <c r="M2" s="1"/>
    </row>
    <row r="3" spans="1:13">
      <c r="A3" s="1" t="s">
        <v>2</v>
      </c>
      <c r="B3" s="1"/>
      <c r="C3" s="1"/>
      <c r="D3" s="2"/>
      <c r="E3" s="2"/>
      <c r="F3" s="2"/>
      <c r="G3" s="2"/>
      <c r="H3" s="2"/>
      <c r="I3" s="2"/>
      <c r="J3" s="2"/>
      <c r="K3" s="2"/>
      <c r="L3" s="2"/>
      <c r="M3" s="1"/>
    </row>
    <row r="4" spans="1:13">
      <c r="A4" s="1" t="s">
        <v>41</v>
      </c>
      <c r="B4" s="1"/>
      <c r="C4" s="1"/>
      <c r="D4" s="2"/>
      <c r="E4" s="2"/>
      <c r="F4" s="2"/>
      <c r="G4" s="2"/>
      <c r="H4" s="2"/>
      <c r="I4" s="2"/>
      <c r="J4" s="2"/>
      <c r="K4" s="2"/>
      <c r="L4" s="2"/>
      <c r="M4" s="1"/>
    </row>
    <row r="5" spans="1:13">
      <c r="A5" s="1" t="s">
        <v>42</v>
      </c>
      <c r="B5" s="1"/>
      <c r="C5" s="1"/>
      <c r="D5" s="2"/>
      <c r="E5" s="2"/>
      <c r="F5" s="2"/>
      <c r="G5" s="2"/>
      <c r="H5" s="2"/>
      <c r="I5" s="2"/>
      <c r="J5" s="2"/>
      <c r="K5" s="2"/>
      <c r="L5" s="2"/>
      <c r="M5" s="1"/>
    </row>
    <row r="6" spans="1:13">
      <c r="A6" s="1"/>
      <c r="B6" s="1"/>
      <c r="C6" s="1"/>
      <c r="D6" s="2"/>
      <c r="E6" s="2"/>
      <c r="F6" s="2"/>
      <c r="G6" s="2"/>
      <c r="H6" s="2"/>
      <c r="I6" s="2"/>
      <c r="J6" s="2"/>
      <c r="K6" s="2"/>
      <c r="L6" s="2"/>
      <c r="M6" s="1"/>
    </row>
    <row r="7" spans="1:13" ht="37.5">
      <c r="A7" s="3" t="s">
        <v>5</v>
      </c>
      <c r="B7" s="3" t="s">
        <v>6</v>
      </c>
      <c r="C7" s="3" t="s">
        <v>7</v>
      </c>
      <c r="D7" s="3" t="s">
        <v>8</v>
      </c>
      <c r="E7" s="3" t="s">
        <v>9</v>
      </c>
      <c r="F7" s="3" t="s">
        <v>10</v>
      </c>
      <c r="G7" s="163" t="s">
        <v>11</v>
      </c>
      <c r="H7" s="163"/>
      <c r="I7" s="163" t="s">
        <v>12</v>
      </c>
      <c r="J7" s="163"/>
      <c r="K7" s="163" t="s">
        <v>13</v>
      </c>
      <c r="L7" s="163"/>
      <c r="M7" s="3" t="s">
        <v>14</v>
      </c>
    </row>
    <row r="8" spans="1:13">
      <c r="A8" s="4"/>
      <c r="B8" s="4"/>
      <c r="C8" s="4"/>
      <c r="D8" s="5"/>
      <c r="E8" s="5"/>
      <c r="F8" s="5"/>
      <c r="G8" s="5" t="s">
        <v>15</v>
      </c>
      <c r="H8" s="5" t="s">
        <v>16</v>
      </c>
      <c r="I8" s="5" t="s">
        <v>15</v>
      </c>
      <c r="J8" s="5" t="s">
        <v>16</v>
      </c>
      <c r="K8" s="5" t="s">
        <v>15</v>
      </c>
      <c r="L8" s="5" t="s">
        <v>16</v>
      </c>
      <c r="M8" s="4"/>
    </row>
    <row r="9" spans="1:13" ht="45">
      <c r="A9" s="6">
        <v>1</v>
      </c>
      <c r="B9" s="7"/>
      <c r="C9" s="8" t="s">
        <v>17</v>
      </c>
      <c r="D9" s="9" t="s">
        <v>18</v>
      </c>
      <c r="E9" s="9">
        <v>180</v>
      </c>
      <c r="F9" s="9" t="s">
        <v>19</v>
      </c>
      <c r="G9" s="9">
        <v>3028.9172777777776</v>
      </c>
      <c r="H9" s="9">
        <f>G9*E9</f>
        <v>545205.11</v>
      </c>
      <c r="I9" s="9"/>
      <c r="J9" s="9"/>
      <c r="K9" s="10">
        <f>I9+G9</f>
        <v>3028.9172777777776</v>
      </c>
      <c r="L9" s="10">
        <f>K9*E9</f>
        <v>545205.11</v>
      </c>
      <c r="M9" s="7"/>
    </row>
    <row r="10" spans="1:13" ht="45">
      <c r="A10" s="6">
        <v>2</v>
      </c>
      <c r="B10" s="7"/>
      <c r="C10" s="8" t="s">
        <v>20</v>
      </c>
      <c r="D10" s="9" t="s">
        <v>18</v>
      </c>
      <c r="E10" s="9">
        <v>220</v>
      </c>
      <c r="F10" s="9" t="s">
        <v>19</v>
      </c>
      <c r="G10" s="9">
        <v>1530.181</v>
      </c>
      <c r="H10" s="9">
        <f t="shared" ref="H10:H29" si="0">G10*E10</f>
        <v>336639.82</v>
      </c>
      <c r="I10" s="9"/>
      <c r="J10" s="9"/>
      <c r="K10" s="10">
        <f t="shared" ref="K10:K30" si="1">I10+G10</f>
        <v>1530.181</v>
      </c>
      <c r="L10" s="10">
        <f t="shared" ref="L10:L30" si="2">K10*E10</f>
        <v>336639.82</v>
      </c>
      <c r="M10" s="7"/>
    </row>
    <row r="11" spans="1:13">
      <c r="A11" s="6">
        <v>3</v>
      </c>
      <c r="B11" s="7"/>
      <c r="C11" s="8" t="s">
        <v>21</v>
      </c>
      <c r="D11" s="9" t="s">
        <v>22</v>
      </c>
      <c r="E11" s="9">
        <v>25</v>
      </c>
      <c r="F11" s="9" t="s">
        <v>19</v>
      </c>
      <c r="G11" s="9">
        <v>748.125</v>
      </c>
      <c r="H11" s="9">
        <f t="shared" si="0"/>
        <v>18703.125</v>
      </c>
      <c r="I11" s="9"/>
      <c r="J11" s="9"/>
      <c r="K11" s="10">
        <f t="shared" si="1"/>
        <v>748.125</v>
      </c>
      <c r="L11" s="10">
        <f t="shared" si="2"/>
        <v>18703.125</v>
      </c>
      <c r="M11" s="7"/>
    </row>
    <row r="12" spans="1:13">
      <c r="A12" s="6">
        <v>4</v>
      </c>
      <c r="B12" s="7"/>
      <c r="C12" s="8" t="s">
        <v>23</v>
      </c>
      <c r="D12" s="9" t="s">
        <v>18</v>
      </c>
      <c r="E12" s="9">
        <v>1050</v>
      </c>
      <c r="F12" s="9" t="s">
        <v>19</v>
      </c>
      <c r="G12" s="9">
        <v>1281.2922476190477</v>
      </c>
      <c r="H12" s="9">
        <f t="shared" si="0"/>
        <v>1345356.86</v>
      </c>
      <c r="I12" s="9"/>
      <c r="J12" s="9"/>
      <c r="K12" s="10">
        <f t="shared" si="1"/>
        <v>1281.2922476190477</v>
      </c>
      <c r="L12" s="10">
        <f t="shared" si="2"/>
        <v>1345356.86</v>
      </c>
      <c r="M12" s="7"/>
    </row>
    <row r="13" spans="1:13">
      <c r="A13" s="6">
        <v>5</v>
      </c>
      <c r="B13" s="7"/>
      <c r="C13" s="8" t="s">
        <v>24</v>
      </c>
      <c r="D13" s="9" t="s">
        <v>18</v>
      </c>
      <c r="E13" s="9">
        <v>1150</v>
      </c>
      <c r="F13" s="9" t="s">
        <v>19</v>
      </c>
      <c r="G13" s="9">
        <v>1475.1320000000001</v>
      </c>
      <c r="H13" s="9">
        <f t="shared" si="0"/>
        <v>1696401.8</v>
      </c>
      <c r="I13" s="9"/>
      <c r="J13" s="9"/>
      <c r="K13" s="10">
        <f t="shared" si="1"/>
        <v>1475.1320000000001</v>
      </c>
      <c r="L13" s="10">
        <f t="shared" si="2"/>
        <v>1696401.8</v>
      </c>
      <c r="M13" s="7"/>
    </row>
    <row r="14" spans="1:13">
      <c r="A14" s="6">
        <v>6</v>
      </c>
      <c r="B14" s="7"/>
      <c r="C14" s="8" t="s">
        <v>25</v>
      </c>
      <c r="D14" s="9" t="s">
        <v>18</v>
      </c>
      <c r="E14" s="9">
        <v>1299.5</v>
      </c>
      <c r="F14" s="9" t="s">
        <v>19</v>
      </c>
      <c r="G14" s="2">
        <v>500.98797229703735</v>
      </c>
      <c r="H14" s="9">
        <f t="shared" si="0"/>
        <v>651033.87</v>
      </c>
      <c r="I14" s="9"/>
      <c r="J14" s="9"/>
      <c r="K14" s="10">
        <f t="shared" si="1"/>
        <v>500.98797229703735</v>
      </c>
      <c r="L14" s="10">
        <f t="shared" si="2"/>
        <v>651033.87</v>
      </c>
      <c r="M14" s="7"/>
    </row>
    <row r="15" spans="1:13">
      <c r="A15" s="6">
        <v>7</v>
      </c>
      <c r="B15" s="7"/>
      <c r="C15" s="8" t="s">
        <v>26</v>
      </c>
      <c r="D15" s="9" t="s">
        <v>18</v>
      </c>
      <c r="E15" s="9">
        <v>80</v>
      </c>
      <c r="F15" s="9" t="s">
        <v>19</v>
      </c>
      <c r="G15" s="7">
        <v>3246.1501500000008</v>
      </c>
      <c r="H15" s="9">
        <f t="shared" si="0"/>
        <v>259692.01200000008</v>
      </c>
      <c r="I15" s="9">
        <v>206.43556565000063</v>
      </c>
      <c r="J15" s="9">
        <f t="shared" ref="J15:J28" si="3">I15*E15</f>
        <v>16514.84525200005</v>
      </c>
      <c r="K15" s="10">
        <f t="shared" si="1"/>
        <v>3452.5857156500015</v>
      </c>
      <c r="L15" s="10">
        <f t="shared" si="2"/>
        <v>276206.85725200013</v>
      </c>
      <c r="M15" s="7"/>
    </row>
    <row r="16" spans="1:13">
      <c r="A16" s="6">
        <v>8</v>
      </c>
      <c r="B16" s="7"/>
      <c r="C16" s="8" t="s">
        <v>27</v>
      </c>
      <c r="D16" s="9" t="s">
        <v>18</v>
      </c>
      <c r="E16" s="9">
        <v>1180</v>
      </c>
      <c r="F16" s="9" t="s">
        <v>19</v>
      </c>
      <c r="G16" s="7">
        <v>12.877000000000001</v>
      </c>
      <c r="H16" s="9">
        <f t="shared" si="0"/>
        <v>15194.86</v>
      </c>
      <c r="I16" s="9"/>
      <c r="J16" s="9"/>
      <c r="K16" s="10">
        <f t="shared" si="1"/>
        <v>12.877000000000001</v>
      </c>
      <c r="L16" s="10">
        <f t="shared" si="2"/>
        <v>15194.86</v>
      </c>
      <c r="M16" s="7"/>
    </row>
    <row r="17" spans="1:13">
      <c r="A17" s="6">
        <v>9</v>
      </c>
      <c r="B17" s="7"/>
      <c r="C17" s="8" t="s">
        <v>28</v>
      </c>
      <c r="D17" s="9" t="s">
        <v>18</v>
      </c>
      <c r="E17" s="9">
        <v>1700</v>
      </c>
      <c r="F17" s="9" t="s">
        <v>19</v>
      </c>
      <c r="G17" s="7">
        <v>57.617988235294121</v>
      </c>
      <c r="H17" s="9">
        <f t="shared" si="0"/>
        <v>97950.58</v>
      </c>
      <c r="I17" s="9"/>
      <c r="J17" s="9"/>
      <c r="K17" s="10">
        <f t="shared" si="1"/>
        <v>57.617988235294121</v>
      </c>
      <c r="L17" s="10">
        <f t="shared" si="2"/>
        <v>97950.58</v>
      </c>
      <c r="M17" s="7"/>
    </row>
    <row r="18" spans="1:13">
      <c r="A18" s="6">
        <v>10</v>
      </c>
      <c r="B18" s="7"/>
      <c r="C18" s="8" t="s">
        <v>29</v>
      </c>
      <c r="D18" s="9" t="s">
        <v>18</v>
      </c>
      <c r="E18" s="9">
        <v>900</v>
      </c>
      <c r="F18" s="9" t="s">
        <v>19</v>
      </c>
      <c r="G18" s="7">
        <v>80.438322222222226</v>
      </c>
      <c r="H18" s="9">
        <f t="shared" si="0"/>
        <v>72394.490000000005</v>
      </c>
      <c r="I18" s="9"/>
      <c r="J18" s="9"/>
      <c r="K18" s="10">
        <f t="shared" si="1"/>
        <v>80.438322222222226</v>
      </c>
      <c r="L18" s="10">
        <f t="shared" si="2"/>
        <v>72394.490000000005</v>
      </c>
      <c r="M18" s="7"/>
    </row>
    <row r="19" spans="1:13" ht="90">
      <c r="A19" s="6">
        <v>11</v>
      </c>
      <c r="B19" s="9"/>
      <c r="C19" s="12" t="s">
        <v>30</v>
      </c>
      <c r="D19" s="9" t="s">
        <v>18</v>
      </c>
      <c r="E19" s="9">
        <v>2599</v>
      </c>
      <c r="F19" s="9" t="s">
        <v>19</v>
      </c>
      <c r="G19" s="9">
        <v>58.140748460946526</v>
      </c>
      <c r="H19" s="9">
        <f t="shared" si="0"/>
        <v>151107.80525000003</v>
      </c>
      <c r="I19" s="9"/>
      <c r="J19" s="9">
        <f t="shared" si="3"/>
        <v>0</v>
      </c>
      <c r="K19" s="10">
        <f t="shared" si="1"/>
        <v>58.140748460946526</v>
      </c>
      <c r="L19" s="10">
        <f t="shared" si="2"/>
        <v>151107.80525000003</v>
      </c>
      <c r="M19" s="9"/>
    </row>
    <row r="20" spans="1:13" ht="90">
      <c r="A20" s="6">
        <v>12</v>
      </c>
      <c r="B20" s="9"/>
      <c r="C20" s="12" t="s">
        <v>31</v>
      </c>
      <c r="D20" s="9" t="s">
        <v>18</v>
      </c>
      <c r="E20" s="9">
        <v>2898</v>
      </c>
      <c r="F20" s="9" t="s">
        <v>19</v>
      </c>
      <c r="G20" s="9">
        <v>44.829000000000001</v>
      </c>
      <c r="H20" s="9">
        <f t="shared" si="0"/>
        <v>129914.442</v>
      </c>
      <c r="I20" s="9"/>
      <c r="J20" s="9"/>
      <c r="K20" s="10">
        <f t="shared" si="1"/>
        <v>44.829000000000001</v>
      </c>
      <c r="L20" s="10">
        <f t="shared" si="2"/>
        <v>129914.442</v>
      </c>
      <c r="M20" s="9"/>
    </row>
    <row r="21" spans="1:13" ht="45">
      <c r="A21" s="6">
        <v>13</v>
      </c>
      <c r="B21" s="7"/>
      <c r="C21" s="8" t="s">
        <v>32</v>
      </c>
      <c r="D21" s="9" t="s">
        <v>18</v>
      </c>
      <c r="E21" s="9">
        <v>2750</v>
      </c>
      <c r="F21" s="9" t="s">
        <v>19</v>
      </c>
      <c r="G21" s="9">
        <v>153.17090181818182</v>
      </c>
      <c r="H21" s="9">
        <f t="shared" si="0"/>
        <v>421219.98</v>
      </c>
      <c r="I21" s="9">
        <v>218.46</v>
      </c>
      <c r="J21" s="9">
        <f t="shared" si="3"/>
        <v>600765</v>
      </c>
      <c r="K21" s="10">
        <f t="shared" si="1"/>
        <v>371.63090181818183</v>
      </c>
      <c r="L21" s="10">
        <f t="shared" si="2"/>
        <v>1021984.98</v>
      </c>
      <c r="M21" s="7"/>
    </row>
    <row r="22" spans="1:13" ht="45">
      <c r="A22" s="6">
        <v>14</v>
      </c>
      <c r="B22" s="7"/>
      <c r="C22" s="8" t="s">
        <v>33</v>
      </c>
      <c r="D22" s="9" t="s">
        <v>18</v>
      </c>
      <c r="E22" s="9">
        <f>E21+(E21*13%)</f>
        <v>3107.5</v>
      </c>
      <c r="F22" s="9" t="s">
        <v>19</v>
      </c>
      <c r="G22" s="9">
        <v>546.8381005631536</v>
      </c>
      <c r="H22" s="9">
        <f t="shared" si="0"/>
        <v>1699299.3974999997</v>
      </c>
      <c r="I22" s="9">
        <v>2.77</v>
      </c>
      <c r="J22" s="9">
        <f t="shared" si="3"/>
        <v>8607.7749999999996</v>
      </c>
      <c r="K22" s="10">
        <f t="shared" si="1"/>
        <v>549.60810056315358</v>
      </c>
      <c r="L22" s="10">
        <f t="shared" si="2"/>
        <v>1707907.1724999999</v>
      </c>
      <c r="M22" s="7"/>
    </row>
    <row r="23" spans="1:13" ht="45">
      <c r="A23" s="6"/>
      <c r="B23" s="7"/>
      <c r="C23" s="8" t="s">
        <v>54</v>
      </c>
      <c r="D23" s="9" t="s">
        <v>18</v>
      </c>
      <c r="E23" s="9">
        <f>E21+(E21*26%)</f>
        <v>3465</v>
      </c>
      <c r="F23" s="9" t="str">
        <f>F22</f>
        <v>Klin</v>
      </c>
      <c r="G23" s="9">
        <v>220.27</v>
      </c>
      <c r="H23" s="9">
        <f t="shared" si="0"/>
        <v>763235.55</v>
      </c>
      <c r="I23" s="9"/>
      <c r="J23" s="9"/>
      <c r="K23" s="10">
        <f t="shared" si="1"/>
        <v>220.27</v>
      </c>
      <c r="L23" s="10">
        <f t="shared" si="2"/>
        <v>763235.55</v>
      </c>
      <c r="M23" s="7"/>
    </row>
    <row r="24" spans="1:13" ht="105">
      <c r="A24" s="6">
        <v>15</v>
      </c>
      <c r="B24" s="7"/>
      <c r="C24" s="12" t="s">
        <v>34</v>
      </c>
      <c r="D24" s="9" t="s">
        <v>22</v>
      </c>
      <c r="E24" s="9">
        <v>400</v>
      </c>
      <c r="F24" s="9" t="s">
        <v>19</v>
      </c>
      <c r="G24" s="9">
        <v>452.70869999999991</v>
      </c>
      <c r="H24" s="9">
        <f t="shared" si="0"/>
        <v>181083.47999999995</v>
      </c>
      <c r="I24" s="9">
        <v>438.68719999999979</v>
      </c>
      <c r="J24" s="9">
        <f t="shared" si="3"/>
        <v>175474.87999999992</v>
      </c>
      <c r="K24" s="10">
        <f t="shared" si="1"/>
        <v>891.39589999999976</v>
      </c>
      <c r="L24" s="10">
        <f t="shared" si="2"/>
        <v>356558.35999999993</v>
      </c>
      <c r="M24" s="7"/>
    </row>
    <row r="25" spans="1:13" ht="105">
      <c r="A25" s="6">
        <v>16</v>
      </c>
      <c r="B25" s="7"/>
      <c r="C25" s="8" t="s">
        <v>35</v>
      </c>
      <c r="D25" s="9" t="s">
        <v>22</v>
      </c>
      <c r="E25" s="9">
        <f>E24+(E24*13%)</f>
        <v>452</v>
      </c>
      <c r="F25" s="9" t="s">
        <v>19</v>
      </c>
      <c r="G25" s="9">
        <v>477.87382743362832</v>
      </c>
      <c r="H25" s="9">
        <f t="shared" si="0"/>
        <v>215998.97</v>
      </c>
      <c r="I25" s="9">
        <v>39.697600000000001</v>
      </c>
      <c r="J25" s="9">
        <f t="shared" si="3"/>
        <v>17943.315200000001</v>
      </c>
      <c r="K25" s="10">
        <f t="shared" si="1"/>
        <v>517.57142743362829</v>
      </c>
      <c r="L25" s="10">
        <f t="shared" si="2"/>
        <v>233942.28519999998</v>
      </c>
      <c r="M25" s="7"/>
    </row>
    <row r="26" spans="1:13" ht="105">
      <c r="A26" s="6">
        <v>17</v>
      </c>
      <c r="B26" s="7"/>
      <c r="C26" s="8" t="s">
        <v>36</v>
      </c>
      <c r="D26" s="9" t="s">
        <v>22</v>
      </c>
      <c r="E26" s="9">
        <v>504</v>
      </c>
      <c r="F26" s="9" t="s">
        <v>19</v>
      </c>
      <c r="G26" s="9">
        <v>245.83170634920634</v>
      </c>
      <c r="H26" s="9">
        <f t="shared" si="0"/>
        <v>123899.18</v>
      </c>
      <c r="I26" s="9"/>
      <c r="J26" s="9"/>
      <c r="K26" s="10">
        <f t="shared" si="1"/>
        <v>245.83170634920634</v>
      </c>
      <c r="L26" s="10">
        <f t="shared" si="2"/>
        <v>123899.18</v>
      </c>
      <c r="M26" s="7"/>
    </row>
    <row r="27" spans="1:13" ht="120">
      <c r="A27" s="6">
        <v>18</v>
      </c>
      <c r="B27" s="7"/>
      <c r="C27" s="12" t="s">
        <v>37</v>
      </c>
      <c r="D27" s="9" t="s">
        <v>38</v>
      </c>
      <c r="E27" s="9">
        <v>9000</v>
      </c>
      <c r="F27" s="9" t="s">
        <v>19</v>
      </c>
      <c r="G27" s="9">
        <v>38.68470629225682</v>
      </c>
      <c r="H27" s="9">
        <f t="shared" si="0"/>
        <v>348162.35663031141</v>
      </c>
      <c r="I27" s="9">
        <v>28.911999999999999</v>
      </c>
      <c r="J27" s="9">
        <f t="shared" si="3"/>
        <v>260208</v>
      </c>
      <c r="K27" s="10">
        <f t="shared" si="1"/>
        <v>67.596706292256812</v>
      </c>
      <c r="L27" s="10">
        <f t="shared" si="2"/>
        <v>608370.35663031135</v>
      </c>
      <c r="M27" s="7"/>
    </row>
    <row r="28" spans="1:13" ht="120">
      <c r="A28" s="6">
        <v>19</v>
      </c>
      <c r="B28" s="7"/>
      <c r="C28" s="12" t="s">
        <v>39</v>
      </c>
      <c r="D28" s="9" t="s">
        <v>38</v>
      </c>
      <c r="E28" s="9">
        <f>E27+(E27*13%)</f>
        <v>10170</v>
      </c>
      <c r="F28" s="9" t="s">
        <v>19</v>
      </c>
      <c r="G28" s="9">
        <v>47.479496468353538</v>
      </c>
      <c r="H28" s="9">
        <f t="shared" si="0"/>
        <v>482866.47908315546</v>
      </c>
      <c r="I28" s="9">
        <v>1.492</v>
      </c>
      <c r="J28" s="9">
        <f t="shared" si="3"/>
        <v>15173.64</v>
      </c>
      <c r="K28" s="10">
        <f t="shared" si="1"/>
        <v>48.971496468353536</v>
      </c>
      <c r="L28" s="10">
        <f t="shared" si="2"/>
        <v>498040.11908315547</v>
      </c>
      <c r="M28" s="7"/>
    </row>
    <row r="29" spans="1:13" ht="120">
      <c r="A29" s="6">
        <v>20</v>
      </c>
      <c r="B29" s="7"/>
      <c r="C29" s="12" t="s">
        <v>40</v>
      </c>
      <c r="D29" s="9" t="s">
        <v>38</v>
      </c>
      <c r="E29" s="9">
        <f>E27+(E27*26%)</f>
        <v>11340</v>
      </c>
      <c r="F29" s="9" t="s">
        <v>19</v>
      </c>
      <c r="G29" s="9">
        <v>36.543168430335101</v>
      </c>
      <c r="H29" s="9">
        <f t="shared" si="0"/>
        <v>414399.53</v>
      </c>
      <c r="I29" s="9"/>
      <c r="J29" s="9"/>
      <c r="K29" s="10">
        <f t="shared" si="1"/>
        <v>36.543168430335101</v>
      </c>
      <c r="L29" s="10">
        <f t="shared" si="2"/>
        <v>414399.53</v>
      </c>
      <c r="M29" s="7"/>
    </row>
    <row r="30" spans="1:13">
      <c r="A30" s="6">
        <v>21</v>
      </c>
      <c r="B30" s="7"/>
      <c r="C30" s="12"/>
      <c r="D30" s="9"/>
      <c r="E30" s="9"/>
      <c r="F30" s="9"/>
      <c r="G30" s="9">
        <v>0</v>
      </c>
      <c r="H30" s="9"/>
      <c r="I30" s="9"/>
      <c r="J30" s="9"/>
      <c r="K30" s="10">
        <f t="shared" si="1"/>
        <v>0</v>
      </c>
      <c r="L30" s="10">
        <f t="shared" si="2"/>
        <v>0</v>
      </c>
      <c r="M30" s="7"/>
    </row>
    <row r="31" spans="1:13">
      <c r="A31" s="13"/>
      <c r="B31" s="13"/>
      <c r="C31" s="13"/>
      <c r="D31" s="14"/>
      <c r="E31" s="14"/>
      <c r="F31" s="14"/>
      <c r="G31" s="14"/>
      <c r="H31" s="15">
        <f>SUM(H9:H30)</f>
        <v>9969759.6974634677</v>
      </c>
      <c r="I31" s="15"/>
      <c r="J31" s="15">
        <f>SUM(J9:J29)</f>
        <v>1094687.4554519998</v>
      </c>
      <c r="K31" s="15"/>
      <c r="L31" s="15">
        <f>SUM(L9:L30)</f>
        <v>11064447.152915465</v>
      </c>
      <c r="M31" s="13"/>
    </row>
  </sheetData>
  <mergeCells count="3">
    <mergeCell ref="G7:H7"/>
    <mergeCell ref="I7:J7"/>
    <mergeCell ref="K7:L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M35"/>
  <sheetViews>
    <sheetView topLeftCell="A16" workbookViewId="0">
      <selection activeCell="J35" sqref="J35"/>
    </sheetView>
  </sheetViews>
  <sheetFormatPr defaultRowHeight="15"/>
  <cols>
    <col min="1" max="1" width="9.28515625" bestFit="1" customWidth="1"/>
    <col min="3" max="3" width="67.42578125" customWidth="1"/>
    <col min="5" max="5" width="10.140625" bestFit="1" customWidth="1"/>
    <col min="7" max="7" width="10.140625" bestFit="1" customWidth="1"/>
    <col min="8" max="8" width="14.42578125" bestFit="1" customWidth="1"/>
    <col min="9" max="9" width="11.42578125" customWidth="1"/>
    <col min="10" max="10" width="12.7109375" customWidth="1"/>
    <col min="11" max="11" width="10.140625" bestFit="1" customWidth="1"/>
    <col min="12" max="12" width="14.42578125" bestFit="1" customWidth="1"/>
    <col min="13" max="13" width="11.140625" customWidth="1"/>
  </cols>
  <sheetData>
    <row r="1" spans="1:13">
      <c r="A1" s="1" t="s">
        <v>0</v>
      </c>
      <c r="B1" s="1"/>
      <c r="C1" s="1"/>
      <c r="D1" s="2"/>
      <c r="E1" s="2"/>
      <c r="F1" s="2"/>
      <c r="G1" s="2"/>
      <c r="H1" s="2"/>
      <c r="I1" s="2"/>
      <c r="J1" s="2"/>
      <c r="K1" s="2"/>
      <c r="L1" s="2"/>
      <c r="M1" s="1"/>
    </row>
    <row r="2" spans="1:13">
      <c r="A2" s="1" t="s">
        <v>1</v>
      </c>
      <c r="B2" s="1"/>
      <c r="C2" s="1"/>
      <c r="D2" s="2"/>
      <c r="E2" s="2"/>
      <c r="F2" s="2"/>
      <c r="G2" s="2"/>
      <c r="H2" s="2"/>
      <c r="I2" s="2"/>
      <c r="J2" s="2"/>
      <c r="K2" s="2"/>
      <c r="L2" s="2"/>
      <c r="M2" s="1"/>
    </row>
    <row r="3" spans="1:13">
      <c r="A3" s="1" t="s">
        <v>2</v>
      </c>
      <c r="B3" s="1"/>
      <c r="C3" s="1"/>
      <c r="D3" s="2"/>
      <c r="E3" s="2"/>
      <c r="F3" s="2"/>
      <c r="G3" s="2"/>
      <c r="H3" s="2"/>
      <c r="I3" s="2"/>
      <c r="J3" s="2"/>
      <c r="K3" s="2"/>
      <c r="L3" s="2"/>
      <c r="M3" s="1"/>
    </row>
    <row r="4" spans="1:13">
      <c r="A4" s="1" t="s">
        <v>48</v>
      </c>
      <c r="B4" s="1"/>
      <c r="C4" s="1"/>
      <c r="D4" s="2"/>
      <c r="E4" s="2"/>
      <c r="F4" s="2"/>
      <c r="G4" s="2"/>
      <c r="H4" s="2"/>
      <c r="I4" s="2"/>
      <c r="J4" s="2"/>
      <c r="K4" s="2"/>
      <c r="L4" s="2"/>
      <c r="M4" s="1"/>
    </row>
    <row r="5" spans="1:13">
      <c r="A5" s="1" t="s">
        <v>49</v>
      </c>
      <c r="B5" s="1"/>
      <c r="C5" s="1"/>
      <c r="D5" s="2"/>
      <c r="E5" s="2"/>
      <c r="F5" s="2"/>
      <c r="G5" s="2"/>
      <c r="H5" s="2"/>
      <c r="I5" s="2"/>
      <c r="J5" s="2"/>
      <c r="K5" s="2"/>
      <c r="L5" s="2"/>
      <c r="M5" s="1"/>
    </row>
    <row r="6" spans="1:13">
      <c r="A6" s="1"/>
      <c r="B6" s="1"/>
      <c r="C6" s="1"/>
      <c r="D6" s="2"/>
      <c r="E6" s="2"/>
      <c r="F6" s="2"/>
      <c r="G6" s="2"/>
      <c r="H6" s="2"/>
      <c r="I6" s="2"/>
      <c r="J6" s="2"/>
      <c r="K6" s="2"/>
      <c r="L6" s="2"/>
      <c r="M6" s="1"/>
    </row>
    <row r="7" spans="1:13" ht="37.5">
      <c r="A7" s="3" t="s">
        <v>5</v>
      </c>
      <c r="B7" s="3" t="s">
        <v>6</v>
      </c>
      <c r="C7" s="3" t="s">
        <v>7</v>
      </c>
      <c r="D7" s="3" t="s">
        <v>8</v>
      </c>
      <c r="E7" s="3" t="s">
        <v>9</v>
      </c>
      <c r="F7" s="3" t="s">
        <v>10</v>
      </c>
      <c r="G7" s="163" t="s">
        <v>11</v>
      </c>
      <c r="H7" s="163"/>
      <c r="I7" s="163" t="s">
        <v>12</v>
      </c>
      <c r="J7" s="163"/>
      <c r="K7" s="163" t="s">
        <v>13</v>
      </c>
      <c r="L7" s="163"/>
      <c r="M7" s="3" t="s">
        <v>14</v>
      </c>
    </row>
    <row r="8" spans="1:13">
      <c r="A8" s="4"/>
      <c r="B8" s="4"/>
      <c r="C8" s="4" t="s">
        <v>43</v>
      </c>
      <c r="D8" s="5"/>
      <c r="E8" s="5"/>
      <c r="F8" s="5"/>
      <c r="G8" s="5" t="s">
        <v>15</v>
      </c>
      <c r="H8" s="5" t="s">
        <v>16</v>
      </c>
      <c r="I8" s="5" t="s">
        <v>15</v>
      </c>
      <c r="J8" s="5" t="s">
        <v>16</v>
      </c>
      <c r="K8" s="5" t="s">
        <v>15</v>
      </c>
      <c r="L8" s="5" t="s">
        <v>16</v>
      </c>
      <c r="M8" s="4"/>
    </row>
    <row r="9" spans="1:13" ht="45">
      <c r="A9" s="6">
        <v>1</v>
      </c>
      <c r="B9" s="7"/>
      <c r="C9" s="8" t="s">
        <v>17</v>
      </c>
      <c r="D9" s="9" t="s">
        <v>18</v>
      </c>
      <c r="E9" s="9">
        <v>180</v>
      </c>
      <c r="F9" s="9" t="s">
        <v>19</v>
      </c>
      <c r="G9" s="20">
        <v>3028.9172777777776</v>
      </c>
      <c r="H9" s="20">
        <f>G9*E9</f>
        <v>545205.11</v>
      </c>
      <c r="I9" s="20"/>
      <c r="J9" s="20"/>
      <c r="K9" s="22">
        <f>G9</f>
        <v>3028.9172777777776</v>
      </c>
      <c r="L9" s="10">
        <f>K9*E9</f>
        <v>545205.11</v>
      </c>
      <c r="M9" s="7"/>
    </row>
    <row r="10" spans="1:13" ht="45">
      <c r="A10" s="6">
        <v>2</v>
      </c>
      <c r="B10" s="7"/>
      <c r="C10" s="8" t="s">
        <v>20</v>
      </c>
      <c r="D10" s="9" t="s">
        <v>18</v>
      </c>
      <c r="E10" s="9">
        <v>220</v>
      </c>
      <c r="F10" s="9" t="s">
        <v>19</v>
      </c>
      <c r="G10" s="20">
        <v>1530.181</v>
      </c>
      <c r="H10" s="20">
        <f t="shared" ref="H10:H18" si="0">G10*E10</f>
        <v>336639.82</v>
      </c>
      <c r="I10" s="20"/>
      <c r="J10" s="20"/>
      <c r="K10" s="22">
        <f>G10</f>
        <v>1530.181</v>
      </c>
      <c r="L10" s="10">
        <f t="shared" ref="L10:L18" si="1">K10*E10</f>
        <v>336639.82</v>
      </c>
      <c r="M10" s="7"/>
    </row>
    <row r="11" spans="1:13">
      <c r="A11" s="6">
        <v>3</v>
      </c>
      <c r="B11" s="7"/>
      <c r="C11" s="8" t="s">
        <v>21</v>
      </c>
      <c r="D11" s="9" t="s">
        <v>22</v>
      </c>
      <c r="E11" s="9">
        <v>25</v>
      </c>
      <c r="F11" s="9" t="s">
        <v>19</v>
      </c>
      <c r="G11" s="20">
        <v>748.125</v>
      </c>
      <c r="H11" s="20">
        <f t="shared" si="0"/>
        <v>18703.125</v>
      </c>
      <c r="I11" s="20">
        <v>103.044</v>
      </c>
      <c r="J11" s="20">
        <f t="shared" ref="J11:J18" si="2">I11*E11</f>
        <v>2576.1</v>
      </c>
      <c r="K11" s="22">
        <f>I11+G11</f>
        <v>851.16899999999998</v>
      </c>
      <c r="L11" s="10">
        <f t="shared" si="1"/>
        <v>21279.224999999999</v>
      </c>
      <c r="M11" s="7"/>
    </row>
    <row r="12" spans="1:13">
      <c r="A12" s="6">
        <v>4</v>
      </c>
      <c r="B12" s="7"/>
      <c r="C12" s="8" t="s">
        <v>23</v>
      </c>
      <c r="D12" s="9" t="s">
        <v>18</v>
      </c>
      <c r="E12" s="9">
        <v>1050</v>
      </c>
      <c r="F12" s="9" t="s">
        <v>19</v>
      </c>
      <c r="G12" s="20">
        <v>1281.2922476190477</v>
      </c>
      <c r="H12" s="20">
        <f t="shared" si="0"/>
        <v>1345356.86</v>
      </c>
      <c r="I12" s="20"/>
      <c r="J12" s="20">
        <f t="shared" si="2"/>
        <v>0</v>
      </c>
      <c r="K12" s="22">
        <f t="shared" ref="K12:K18" si="3">I12+G12</f>
        <v>1281.2922476190477</v>
      </c>
      <c r="L12" s="10">
        <f t="shared" si="1"/>
        <v>1345356.86</v>
      </c>
      <c r="M12" s="7"/>
    </row>
    <row r="13" spans="1:13">
      <c r="A13" s="6">
        <v>5</v>
      </c>
      <c r="B13" s="7"/>
      <c r="C13" s="8" t="s">
        <v>24</v>
      </c>
      <c r="D13" s="9" t="s">
        <v>18</v>
      </c>
      <c r="E13" s="9">
        <v>1150</v>
      </c>
      <c r="F13" s="9" t="s">
        <v>19</v>
      </c>
      <c r="G13" s="20">
        <v>1475.1320000000001</v>
      </c>
      <c r="H13" s="20">
        <f t="shared" si="0"/>
        <v>1696401.8</v>
      </c>
      <c r="I13" s="20"/>
      <c r="J13" s="20">
        <f t="shared" si="2"/>
        <v>0</v>
      </c>
      <c r="K13" s="22">
        <f t="shared" si="3"/>
        <v>1475.1320000000001</v>
      </c>
      <c r="L13" s="10">
        <f t="shared" si="1"/>
        <v>1696401.8</v>
      </c>
      <c r="M13" s="7"/>
    </row>
    <row r="14" spans="1:13">
      <c r="A14" s="6">
        <v>6</v>
      </c>
      <c r="B14" s="7"/>
      <c r="C14" s="8" t="s">
        <v>25</v>
      </c>
      <c r="D14" s="9" t="s">
        <v>18</v>
      </c>
      <c r="E14" s="9">
        <v>1299.5</v>
      </c>
      <c r="F14" s="9" t="s">
        <v>19</v>
      </c>
      <c r="G14" s="24">
        <v>500.98797229703735</v>
      </c>
      <c r="H14" s="20">
        <f t="shared" si="0"/>
        <v>651033.87</v>
      </c>
      <c r="I14" s="20"/>
      <c r="J14" s="20">
        <f t="shared" si="2"/>
        <v>0</v>
      </c>
      <c r="K14" s="22">
        <f t="shared" si="3"/>
        <v>500.98797229703735</v>
      </c>
      <c r="L14" s="10">
        <f t="shared" si="1"/>
        <v>651033.87</v>
      </c>
      <c r="M14" s="7"/>
    </row>
    <row r="15" spans="1:13">
      <c r="A15" s="6">
        <v>7</v>
      </c>
      <c r="B15" s="7"/>
      <c r="C15" s="8" t="s">
        <v>26</v>
      </c>
      <c r="D15" s="9" t="s">
        <v>18</v>
      </c>
      <c r="E15" s="9">
        <v>80</v>
      </c>
      <c r="F15" s="9" t="s">
        <v>19</v>
      </c>
      <c r="G15" s="23">
        <v>3452.5857156500015</v>
      </c>
      <c r="H15" s="20">
        <f t="shared" si="0"/>
        <v>276206.85725200013</v>
      </c>
      <c r="I15" s="20"/>
      <c r="J15" s="25">
        <f t="shared" si="2"/>
        <v>0</v>
      </c>
      <c r="K15" s="22">
        <f t="shared" si="3"/>
        <v>3452.5857156500015</v>
      </c>
      <c r="L15" s="10">
        <f t="shared" si="1"/>
        <v>276206.85725200013</v>
      </c>
      <c r="M15" s="7"/>
    </row>
    <row r="16" spans="1:13">
      <c r="A16" s="6">
        <v>8</v>
      </c>
      <c r="B16" s="7"/>
      <c r="C16" s="8" t="s">
        <v>27</v>
      </c>
      <c r="D16" s="9" t="s">
        <v>18</v>
      </c>
      <c r="E16" s="9">
        <v>1180</v>
      </c>
      <c r="F16" s="9" t="s">
        <v>19</v>
      </c>
      <c r="G16" s="23">
        <v>12.877000000000001</v>
      </c>
      <c r="H16" s="20">
        <f t="shared" si="0"/>
        <v>15194.86</v>
      </c>
      <c r="I16" s="20">
        <v>9.6750000000000007</v>
      </c>
      <c r="J16" s="20">
        <f t="shared" si="2"/>
        <v>11416.5</v>
      </c>
      <c r="K16" s="22">
        <f t="shared" si="3"/>
        <v>22.552</v>
      </c>
      <c r="L16" s="10">
        <f t="shared" si="1"/>
        <v>26611.360000000001</v>
      </c>
      <c r="M16" s="7"/>
    </row>
    <row r="17" spans="1:13">
      <c r="A17" s="6">
        <v>9</v>
      </c>
      <c r="B17" s="7"/>
      <c r="C17" s="8" t="s">
        <v>28</v>
      </c>
      <c r="D17" s="9" t="s">
        <v>18</v>
      </c>
      <c r="E17" s="9">
        <v>1700</v>
      </c>
      <c r="F17" s="9" t="s">
        <v>19</v>
      </c>
      <c r="G17" s="23">
        <v>57.617988235294121</v>
      </c>
      <c r="H17" s="20">
        <f t="shared" si="0"/>
        <v>97950.58</v>
      </c>
      <c r="I17" s="20"/>
      <c r="J17" s="20">
        <f t="shared" si="2"/>
        <v>0</v>
      </c>
      <c r="K17" s="22">
        <f t="shared" si="3"/>
        <v>57.617988235294121</v>
      </c>
      <c r="L17" s="10">
        <f t="shared" si="1"/>
        <v>97950.58</v>
      </c>
      <c r="M17" s="7"/>
    </row>
    <row r="18" spans="1:13">
      <c r="A18" s="6">
        <v>10</v>
      </c>
      <c r="B18" s="7"/>
      <c r="C18" s="8" t="s">
        <v>29</v>
      </c>
      <c r="D18" s="9" t="s">
        <v>18</v>
      </c>
      <c r="E18" s="9">
        <v>900</v>
      </c>
      <c r="F18" s="9" t="s">
        <v>19</v>
      </c>
      <c r="G18" s="23">
        <v>80.438322222222226</v>
      </c>
      <c r="H18" s="20">
        <f t="shared" si="0"/>
        <v>72394.490000000005</v>
      </c>
      <c r="I18" s="20"/>
      <c r="J18" s="20">
        <f t="shared" si="2"/>
        <v>0</v>
      </c>
      <c r="K18" s="22">
        <f t="shared" si="3"/>
        <v>80.438322222222226</v>
      </c>
      <c r="L18" s="10">
        <f t="shared" si="1"/>
        <v>72394.490000000005</v>
      </c>
      <c r="M18" s="7"/>
    </row>
    <row r="19" spans="1:13">
      <c r="A19" s="16"/>
      <c r="B19" s="4"/>
      <c r="C19" s="17" t="s">
        <v>44</v>
      </c>
      <c r="D19" s="5"/>
      <c r="E19" s="5"/>
      <c r="F19" s="5"/>
      <c r="G19" s="4"/>
      <c r="H19" s="5"/>
      <c r="I19" s="5"/>
      <c r="J19" s="5"/>
      <c r="K19" s="18"/>
      <c r="L19" s="18"/>
      <c r="M19" s="4"/>
    </row>
    <row r="20" spans="1:13" ht="90">
      <c r="A20" s="19"/>
      <c r="B20" s="23"/>
      <c r="C20" s="21" t="s">
        <v>50</v>
      </c>
      <c r="D20" s="20" t="s">
        <v>18</v>
      </c>
      <c r="E20" s="20">
        <v>2300</v>
      </c>
      <c r="F20" s="20" t="s">
        <v>19</v>
      </c>
      <c r="G20" s="23"/>
      <c r="H20" s="20">
        <v>0</v>
      </c>
      <c r="I20" s="20">
        <f>I16</f>
        <v>9.6750000000000007</v>
      </c>
      <c r="J20" s="20">
        <f t="shared" ref="J20:J24" si="4">I20*E20</f>
        <v>22252.5</v>
      </c>
      <c r="K20" s="22">
        <f>G20+I20</f>
        <v>9.6750000000000007</v>
      </c>
      <c r="L20" s="22">
        <f t="shared" ref="L20:L25" si="5">K20*E20</f>
        <v>22252.5</v>
      </c>
      <c r="M20" s="23"/>
    </row>
    <row r="21" spans="1:13" ht="90">
      <c r="A21" s="19">
        <v>11</v>
      </c>
      <c r="B21" s="20"/>
      <c r="C21" s="21" t="s">
        <v>30</v>
      </c>
      <c r="D21" s="20" t="s">
        <v>18</v>
      </c>
      <c r="E21" s="20">
        <v>2599</v>
      </c>
      <c r="F21" s="20" t="s">
        <v>19</v>
      </c>
      <c r="G21" s="20">
        <v>58.140748460946526</v>
      </c>
      <c r="H21" s="20">
        <f t="shared" ref="H21:H25" si="6">G21*E21</f>
        <v>151107.80525000003</v>
      </c>
      <c r="I21" s="19"/>
      <c r="J21" s="20">
        <f t="shared" si="4"/>
        <v>0</v>
      </c>
      <c r="K21" s="22">
        <f>G21+I21</f>
        <v>58.140748460946526</v>
      </c>
      <c r="L21" s="22">
        <f t="shared" si="5"/>
        <v>151107.80525000003</v>
      </c>
      <c r="M21" s="20"/>
    </row>
    <row r="22" spans="1:13" ht="90">
      <c r="A22" s="19">
        <v>12</v>
      </c>
      <c r="B22" s="20"/>
      <c r="C22" s="21" t="s">
        <v>31</v>
      </c>
      <c r="D22" s="20" t="s">
        <v>18</v>
      </c>
      <c r="E22" s="20">
        <v>2898</v>
      </c>
      <c r="F22" s="20" t="s">
        <v>19</v>
      </c>
      <c r="G22" s="20">
        <v>44.829000000000001</v>
      </c>
      <c r="H22" s="20">
        <f t="shared" si="6"/>
        <v>129914.442</v>
      </c>
      <c r="I22" s="19"/>
      <c r="J22" s="20">
        <f t="shared" si="4"/>
        <v>0</v>
      </c>
      <c r="K22" s="22">
        <f t="shared" ref="K22:K25" si="7">G22+I22</f>
        <v>44.829000000000001</v>
      </c>
      <c r="L22" s="22">
        <f t="shared" si="5"/>
        <v>129914.442</v>
      </c>
      <c r="M22" s="20"/>
    </row>
    <row r="23" spans="1:13" ht="45">
      <c r="A23" s="6">
        <v>13</v>
      </c>
      <c r="B23" s="7"/>
      <c r="C23" s="12" t="s">
        <v>32</v>
      </c>
      <c r="D23" s="9" t="s">
        <v>18</v>
      </c>
      <c r="E23" s="9">
        <v>2750</v>
      </c>
      <c r="F23" s="9" t="s">
        <v>19</v>
      </c>
      <c r="G23" s="20">
        <v>371.63090181818183</v>
      </c>
      <c r="H23" s="20">
        <f t="shared" si="6"/>
        <v>1021984.98</v>
      </c>
      <c r="I23" s="19">
        <v>70.204999999999998</v>
      </c>
      <c r="J23" s="20">
        <f t="shared" si="4"/>
        <v>193063.75</v>
      </c>
      <c r="K23" s="22">
        <f t="shared" si="7"/>
        <v>441.83590181818181</v>
      </c>
      <c r="L23" s="22">
        <f t="shared" si="5"/>
        <v>1215048.73</v>
      </c>
      <c r="M23" s="7"/>
    </row>
    <row r="24" spans="1:13" ht="45">
      <c r="A24" s="6">
        <v>14</v>
      </c>
      <c r="B24" s="7"/>
      <c r="C24" s="12" t="s">
        <v>33</v>
      </c>
      <c r="D24" s="9" t="s">
        <v>18</v>
      </c>
      <c r="E24" s="9">
        <f>E23+(E23*13%)</f>
        <v>3107.5</v>
      </c>
      <c r="F24" s="9" t="s">
        <v>19</v>
      </c>
      <c r="G24" s="20">
        <v>549.60810056315358</v>
      </c>
      <c r="H24" s="20">
        <f t="shared" si="6"/>
        <v>1707907.1724999999</v>
      </c>
      <c r="I24" s="19">
        <v>147.24799999999999</v>
      </c>
      <c r="J24" s="20">
        <f t="shared" si="4"/>
        <v>457573.16</v>
      </c>
      <c r="K24" s="22">
        <f t="shared" si="7"/>
        <v>696.85610056315363</v>
      </c>
      <c r="L24" s="22">
        <f t="shared" si="5"/>
        <v>2165480.3325</v>
      </c>
      <c r="M24" s="7"/>
    </row>
    <row r="25" spans="1:13" ht="45">
      <c r="A25" s="6"/>
      <c r="B25" s="7"/>
      <c r="C25" s="8" t="s">
        <v>45</v>
      </c>
      <c r="D25" s="9" t="s">
        <v>18</v>
      </c>
      <c r="E25" s="9">
        <f>E23+(E23*26%)</f>
        <v>3465</v>
      </c>
      <c r="F25" s="9"/>
      <c r="G25" s="20">
        <v>220.27</v>
      </c>
      <c r="H25" s="20">
        <f t="shared" si="6"/>
        <v>763235.55</v>
      </c>
      <c r="I25" s="19"/>
      <c r="J25" s="20"/>
      <c r="K25" s="22">
        <f t="shared" si="7"/>
        <v>220.27</v>
      </c>
      <c r="L25" s="22">
        <f t="shared" si="5"/>
        <v>763235.55</v>
      </c>
      <c r="M25" s="7"/>
    </row>
    <row r="26" spans="1:13">
      <c r="A26" s="16"/>
      <c r="B26" s="4"/>
      <c r="C26" s="17" t="s">
        <v>46</v>
      </c>
      <c r="D26" s="5"/>
      <c r="E26" s="5"/>
      <c r="F26" s="5"/>
      <c r="G26" s="5"/>
      <c r="H26" s="5"/>
      <c r="I26" s="5"/>
      <c r="J26" s="5"/>
      <c r="K26" s="18"/>
      <c r="L26" s="18"/>
      <c r="M26" s="4"/>
    </row>
    <row r="27" spans="1:13" ht="105">
      <c r="A27" s="6">
        <v>15</v>
      </c>
      <c r="B27" s="7"/>
      <c r="C27" s="21" t="s">
        <v>34</v>
      </c>
      <c r="D27" s="9" t="s">
        <v>22</v>
      </c>
      <c r="E27" s="9">
        <v>400</v>
      </c>
      <c r="F27" s="9" t="s">
        <v>19</v>
      </c>
      <c r="G27" s="20">
        <v>891.39589999999976</v>
      </c>
      <c r="H27" s="20">
        <f t="shared" ref="H27:H29" si="8">G27*E27</f>
        <v>356558.35999999993</v>
      </c>
      <c r="I27" s="20">
        <v>186.672</v>
      </c>
      <c r="J27" s="20">
        <f t="shared" ref="J27:J29" si="9">I27*E27</f>
        <v>74668.800000000003</v>
      </c>
      <c r="K27" s="10">
        <f>G27+I27</f>
        <v>1078.0678999999998</v>
      </c>
      <c r="L27" s="10">
        <f t="shared" ref="L27:L29" si="10">K27*E27</f>
        <v>431227.15999999992</v>
      </c>
      <c r="M27" s="7"/>
    </row>
    <row r="28" spans="1:13" ht="105">
      <c r="A28" s="6">
        <v>16</v>
      </c>
      <c r="B28" s="7"/>
      <c r="C28" s="8" t="s">
        <v>35</v>
      </c>
      <c r="D28" s="9" t="s">
        <v>22</v>
      </c>
      <c r="E28" s="9">
        <v>452</v>
      </c>
      <c r="F28" s="9" t="s">
        <v>19</v>
      </c>
      <c r="G28" s="20">
        <v>517.57142743362829</v>
      </c>
      <c r="H28" s="20">
        <f t="shared" si="8"/>
        <v>233942.28519999998</v>
      </c>
      <c r="I28" s="20">
        <v>257.98399999999998</v>
      </c>
      <c r="J28" s="20">
        <f t="shared" si="9"/>
        <v>116608.768</v>
      </c>
      <c r="K28" s="10">
        <f t="shared" ref="K28:K29" si="11">G28+I28</f>
        <v>775.55542743362821</v>
      </c>
      <c r="L28" s="10">
        <f t="shared" si="10"/>
        <v>350551.05319999997</v>
      </c>
      <c r="M28" s="7"/>
    </row>
    <row r="29" spans="1:13" ht="105">
      <c r="A29" s="6">
        <v>17</v>
      </c>
      <c r="B29" s="7"/>
      <c r="C29" s="8" t="s">
        <v>36</v>
      </c>
      <c r="D29" s="9" t="s">
        <v>22</v>
      </c>
      <c r="E29" s="9">
        <v>504</v>
      </c>
      <c r="F29" s="9" t="s">
        <v>19</v>
      </c>
      <c r="G29" s="20">
        <v>245.83170634920634</v>
      </c>
      <c r="H29" s="20">
        <f t="shared" si="8"/>
        <v>123899.18</v>
      </c>
      <c r="I29" s="20"/>
      <c r="J29" s="20">
        <f t="shared" si="9"/>
        <v>0</v>
      </c>
      <c r="K29" s="10">
        <f t="shared" si="11"/>
        <v>245.83170634920634</v>
      </c>
      <c r="L29" s="10">
        <f t="shared" si="10"/>
        <v>123899.18</v>
      </c>
      <c r="M29" s="7"/>
    </row>
    <row r="30" spans="1:13">
      <c r="A30" s="16"/>
      <c r="B30" s="4"/>
      <c r="C30" s="17" t="s">
        <v>47</v>
      </c>
      <c r="D30" s="5"/>
      <c r="E30" s="5"/>
      <c r="F30" s="5"/>
      <c r="G30" s="5"/>
      <c r="H30" s="5"/>
      <c r="I30" s="5"/>
      <c r="J30" s="5"/>
      <c r="K30" s="18"/>
      <c r="L30" s="18"/>
      <c r="M30" s="4"/>
    </row>
    <row r="31" spans="1:13" ht="120">
      <c r="A31" s="6">
        <v>18</v>
      </c>
      <c r="B31" s="7"/>
      <c r="C31" s="12" t="s">
        <v>37</v>
      </c>
      <c r="D31" s="9" t="s">
        <v>38</v>
      </c>
      <c r="E31" s="9">
        <v>9000</v>
      </c>
      <c r="F31" s="9" t="s">
        <v>19</v>
      </c>
      <c r="G31" s="20">
        <v>67.596706292256812</v>
      </c>
      <c r="H31" s="20">
        <f t="shared" ref="H31:H33" si="12">G31*E31</f>
        <v>608370.35663031135</v>
      </c>
      <c r="I31" s="9">
        <v>10.09</v>
      </c>
      <c r="J31" s="9">
        <f t="shared" ref="J31:J33" si="13">I31*E31</f>
        <v>90810</v>
      </c>
      <c r="K31" s="10">
        <f>G31+I31</f>
        <v>77.686706292256815</v>
      </c>
      <c r="L31" s="10">
        <f t="shared" ref="L31:L34" si="14">K31*E31</f>
        <v>699180.35663031135</v>
      </c>
      <c r="M31" s="7"/>
    </row>
    <row r="32" spans="1:13" ht="120">
      <c r="A32" s="6">
        <v>19</v>
      </c>
      <c r="B32" s="7"/>
      <c r="C32" s="12" t="s">
        <v>39</v>
      </c>
      <c r="D32" s="9" t="s">
        <v>38</v>
      </c>
      <c r="E32" s="9">
        <f>E31+(E31*13%)</f>
        <v>10170</v>
      </c>
      <c r="F32" s="9" t="s">
        <v>19</v>
      </c>
      <c r="G32" s="20">
        <v>48.971496468353536</v>
      </c>
      <c r="H32" s="20">
        <f t="shared" si="12"/>
        <v>498040.11908315547</v>
      </c>
      <c r="I32" s="9">
        <v>10</v>
      </c>
      <c r="J32" s="9">
        <f t="shared" si="13"/>
        <v>101700</v>
      </c>
      <c r="K32" s="10">
        <f t="shared" ref="K32:K33" si="15">G32+I32</f>
        <v>58.971496468353536</v>
      </c>
      <c r="L32" s="10">
        <f t="shared" si="14"/>
        <v>599740.11908315541</v>
      </c>
      <c r="M32" s="7"/>
    </row>
    <row r="33" spans="1:13" ht="120">
      <c r="A33" s="6">
        <v>20</v>
      </c>
      <c r="B33" s="7"/>
      <c r="C33" s="12" t="s">
        <v>40</v>
      </c>
      <c r="D33" s="9" t="s">
        <v>38</v>
      </c>
      <c r="E33" s="9">
        <f>E31+(E31*26%)</f>
        <v>11340</v>
      </c>
      <c r="F33" s="9" t="s">
        <v>19</v>
      </c>
      <c r="G33" s="20">
        <v>36.543168430335101</v>
      </c>
      <c r="H33" s="20">
        <f t="shared" si="12"/>
        <v>414399.53</v>
      </c>
      <c r="I33" s="9"/>
      <c r="J33" s="9">
        <f t="shared" si="13"/>
        <v>0</v>
      </c>
      <c r="K33" s="10">
        <f t="shared" si="15"/>
        <v>36.543168430335101</v>
      </c>
      <c r="L33" s="10">
        <f t="shared" si="14"/>
        <v>414399.53</v>
      </c>
      <c r="M33" s="7"/>
    </row>
    <row r="34" spans="1:13">
      <c r="A34" s="6">
        <v>21</v>
      </c>
      <c r="B34" s="7"/>
      <c r="C34" s="12"/>
      <c r="D34" s="9"/>
      <c r="E34" s="9"/>
      <c r="F34" s="9"/>
      <c r="G34" s="9">
        <v>0</v>
      </c>
      <c r="H34" s="9"/>
      <c r="I34" s="9"/>
      <c r="J34" s="9"/>
      <c r="K34" s="10"/>
      <c r="L34" s="10">
        <f t="shared" si="14"/>
        <v>0</v>
      </c>
      <c r="M34" s="7"/>
    </row>
    <row r="35" spans="1:13">
      <c r="A35" s="13"/>
      <c r="B35" s="13"/>
      <c r="C35" s="13"/>
      <c r="D35" s="14"/>
      <c r="E35" s="14"/>
      <c r="F35" s="14"/>
      <c r="G35" s="14"/>
      <c r="H35" s="15">
        <f>SUM(H9:H34)</f>
        <v>11064447.152915465</v>
      </c>
      <c r="I35" s="15"/>
      <c r="J35" s="15">
        <f>SUM(J9:J33)</f>
        <v>1070669.5780000002</v>
      </c>
      <c r="K35" s="15"/>
      <c r="L35" s="15">
        <f>SUM(L9:L34)</f>
        <v>12135116.730915466</v>
      </c>
      <c r="M35" s="13"/>
    </row>
  </sheetData>
  <mergeCells count="3">
    <mergeCell ref="G7:H7"/>
    <mergeCell ref="I7:J7"/>
    <mergeCell ref="K7:L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8"/>
  <sheetViews>
    <sheetView view="pageBreakPreview" zoomScale="115" zoomScaleNormal="100" zoomScaleSheetLayoutView="115" workbookViewId="0">
      <pane ySplit="8" topLeftCell="A33" activePane="bottomLeft" state="frozen"/>
      <selection pane="bottomLeft" sqref="A1:L35"/>
    </sheetView>
  </sheetViews>
  <sheetFormatPr defaultRowHeight="15"/>
  <cols>
    <col min="1" max="1" width="9.28515625" bestFit="1" customWidth="1"/>
    <col min="3" max="3" width="67.42578125" customWidth="1"/>
    <col min="5" max="5" width="10.140625" bestFit="1" customWidth="1"/>
    <col min="7" max="7" width="10.140625" bestFit="1" customWidth="1"/>
    <col min="8" max="8" width="14.42578125" bestFit="1" customWidth="1"/>
    <col min="9" max="9" width="11.42578125" customWidth="1"/>
    <col min="10" max="10" width="12.7109375" customWidth="1"/>
    <col min="11" max="11" width="10.140625" bestFit="1" customWidth="1"/>
    <col min="12" max="12" width="14.42578125" bestFit="1" customWidth="1"/>
    <col min="13" max="13" width="11.140625" customWidth="1"/>
  </cols>
  <sheetData>
    <row r="1" spans="1:17">
      <c r="A1" s="1" t="s">
        <v>0</v>
      </c>
      <c r="B1" s="1"/>
      <c r="C1" s="1"/>
      <c r="D1" s="2"/>
      <c r="E1" s="2"/>
      <c r="F1" s="2"/>
      <c r="G1" s="2"/>
      <c r="H1" s="2"/>
      <c r="I1" s="2"/>
      <c r="J1" s="2"/>
      <c r="K1" s="2"/>
      <c r="L1" s="2"/>
      <c r="M1" s="1"/>
    </row>
    <row r="2" spans="1:17">
      <c r="A2" s="1" t="s">
        <v>1</v>
      </c>
      <c r="B2" s="1"/>
      <c r="C2" s="1"/>
      <c r="D2" s="2"/>
      <c r="E2" s="2"/>
      <c r="F2" s="2"/>
      <c r="G2" s="2"/>
      <c r="H2" s="2"/>
      <c r="I2" s="2"/>
      <c r="J2" s="2"/>
      <c r="K2" s="2"/>
      <c r="L2" s="2"/>
      <c r="M2" s="1"/>
    </row>
    <row r="3" spans="1:17">
      <c r="A3" s="1" t="s">
        <v>2</v>
      </c>
      <c r="B3" s="1"/>
      <c r="C3" s="1"/>
      <c r="D3" s="2"/>
      <c r="E3" s="2"/>
      <c r="F3" s="2"/>
      <c r="G3" s="2"/>
      <c r="H3" s="2"/>
      <c r="I3" s="2"/>
      <c r="J3" s="2"/>
      <c r="K3" s="2"/>
      <c r="L3" s="2"/>
      <c r="M3" s="1"/>
    </row>
    <row r="4" spans="1:17">
      <c r="A4" s="1" t="s">
        <v>51</v>
      </c>
      <c r="B4" s="1"/>
      <c r="C4" s="1"/>
      <c r="D4" s="2"/>
      <c r="E4" s="2"/>
      <c r="F4" s="2"/>
      <c r="G4" s="2"/>
      <c r="H4" s="2"/>
      <c r="I4" s="2"/>
      <c r="J4" s="2"/>
      <c r="K4" s="2"/>
      <c r="L4" s="2"/>
      <c r="M4" s="1"/>
    </row>
    <row r="5" spans="1:17">
      <c r="A5" s="1" t="s">
        <v>52</v>
      </c>
      <c r="B5" s="1"/>
      <c r="C5" s="1"/>
      <c r="D5" s="2"/>
      <c r="E5" s="2"/>
      <c r="F5" s="2"/>
      <c r="G5" s="2"/>
      <c r="H5" s="2"/>
      <c r="I5" s="2"/>
      <c r="J5" s="2"/>
      <c r="K5" s="2"/>
      <c r="L5" s="2"/>
      <c r="M5" s="1"/>
    </row>
    <row r="6" spans="1:17">
      <c r="A6" s="1"/>
      <c r="B6" s="1"/>
      <c r="C6" s="1"/>
      <c r="D6" s="2"/>
      <c r="E6" s="2"/>
      <c r="F6" s="2"/>
      <c r="G6" s="2"/>
      <c r="H6" s="2"/>
      <c r="I6" s="2"/>
      <c r="J6" s="2"/>
      <c r="K6" s="2"/>
      <c r="L6" s="2"/>
      <c r="M6" s="1"/>
    </row>
    <row r="7" spans="1:17" ht="37.5">
      <c r="A7" s="3" t="s">
        <v>5</v>
      </c>
      <c r="B7" s="3" t="s">
        <v>6</v>
      </c>
      <c r="C7" s="3" t="s">
        <v>7</v>
      </c>
      <c r="D7" s="3" t="s">
        <v>8</v>
      </c>
      <c r="E7" s="3" t="s">
        <v>9</v>
      </c>
      <c r="F7" s="3" t="s">
        <v>10</v>
      </c>
      <c r="G7" s="163" t="s">
        <v>11</v>
      </c>
      <c r="H7" s="163"/>
      <c r="I7" s="163" t="s">
        <v>12</v>
      </c>
      <c r="J7" s="163"/>
      <c r="K7" s="163" t="s">
        <v>13</v>
      </c>
      <c r="L7" s="163"/>
      <c r="M7" s="3" t="s">
        <v>14</v>
      </c>
    </row>
    <row r="8" spans="1:17">
      <c r="A8" s="4"/>
      <c r="B8" s="4"/>
      <c r="C8" s="4" t="s">
        <v>43</v>
      </c>
      <c r="D8" s="5"/>
      <c r="E8" s="5"/>
      <c r="F8" s="5"/>
      <c r="G8" s="5" t="s">
        <v>15</v>
      </c>
      <c r="H8" s="5" t="s">
        <v>16</v>
      </c>
      <c r="I8" s="5" t="s">
        <v>15</v>
      </c>
      <c r="J8" s="5" t="s">
        <v>16</v>
      </c>
      <c r="K8" s="5" t="s">
        <v>15</v>
      </c>
      <c r="L8" s="5" t="s">
        <v>16</v>
      </c>
      <c r="M8" s="4"/>
    </row>
    <row r="9" spans="1:17" ht="45">
      <c r="A9" s="6">
        <v>1</v>
      </c>
      <c r="B9" s="7"/>
      <c r="C9" s="8" t="s">
        <v>17</v>
      </c>
      <c r="D9" s="9" t="s">
        <v>18</v>
      </c>
      <c r="E9" s="9">
        <v>180</v>
      </c>
      <c r="F9" s="9" t="s">
        <v>19</v>
      </c>
      <c r="G9" s="20">
        <v>3028.9172777777776</v>
      </c>
      <c r="H9" s="20">
        <f>G9*E9</f>
        <v>545205.11</v>
      </c>
      <c r="I9" s="20"/>
      <c r="J9" s="20"/>
      <c r="K9" s="22">
        <f>I9+G9</f>
        <v>3028.9172777777776</v>
      </c>
      <c r="L9" s="22">
        <f>K9*E9</f>
        <v>545205.11</v>
      </c>
      <c r="M9" s="23"/>
      <c r="Q9">
        <f>H9-P9</f>
        <v>545205.11</v>
      </c>
    </row>
    <row r="10" spans="1:17" ht="45">
      <c r="A10" s="6">
        <v>2</v>
      </c>
      <c r="B10" s="7"/>
      <c r="C10" s="8" t="s">
        <v>20</v>
      </c>
      <c r="D10" s="9" t="s">
        <v>18</v>
      </c>
      <c r="E10" s="9">
        <v>220</v>
      </c>
      <c r="F10" s="9" t="s">
        <v>19</v>
      </c>
      <c r="G10" s="20">
        <v>1530.181</v>
      </c>
      <c r="H10" s="20">
        <f t="shared" ref="H10:H18" si="0">G10*E10</f>
        <v>336639.82</v>
      </c>
      <c r="I10" s="20"/>
      <c r="J10" s="20"/>
      <c r="K10" s="22">
        <f t="shared" ref="K10:K18" si="1">I10+G10</f>
        <v>1530.181</v>
      </c>
      <c r="L10" s="22">
        <f t="shared" ref="L10:L18" si="2">K10*E10</f>
        <v>336639.82</v>
      </c>
      <c r="M10" s="23"/>
      <c r="Q10">
        <f t="shared" ref="Q10:Q33" si="3">H10-P10</f>
        <v>336639.82</v>
      </c>
    </row>
    <row r="11" spans="1:17">
      <c r="A11" s="6">
        <v>3</v>
      </c>
      <c r="B11" s="7"/>
      <c r="C11" s="8" t="s">
        <v>21</v>
      </c>
      <c r="D11" s="9" t="s">
        <v>22</v>
      </c>
      <c r="E11" s="9">
        <v>25</v>
      </c>
      <c r="F11" s="9" t="s">
        <v>19</v>
      </c>
      <c r="G11" s="20">
        <v>851.16899999999998</v>
      </c>
      <c r="H11" s="20">
        <f t="shared" si="0"/>
        <v>21279.224999999999</v>
      </c>
      <c r="I11" s="20"/>
      <c r="J11" s="20"/>
      <c r="K11" s="22">
        <f t="shared" si="1"/>
        <v>851.16899999999998</v>
      </c>
      <c r="L11" s="22">
        <f t="shared" si="2"/>
        <v>21279.224999999999</v>
      </c>
      <c r="M11" s="23"/>
      <c r="Q11">
        <f t="shared" si="3"/>
        <v>21279.224999999999</v>
      </c>
    </row>
    <row r="12" spans="1:17">
      <c r="A12" s="6">
        <v>4</v>
      </c>
      <c r="B12" s="7"/>
      <c r="C12" s="8" t="s">
        <v>23</v>
      </c>
      <c r="D12" s="9" t="s">
        <v>18</v>
      </c>
      <c r="E12" s="9">
        <v>1050</v>
      </c>
      <c r="F12" s="9" t="s">
        <v>19</v>
      </c>
      <c r="G12" s="20">
        <v>1281.2922476190477</v>
      </c>
      <c r="H12" s="20">
        <f t="shared" si="0"/>
        <v>1345356.86</v>
      </c>
      <c r="I12" s="20"/>
      <c r="J12" s="20"/>
      <c r="K12" s="22">
        <f t="shared" si="1"/>
        <v>1281.2922476190477</v>
      </c>
      <c r="L12" s="22">
        <f t="shared" si="2"/>
        <v>1345356.86</v>
      </c>
      <c r="M12" s="23"/>
      <c r="Q12">
        <f t="shared" si="3"/>
        <v>1345356.86</v>
      </c>
    </row>
    <row r="13" spans="1:17">
      <c r="A13" s="6">
        <v>5</v>
      </c>
      <c r="B13" s="7"/>
      <c r="C13" s="8" t="s">
        <v>24</v>
      </c>
      <c r="D13" s="9" t="s">
        <v>18</v>
      </c>
      <c r="E13" s="9">
        <v>1150</v>
      </c>
      <c r="F13" s="9" t="s">
        <v>19</v>
      </c>
      <c r="G13" s="20">
        <v>1475.1320000000001</v>
      </c>
      <c r="H13" s="20">
        <f t="shared" si="0"/>
        <v>1696401.8</v>
      </c>
      <c r="I13" s="20"/>
      <c r="J13" s="20"/>
      <c r="K13" s="22">
        <f t="shared" si="1"/>
        <v>1475.1320000000001</v>
      </c>
      <c r="L13" s="22">
        <f t="shared" si="2"/>
        <v>1696401.8</v>
      </c>
      <c r="M13" s="23"/>
      <c r="Q13">
        <f t="shared" si="3"/>
        <v>1696401.8</v>
      </c>
    </row>
    <row r="14" spans="1:17">
      <c r="A14" s="6">
        <v>6</v>
      </c>
      <c r="B14" s="7"/>
      <c r="C14" s="8" t="s">
        <v>25</v>
      </c>
      <c r="D14" s="9" t="s">
        <v>18</v>
      </c>
      <c r="E14" s="9">
        <v>1299.5</v>
      </c>
      <c r="F14" s="9" t="s">
        <v>19</v>
      </c>
      <c r="G14" s="24">
        <v>500.98797229703735</v>
      </c>
      <c r="H14" s="20">
        <f t="shared" si="0"/>
        <v>651033.87</v>
      </c>
      <c r="I14" s="20"/>
      <c r="J14" s="20"/>
      <c r="K14" s="22">
        <f t="shared" si="1"/>
        <v>500.98797229703735</v>
      </c>
      <c r="L14" s="22">
        <f t="shared" si="2"/>
        <v>651033.87</v>
      </c>
      <c r="M14" s="23"/>
      <c r="Q14">
        <f t="shared" si="3"/>
        <v>651033.87</v>
      </c>
    </row>
    <row r="15" spans="1:17">
      <c r="A15" s="6">
        <v>7</v>
      </c>
      <c r="B15" s="7"/>
      <c r="C15" s="8" t="s">
        <v>26</v>
      </c>
      <c r="D15" s="9" t="s">
        <v>18</v>
      </c>
      <c r="E15" s="9">
        <v>80</v>
      </c>
      <c r="F15" s="9" t="s">
        <v>19</v>
      </c>
      <c r="G15" s="23">
        <v>3452.5857156500015</v>
      </c>
      <c r="H15" s="20">
        <f t="shared" si="0"/>
        <v>276206.85725200013</v>
      </c>
      <c r="I15" s="20"/>
      <c r="J15" s="25"/>
      <c r="K15" s="22">
        <f t="shared" si="1"/>
        <v>3452.5857156500015</v>
      </c>
      <c r="L15" s="22">
        <f t="shared" si="2"/>
        <v>276206.85725200013</v>
      </c>
      <c r="M15" s="23"/>
      <c r="Q15">
        <f t="shared" si="3"/>
        <v>276206.85725200013</v>
      </c>
    </row>
    <row r="16" spans="1:17">
      <c r="A16" s="6">
        <v>8</v>
      </c>
      <c r="B16" s="7"/>
      <c r="C16" s="8" t="s">
        <v>27</v>
      </c>
      <c r="D16" s="9" t="s">
        <v>18</v>
      </c>
      <c r="E16" s="9">
        <v>1180</v>
      </c>
      <c r="F16" s="9" t="s">
        <v>19</v>
      </c>
      <c r="G16" s="23">
        <v>22.552</v>
      </c>
      <c r="H16" s="20">
        <f t="shared" si="0"/>
        <v>26611.360000000001</v>
      </c>
      <c r="I16" s="20"/>
      <c r="J16" s="20"/>
      <c r="K16" s="22">
        <f t="shared" si="1"/>
        <v>22.552</v>
      </c>
      <c r="L16" s="22">
        <f t="shared" si="2"/>
        <v>26611.360000000001</v>
      </c>
      <c r="M16" s="23"/>
      <c r="Q16">
        <f t="shared" si="3"/>
        <v>26611.360000000001</v>
      </c>
    </row>
    <row r="17" spans="1:17">
      <c r="A17" s="6">
        <v>9</v>
      </c>
      <c r="B17" s="7"/>
      <c r="C17" s="8" t="s">
        <v>28</v>
      </c>
      <c r="D17" s="9" t="s">
        <v>18</v>
      </c>
      <c r="E17" s="9">
        <v>1700</v>
      </c>
      <c r="F17" s="9" t="s">
        <v>19</v>
      </c>
      <c r="G17" s="23">
        <v>57.617988235294121</v>
      </c>
      <c r="H17" s="20">
        <f t="shared" si="0"/>
        <v>97950.58</v>
      </c>
      <c r="I17" s="20"/>
      <c r="J17" s="20"/>
      <c r="K17" s="22">
        <f t="shared" si="1"/>
        <v>57.617988235294121</v>
      </c>
      <c r="L17" s="22">
        <f t="shared" si="2"/>
        <v>97950.58</v>
      </c>
      <c r="M17" s="23"/>
      <c r="Q17">
        <f t="shared" si="3"/>
        <v>97950.58</v>
      </c>
    </row>
    <row r="18" spans="1:17">
      <c r="A18" s="6">
        <v>10</v>
      </c>
      <c r="B18" s="7"/>
      <c r="C18" s="8" t="s">
        <v>29</v>
      </c>
      <c r="D18" s="9" t="s">
        <v>18</v>
      </c>
      <c r="E18" s="9">
        <v>900</v>
      </c>
      <c r="F18" s="9" t="s">
        <v>19</v>
      </c>
      <c r="G18" s="23">
        <v>80.438322222222226</v>
      </c>
      <c r="H18" s="20">
        <f t="shared" si="0"/>
        <v>72394.490000000005</v>
      </c>
      <c r="I18" s="20"/>
      <c r="J18" s="20"/>
      <c r="K18" s="22">
        <f t="shared" si="1"/>
        <v>80.438322222222226</v>
      </c>
      <c r="L18" s="22">
        <f t="shared" si="2"/>
        <v>72394.490000000005</v>
      </c>
      <c r="M18" s="23"/>
      <c r="Q18">
        <f t="shared" si="3"/>
        <v>72394.490000000005</v>
      </c>
    </row>
    <row r="19" spans="1:17">
      <c r="A19" s="16"/>
      <c r="B19" s="4"/>
      <c r="C19" s="17" t="s">
        <v>44</v>
      </c>
      <c r="D19" s="5"/>
      <c r="E19" s="5"/>
      <c r="F19" s="5"/>
      <c r="G19" s="4"/>
      <c r="H19" s="5"/>
      <c r="I19" s="5"/>
      <c r="J19" s="5"/>
      <c r="K19" s="18"/>
      <c r="L19" s="18"/>
      <c r="M19" s="4"/>
      <c r="Q19">
        <f t="shared" si="3"/>
        <v>0</v>
      </c>
    </row>
    <row r="20" spans="1:17" ht="90">
      <c r="A20" s="19"/>
      <c r="B20" s="23"/>
      <c r="C20" s="21" t="s">
        <v>50</v>
      </c>
      <c r="D20" s="20" t="s">
        <v>18</v>
      </c>
      <c r="E20" s="20">
        <v>2300</v>
      </c>
      <c r="F20" s="20" t="s">
        <v>19</v>
      </c>
      <c r="G20" s="20">
        <v>9.6750000000000007</v>
      </c>
      <c r="H20" s="20">
        <f>G20*E20</f>
        <v>22252.5</v>
      </c>
      <c r="I20" s="20"/>
      <c r="J20" s="20"/>
      <c r="K20" s="22">
        <f>I20+G20</f>
        <v>9.6750000000000007</v>
      </c>
      <c r="L20" s="22">
        <f t="shared" ref="L20:L25" si="4">K20*E20</f>
        <v>22252.5</v>
      </c>
      <c r="M20" s="23"/>
      <c r="Q20">
        <f t="shared" si="3"/>
        <v>22252.5</v>
      </c>
    </row>
    <row r="21" spans="1:17" ht="90">
      <c r="A21" s="19">
        <v>11</v>
      </c>
      <c r="B21" s="20"/>
      <c r="C21" s="21" t="s">
        <v>30</v>
      </c>
      <c r="D21" s="20" t="s">
        <v>18</v>
      </c>
      <c r="E21" s="20">
        <v>2599</v>
      </c>
      <c r="F21" s="20" t="s">
        <v>19</v>
      </c>
      <c r="G21" s="20">
        <v>58.140748460946526</v>
      </c>
      <c r="H21" s="20">
        <f t="shared" ref="H21:H25" si="5">G21*E21</f>
        <v>151107.80525000003</v>
      </c>
      <c r="I21" s="19"/>
      <c r="J21" s="20"/>
      <c r="K21" s="22">
        <f t="shared" ref="K21:K25" si="6">I21+G21</f>
        <v>58.140748460946526</v>
      </c>
      <c r="L21" s="22">
        <f t="shared" si="4"/>
        <v>151107.80525000003</v>
      </c>
      <c r="M21" s="20"/>
      <c r="Q21">
        <f t="shared" si="3"/>
        <v>151107.80525000003</v>
      </c>
    </row>
    <row r="22" spans="1:17" ht="90">
      <c r="A22" s="19">
        <v>12</v>
      </c>
      <c r="B22" s="20"/>
      <c r="C22" s="21" t="s">
        <v>31</v>
      </c>
      <c r="D22" s="20" t="s">
        <v>18</v>
      </c>
      <c r="E22" s="20">
        <v>2898</v>
      </c>
      <c r="F22" s="20" t="s">
        <v>19</v>
      </c>
      <c r="G22" s="20">
        <v>44.829000000000001</v>
      </c>
      <c r="H22" s="20">
        <f t="shared" si="5"/>
        <v>129914.442</v>
      </c>
      <c r="I22" s="19"/>
      <c r="J22" s="20"/>
      <c r="K22" s="22">
        <f t="shared" si="6"/>
        <v>44.829000000000001</v>
      </c>
      <c r="L22" s="22">
        <f t="shared" si="4"/>
        <v>129914.442</v>
      </c>
      <c r="M22" s="20"/>
      <c r="Q22">
        <f t="shared" si="3"/>
        <v>129914.442</v>
      </c>
    </row>
    <row r="23" spans="1:17" s="27" customFormat="1" ht="45">
      <c r="A23" s="19">
        <v>13</v>
      </c>
      <c r="B23" s="23"/>
      <c r="C23" s="21" t="s">
        <v>32</v>
      </c>
      <c r="D23" s="20" t="s">
        <v>18</v>
      </c>
      <c r="E23" s="20">
        <v>2750</v>
      </c>
      <c r="F23" s="20" t="s">
        <v>19</v>
      </c>
      <c r="G23" s="20">
        <v>441.83590181818181</v>
      </c>
      <c r="H23" s="20">
        <f t="shared" si="5"/>
        <v>1215048.73</v>
      </c>
      <c r="I23" s="19">
        <f>43.862-107.02675</f>
        <v>-63.164750000000005</v>
      </c>
      <c r="J23" s="20">
        <f>I23*E23</f>
        <v>-173703.0625</v>
      </c>
      <c r="K23" s="22">
        <f t="shared" si="6"/>
        <v>378.67115181818178</v>
      </c>
      <c r="L23" s="22">
        <f t="shared" si="4"/>
        <v>1041345.6674999999</v>
      </c>
      <c r="M23" s="23"/>
      <c r="N23" s="26"/>
      <c r="O23"/>
      <c r="Q23">
        <f t="shared" si="3"/>
        <v>1215048.73</v>
      </c>
    </row>
    <row r="24" spans="1:17" s="27" customFormat="1" ht="45">
      <c r="A24" s="19">
        <v>14</v>
      </c>
      <c r="B24" s="23"/>
      <c r="C24" s="21" t="s">
        <v>33</v>
      </c>
      <c r="D24" s="20" t="s">
        <v>18</v>
      </c>
      <c r="E24" s="20">
        <f>E23+(E23*13%)</f>
        <v>3107.5</v>
      </c>
      <c r="F24" s="20" t="s">
        <v>19</v>
      </c>
      <c r="G24" s="20">
        <v>696.85610056315363</v>
      </c>
      <c r="H24" s="20">
        <f t="shared" si="5"/>
        <v>2165480.3325</v>
      </c>
      <c r="I24" s="19">
        <v>59.328000000000003</v>
      </c>
      <c r="J24" s="20">
        <f>I24*E24</f>
        <v>184361.76</v>
      </c>
      <c r="K24" s="22">
        <f t="shared" si="6"/>
        <v>756.18410056315361</v>
      </c>
      <c r="L24" s="22">
        <f t="shared" si="4"/>
        <v>2349842.0924999998</v>
      </c>
      <c r="M24" s="23"/>
      <c r="N24" s="26"/>
      <c r="O24"/>
      <c r="Q24">
        <f t="shared" si="3"/>
        <v>2165480.3325</v>
      </c>
    </row>
    <row r="25" spans="1:17" s="27" customFormat="1" ht="45">
      <c r="A25" s="19"/>
      <c r="B25" s="23"/>
      <c r="C25" s="28" t="s">
        <v>45</v>
      </c>
      <c r="D25" s="20" t="s">
        <v>18</v>
      </c>
      <c r="E25" s="20">
        <f>E23+(E23*26%)</f>
        <v>3465</v>
      </c>
      <c r="F25" s="20" t="str">
        <f>F24</f>
        <v>Klin</v>
      </c>
      <c r="G25" s="20">
        <v>220.27</v>
      </c>
      <c r="H25" s="20">
        <f t="shared" si="5"/>
        <v>763235.55</v>
      </c>
      <c r="I25" s="19">
        <v>21.082000000000001</v>
      </c>
      <c r="J25" s="20">
        <f>I25*E25</f>
        <v>73049.13</v>
      </c>
      <c r="K25" s="22">
        <f t="shared" si="6"/>
        <v>241.352</v>
      </c>
      <c r="L25" s="22">
        <f t="shared" si="4"/>
        <v>836284.68</v>
      </c>
      <c r="M25" s="23"/>
      <c r="N25" s="26"/>
      <c r="O25"/>
      <c r="Q25">
        <f t="shared" si="3"/>
        <v>763235.55</v>
      </c>
    </row>
    <row r="26" spans="1:17">
      <c r="A26" s="16"/>
      <c r="B26" s="4"/>
      <c r="C26" s="17" t="s">
        <v>46</v>
      </c>
      <c r="D26" s="5"/>
      <c r="E26" s="5"/>
      <c r="F26" s="5"/>
      <c r="G26" s="5"/>
      <c r="H26" s="5"/>
      <c r="I26" s="5"/>
      <c r="J26" s="5"/>
      <c r="K26" s="18"/>
      <c r="L26" s="18"/>
      <c r="M26" s="4"/>
      <c r="Q26">
        <f t="shared" si="3"/>
        <v>0</v>
      </c>
    </row>
    <row r="27" spans="1:17" s="27" customFormat="1" ht="105">
      <c r="A27" s="19">
        <v>15</v>
      </c>
      <c r="B27" s="23"/>
      <c r="C27" s="21" t="s">
        <v>34</v>
      </c>
      <c r="D27" s="20" t="s">
        <v>22</v>
      </c>
      <c r="E27" s="20">
        <v>400</v>
      </c>
      <c r="F27" s="20" t="s">
        <v>19</v>
      </c>
      <c r="G27" s="20">
        <v>1078.0678999999998</v>
      </c>
      <c r="H27" s="20">
        <f t="shared" ref="H27:H29" si="7">G27*E27</f>
        <v>431227.15999999992</v>
      </c>
      <c r="I27" s="20">
        <f>211.946-60.2441999999996</f>
        <v>151.70180000000039</v>
      </c>
      <c r="J27" s="20">
        <f>I27*E27</f>
        <v>60680.720000000154</v>
      </c>
      <c r="K27" s="22">
        <f>I27+G27</f>
        <v>1229.7697000000003</v>
      </c>
      <c r="L27" s="22">
        <f t="shared" ref="L27:L29" si="8">K27*E27</f>
        <v>491907.88000000012</v>
      </c>
      <c r="M27" s="23"/>
      <c r="O27"/>
      <c r="Q27">
        <f t="shared" si="3"/>
        <v>431227.15999999992</v>
      </c>
    </row>
    <row r="28" spans="1:17" s="27" customFormat="1" ht="105">
      <c r="A28" s="19">
        <v>16</v>
      </c>
      <c r="B28" s="23"/>
      <c r="C28" s="28" t="s">
        <v>35</v>
      </c>
      <c r="D28" s="20" t="s">
        <v>22</v>
      </c>
      <c r="E28" s="20">
        <v>452</v>
      </c>
      <c r="F28" s="20" t="s">
        <v>19</v>
      </c>
      <c r="G28" s="20">
        <v>775.55542743362821</v>
      </c>
      <c r="H28" s="20">
        <f t="shared" si="7"/>
        <v>350551.05319999997</v>
      </c>
      <c r="I28" s="20">
        <f>257.248-31.1976999999989</f>
        <v>226.0503000000011</v>
      </c>
      <c r="J28" s="20">
        <f>I28*E28</f>
        <v>102174.73560000049</v>
      </c>
      <c r="K28" s="22">
        <f t="shared" ref="K28:K29" si="9">I28+G28</f>
        <v>1001.6057274336293</v>
      </c>
      <c r="L28" s="22">
        <f t="shared" si="8"/>
        <v>452725.78880000045</v>
      </c>
      <c r="M28" s="23"/>
      <c r="O28"/>
      <c r="Q28">
        <f t="shared" si="3"/>
        <v>350551.05319999997</v>
      </c>
    </row>
    <row r="29" spans="1:17" s="27" customFormat="1" ht="105">
      <c r="A29" s="19">
        <v>17</v>
      </c>
      <c r="B29" s="23"/>
      <c r="C29" s="28" t="s">
        <v>36</v>
      </c>
      <c r="D29" s="20" t="s">
        <v>22</v>
      </c>
      <c r="E29" s="20">
        <v>504</v>
      </c>
      <c r="F29" s="20" t="s">
        <v>19</v>
      </c>
      <c r="G29" s="20">
        <v>245.83170634920634</v>
      </c>
      <c r="H29" s="20">
        <f t="shared" si="7"/>
        <v>123899.18</v>
      </c>
      <c r="I29" s="20">
        <v>102.32599999999999</v>
      </c>
      <c r="J29" s="20">
        <f>I29*E29</f>
        <v>51572.303999999996</v>
      </c>
      <c r="K29" s="22">
        <f t="shared" si="9"/>
        <v>348.15770634920636</v>
      </c>
      <c r="L29" s="22">
        <f t="shared" si="8"/>
        <v>175471.484</v>
      </c>
      <c r="M29" s="23"/>
      <c r="O29"/>
      <c r="Q29">
        <f t="shared" si="3"/>
        <v>123899.18</v>
      </c>
    </row>
    <row r="30" spans="1:17">
      <c r="A30" s="16"/>
      <c r="B30" s="4"/>
      <c r="C30" s="17" t="s">
        <v>47</v>
      </c>
      <c r="D30" s="5"/>
      <c r="E30" s="5"/>
      <c r="F30" s="5"/>
      <c r="G30" s="5"/>
      <c r="H30" s="5"/>
      <c r="I30" s="5"/>
      <c r="J30" s="5"/>
      <c r="K30" s="18"/>
      <c r="L30" s="18"/>
      <c r="M30" s="4"/>
      <c r="Q30">
        <f t="shared" si="3"/>
        <v>0</v>
      </c>
    </row>
    <row r="31" spans="1:17" s="27" customFormat="1" ht="120">
      <c r="A31" s="19">
        <v>18</v>
      </c>
      <c r="B31" s="23"/>
      <c r="C31" s="21" t="s">
        <v>37</v>
      </c>
      <c r="D31" s="20" t="s">
        <v>38</v>
      </c>
      <c r="E31" s="20">
        <v>9000</v>
      </c>
      <c r="F31" s="20" t="s">
        <v>19</v>
      </c>
      <c r="G31" s="20">
        <v>77.686706292256815</v>
      </c>
      <c r="H31" s="20">
        <f t="shared" ref="H31:H33" si="10">G31*E31</f>
        <v>699180.35663031135</v>
      </c>
      <c r="I31" s="20">
        <v>4.3879999999999999</v>
      </c>
      <c r="J31" s="20">
        <f>I31*E31</f>
        <v>39492</v>
      </c>
      <c r="K31" s="22">
        <f>I31+G31</f>
        <v>82.07470629225682</v>
      </c>
      <c r="L31" s="22">
        <f t="shared" ref="L31:L34" si="11">K31*E31</f>
        <v>738672.35663031135</v>
      </c>
      <c r="M31" s="23"/>
      <c r="O31"/>
      <c r="Q31">
        <f t="shared" si="3"/>
        <v>699180.35663031135</v>
      </c>
    </row>
    <row r="32" spans="1:17" s="27" customFormat="1" ht="120">
      <c r="A32" s="19">
        <v>19</v>
      </c>
      <c r="B32" s="23"/>
      <c r="C32" s="21" t="s">
        <v>39</v>
      </c>
      <c r="D32" s="20" t="s">
        <v>38</v>
      </c>
      <c r="E32" s="20">
        <f>E31+(E31*13%)</f>
        <v>10170</v>
      </c>
      <c r="F32" s="20" t="s">
        <v>19</v>
      </c>
      <c r="G32" s="20">
        <v>58.971496468353536</v>
      </c>
      <c r="H32" s="20">
        <f t="shared" si="10"/>
        <v>599740.11908315541</v>
      </c>
      <c r="I32" s="20">
        <v>6.3570000000000002</v>
      </c>
      <c r="J32" s="20">
        <f t="shared" ref="J32:J33" si="12">I32*E32</f>
        <v>64650.69</v>
      </c>
      <c r="K32" s="22">
        <f t="shared" ref="K32:K33" si="13">I32+G32</f>
        <v>65.328496468353535</v>
      </c>
      <c r="L32" s="22">
        <f t="shared" si="11"/>
        <v>664390.80908315547</v>
      </c>
      <c r="M32" s="23"/>
      <c r="O32"/>
      <c r="Q32">
        <f t="shared" si="3"/>
        <v>599740.11908315541</v>
      </c>
    </row>
    <row r="33" spans="1:17" s="27" customFormat="1" ht="120">
      <c r="A33" s="19">
        <v>20</v>
      </c>
      <c r="B33" s="23"/>
      <c r="C33" s="21" t="s">
        <v>40</v>
      </c>
      <c r="D33" s="20" t="s">
        <v>38</v>
      </c>
      <c r="E33" s="20">
        <f>E31+(E31*26%)</f>
        <v>11340</v>
      </c>
      <c r="F33" s="20" t="s">
        <v>19</v>
      </c>
      <c r="G33" s="20">
        <v>36.543168430335101</v>
      </c>
      <c r="H33" s="20">
        <f t="shared" si="10"/>
        <v>414399.53</v>
      </c>
      <c r="I33" s="20">
        <v>2.42</v>
      </c>
      <c r="J33" s="20">
        <f t="shared" si="12"/>
        <v>27442.799999999999</v>
      </c>
      <c r="K33" s="22">
        <f t="shared" si="13"/>
        <v>38.963168430335102</v>
      </c>
      <c r="L33" s="22">
        <f t="shared" si="11"/>
        <v>441842.33000000007</v>
      </c>
      <c r="M33" s="23"/>
      <c r="O33"/>
      <c r="Q33">
        <f t="shared" si="3"/>
        <v>414399.53</v>
      </c>
    </row>
    <row r="34" spans="1:17">
      <c r="A34" s="6">
        <v>21</v>
      </c>
      <c r="B34" s="7"/>
      <c r="C34" s="12"/>
      <c r="D34" s="9"/>
      <c r="E34" s="9"/>
      <c r="F34" s="9"/>
      <c r="G34" s="9"/>
      <c r="H34" s="9"/>
      <c r="I34" s="9"/>
      <c r="J34" s="9"/>
      <c r="K34" s="10"/>
      <c r="L34" s="10">
        <f t="shared" si="11"/>
        <v>0</v>
      </c>
      <c r="M34" s="7"/>
    </row>
    <row r="35" spans="1:17">
      <c r="A35" s="13"/>
      <c r="B35" s="13"/>
      <c r="C35" s="13"/>
      <c r="D35" s="14"/>
      <c r="E35" s="14"/>
      <c r="F35" s="14"/>
      <c r="G35" s="14"/>
      <c r="H35" s="15">
        <f>SUM(H9:H34)</f>
        <v>12135116.730915466</v>
      </c>
      <c r="I35" s="15"/>
      <c r="J35" s="15">
        <f t="shared" ref="J35:L35" si="14">SUM(J9:J34)</f>
        <v>429721.07710000064</v>
      </c>
      <c r="K35" s="15"/>
      <c r="L35" s="15">
        <f t="shared" si="14"/>
        <v>12564837.808015468</v>
      </c>
      <c r="M35" s="15"/>
    </row>
    <row r="37" spans="1:17">
      <c r="K37">
        <v>82.07470629225682</v>
      </c>
    </row>
    <row r="39" spans="1:17">
      <c r="K39">
        <v>83.696601874999999</v>
      </c>
      <c r="L39">
        <f>K39-K37</f>
        <v>1.6218955827431785</v>
      </c>
    </row>
    <row r="41" spans="1:17">
      <c r="H41">
        <f>H35-'RA 5'!L35</f>
        <v>0</v>
      </c>
    </row>
    <row r="44" spans="1:17">
      <c r="K44">
        <v>65.328496468353535</v>
      </c>
    </row>
    <row r="45" spans="1:17">
      <c r="K45">
        <v>153.28620299400006</v>
      </c>
      <c r="L45">
        <f>K45-K44</f>
        <v>87.957706525646529</v>
      </c>
    </row>
    <row r="66" spans="1:12" s="30" customFormat="1">
      <c r="A66" s="29" t="s">
        <v>57</v>
      </c>
      <c r="D66" s="29" t="s">
        <v>60</v>
      </c>
      <c r="L66" s="31" t="s">
        <v>62</v>
      </c>
    </row>
    <row r="67" spans="1:12" s="30" customFormat="1">
      <c r="A67" s="29" t="s">
        <v>58</v>
      </c>
      <c r="D67" s="29" t="s">
        <v>59</v>
      </c>
      <c r="L67" s="31" t="s">
        <v>63</v>
      </c>
    </row>
    <row r="68" spans="1:12" s="30" customFormat="1">
      <c r="A68" s="29" t="s">
        <v>0</v>
      </c>
      <c r="D68" s="29" t="s">
        <v>61</v>
      </c>
      <c r="L68" s="31" t="s">
        <v>0</v>
      </c>
    </row>
  </sheetData>
  <mergeCells count="3">
    <mergeCell ref="G7:H7"/>
    <mergeCell ref="I7:J7"/>
    <mergeCell ref="K7:L7"/>
  </mergeCells>
  <printOptions horizontalCentered="1"/>
  <pageMargins left="0" right="0" top="0.25" bottom="0.25" header="0.3" footer="0.3"/>
  <pageSetup paperSize="9" scale="72" orientation="landscape" verticalDpi="0" r:id="rId1"/>
  <rowBreaks count="1" manualBreakCount="1">
    <brk id="25" max="1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view="pageBreakPreview" zoomScaleNormal="100" zoomScaleSheetLayoutView="100" workbookViewId="0">
      <selection sqref="A1:L35"/>
    </sheetView>
  </sheetViews>
  <sheetFormatPr defaultRowHeight="15"/>
  <cols>
    <col min="1" max="1" width="9.28515625" bestFit="1" customWidth="1"/>
    <col min="3" max="3" width="67.42578125" customWidth="1"/>
    <col min="5" max="5" width="10.140625" bestFit="1" customWidth="1"/>
    <col min="6" max="6" width="11" customWidth="1"/>
    <col min="7" max="7" width="11.5703125" customWidth="1"/>
    <col min="8" max="8" width="14.42578125" bestFit="1" customWidth="1"/>
    <col min="9" max="9" width="11.42578125" customWidth="1"/>
    <col min="10" max="10" width="12.7109375" customWidth="1"/>
    <col min="11" max="11" width="10.140625" bestFit="1" customWidth="1"/>
    <col min="12" max="12" width="14.42578125" bestFit="1" customWidth="1"/>
  </cols>
  <sheetData>
    <row r="1" spans="1:12">
      <c r="A1" s="1" t="s">
        <v>0</v>
      </c>
      <c r="B1" s="1"/>
      <c r="C1" s="1"/>
      <c r="D1" s="2"/>
      <c r="E1" s="2"/>
      <c r="F1" s="2"/>
      <c r="G1" s="2"/>
      <c r="H1" s="2"/>
      <c r="I1" s="2"/>
      <c r="J1" s="2"/>
      <c r="K1" s="2"/>
      <c r="L1" s="49" t="s">
        <v>64</v>
      </c>
    </row>
    <row r="2" spans="1:12">
      <c r="A2" s="1" t="s">
        <v>1</v>
      </c>
      <c r="B2" s="1"/>
      <c r="C2" s="1"/>
      <c r="D2" s="2"/>
      <c r="E2" s="2"/>
      <c r="F2" s="2"/>
      <c r="G2" s="2"/>
      <c r="H2" s="2"/>
      <c r="I2" s="2"/>
      <c r="J2" s="2"/>
      <c r="K2" s="2"/>
      <c r="L2" s="49" t="s">
        <v>65</v>
      </c>
    </row>
    <row r="3" spans="1:12">
      <c r="A3" s="1"/>
      <c r="B3" s="1"/>
      <c r="C3" s="1"/>
      <c r="D3" s="2"/>
      <c r="E3" s="2"/>
      <c r="F3" s="2"/>
      <c r="G3" s="2"/>
      <c r="H3" s="2"/>
      <c r="I3" s="2"/>
      <c r="J3" s="2"/>
      <c r="K3" s="2"/>
      <c r="L3" s="2"/>
    </row>
    <row r="4" spans="1:12">
      <c r="A4" s="1"/>
      <c r="B4" s="1"/>
      <c r="C4" s="1"/>
      <c r="D4" s="2"/>
      <c r="E4" s="2"/>
      <c r="F4" s="2"/>
      <c r="G4" s="2"/>
      <c r="H4" s="2"/>
      <c r="I4" s="2"/>
      <c r="J4" s="2"/>
      <c r="K4" s="2"/>
      <c r="L4" s="2"/>
    </row>
    <row r="5" spans="1:12" ht="37.5">
      <c r="A5" s="3" t="s">
        <v>5</v>
      </c>
      <c r="B5" s="3" t="s">
        <v>6</v>
      </c>
      <c r="C5" s="3" t="s">
        <v>7</v>
      </c>
      <c r="D5" s="3" t="s">
        <v>8</v>
      </c>
      <c r="E5" s="3" t="s">
        <v>9</v>
      </c>
      <c r="F5" s="3" t="s">
        <v>10</v>
      </c>
      <c r="G5" s="163" t="s">
        <v>11</v>
      </c>
      <c r="H5" s="163"/>
      <c r="I5" s="163" t="s">
        <v>12</v>
      </c>
      <c r="J5" s="163"/>
      <c r="K5" s="163" t="s">
        <v>13</v>
      </c>
      <c r="L5" s="163"/>
    </row>
    <row r="6" spans="1:12">
      <c r="A6" s="4"/>
      <c r="B6" s="4"/>
      <c r="C6" s="4" t="s">
        <v>43</v>
      </c>
      <c r="D6" s="5"/>
      <c r="E6" s="5"/>
      <c r="F6" s="5"/>
      <c r="G6" s="5" t="s">
        <v>15</v>
      </c>
      <c r="H6" s="5" t="s">
        <v>16</v>
      </c>
      <c r="I6" s="5" t="s">
        <v>15</v>
      </c>
      <c r="J6" s="5" t="s">
        <v>16</v>
      </c>
      <c r="K6" s="5" t="s">
        <v>15</v>
      </c>
      <c r="L6" s="5" t="s">
        <v>16</v>
      </c>
    </row>
    <row r="7" spans="1:12" ht="45">
      <c r="A7" s="6">
        <v>1</v>
      </c>
      <c r="B7" s="7"/>
      <c r="C7" s="8" t="s">
        <v>17</v>
      </c>
      <c r="D7" s="9" t="s">
        <v>18</v>
      </c>
      <c r="E7" s="9">
        <v>180</v>
      </c>
      <c r="F7" s="9" t="s">
        <v>19</v>
      </c>
      <c r="G7" s="20">
        <v>3028.9172777777776</v>
      </c>
      <c r="H7" s="20">
        <f>G7*E7</f>
        <v>545205.11</v>
      </c>
      <c r="I7" s="20"/>
      <c r="J7" s="20"/>
      <c r="K7" s="22">
        <f>I7+G7</f>
        <v>3028.9172777777776</v>
      </c>
      <c r="L7" s="22">
        <f>K7*E7</f>
        <v>545205.11</v>
      </c>
    </row>
    <row r="8" spans="1:12" ht="45">
      <c r="A8" s="6">
        <v>2</v>
      </c>
      <c r="B8" s="7"/>
      <c r="C8" s="8" t="s">
        <v>20</v>
      </c>
      <c r="D8" s="9" t="s">
        <v>18</v>
      </c>
      <c r="E8" s="9">
        <v>220</v>
      </c>
      <c r="F8" s="9" t="s">
        <v>19</v>
      </c>
      <c r="G8" s="20">
        <v>1530.181</v>
      </c>
      <c r="H8" s="20">
        <f t="shared" ref="H8:H16" si="0">G8*E8</f>
        <v>336639.82</v>
      </c>
      <c r="I8" s="20"/>
      <c r="J8" s="20"/>
      <c r="K8" s="22">
        <f t="shared" ref="K8:K16" si="1">I8+G8</f>
        <v>1530.181</v>
      </c>
      <c r="L8" s="22">
        <f t="shared" ref="L8:L16" si="2">K8*E8</f>
        <v>336639.82</v>
      </c>
    </row>
    <row r="9" spans="1:12">
      <c r="A9" s="6">
        <v>3</v>
      </c>
      <c r="B9" s="7"/>
      <c r="C9" s="8" t="s">
        <v>21</v>
      </c>
      <c r="D9" s="9" t="s">
        <v>22</v>
      </c>
      <c r="E9" s="9">
        <v>25</v>
      </c>
      <c r="F9" s="9" t="s">
        <v>19</v>
      </c>
      <c r="G9" s="20">
        <v>851.16899999999998</v>
      </c>
      <c r="H9" s="20">
        <f t="shared" si="0"/>
        <v>21279.224999999999</v>
      </c>
      <c r="I9" s="20"/>
      <c r="J9" s="20"/>
      <c r="K9" s="22">
        <f t="shared" si="1"/>
        <v>851.16899999999998</v>
      </c>
      <c r="L9" s="22">
        <f t="shared" si="2"/>
        <v>21279.224999999999</v>
      </c>
    </row>
    <row r="10" spans="1:12">
      <c r="A10" s="6">
        <v>4</v>
      </c>
      <c r="B10" s="7"/>
      <c r="C10" s="8" t="s">
        <v>23</v>
      </c>
      <c r="D10" s="9" t="s">
        <v>18</v>
      </c>
      <c r="E10" s="9">
        <v>1050</v>
      </c>
      <c r="F10" s="9" t="s">
        <v>19</v>
      </c>
      <c r="G10" s="20">
        <v>1281.2922476190477</v>
      </c>
      <c r="H10" s="20">
        <f t="shared" si="0"/>
        <v>1345356.86</v>
      </c>
      <c r="I10" s="20"/>
      <c r="J10" s="20"/>
      <c r="K10" s="22">
        <f t="shared" si="1"/>
        <v>1281.2922476190477</v>
      </c>
      <c r="L10" s="22">
        <f t="shared" si="2"/>
        <v>1345356.86</v>
      </c>
    </row>
    <row r="11" spans="1:12">
      <c r="A11" s="6">
        <v>5</v>
      </c>
      <c r="B11" s="7"/>
      <c r="C11" s="8" t="s">
        <v>24</v>
      </c>
      <c r="D11" s="9" t="s">
        <v>18</v>
      </c>
      <c r="E11" s="9">
        <v>1150</v>
      </c>
      <c r="F11" s="9" t="s">
        <v>19</v>
      </c>
      <c r="G11" s="20">
        <v>1475.1320000000001</v>
      </c>
      <c r="H11" s="20">
        <f t="shared" si="0"/>
        <v>1696401.8</v>
      </c>
      <c r="I11" s="20"/>
      <c r="J11" s="20"/>
      <c r="K11" s="22">
        <f t="shared" si="1"/>
        <v>1475.1320000000001</v>
      </c>
      <c r="L11" s="22">
        <f t="shared" si="2"/>
        <v>1696401.8</v>
      </c>
    </row>
    <row r="12" spans="1:12">
      <c r="A12" s="6">
        <v>6</v>
      </c>
      <c r="B12" s="7"/>
      <c r="C12" s="8" t="s">
        <v>25</v>
      </c>
      <c r="D12" s="9" t="s">
        <v>18</v>
      </c>
      <c r="E12" s="9">
        <v>1299.5</v>
      </c>
      <c r="F12" s="9" t="s">
        <v>19</v>
      </c>
      <c r="G12" s="24">
        <v>500.98797229703735</v>
      </c>
      <c r="H12" s="20">
        <f t="shared" si="0"/>
        <v>651033.87</v>
      </c>
      <c r="I12" s="20"/>
      <c r="J12" s="20"/>
      <c r="K12" s="22">
        <f t="shared" si="1"/>
        <v>500.98797229703735</v>
      </c>
      <c r="L12" s="22">
        <f t="shared" si="2"/>
        <v>651033.87</v>
      </c>
    </row>
    <row r="13" spans="1:12">
      <c r="A13" s="6">
        <v>7</v>
      </c>
      <c r="B13" s="7"/>
      <c r="C13" s="8" t="s">
        <v>26</v>
      </c>
      <c r="D13" s="9" t="s">
        <v>18</v>
      </c>
      <c r="E13" s="9">
        <v>80</v>
      </c>
      <c r="F13" s="9" t="s">
        <v>19</v>
      </c>
      <c r="G13" s="23">
        <v>3452.5857156500015</v>
      </c>
      <c r="H13" s="20">
        <f t="shared" si="0"/>
        <v>276206.85725200013</v>
      </c>
      <c r="I13" s="20"/>
      <c r="J13" s="25"/>
      <c r="K13" s="22">
        <f t="shared" si="1"/>
        <v>3452.5857156500015</v>
      </c>
      <c r="L13" s="22">
        <f t="shared" si="2"/>
        <v>276206.85725200013</v>
      </c>
    </row>
    <row r="14" spans="1:12">
      <c r="A14" s="6">
        <v>8</v>
      </c>
      <c r="B14" s="7"/>
      <c r="C14" s="8" t="s">
        <v>27</v>
      </c>
      <c r="D14" s="9" t="s">
        <v>18</v>
      </c>
      <c r="E14" s="9">
        <v>1180</v>
      </c>
      <c r="F14" s="9" t="s">
        <v>19</v>
      </c>
      <c r="G14" s="23">
        <v>22.552</v>
      </c>
      <c r="H14" s="20">
        <f t="shared" si="0"/>
        <v>26611.360000000001</v>
      </c>
      <c r="I14" s="20"/>
      <c r="J14" s="20"/>
      <c r="K14" s="22">
        <f t="shared" si="1"/>
        <v>22.552</v>
      </c>
      <c r="L14" s="22">
        <f t="shared" si="2"/>
        <v>26611.360000000001</v>
      </c>
    </row>
    <row r="15" spans="1:12">
      <c r="A15" s="6">
        <v>9</v>
      </c>
      <c r="B15" s="7"/>
      <c r="C15" s="8" t="s">
        <v>28</v>
      </c>
      <c r="D15" s="9" t="s">
        <v>18</v>
      </c>
      <c r="E15" s="9">
        <v>1700</v>
      </c>
      <c r="F15" s="9" t="s">
        <v>19</v>
      </c>
      <c r="G15" s="23">
        <v>57.617988235294121</v>
      </c>
      <c r="H15" s="20">
        <f t="shared" si="0"/>
        <v>97950.58</v>
      </c>
      <c r="I15" s="20"/>
      <c r="J15" s="20"/>
      <c r="K15" s="22">
        <f t="shared" si="1"/>
        <v>57.617988235294121</v>
      </c>
      <c r="L15" s="22">
        <f t="shared" si="2"/>
        <v>97950.58</v>
      </c>
    </row>
    <row r="16" spans="1:12">
      <c r="A16" s="6">
        <v>10</v>
      </c>
      <c r="B16" s="7"/>
      <c r="C16" s="8" t="s">
        <v>29</v>
      </c>
      <c r="D16" s="9" t="s">
        <v>18</v>
      </c>
      <c r="E16" s="9">
        <v>900</v>
      </c>
      <c r="F16" s="9" t="s">
        <v>19</v>
      </c>
      <c r="G16" s="23">
        <v>80.438322222222226</v>
      </c>
      <c r="H16" s="20">
        <f t="shared" si="0"/>
        <v>72394.490000000005</v>
      </c>
      <c r="I16" s="20"/>
      <c r="J16" s="20"/>
      <c r="K16" s="22">
        <f t="shared" si="1"/>
        <v>80.438322222222226</v>
      </c>
      <c r="L16" s="22">
        <f t="shared" si="2"/>
        <v>72394.490000000005</v>
      </c>
    </row>
    <row r="17" spans="1:12">
      <c r="A17" s="16"/>
      <c r="B17" s="4"/>
      <c r="C17" s="17" t="s">
        <v>44</v>
      </c>
      <c r="D17" s="5"/>
      <c r="E17" s="5"/>
      <c r="F17" s="5"/>
      <c r="G17" s="4"/>
      <c r="H17" s="5"/>
      <c r="I17" s="5"/>
      <c r="J17" s="5"/>
      <c r="K17" s="18"/>
      <c r="L17" s="18"/>
    </row>
    <row r="18" spans="1:12" ht="90">
      <c r="A18" s="19"/>
      <c r="B18" s="23"/>
      <c r="C18" s="21" t="s">
        <v>50</v>
      </c>
      <c r="D18" s="20" t="s">
        <v>18</v>
      </c>
      <c r="E18" s="20">
        <v>2300</v>
      </c>
      <c r="F18" s="20" t="s">
        <v>19</v>
      </c>
      <c r="G18" s="20">
        <v>9.6750000000000007</v>
      </c>
      <c r="H18" s="20">
        <f>G18*E18</f>
        <v>22252.5</v>
      </c>
      <c r="I18" s="19"/>
      <c r="J18" s="20">
        <f t="shared" ref="J18:J20" si="3">I18*E18</f>
        <v>0</v>
      </c>
      <c r="K18" s="22">
        <f>I18+G18</f>
        <v>9.6750000000000007</v>
      </c>
      <c r="L18" s="22">
        <f t="shared" ref="L18:L23" si="4">K18*E18</f>
        <v>22252.5</v>
      </c>
    </row>
    <row r="19" spans="1:12" ht="90">
      <c r="A19" s="19">
        <v>11</v>
      </c>
      <c r="B19" s="20"/>
      <c r="C19" s="21" t="s">
        <v>30</v>
      </c>
      <c r="D19" s="20" t="s">
        <v>18</v>
      </c>
      <c r="E19" s="20">
        <v>2599</v>
      </c>
      <c r="F19" s="20" t="s">
        <v>19</v>
      </c>
      <c r="G19" s="20">
        <v>58.140748460946526</v>
      </c>
      <c r="H19" s="20">
        <f t="shared" ref="H19:H23" si="5">G19*E19</f>
        <v>151107.80525000003</v>
      </c>
      <c r="I19" s="19">
        <v>0</v>
      </c>
      <c r="J19" s="20">
        <f t="shared" si="3"/>
        <v>0</v>
      </c>
      <c r="K19" s="22">
        <f t="shared" ref="K19:K23" si="6">I19+G19</f>
        <v>58.140748460946526</v>
      </c>
      <c r="L19" s="22">
        <f t="shared" si="4"/>
        <v>151107.80525000003</v>
      </c>
    </row>
    <row r="20" spans="1:12" ht="90">
      <c r="A20" s="19">
        <v>12</v>
      </c>
      <c r="B20" s="20"/>
      <c r="C20" s="21" t="s">
        <v>31</v>
      </c>
      <c r="D20" s="20" t="s">
        <v>18</v>
      </c>
      <c r="E20" s="20">
        <v>2898</v>
      </c>
      <c r="F20" s="20" t="s">
        <v>19</v>
      </c>
      <c r="G20" s="20">
        <v>44.829000000000001</v>
      </c>
      <c r="H20" s="20">
        <f t="shared" si="5"/>
        <v>129914.442</v>
      </c>
      <c r="I20" s="19"/>
      <c r="J20" s="20">
        <f t="shared" si="3"/>
        <v>0</v>
      </c>
      <c r="K20" s="22">
        <f t="shared" si="6"/>
        <v>44.829000000000001</v>
      </c>
      <c r="L20" s="22">
        <f t="shared" si="4"/>
        <v>129914.442</v>
      </c>
    </row>
    <row r="21" spans="1:12" ht="45">
      <c r="A21" s="19">
        <v>13</v>
      </c>
      <c r="B21" s="23"/>
      <c r="C21" s="21" t="s">
        <v>32</v>
      </c>
      <c r="D21" s="20" t="s">
        <v>18</v>
      </c>
      <c r="E21" s="20">
        <v>2750</v>
      </c>
      <c r="F21" s="20" t="s">
        <v>19</v>
      </c>
      <c r="G21" s="20">
        <v>378.67115181818178</v>
      </c>
      <c r="H21" s="20">
        <f t="shared" si="5"/>
        <v>1041345.6674999999</v>
      </c>
      <c r="I21" s="19">
        <v>3.76</v>
      </c>
      <c r="J21" s="20">
        <f>I21*E21</f>
        <v>10340</v>
      </c>
      <c r="K21" s="22">
        <f t="shared" si="6"/>
        <v>382.43115181818177</v>
      </c>
      <c r="L21" s="22">
        <f t="shared" si="4"/>
        <v>1051685.6675</v>
      </c>
    </row>
    <row r="22" spans="1:12" ht="45">
      <c r="A22" s="19">
        <v>14</v>
      </c>
      <c r="B22" s="23"/>
      <c r="C22" s="21" t="s">
        <v>33</v>
      </c>
      <c r="D22" s="20" t="s">
        <v>18</v>
      </c>
      <c r="E22" s="20">
        <f>E21+(E21*13%)</f>
        <v>3107.5</v>
      </c>
      <c r="F22" s="20" t="s">
        <v>19</v>
      </c>
      <c r="G22" s="20">
        <v>756.18410056315361</v>
      </c>
      <c r="H22" s="20">
        <f t="shared" si="5"/>
        <v>2349842.0924999998</v>
      </c>
      <c r="I22" s="19">
        <v>21.545999999999999</v>
      </c>
      <c r="J22" s="20">
        <f>I22*E22</f>
        <v>66954.194999999992</v>
      </c>
      <c r="K22" s="22">
        <f t="shared" si="6"/>
        <v>777.73010056315366</v>
      </c>
      <c r="L22" s="22">
        <f t="shared" si="4"/>
        <v>2416796.2875000001</v>
      </c>
    </row>
    <row r="23" spans="1:12" ht="45">
      <c r="A23" s="19"/>
      <c r="B23" s="23"/>
      <c r="C23" s="28" t="s">
        <v>45</v>
      </c>
      <c r="D23" s="20" t="s">
        <v>18</v>
      </c>
      <c r="E23" s="20">
        <f>E21+(E21*26%)</f>
        <v>3465</v>
      </c>
      <c r="F23" s="20" t="str">
        <f>F22</f>
        <v>Klin</v>
      </c>
      <c r="G23" s="20">
        <v>241.352</v>
      </c>
      <c r="H23" s="20">
        <f t="shared" si="5"/>
        <v>836284.68</v>
      </c>
      <c r="I23" s="19">
        <v>83.08</v>
      </c>
      <c r="J23" s="20">
        <f>I23*E23</f>
        <v>287872.2</v>
      </c>
      <c r="K23" s="22">
        <f t="shared" si="6"/>
        <v>324.43200000000002</v>
      </c>
      <c r="L23" s="22">
        <f t="shared" si="4"/>
        <v>1124156.8800000001</v>
      </c>
    </row>
    <row r="24" spans="1:12">
      <c r="A24" s="16"/>
      <c r="B24" s="4"/>
      <c r="C24" s="17" t="s">
        <v>46</v>
      </c>
      <c r="D24" s="5"/>
      <c r="E24" s="5"/>
      <c r="F24" s="5"/>
      <c r="G24" s="5"/>
      <c r="H24" s="5"/>
      <c r="I24" s="5"/>
      <c r="J24" s="5"/>
      <c r="K24" s="18"/>
      <c r="L24" s="18"/>
    </row>
    <row r="25" spans="1:12" ht="105">
      <c r="A25" s="19">
        <v>15</v>
      </c>
      <c r="B25" s="23"/>
      <c r="C25" s="21" t="s">
        <v>34</v>
      </c>
      <c r="D25" s="20" t="s">
        <v>22</v>
      </c>
      <c r="E25" s="20">
        <v>400</v>
      </c>
      <c r="F25" s="20" t="s">
        <v>19</v>
      </c>
      <c r="G25" s="20">
        <v>1229.7697000000003</v>
      </c>
      <c r="H25" s="20">
        <f t="shared" ref="H25:H27" si="7">G25*E25</f>
        <v>491907.88000000012</v>
      </c>
      <c r="I25" s="20">
        <f>15.41+98.59</f>
        <v>114</v>
      </c>
      <c r="J25" s="20">
        <f>I25*E25</f>
        <v>45600</v>
      </c>
      <c r="K25" s="22">
        <f>I25+G25</f>
        <v>1343.7697000000003</v>
      </c>
      <c r="L25" s="22">
        <f t="shared" ref="L25:L27" si="8">K25*E25</f>
        <v>537507.88000000012</v>
      </c>
    </row>
    <row r="26" spans="1:12" ht="105">
      <c r="A26" s="19">
        <v>16</v>
      </c>
      <c r="B26" s="23"/>
      <c r="C26" s="28" t="s">
        <v>35</v>
      </c>
      <c r="D26" s="20" t="s">
        <v>22</v>
      </c>
      <c r="E26" s="20">
        <v>452</v>
      </c>
      <c r="F26" s="20" t="s">
        <v>19</v>
      </c>
      <c r="G26" s="20">
        <v>1001.6057274336293</v>
      </c>
      <c r="H26" s="20">
        <f t="shared" si="7"/>
        <v>452725.78880000045</v>
      </c>
      <c r="I26" s="20"/>
      <c r="J26" s="20">
        <f>I26*E26</f>
        <v>0</v>
      </c>
      <c r="K26" s="22">
        <f t="shared" ref="K26:K27" si="9">I26+G26</f>
        <v>1001.6057274336293</v>
      </c>
      <c r="L26" s="22">
        <f t="shared" si="8"/>
        <v>452725.78880000045</v>
      </c>
    </row>
    <row r="27" spans="1:12" ht="105">
      <c r="A27" s="19">
        <v>17</v>
      </c>
      <c r="B27" s="23"/>
      <c r="C27" s="28" t="s">
        <v>36</v>
      </c>
      <c r="D27" s="20" t="s">
        <v>22</v>
      </c>
      <c r="E27" s="20">
        <v>504</v>
      </c>
      <c r="F27" s="20" t="s">
        <v>19</v>
      </c>
      <c r="G27" s="20">
        <v>348.15770634920636</v>
      </c>
      <c r="H27" s="20">
        <f t="shared" si="7"/>
        <v>175471.484</v>
      </c>
      <c r="I27" s="20">
        <f>(216.18-6.99-36.3125)+(76.88)</f>
        <v>249.75749999999999</v>
      </c>
      <c r="J27" s="20">
        <f>I27*E27</f>
        <v>125877.78</v>
      </c>
      <c r="K27" s="22">
        <f t="shared" si="9"/>
        <v>597.9152063492063</v>
      </c>
      <c r="L27" s="22">
        <f t="shared" si="8"/>
        <v>301349.26399999997</v>
      </c>
    </row>
    <row r="28" spans="1:12">
      <c r="A28" s="16"/>
      <c r="B28" s="4"/>
      <c r="C28" s="17" t="s">
        <v>47</v>
      </c>
      <c r="D28" s="5"/>
      <c r="E28" s="5"/>
      <c r="F28" s="5"/>
      <c r="G28" s="5"/>
      <c r="H28" s="5"/>
      <c r="I28" s="5"/>
      <c r="J28" s="5"/>
      <c r="K28" s="18"/>
      <c r="L28" s="18"/>
    </row>
    <row r="29" spans="1:12" ht="120">
      <c r="A29" s="19">
        <v>18</v>
      </c>
      <c r="B29" s="23"/>
      <c r="C29" s="21" t="s">
        <v>37</v>
      </c>
      <c r="D29" s="20" t="s">
        <v>38</v>
      </c>
      <c r="E29" s="20">
        <v>9000</v>
      </c>
      <c r="F29" s="20" t="s">
        <v>19</v>
      </c>
      <c r="G29" s="20">
        <v>82.07470629225682</v>
      </c>
      <c r="H29" s="20">
        <f t="shared" ref="H29:H31" si="10">G29*E29</f>
        <v>738672.35663031135</v>
      </c>
      <c r="I29" s="20">
        <v>0.57999999999999996</v>
      </c>
      <c r="J29" s="20">
        <f>I29*E29</f>
        <v>5220</v>
      </c>
      <c r="K29" s="22">
        <f>I29+G29</f>
        <v>82.654706292256819</v>
      </c>
      <c r="L29" s="22">
        <f t="shared" ref="L29:L31" si="11">K29*E29</f>
        <v>743892.35663031135</v>
      </c>
    </row>
    <row r="30" spans="1:12" ht="120">
      <c r="A30" s="19">
        <v>19</v>
      </c>
      <c r="B30" s="23"/>
      <c r="C30" s="21" t="s">
        <v>39</v>
      </c>
      <c r="D30" s="20" t="s">
        <v>38</v>
      </c>
      <c r="E30" s="20">
        <f>E29+(E29*13%)</f>
        <v>10170</v>
      </c>
      <c r="F30" s="20" t="s">
        <v>19</v>
      </c>
      <c r="G30" s="20">
        <v>65.328496468353535</v>
      </c>
      <c r="H30" s="20">
        <f t="shared" si="10"/>
        <v>664390.80908315547</v>
      </c>
      <c r="I30" s="20">
        <v>7.64</v>
      </c>
      <c r="J30" s="20">
        <f t="shared" ref="J30:J34" si="12">I30*E30</f>
        <v>77698.8</v>
      </c>
      <c r="K30" s="22">
        <f t="shared" ref="K30:K32" si="13">I30+G30</f>
        <v>72.968496468353536</v>
      </c>
      <c r="L30" s="22">
        <f t="shared" si="11"/>
        <v>742089.6090831554</v>
      </c>
    </row>
    <row r="31" spans="1:12" ht="120">
      <c r="A31" s="19">
        <v>20</v>
      </c>
      <c r="B31" s="23"/>
      <c r="C31" s="21" t="s">
        <v>40</v>
      </c>
      <c r="D31" s="20" t="s">
        <v>38</v>
      </c>
      <c r="E31" s="20">
        <f>E29+(E29*26%)</f>
        <v>11340</v>
      </c>
      <c r="F31" s="20" t="s">
        <v>19</v>
      </c>
      <c r="G31" s="20">
        <v>38.963168430335102</v>
      </c>
      <c r="H31" s="20">
        <f t="shared" si="10"/>
        <v>441842.33000000007</v>
      </c>
      <c r="I31" s="20">
        <v>17.05</v>
      </c>
      <c r="J31" s="20">
        <f t="shared" si="12"/>
        <v>193347</v>
      </c>
      <c r="K31" s="22">
        <f t="shared" si="13"/>
        <v>56.013168430335099</v>
      </c>
      <c r="L31" s="22">
        <f t="shared" si="11"/>
        <v>635189.33000000007</v>
      </c>
    </row>
    <row r="32" spans="1:12">
      <c r="A32" s="6">
        <v>21</v>
      </c>
      <c r="B32" s="7"/>
      <c r="C32" s="12" t="s">
        <v>94</v>
      </c>
      <c r="D32" s="9"/>
      <c r="E32" s="9">
        <v>25000</v>
      </c>
      <c r="F32" s="9"/>
      <c r="G32" s="20"/>
      <c r="H32" s="20"/>
      <c r="I32" s="9">
        <f>22.995+0.178</f>
        <v>23.173000000000002</v>
      </c>
      <c r="J32" s="20">
        <f t="shared" si="12"/>
        <v>579325</v>
      </c>
      <c r="K32" s="22">
        <f t="shared" si="13"/>
        <v>23.173000000000002</v>
      </c>
      <c r="L32" s="22">
        <f t="shared" ref="L32" si="14">K32*E32</f>
        <v>579325</v>
      </c>
    </row>
    <row r="33" spans="1:12">
      <c r="A33" s="6"/>
      <c r="B33" s="7"/>
      <c r="C33" s="12" t="s">
        <v>95</v>
      </c>
      <c r="D33" s="9" t="s">
        <v>38</v>
      </c>
      <c r="E33" s="9">
        <v>22000</v>
      </c>
      <c r="F33" s="9"/>
      <c r="G33" s="20"/>
      <c r="H33" s="20"/>
      <c r="I33" s="9">
        <v>0.94</v>
      </c>
      <c r="J33" s="20">
        <f t="shared" si="12"/>
        <v>20680</v>
      </c>
      <c r="K33" s="22">
        <f t="shared" ref="K33" si="15">I33+G33</f>
        <v>0.94</v>
      </c>
      <c r="L33" s="22">
        <f t="shared" ref="L33" si="16">K33*E33</f>
        <v>20680</v>
      </c>
    </row>
    <row r="34" spans="1:12">
      <c r="A34" s="6"/>
      <c r="B34" s="7"/>
      <c r="C34" s="12" t="s">
        <v>96</v>
      </c>
      <c r="D34" s="9"/>
      <c r="E34" s="9">
        <v>22000</v>
      </c>
      <c r="F34" s="9"/>
      <c r="G34" s="20"/>
      <c r="H34" s="20"/>
      <c r="I34" s="9">
        <v>5.62</v>
      </c>
      <c r="J34" s="20">
        <f t="shared" si="12"/>
        <v>123640</v>
      </c>
      <c r="K34" s="22">
        <f t="shared" ref="K34" si="17">I34+G34</f>
        <v>5.62</v>
      </c>
      <c r="L34" s="22">
        <f t="shared" ref="L34" si="18">K34*E34</f>
        <v>123640</v>
      </c>
    </row>
    <row r="35" spans="1:12">
      <c r="A35" s="13"/>
      <c r="B35" s="13"/>
      <c r="C35" s="13"/>
      <c r="D35" s="14"/>
      <c r="E35" s="14"/>
      <c r="F35" s="14"/>
      <c r="G35" s="14"/>
      <c r="H35" s="15">
        <f>SUM(H7:H32)</f>
        <v>12564837.808015468</v>
      </c>
      <c r="I35" s="15"/>
      <c r="J35" s="15">
        <f>SUM(J7:J34)</f>
        <v>1536554.9750000001</v>
      </c>
      <c r="K35" s="15"/>
      <c r="L35" s="15">
        <f t="shared" ref="L35" si="19">SUM(L7:L32)</f>
        <v>13957072.783015471</v>
      </c>
    </row>
    <row r="47" spans="1:12">
      <c r="H47">
        <v>13957072.783015471</v>
      </c>
    </row>
    <row r="48" spans="1:12">
      <c r="H48">
        <v>630027</v>
      </c>
    </row>
    <row r="49" spans="8:8">
      <c r="H49">
        <v>1200030</v>
      </c>
    </row>
    <row r="50" spans="8:8">
      <c r="H50">
        <f>SUM(H47:H49)</f>
        <v>15787129.783015471</v>
      </c>
    </row>
  </sheetData>
  <mergeCells count="3">
    <mergeCell ref="G5:H5"/>
    <mergeCell ref="I5:J5"/>
    <mergeCell ref="K5:L5"/>
  </mergeCells>
  <printOptions horizontalCentered="1"/>
  <pageMargins left="0" right="0" top="0.5" bottom="0.5" header="0.3" footer="0.3"/>
  <pageSetup paperSize="9" scale="71" orientation="landscape"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9" workbookViewId="0">
      <selection activeCell="J32" sqref="J32"/>
    </sheetView>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tabSelected="1" view="pageBreakPreview" topLeftCell="A29" zoomScaleNormal="100" zoomScaleSheetLayoutView="100" workbookViewId="0">
      <selection sqref="A1:L35"/>
    </sheetView>
  </sheetViews>
  <sheetFormatPr defaultRowHeight="15"/>
  <cols>
    <col min="1" max="1" width="9.28515625" bestFit="1" customWidth="1"/>
    <col min="3" max="3" width="67.42578125" customWidth="1"/>
    <col min="5" max="5" width="10.140625" bestFit="1" customWidth="1"/>
    <col min="6" max="6" width="11" customWidth="1"/>
    <col min="7" max="7" width="11.5703125" customWidth="1"/>
    <col min="8" max="8" width="14.42578125" bestFit="1" customWidth="1"/>
    <col min="9" max="9" width="11.42578125" customWidth="1"/>
    <col min="10" max="10" width="12.7109375" customWidth="1"/>
    <col min="11" max="11" width="10.140625" bestFit="1" customWidth="1"/>
    <col min="12" max="12" width="14.42578125" bestFit="1" customWidth="1"/>
  </cols>
  <sheetData>
    <row r="1" spans="1:12">
      <c r="A1" s="1" t="s">
        <v>0</v>
      </c>
      <c r="B1" s="1"/>
      <c r="C1" s="1"/>
      <c r="D1" s="2"/>
      <c r="E1" s="2"/>
      <c r="F1" s="2"/>
      <c r="G1" s="2"/>
      <c r="H1" s="2"/>
      <c r="I1" s="2"/>
      <c r="J1" s="2"/>
      <c r="K1" s="2"/>
      <c r="L1" s="49" t="s">
        <v>216</v>
      </c>
    </row>
    <row r="2" spans="1:12">
      <c r="A2" s="1" t="s">
        <v>1</v>
      </c>
      <c r="B2" s="1"/>
      <c r="C2" s="1"/>
      <c r="D2" s="2"/>
      <c r="E2" s="2"/>
      <c r="F2" s="2"/>
      <c r="G2" s="2"/>
      <c r="H2" s="2"/>
      <c r="I2" s="2"/>
      <c r="J2" s="2"/>
      <c r="K2" s="2"/>
      <c r="L2" s="49" t="s">
        <v>217</v>
      </c>
    </row>
    <row r="3" spans="1:12">
      <c r="A3" s="1"/>
      <c r="B3" s="1"/>
      <c r="C3" s="1"/>
      <c r="D3" s="2"/>
      <c r="E3" s="2"/>
      <c r="F3" s="2"/>
      <c r="G3" s="2"/>
      <c r="H3" s="2"/>
      <c r="I3" s="2"/>
      <c r="J3" s="2"/>
      <c r="K3" s="2"/>
      <c r="L3" s="2"/>
    </row>
    <row r="4" spans="1:12">
      <c r="A4" s="1"/>
      <c r="B4" s="1"/>
      <c r="C4" s="1"/>
      <c r="D4" s="2"/>
      <c r="E4" s="2"/>
      <c r="F4" s="2"/>
      <c r="G4" s="2"/>
      <c r="H4" s="2"/>
      <c r="I4" s="2"/>
      <c r="J4" s="2"/>
      <c r="K4" s="2"/>
      <c r="L4" s="2"/>
    </row>
    <row r="5" spans="1:12" ht="37.5">
      <c r="A5" s="3" t="s">
        <v>5</v>
      </c>
      <c r="B5" s="3" t="s">
        <v>6</v>
      </c>
      <c r="C5" s="3" t="s">
        <v>7</v>
      </c>
      <c r="D5" s="3" t="s">
        <v>8</v>
      </c>
      <c r="E5" s="3" t="s">
        <v>9</v>
      </c>
      <c r="F5" s="3" t="s">
        <v>10</v>
      </c>
      <c r="G5" s="163" t="s">
        <v>11</v>
      </c>
      <c r="H5" s="163"/>
      <c r="I5" s="163" t="s">
        <v>12</v>
      </c>
      <c r="J5" s="163"/>
      <c r="K5" s="163" t="s">
        <v>13</v>
      </c>
      <c r="L5" s="163"/>
    </row>
    <row r="6" spans="1:12">
      <c r="A6" s="4"/>
      <c r="B6" s="4"/>
      <c r="C6" s="4" t="s">
        <v>43</v>
      </c>
      <c r="D6" s="5"/>
      <c r="E6" s="5"/>
      <c r="F6" s="5"/>
      <c r="G6" s="5" t="s">
        <v>15</v>
      </c>
      <c r="H6" s="5" t="s">
        <v>16</v>
      </c>
      <c r="I6" s="5" t="s">
        <v>15</v>
      </c>
      <c r="J6" s="5" t="s">
        <v>16</v>
      </c>
      <c r="K6" s="5" t="s">
        <v>15</v>
      </c>
      <c r="L6" s="5" t="s">
        <v>16</v>
      </c>
    </row>
    <row r="7" spans="1:12" ht="45">
      <c r="A7" s="6">
        <v>1</v>
      </c>
      <c r="B7" s="7"/>
      <c r="C7" s="8" t="s">
        <v>17</v>
      </c>
      <c r="D7" s="9" t="s">
        <v>18</v>
      </c>
      <c r="E7" s="9">
        <v>180</v>
      </c>
      <c r="F7" s="9" t="s">
        <v>19</v>
      </c>
      <c r="G7" s="20">
        <v>3028.9172777777776</v>
      </c>
      <c r="H7" s="20">
        <f>G7*E7</f>
        <v>545205.11</v>
      </c>
      <c r="I7" s="20"/>
      <c r="J7" s="20"/>
      <c r="K7" s="22">
        <f>I7+G7</f>
        <v>3028.9172777777776</v>
      </c>
      <c r="L7" s="22">
        <f>K7*E7</f>
        <v>545205.11</v>
      </c>
    </row>
    <row r="8" spans="1:12" ht="45">
      <c r="A8" s="6">
        <v>2</v>
      </c>
      <c r="B8" s="7"/>
      <c r="C8" s="8" t="s">
        <v>20</v>
      </c>
      <c r="D8" s="9" t="s">
        <v>18</v>
      </c>
      <c r="E8" s="9">
        <v>220</v>
      </c>
      <c r="F8" s="9" t="s">
        <v>19</v>
      </c>
      <c r="G8" s="20">
        <v>1530.181</v>
      </c>
      <c r="H8" s="20">
        <f t="shared" ref="H8:H16" si="0">G8*E8</f>
        <v>336639.82</v>
      </c>
      <c r="I8" s="20"/>
      <c r="J8" s="20"/>
      <c r="K8" s="22">
        <f t="shared" ref="K8:K16" si="1">I8+G8</f>
        <v>1530.181</v>
      </c>
      <c r="L8" s="22">
        <f t="shared" ref="L8:L16" si="2">K8*E8</f>
        <v>336639.82</v>
      </c>
    </row>
    <row r="9" spans="1:12">
      <c r="A9" s="6">
        <v>3</v>
      </c>
      <c r="B9" s="7"/>
      <c r="C9" s="8" t="s">
        <v>21</v>
      </c>
      <c r="D9" s="9" t="s">
        <v>22</v>
      </c>
      <c r="E9" s="9">
        <v>25</v>
      </c>
      <c r="F9" s="9" t="s">
        <v>19</v>
      </c>
      <c r="G9" s="20">
        <v>851.16899999999998</v>
      </c>
      <c r="H9" s="20">
        <f t="shared" si="0"/>
        <v>21279.224999999999</v>
      </c>
      <c r="I9" s="20"/>
      <c r="J9" s="20"/>
      <c r="K9" s="22">
        <f t="shared" si="1"/>
        <v>851.16899999999998</v>
      </c>
      <c r="L9" s="22">
        <f t="shared" si="2"/>
        <v>21279.224999999999</v>
      </c>
    </row>
    <row r="10" spans="1:12">
      <c r="A10" s="6">
        <v>4</v>
      </c>
      <c r="B10" s="7"/>
      <c r="C10" s="8" t="s">
        <v>23</v>
      </c>
      <c r="D10" s="9" t="s">
        <v>18</v>
      </c>
      <c r="E10" s="9">
        <v>1050</v>
      </c>
      <c r="F10" s="9" t="s">
        <v>19</v>
      </c>
      <c r="G10" s="20">
        <v>1281.2922476190477</v>
      </c>
      <c r="H10" s="20">
        <f t="shared" si="0"/>
        <v>1345356.86</v>
      </c>
      <c r="I10" s="20"/>
      <c r="J10" s="20"/>
      <c r="K10" s="22">
        <f t="shared" si="1"/>
        <v>1281.2922476190477</v>
      </c>
      <c r="L10" s="22">
        <f t="shared" si="2"/>
        <v>1345356.86</v>
      </c>
    </row>
    <row r="11" spans="1:12">
      <c r="A11" s="6">
        <v>5</v>
      </c>
      <c r="B11" s="7"/>
      <c r="C11" s="8" t="s">
        <v>24</v>
      </c>
      <c r="D11" s="9" t="s">
        <v>18</v>
      </c>
      <c r="E11" s="9">
        <v>1150</v>
      </c>
      <c r="F11" s="9" t="s">
        <v>19</v>
      </c>
      <c r="G11" s="20">
        <v>1475.1320000000001</v>
      </c>
      <c r="H11" s="20">
        <f t="shared" si="0"/>
        <v>1696401.8</v>
      </c>
      <c r="I11" s="20"/>
      <c r="J11" s="20"/>
      <c r="K11" s="22">
        <f t="shared" si="1"/>
        <v>1475.1320000000001</v>
      </c>
      <c r="L11" s="22">
        <f t="shared" si="2"/>
        <v>1696401.8</v>
      </c>
    </row>
    <row r="12" spans="1:12">
      <c r="A12" s="6">
        <v>6</v>
      </c>
      <c r="B12" s="7"/>
      <c r="C12" s="8" t="s">
        <v>25</v>
      </c>
      <c r="D12" s="9" t="s">
        <v>18</v>
      </c>
      <c r="E12" s="9">
        <v>1299.5</v>
      </c>
      <c r="F12" s="9" t="s">
        <v>19</v>
      </c>
      <c r="G12" s="24">
        <v>500.98797229703735</v>
      </c>
      <c r="H12" s="20">
        <f t="shared" si="0"/>
        <v>651033.87</v>
      </c>
      <c r="I12" s="20"/>
      <c r="J12" s="20"/>
      <c r="K12" s="22">
        <f t="shared" si="1"/>
        <v>500.98797229703735</v>
      </c>
      <c r="L12" s="22">
        <f t="shared" si="2"/>
        <v>651033.87</v>
      </c>
    </row>
    <row r="13" spans="1:12">
      <c r="A13" s="6">
        <v>7</v>
      </c>
      <c r="B13" s="7"/>
      <c r="C13" s="8" t="s">
        <v>26</v>
      </c>
      <c r="D13" s="9" t="s">
        <v>18</v>
      </c>
      <c r="E13" s="9">
        <v>80</v>
      </c>
      <c r="F13" s="9" t="s">
        <v>19</v>
      </c>
      <c r="G13" s="23">
        <v>3452.5857156500015</v>
      </c>
      <c r="H13" s="20">
        <f t="shared" si="0"/>
        <v>276206.85725200013</v>
      </c>
      <c r="I13" s="20"/>
      <c r="J13" s="25"/>
      <c r="K13" s="22">
        <f t="shared" si="1"/>
        <v>3452.5857156500015</v>
      </c>
      <c r="L13" s="22">
        <f t="shared" si="2"/>
        <v>276206.85725200013</v>
      </c>
    </row>
    <row r="14" spans="1:12">
      <c r="A14" s="6">
        <v>8</v>
      </c>
      <c r="B14" s="7"/>
      <c r="C14" s="8" t="s">
        <v>27</v>
      </c>
      <c r="D14" s="9" t="s">
        <v>18</v>
      </c>
      <c r="E14" s="9">
        <v>1180</v>
      </c>
      <c r="F14" s="9" t="s">
        <v>19</v>
      </c>
      <c r="G14" s="23">
        <v>22.552</v>
      </c>
      <c r="H14" s="20">
        <f t="shared" si="0"/>
        <v>26611.360000000001</v>
      </c>
      <c r="I14" s="20"/>
      <c r="J14" s="20"/>
      <c r="K14" s="22">
        <f t="shared" si="1"/>
        <v>22.552</v>
      </c>
      <c r="L14" s="22">
        <f t="shared" si="2"/>
        <v>26611.360000000001</v>
      </c>
    </row>
    <row r="15" spans="1:12">
      <c r="A15" s="6">
        <v>9</v>
      </c>
      <c r="B15" s="7"/>
      <c r="C15" s="8" t="s">
        <v>28</v>
      </c>
      <c r="D15" s="9" t="s">
        <v>18</v>
      </c>
      <c r="E15" s="9">
        <v>1700</v>
      </c>
      <c r="F15" s="9" t="s">
        <v>19</v>
      </c>
      <c r="G15" s="23">
        <v>57.617988235294121</v>
      </c>
      <c r="H15" s="20">
        <f t="shared" si="0"/>
        <v>97950.58</v>
      </c>
      <c r="I15" s="20"/>
      <c r="J15" s="20"/>
      <c r="K15" s="22">
        <f t="shared" si="1"/>
        <v>57.617988235294121</v>
      </c>
      <c r="L15" s="22">
        <f t="shared" si="2"/>
        <v>97950.58</v>
      </c>
    </row>
    <row r="16" spans="1:12">
      <c r="A16" s="6">
        <v>10</v>
      </c>
      <c r="B16" s="7"/>
      <c r="C16" s="8" t="s">
        <v>29</v>
      </c>
      <c r="D16" s="9" t="s">
        <v>18</v>
      </c>
      <c r="E16" s="9">
        <v>900</v>
      </c>
      <c r="F16" s="9" t="s">
        <v>19</v>
      </c>
      <c r="G16" s="23">
        <v>80.438322222222226</v>
      </c>
      <c r="H16" s="20">
        <f t="shared" si="0"/>
        <v>72394.490000000005</v>
      </c>
      <c r="I16" s="20"/>
      <c r="J16" s="20"/>
      <c r="K16" s="22">
        <f t="shared" si="1"/>
        <v>80.438322222222226</v>
      </c>
      <c r="L16" s="22">
        <f t="shared" si="2"/>
        <v>72394.490000000005</v>
      </c>
    </row>
    <row r="17" spans="1:14">
      <c r="A17" s="16"/>
      <c r="B17" s="4"/>
      <c r="C17" s="17" t="s">
        <v>44</v>
      </c>
      <c r="D17" s="5"/>
      <c r="E17" s="5"/>
      <c r="F17" s="5"/>
      <c r="G17" s="4"/>
      <c r="H17" s="5"/>
      <c r="I17" s="5"/>
      <c r="J17" s="5"/>
      <c r="K17" s="18"/>
      <c r="L17" s="18"/>
    </row>
    <row r="18" spans="1:14" ht="90">
      <c r="A18" s="19"/>
      <c r="B18" s="23"/>
      <c r="C18" s="21" t="s">
        <v>50</v>
      </c>
      <c r="D18" s="20" t="s">
        <v>18</v>
      </c>
      <c r="E18" s="20">
        <v>2300</v>
      </c>
      <c r="F18" s="20" t="s">
        <v>19</v>
      </c>
      <c r="G18" s="20">
        <v>9.6750000000000007</v>
      </c>
      <c r="H18" s="20">
        <f>G18*E18</f>
        <v>22252.5</v>
      </c>
      <c r="I18" s="19"/>
      <c r="J18" s="20">
        <f t="shared" ref="J18:J20" si="3">I18*E18</f>
        <v>0</v>
      </c>
      <c r="K18" s="22">
        <f>I18+G18</f>
        <v>9.6750000000000007</v>
      </c>
      <c r="L18" s="22">
        <f t="shared" ref="L18:L23" si="4">K18*E18</f>
        <v>22252.5</v>
      </c>
    </row>
    <row r="19" spans="1:14" ht="90">
      <c r="A19" s="19">
        <v>11</v>
      </c>
      <c r="B19" s="20"/>
      <c r="C19" s="21" t="s">
        <v>30</v>
      </c>
      <c r="D19" s="20" t="s">
        <v>18</v>
      </c>
      <c r="E19" s="20">
        <v>2599</v>
      </c>
      <c r="F19" s="20" t="s">
        <v>19</v>
      </c>
      <c r="G19" s="20">
        <v>58.140748460946526</v>
      </c>
      <c r="H19" s="20">
        <f t="shared" ref="H19:H23" si="5">G19*E19</f>
        <v>151107.80525000003</v>
      </c>
      <c r="I19" s="19"/>
      <c r="J19" s="20">
        <f t="shared" si="3"/>
        <v>0</v>
      </c>
      <c r="K19" s="22">
        <f t="shared" ref="K19:K23" si="6">I19+G19</f>
        <v>58.140748460946526</v>
      </c>
      <c r="L19" s="22">
        <f t="shared" si="4"/>
        <v>151107.80525000003</v>
      </c>
    </row>
    <row r="20" spans="1:14" ht="90">
      <c r="A20" s="19">
        <v>12</v>
      </c>
      <c r="B20" s="20"/>
      <c r="C20" s="21" t="s">
        <v>31</v>
      </c>
      <c r="D20" s="20" t="s">
        <v>18</v>
      </c>
      <c r="E20" s="20">
        <v>2898</v>
      </c>
      <c r="F20" s="20" t="s">
        <v>19</v>
      </c>
      <c r="G20" s="20">
        <v>44.829000000000001</v>
      </c>
      <c r="H20" s="20">
        <f t="shared" si="5"/>
        <v>129914.442</v>
      </c>
      <c r="I20" s="19"/>
      <c r="J20" s="20">
        <f t="shared" si="3"/>
        <v>0</v>
      </c>
      <c r="K20" s="22">
        <f t="shared" si="6"/>
        <v>44.829000000000001</v>
      </c>
      <c r="L20" s="22">
        <f t="shared" si="4"/>
        <v>129914.442</v>
      </c>
      <c r="N20">
        <f>15500000+1200000</f>
        <v>16700000</v>
      </c>
    </row>
    <row r="21" spans="1:14" ht="45">
      <c r="A21" s="19">
        <v>13</v>
      </c>
      <c r="B21" s="23"/>
      <c r="C21" s="21" t="s">
        <v>32</v>
      </c>
      <c r="D21" s="20" t="s">
        <v>18</v>
      </c>
      <c r="E21" s="20">
        <v>2750</v>
      </c>
      <c r="F21" s="20" t="s">
        <v>19</v>
      </c>
      <c r="G21" s="20">
        <v>382.43115181818177</v>
      </c>
      <c r="H21" s="20">
        <f t="shared" si="5"/>
        <v>1051685.6675</v>
      </c>
      <c r="I21" s="19"/>
      <c r="J21" s="20">
        <f>I21*E21</f>
        <v>0</v>
      </c>
      <c r="K21" s="22">
        <f t="shared" si="6"/>
        <v>382.43115181818177</v>
      </c>
      <c r="L21" s="22">
        <f t="shared" si="4"/>
        <v>1051685.6675</v>
      </c>
    </row>
    <row r="22" spans="1:14" ht="45">
      <c r="A22" s="19">
        <v>14</v>
      </c>
      <c r="B22" s="23"/>
      <c r="C22" s="21" t="s">
        <v>33</v>
      </c>
      <c r="D22" s="20" t="s">
        <v>18</v>
      </c>
      <c r="E22" s="20">
        <f>E21+(E21*13%)</f>
        <v>3107.5</v>
      </c>
      <c r="F22" s="20" t="s">
        <v>19</v>
      </c>
      <c r="G22" s="20">
        <v>777.73010056315366</v>
      </c>
      <c r="H22" s="20">
        <f t="shared" si="5"/>
        <v>2416796.2875000001</v>
      </c>
      <c r="I22" s="19"/>
      <c r="J22" s="20">
        <f>I22*E22</f>
        <v>0</v>
      </c>
      <c r="K22" s="22">
        <f t="shared" si="6"/>
        <v>777.73010056315366</v>
      </c>
      <c r="L22" s="22">
        <f t="shared" si="4"/>
        <v>2416796.2875000001</v>
      </c>
    </row>
    <row r="23" spans="1:14" ht="45">
      <c r="A23" s="19"/>
      <c r="B23" s="23"/>
      <c r="C23" s="28" t="s">
        <v>45</v>
      </c>
      <c r="D23" s="20" t="s">
        <v>18</v>
      </c>
      <c r="E23" s="20">
        <f>E21+(E21*26%)</f>
        <v>3465</v>
      </c>
      <c r="F23" s="20" t="str">
        <f>F22</f>
        <v>Klin</v>
      </c>
      <c r="G23" s="20">
        <v>324.43200000000002</v>
      </c>
      <c r="H23" s="20">
        <f t="shared" si="5"/>
        <v>1124156.8800000001</v>
      </c>
      <c r="I23" s="19">
        <v>53.357999999999997</v>
      </c>
      <c r="J23" s="20">
        <f>I23*E23</f>
        <v>184885.47</v>
      </c>
      <c r="K23" s="22">
        <f t="shared" si="6"/>
        <v>377.79</v>
      </c>
      <c r="L23" s="22">
        <f t="shared" si="4"/>
        <v>1309042.3500000001</v>
      </c>
    </row>
    <row r="24" spans="1:14">
      <c r="A24" s="16"/>
      <c r="B24" s="4"/>
      <c r="C24" s="17" t="s">
        <v>46</v>
      </c>
      <c r="D24" s="5"/>
      <c r="E24" s="5"/>
      <c r="F24" s="5"/>
      <c r="G24" s="5"/>
      <c r="H24" s="5"/>
      <c r="I24" s="5"/>
      <c r="J24" s="5"/>
      <c r="K24" s="18"/>
      <c r="L24" s="18"/>
    </row>
    <row r="25" spans="1:14" ht="105">
      <c r="A25" s="19">
        <v>15</v>
      </c>
      <c r="B25" s="23"/>
      <c r="C25" s="21" t="s">
        <v>34</v>
      </c>
      <c r="D25" s="20" t="s">
        <v>22</v>
      </c>
      <c r="E25" s="20">
        <v>400</v>
      </c>
      <c r="F25" s="20" t="s">
        <v>19</v>
      </c>
      <c r="G25" s="20">
        <v>1343.7697000000003</v>
      </c>
      <c r="H25" s="20">
        <f t="shared" ref="H25:H27" si="7">G25*E25</f>
        <v>537507.88000000012</v>
      </c>
      <c r="I25" s="20"/>
      <c r="J25" s="20">
        <f>I25*E25</f>
        <v>0</v>
      </c>
      <c r="K25" s="22">
        <f>I25+G25</f>
        <v>1343.7697000000003</v>
      </c>
      <c r="L25" s="22">
        <f t="shared" ref="L25:L27" si="8">K25*E25</f>
        <v>537507.88000000012</v>
      </c>
    </row>
    <row r="26" spans="1:14" ht="105">
      <c r="A26" s="19">
        <v>16</v>
      </c>
      <c r="B26" s="23"/>
      <c r="C26" s="28" t="s">
        <v>35</v>
      </c>
      <c r="D26" s="20" t="s">
        <v>22</v>
      </c>
      <c r="E26" s="20">
        <v>452</v>
      </c>
      <c r="F26" s="20" t="s">
        <v>19</v>
      </c>
      <c r="G26" s="20">
        <v>1001.6057274336293</v>
      </c>
      <c r="H26" s="20">
        <f t="shared" si="7"/>
        <v>452725.78880000045</v>
      </c>
      <c r="I26" s="20"/>
      <c r="J26" s="20">
        <f>I26*E26</f>
        <v>0</v>
      </c>
      <c r="K26" s="22">
        <f t="shared" ref="K26:K27" si="9">I26+G26</f>
        <v>1001.6057274336293</v>
      </c>
      <c r="L26" s="22">
        <f t="shared" si="8"/>
        <v>452725.78880000045</v>
      </c>
    </row>
    <row r="27" spans="1:14" ht="105">
      <c r="A27" s="19">
        <v>17</v>
      </c>
      <c r="B27" s="23"/>
      <c r="C27" s="28" t="s">
        <v>36</v>
      </c>
      <c r="D27" s="20" t="s">
        <v>22</v>
      </c>
      <c r="E27" s="20">
        <v>504</v>
      </c>
      <c r="F27" s="20" t="s">
        <v>19</v>
      </c>
      <c r="G27" s="20">
        <v>597.9152063492063</v>
      </c>
      <c r="H27" s="20">
        <f t="shared" si="7"/>
        <v>301349.26399999997</v>
      </c>
      <c r="I27" s="20">
        <v>90.16</v>
      </c>
      <c r="J27" s="20">
        <f>I27*E27</f>
        <v>45440.639999999999</v>
      </c>
      <c r="K27" s="22">
        <f t="shared" si="9"/>
        <v>688.07520634920627</v>
      </c>
      <c r="L27" s="22">
        <f t="shared" si="8"/>
        <v>346789.90399999998</v>
      </c>
    </row>
    <row r="28" spans="1:14">
      <c r="A28" s="16"/>
      <c r="B28" s="4"/>
      <c r="C28" s="17" t="s">
        <v>47</v>
      </c>
      <c r="D28" s="5"/>
      <c r="E28" s="5"/>
      <c r="F28" s="5"/>
      <c r="G28" s="5"/>
      <c r="H28" s="5"/>
      <c r="I28" s="5"/>
      <c r="J28" s="5"/>
      <c r="K28" s="18"/>
      <c r="L28" s="18"/>
    </row>
    <row r="29" spans="1:14" ht="120">
      <c r="A29" s="19">
        <v>18</v>
      </c>
      <c r="B29" s="23"/>
      <c r="C29" s="21" t="s">
        <v>37</v>
      </c>
      <c r="D29" s="20" t="s">
        <v>38</v>
      </c>
      <c r="E29" s="20">
        <v>9000</v>
      </c>
      <c r="F29" s="20" t="s">
        <v>19</v>
      </c>
      <c r="G29" s="20">
        <v>82.654706292256819</v>
      </c>
      <c r="H29" s="20">
        <f t="shared" ref="H29:H31" si="10">G29*E29</f>
        <v>743892.35663031135</v>
      </c>
      <c r="I29" s="20"/>
      <c r="J29" s="20">
        <f>I29*E29</f>
        <v>0</v>
      </c>
      <c r="K29" s="22">
        <f>I29+G29</f>
        <v>82.654706292256819</v>
      </c>
      <c r="L29" s="22">
        <f t="shared" ref="L29:L34" si="11">K29*E29</f>
        <v>743892.35663031135</v>
      </c>
    </row>
    <row r="30" spans="1:14" ht="120">
      <c r="A30" s="19">
        <v>19</v>
      </c>
      <c r="B30" s="23"/>
      <c r="C30" s="21" t="s">
        <v>39</v>
      </c>
      <c r="D30" s="20" t="s">
        <v>38</v>
      </c>
      <c r="E30" s="20">
        <f>E29+(E29*13%)</f>
        <v>10170</v>
      </c>
      <c r="F30" s="20" t="s">
        <v>19</v>
      </c>
      <c r="G30" s="20">
        <v>72.968496468353536</v>
      </c>
      <c r="H30" s="20">
        <f t="shared" si="10"/>
        <v>742089.6090831554</v>
      </c>
      <c r="I30" s="20"/>
      <c r="J30" s="20">
        <f t="shared" ref="J30:J34" si="12">I30*E30</f>
        <v>0</v>
      </c>
      <c r="K30" s="22">
        <f t="shared" ref="K30:K34" si="13">I30+G30</f>
        <v>72.968496468353536</v>
      </c>
      <c r="L30" s="22">
        <f t="shared" si="11"/>
        <v>742089.6090831554</v>
      </c>
    </row>
    <row r="31" spans="1:14" ht="120">
      <c r="A31" s="19">
        <v>20</v>
      </c>
      <c r="B31" s="23"/>
      <c r="C31" s="21" t="s">
        <v>40</v>
      </c>
      <c r="D31" s="20" t="s">
        <v>38</v>
      </c>
      <c r="E31" s="20">
        <f>E29+(E29*26%)</f>
        <v>11340</v>
      </c>
      <c r="F31" s="20" t="s">
        <v>19</v>
      </c>
      <c r="G31" s="20">
        <v>56.013168430335099</v>
      </c>
      <c r="H31" s="20">
        <f t="shared" si="10"/>
        <v>635189.33000000007</v>
      </c>
      <c r="I31" s="20">
        <v>12.991</v>
      </c>
      <c r="J31" s="20">
        <f t="shared" si="12"/>
        <v>147317.94</v>
      </c>
      <c r="K31" s="22">
        <f t="shared" si="13"/>
        <v>69.004168430335099</v>
      </c>
      <c r="L31" s="22">
        <f t="shared" si="11"/>
        <v>782507.27</v>
      </c>
    </row>
    <row r="32" spans="1:14">
      <c r="A32" s="6">
        <v>21</v>
      </c>
      <c r="B32" s="7"/>
      <c r="C32" s="12" t="s">
        <v>94</v>
      </c>
      <c r="D32" s="9"/>
      <c r="E32" s="9">
        <v>25000</v>
      </c>
      <c r="F32" s="9"/>
      <c r="G32" s="20">
        <v>23.173000000000002</v>
      </c>
      <c r="H32" s="20"/>
      <c r="I32" s="11">
        <f>'RA 8 Measurement'!M31</f>
        <v>6.3347929999999959</v>
      </c>
      <c r="J32" s="20">
        <f t="shared" si="12"/>
        <v>158369.8249999999</v>
      </c>
      <c r="K32" s="22">
        <f t="shared" si="13"/>
        <v>29.507792999999999</v>
      </c>
      <c r="L32" s="22">
        <f t="shared" si="11"/>
        <v>737694.82499999995</v>
      </c>
    </row>
    <row r="33" spans="1:12">
      <c r="A33" s="6"/>
      <c r="B33" s="7"/>
      <c r="C33" s="12" t="s">
        <v>95</v>
      </c>
      <c r="D33" s="9" t="s">
        <v>38</v>
      </c>
      <c r="E33" s="9">
        <v>22000</v>
      </c>
      <c r="F33" s="9"/>
      <c r="G33" s="20">
        <v>0.94</v>
      </c>
      <c r="H33" s="20"/>
      <c r="I33" s="11">
        <f>'RA 8 Measurement'!M38</f>
        <v>0.18463200000000002</v>
      </c>
      <c r="J33" s="20">
        <f t="shared" si="12"/>
        <v>4061.9040000000005</v>
      </c>
      <c r="K33" s="22">
        <f t="shared" si="13"/>
        <v>1.1246320000000001</v>
      </c>
      <c r="L33" s="22">
        <f t="shared" si="11"/>
        <v>24741.904000000002</v>
      </c>
    </row>
    <row r="34" spans="1:12">
      <c r="A34" s="6"/>
      <c r="B34" s="7"/>
      <c r="C34" s="12" t="s">
        <v>96</v>
      </c>
      <c r="D34" s="9"/>
      <c r="E34" s="9">
        <v>22000</v>
      </c>
      <c r="F34" s="9"/>
      <c r="G34" s="20">
        <v>5.62</v>
      </c>
      <c r="H34" s="20"/>
      <c r="I34" s="11"/>
      <c r="J34" s="20">
        <f t="shared" si="12"/>
        <v>0</v>
      </c>
      <c r="K34" s="22">
        <f t="shared" si="13"/>
        <v>5.62</v>
      </c>
      <c r="L34" s="22">
        <f t="shared" si="11"/>
        <v>123640</v>
      </c>
    </row>
    <row r="35" spans="1:12">
      <c r="A35" s="13"/>
      <c r="B35" s="13"/>
      <c r="C35" s="13"/>
      <c r="D35" s="14"/>
      <c r="E35" s="14"/>
      <c r="F35" s="14"/>
      <c r="G35" s="14"/>
      <c r="H35" s="15">
        <f>SUM(H7:H32)</f>
        <v>13377747.783015471</v>
      </c>
      <c r="I35" s="15"/>
      <c r="J35" s="15">
        <f>SUM(J7:J34)</f>
        <v>540075.77899999986</v>
      </c>
      <c r="K35" s="15"/>
      <c r="L35" s="15">
        <f t="shared" ref="L35" si="14">SUM(L7:L32)</f>
        <v>14493086.658015465</v>
      </c>
    </row>
  </sheetData>
  <mergeCells count="3">
    <mergeCell ref="G5:H5"/>
    <mergeCell ref="I5:J5"/>
    <mergeCell ref="K5:L5"/>
  </mergeCells>
  <printOptions horizontalCentered="1"/>
  <pageMargins left="0" right="0" top="0.5" bottom="0.5" header="0.3" footer="0.3"/>
  <pageSetup paperSize="9" scale="75"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RA 1</vt:lpstr>
      <vt:lpstr>RA 2</vt:lpstr>
      <vt:lpstr>RA 3</vt:lpstr>
      <vt:lpstr>RA 4</vt:lpstr>
      <vt:lpstr>RA 5</vt:lpstr>
      <vt:lpstr>RA 6</vt:lpstr>
      <vt:lpstr>RA 7</vt:lpstr>
      <vt:lpstr>RA 7 Measurement</vt:lpstr>
      <vt:lpstr>RA 8</vt:lpstr>
      <vt:lpstr>RA 8 Measurement</vt:lpstr>
      <vt:lpstr>RA 8 BBS</vt:lpstr>
      <vt:lpstr>Total Upto Date</vt:lpstr>
      <vt:lpstr>'RA 1'!Print_Area</vt:lpstr>
      <vt:lpstr>'RA 6'!Print_Area</vt:lpstr>
      <vt:lpstr>'RA 7'!Print_Area</vt:lpstr>
      <vt:lpstr>'RA 8'!Print_Area</vt:lpstr>
      <vt:lpstr>'RA 8 Measurement'!Print_Area</vt:lpstr>
      <vt:lpstr>'Total Upto Date'!Print_Area</vt:lpstr>
      <vt:lpstr>'RA 1'!Print_Titles</vt:lpstr>
      <vt:lpstr>'RA 6'!Print_Titles</vt:lpstr>
      <vt:lpstr>'RA 7'!Print_Titles</vt:lpstr>
      <vt:lpstr>'RA 8'!Print_Titles</vt:lpstr>
      <vt:lpstr>'RA 8 Measurement'!Print_Titles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Abhishek</cp:lastModifiedBy>
  <cp:lastPrinted>2023-10-05T05:44:44Z</cp:lastPrinted>
  <dcterms:created xsi:type="dcterms:W3CDTF">2023-08-18T04:05:28Z</dcterms:created>
  <dcterms:modified xsi:type="dcterms:W3CDTF">2023-10-11T10:44:09Z</dcterms:modified>
</cp:coreProperties>
</file>