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D044E346-3BAF-4348-9A4C-1039F5FA9C47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ingly reinforced beam" sheetId="1" r:id="rId1"/>
    <sheet name="doubly reinforced beam" sheetId="2" r:id="rId2"/>
    <sheet name="one way slab" sheetId="3" r:id="rId3"/>
    <sheet name="two way slab" sheetId="4" r:id="rId4"/>
  </sheets>
  <externalReferences>
    <externalReference r:id="rId5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4" l="1"/>
  <c r="D76" i="4"/>
  <c r="D74" i="4"/>
  <c r="D60" i="4"/>
  <c r="D70" i="4"/>
  <c r="D36" i="4"/>
  <c r="D39" i="4"/>
  <c r="D40" i="4"/>
  <c r="D44" i="4"/>
  <c r="F44" i="4"/>
  <c r="D30" i="4"/>
  <c r="F18" i="4"/>
  <c r="D29" i="4"/>
  <c r="D28" i="4"/>
  <c r="D20" i="4"/>
  <c r="D22" i="4"/>
  <c r="D17" i="4"/>
  <c r="D13" i="4"/>
  <c r="D14" i="4"/>
  <c r="D48" i="4"/>
  <c r="D54" i="4"/>
  <c r="D24" i="4"/>
  <c r="D58" i="4"/>
  <c r="D67" i="4"/>
  <c r="C61" i="3"/>
  <c r="C47" i="3"/>
  <c r="C41" i="3"/>
  <c r="D28" i="3"/>
  <c r="D31" i="3"/>
  <c r="D32" i="3"/>
  <c r="D36" i="3"/>
  <c r="D23" i="3"/>
  <c r="D22" i="3"/>
  <c r="D24" i="3"/>
  <c r="C17" i="3"/>
  <c r="C19" i="3"/>
  <c r="C59" i="3"/>
  <c r="C12" i="3"/>
  <c r="B13" i="3"/>
  <c r="D56" i="2"/>
  <c r="D78" i="2"/>
  <c r="D77" i="1"/>
  <c r="D30" i="1"/>
  <c r="D32" i="1"/>
  <c r="F33" i="1"/>
  <c r="D49" i="2"/>
  <c r="D43" i="2"/>
  <c r="D36" i="2"/>
  <c r="D23" i="2"/>
  <c r="D26" i="2"/>
  <c r="D29" i="2"/>
  <c r="D78" i="1"/>
  <c r="D62" i="1"/>
  <c r="D23" i="1"/>
  <c r="D71" i="1"/>
  <c r="D55" i="1"/>
  <c r="D49" i="1"/>
  <c r="D39" i="1"/>
  <c r="D38" i="1"/>
  <c r="D40" i="1"/>
  <c r="D43" i="1"/>
  <c r="C63" i="3"/>
  <c r="C45" i="3"/>
  <c r="C49" i="3"/>
  <c r="D55" i="3"/>
  <c r="D53" i="3"/>
  <c r="D53" i="2"/>
  <c r="D47" i="1"/>
  <c r="D68" i="1"/>
  <c r="D46" i="1"/>
  <c r="D34" i="2"/>
  <c r="D33" i="2"/>
  <c r="D51" i="1"/>
  <c r="D58" i="1"/>
  <c r="D60" i="1"/>
  <c r="D37" i="2"/>
  <c r="D46" i="2"/>
  <c r="D38" i="2"/>
  <c r="D66" i="2"/>
  <c r="E70" i="2"/>
  <c r="D73" i="2"/>
  <c r="D76" i="2"/>
</calcChain>
</file>

<file path=xl/sharedStrings.xml><?xml version="1.0" encoding="utf-8"?>
<sst xmlns="http://schemas.openxmlformats.org/spreadsheetml/2006/main" count="371" uniqueCount="216">
  <si>
    <t>DESIGN OF SINGLY REINFORCED RCC BEAM</t>
  </si>
  <si>
    <t>mm</t>
  </si>
  <si>
    <t>M</t>
  </si>
  <si>
    <t>CLEAR SPAN</t>
  </si>
  <si>
    <t>WIDTH OF SUPPORT</t>
  </si>
  <si>
    <t>GIVEN DETAILS</t>
  </si>
  <si>
    <t>WORKING LOAD</t>
  </si>
  <si>
    <t>KN/M</t>
  </si>
  <si>
    <t>fck</t>
  </si>
  <si>
    <t>N/mm^2</t>
  </si>
  <si>
    <t>fy</t>
  </si>
  <si>
    <t>b</t>
  </si>
  <si>
    <t>1. EFFECTIVE LENGTH</t>
  </si>
  <si>
    <t>L/d=20</t>
  </si>
  <si>
    <t>d=</t>
  </si>
  <si>
    <t>D=</t>
  </si>
  <si>
    <t>L/20</t>
  </si>
  <si>
    <t>(.2/2)+3+(.2/2)</t>
  </si>
  <si>
    <t>leff=</t>
  </si>
  <si>
    <t>2.LOAD</t>
  </si>
  <si>
    <t>SELF WEIGHT</t>
  </si>
  <si>
    <t>b*D*25</t>
  </si>
  <si>
    <t>LIVE LOAD</t>
  </si>
  <si>
    <t>3.BM AND SF</t>
  </si>
  <si>
    <t>Mu=Wu*l^2/8</t>
  </si>
  <si>
    <t>TOTAL LOAD ( W )</t>
  </si>
  <si>
    <t>KN-M</t>
  </si>
  <si>
    <t>Vu=Wu*L/2</t>
  </si>
  <si>
    <t>KN</t>
  </si>
  <si>
    <t>Mu lim=.138fck*b*d</t>
  </si>
  <si>
    <t>THE SECTION IS</t>
  </si>
  <si>
    <t>4. AREA OF STEEL</t>
  </si>
  <si>
    <t>Ast min=.87bd/fy</t>
  </si>
  <si>
    <t>Mu=.87*fy*Ast*d(1-(Ast*415/b*d*fck))</t>
  </si>
  <si>
    <t>Ast=</t>
  </si>
  <si>
    <t>mm^2</t>
  </si>
  <si>
    <t>NO. OF BARS=Ast/ast</t>
  </si>
  <si>
    <t>ast=</t>
  </si>
  <si>
    <t>~3</t>
  </si>
  <si>
    <t>Ast pro=</t>
  </si>
  <si>
    <t xml:space="preserve">PROVIDE 3-12mmdia bars </t>
  </si>
  <si>
    <t>5. CHECK FOR SHEAR</t>
  </si>
  <si>
    <t>NOMINAL COVER</t>
  </si>
  <si>
    <t>Vu/b*d=</t>
  </si>
  <si>
    <t>PT=100Ast/bd</t>
  </si>
  <si>
    <t>%</t>
  </si>
  <si>
    <t>SPACING OF STIRRUPS</t>
  </si>
  <si>
    <t>a.Sv=.87fyAsv/.4b</t>
  </si>
  <si>
    <t>c.300mm</t>
  </si>
  <si>
    <t>TOUc</t>
  </si>
  <si>
    <t>TOUc max</t>
  </si>
  <si>
    <t>( Wu )</t>
  </si>
  <si>
    <t>FACTORED LOAD( W*1.5 )</t>
  </si>
  <si>
    <t>b.75d=</t>
  </si>
  <si>
    <t>DESIGN OF DOUBLY REINFORCED RCC BEAM</t>
  </si>
  <si>
    <t>EFFECTIVE SPAN</t>
  </si>
  <si>
    <t>d'</t>
  </si>
  <si>
    <t>d</t>
  </si>
  <si>
    <t>DEAD LOAD</t>
  </si>
  <si>
    <t>D</t>
  </si>
  <si>
    <t>Ast1=Mulim/.87fy(d-.42xu)</t>
  </si>
  <si>
    <t>Ast2=ASC*fsc/.87fy</t>
  </si>
  <si>
    <t>Ast=Ast1+Ast2</t>
  </si>
  <si>
    <t>Astpro=5*ast</t>
  </si>
  <si>
    <t>Ascpro=asc*4</t>
  </si>
  <si>
    <t>PROVIDE 5-25mm dia as tension reinforcement and 4-20mm as compression reienforcement</t>
  </si>
  <si>
    <t>NOMINAL SHHEAR</t>
  </si>
  <si>
    <t>TOUv=Vu/bd</t>
  </si>
  <si>
    <t>PT</t>
  </si>
  <si>
    <t>BALANCED SHEAR</t>
  </si>
  <si>
    <t>Vus=Vu-Tcbd</t>
  </si>
  <si>
    <t>5.CHECK FOR SHEAR</t>
  </si>
  <si>
    <t>b.300</t>
  </si>
  <si>
    <t>N/mm^3</t>
  </si>
  <si>
    <t>N/mm2</t>
  </si>
  <si>
    <t>PROVIDE 2L-8mm vs @160mm c/c</t>
  </si>
  <si>
    <t>L1=L+d</t>
  </si>
  <si>
    <t>L2= C/C OF SUPPORT</t>
  </si>
  <si>
    <t>asv=</t>
  </si>
  <si>
    <t>PROVIDE 2L-8mm@110mmC/C</t>
  </si>
  <si>
    <t>AGAINST SHEAR</t>
  </si>
  <si>
    <t>a.Sv=.87*fyAst*d/Vus</t>
  </si>
  <si>
    <t>C. .75d</t>
  </si>
  <si>
    <t>fcs</t>
  </si>
  <si>
    <t>Asc</t>
  </si>
  <si>
    <t>Mu-Mulim=</t>
  </si>
  <si>
    <t>q</t>
  </si>
  <si>
    <t>ONE WAY SLAB DESIGN</t>
  </si>
  <si>
    <t>GIVEN</t>
  </si>
  <si>
    <t>ly             =</t>
  </si>
  <si>
    <t>m</t>
  </si>
  <si>
    <t>lx             =</t>
  </si>
  <si>
    <t>LL             =</t>
  </si>
  <si>
    <r>
      <t>KN/m</t>
    </r>
    <r>
      <rPr>
        <vertAlign val="superscript"/>
        <sz val="11"/>
        <color theme="1"/>
        <rFont val="Calibri"/>
        <family val="2"/>
        <scheme val="minor"/>
      </rPr>
      <t>2</t>
    </r>
  </si>
  <si>
    <t>FF            =</t>
  </si>
  <si>
    <r>
      <t>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 xml:space="preserve">            =</t>
    </r>
  </si>
  <si>
    <r>
      <t>N/mm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</si>
  <si>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            =</t>
    </r>
  </si>
  <si>
    <t>Span      =</t>
  </si>
  <si>
    <t xml:space="preserve">      =</t>
  </si>
  <si>
    <t>b             =</t>
  </si>
  <si>
    <r>
      <t>l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/l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         =</t>
    </r>
  </si>
  <si>
    <t>a)</t>
  </si>
  <si>
    <t>Effective Depth</t>
  </si>
  <si>
    <t>Span/d   =</t>
  </si>
  <si>
    <t>d               =</t>
  </si>
  <si>
    <t xml:space="preserve">         =</t>
  </si>
  <si>
    <t>D              =</t>
  </si>
  <si>
    <t>d+(15+10/2)</t>
  </si>
  <si>
    <t xml:space="preserve">        =</t>
  </si>
  <si>
    <t>b)</t>
  </si>
  <si>
    <t>Effective Span</t>
  </si>
  <si>
    <t>Span + bearing (L1) =</t>
  </si>
  <si>
    <t>CC + Eff.Depth (L2)=</t>
  </si>
  <si>
    <t>l              =</t>
  </si>
  <si>
    <t>c)</t>
  </si>
  <si>
    <t>Calculation of Load</t>
  </si>
  <si>
    <t xml:space="preserve">Self Weight              = </t>
  </si>
  <si>
    <t>D*25*b</t>
  </si>
  <si>
    <t xml:space="preserve">                =</t>
  </si>
  <si>
    <t xml:space="preserve">KN/m  </t>
  </si>
  <si>
    <t>Live Load                   =</t>
  </si>
  <si>
    <t>KN/m</t>
  </si>
  <si>
    <t>Floor Finish              =</t>
  </si>
  <si>
    <t>Total Load                 =</t>
  </si>
  <si>
    <t xml:space="preserve"> </t>
  </si>
  <si>
    <t>Factored Load        =</t>
  </si>
  <si>
    <t>Maximum Bending Moment</t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</si>
  <si>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u              </t>
    </r>
    <r>
      <rPr>
        <sz val="11"/>
        <color theme="1"/>
        <rFont val="Calibri"/>
        <family val="2"/>
        <scheme val="minor"/>
      </rPr>
      <t>=</t>
    </r>
  </si>
  <si>
    <r>
      <t>(W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*l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)/8</t>
    </r>
  </si>
  <si>
    <t xml:space="preserve">              =</t>
  </si>
  <si>
    <t>KN-m</t>
  </si>
  <si>
    <t>KN-mm</t>
  </si>
  <si>
    <t>d)</t>
  </si>
  <si>
    <t>To Find 'd'</t>
  </si>
  <si>
    <r>
      <t>0.138*f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>*b*d</t>
    </r>
    <r>
      <rPr>
        <vertAlign val="superscript"/>
        <sz val="11"/>
        <color theme="1"/>
        <rFont val="Calibri"/>
        <family val="2"/>
        <scheme val="minor"/>
      </rPr>
      <t>2</t>
    </r>
  </si>
  <si>
    <t>d            =</t>
  </si>
  <si>
    <r>
      <t>sqrt(M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/(0.138*f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>*b))</t>
    </r>
  </si>
  <si>
    <t>&lt; 150mm</t>
  </si>
  <si>
    <t>e)</t>
  </si>
  <si>
    <r>
      <rPr>
        <u/>
        <sz val="11"/>
        <color theme="1"/>
        <rFont val="Calibri"/>
        <family val="2"/>
        <scheme val="minor"/>
      </rPr>
      <t>A</t>
    </r>
    <r>
      <rPr>
        <u/>
        <vertAlign val="subscript"/>
        <sz val="11"/>
        <color theme="1"/>
        <rFont val="Calibri"/>
        <family val="2"/>
        <scheme val="minor"/>
      </rPr>
      <t>st</t>
    </r>
    <r>
      <rPr>
        <u/>
        <sz val="11"/>
        <color theme="1"/>
        <rFont val="Calibri"/>
        <family val="2"/>
        <scheme val="minor"/>
      </rPr>
      <t xml:space="preserve">  Required</t>
    </r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</si>
  <si>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st               </t>
    </r>
    <r>
      <rPr>
        <sz val="11"/>
        <color theme="1"/>
        <rFont val="Calibri"/>
        <family val="2"/>
        <scheme val="minor"/>
      </rPr>
      <t>=</t>
    </r>
  </si>
  <si>
    <r>
      <t>(1.14*M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*b*f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>)/f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(b*d*f</t>
    </r>
    <r>
      <rPr>
        <vertAlign val="subscript"/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)</t>
    </r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</si>
  <si>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</si>
  <si>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Using 10mm dia Bars spacing required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</si>
  <si>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st               </t>
    </r>
    <r>
      <rPr>
        <sz val="11"/>
        <color theme="1"/>
        <rFont val="Calibri"/>
        <family val="2"/>
        <scheme val="minor"/>
      </rPr>
      <t>=</t>
    </r>
  </si>
  <si>
    <t>s            =</t>
  </si>
  <si>
    <r>
      <t>1000*a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/A</t>
    </r>
    <r>
      <rPr>
        <vertAlign val="subscript"/>
        <sz val="11"/>
        <color theme="1"/>
        <rFont val="Calibri"/>
        <family val="2"/>
        <scheme val="minor"/>
      </rPr>
      <t>st</t>
    </r>
  </si>
  <si>
    <t>Provide 10mm dia bars at 240mm C/C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</si>
  <si>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st </t>
    </r>
    <r>
      <rPr>
        <sz val="11"/>
        <color theme="1"/>
        <rFont val="Calibri"/>
        <family val="2"/>
        <scheme val="minor"/>
      </rPr>
      <t xml:space="preserve">Provided     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>=</t>
    </r>
  </si>
  <si>
    <r>
      <t>1000*A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/s</t>
    </r>
  </si>
  <si>
    <t>Percentage Steel   =</t>
  </si>
  <si>
    <r>
      <t>100*A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/(b*d)</t>
    </r>
  </si>
  <si>
    <t>f)</t>
  </si>
  <si>
    <t>Distribution Reinforcement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</si>
  <si>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st        </t>
    </r>
    <r>
      <rPr>
        <sz val="11"/>
        <color theme="1"/>
        <rFont val="Calibri"/>
        <family val="2"/>
        <scheme val="minor"/>
      </rPr>
      <t xml:space="preserve">     =</t>
    </r>
  </si>
  <si>
    <t>0.12 % *b*D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</si>
  <si>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st            </t>
    </r>
    <r>
      <rPr>
        <sz val="11"/>
        <color theme="1"/>
        <rFont val="Calibri"/>
        <family val="2"/>
        <scheme val="minor"/>
      </rPr>
      <t xml:space="preserve">  =</t>
    </r>
  </si>
  <si>
    <t>Provide 8mm Dia Bars</t>
  </si>
  <si>
    <r>
      <t>S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           =</t>
    </r>
  </si>
  <si>
    <t>Provide 8mm Dia Bars at 245mm C/C</t>
  </si>
  <si>
    <t>TWO WAY SLAB</t>
  </si>
  <si>
    <t>Z</t>
  </si>
  <si>
    <t>Span=</t>
  </si>
  <si>
    <t>Lx=</t>
  </si>
  <si>
    <t>Ly=</t>
  </si>
  <si>
    <t>LL=</t>
  </si>
  <si>
    <t>FF=</t>
  </si>
  <si>
    <t>Bearing=</t>
  </si>
  <si>
    <t>fck=</t>
  </si>
  <si>
    <t>fy=</t>
  </si>
  <si>
    <t>b=</t>
  </si>
  <si>
    <t>Lx/Ly=</t>
  </si>
  <si>
    <t>Span/d=</t>
  </si>
  <si>
    <t>dx=</t>
  </si>
  <si>
    <t>D-(15+(10/2))</t>
  </si>
  <si>
    <t>dy=</t>
  </si>
  <si>
    <t>D-(15+10+(10/2))</t>
  </si>
  <si>
    <t>effective span</t>
  </si>
  <si>
    <t>i)</t>
  </si>
  <si>
    <t>C.S+bearing L1 =</t>
  </si>
  <si>
    <t>ii)</t>
  </si>
  <si>
    <t>C.S+eff.dept L2=</t>
  </si>
  <si>
    <t>L=</t>
  </si>
  <si>
    <t>Load calculation</t>
  </si>
  <si>
    <t>Self wt. of slab=</t>
  </si>
  <si>
    <t>D*b*25</t>
  </si>
  <si>
    <t>L.L=</t>
  </si>
  <si>
    <t>F.F=</t>
  </si>
  <si>
    <t>Total load=</t>
  </si>
  <si>
    <t>factored load W =</t>
  </si>
  <si>
    <t>Max. bending moment</t>
  </si>
  <si>
    <t>Mux=Muy=</t>
  </si>
  <si>
    <t>αx*W*Lx^2</t>
  </si>
  <si>
    <t>N-mm</t>
  </si>
  <si>
    <t>Mu=</t>
  </si>
  <si>
    <t>0.138*fck*b*d^2</t>
  </si>
  <si>
    <t>sqrt(Mu/(0.138*fck*b))</t>
  </si>
  <si>
    <t>&lt;160mm</t>
  </si>
  <si>
    <r>
      <t>A</t>
    </r>
    <r>
      <rPr>
        <b/>
        <vertAlign val="sub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requried</t>
    </r>
  </si>
  <si>
    <r>
      <t>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(Lx)=A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(Ly)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</si>
  <si>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st =</t>
    </r>
  </si>
  <si>
    <t>(1.14*Mu*b*fck)/(fy(b*d*fck-fy))</t>
  </si>
  <si>
    <t xml:space="preserve">using 10mm dia bar spacing </t>
  </si>
  <si>
    <t>S=</t>
  </si>
  <si>
    <t>Ast provided=</t>
  </si>
  <si>
    <r>
      <t>1000*a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/S</t>
    </r>
  </si>
  <si>
    <t>provide 10mm dia bars @ 310mm c/c</t>
  </si>
  <si>
    <t>check for deflection</t>
  </si>
  <si>
    <t>fs=</t>
  </si>
  <si>
    <r>
      <t>0.58*fy*(A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req/A</t>
    </r>
    <r>
      <rPr>
        <vertAlign val="sub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pro)</t>
    </r>
  </si>
  <si>
    <t>% of steel=</t>
  </si>
  <si>
    <t>100*Ast/(b*d)</t>
  </si>
  <si>
    <t>((L/d)max)=</t>
  </si>
  <si>
    <t>20*1.72</t>
  </si>
  <si>
    <t>(L/d)=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</si>
</sst>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2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10" xfId="0" applyBorder="1" applyAlignment="1">
      <alignment horizontal="right"/>
    </xf>
    <xf numFmtId="0" fontId="0" fillId="0" borderId="17" xfId="0" applyBorder="1"/>
    <xf numFmtId="2" fontId="0" fillId="0" borderId="18" xfId="0" applyNumberFormat="1" applyBorder="1"/>
    <xf numFmtId="0" fontId="0" fillId="0" borderId="19" xfId="0" applyBorder="1"/>
    <xf numFmtId="0" fontId="0" fillId="0" borderId="20" xfId="0" applyBorder="1"/>
    <xf numFmtId="2" fontId="0" fillId="0" borderId="21" xfId="0" applyNumberFormat="1" applyBorder="1"/>
    <xf numFmtId="0" fontId="0" fillId="0" borderId="22" xfId="0" applyBorder="1"/>
    <xf numFmtId="0" fontId="3" fillId="0" borderId="0" xfId="0" applyFont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6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right"/>
    </xf>
    <xf numFmtId="10" fontId="4" fillId="0" borderId="0" xfId="0" applyNumberFormat="1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externalLink" Target="externalLinks/externalLink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horizantal%20curve%20by%20using%20offset%20method1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S15">
            <v>-30</v>
          </cell>
          <cell r="T15">
            <v>0</v>
          </cell>
        </row>
        <row r="16">
          <cell r="S16">
            <v>-22.5</v>
          </cell>
          <cell r="T16">
            <v>1.1058200038713721</v>
          </cell>
        </row>
        <row r="17">
          <cell r="S17">
            <v>-15</v>
          </cell>
          <cell r="T17">
            <v>1.8915176535325031</v>
          </cell>
        </row>
        <row r="18">
          <cell r="S18">
            <v>-7.5</v>
          </cell>
          <cell r="T18">
            <v>2.3612886312384944</v>
          </cell>
        </row>
        <row r="19">
          <cell r="S19">
            <v>0</v>
          </cell>
          <cell r="T19">
            <v>2.5176065070115214</v>
          </cell>
        </row>
        <row r="20">
          <cell r="S20">
            <v>7.5</v>
          </cell>
          <cell r="T20">
            <v>2.3612886312384944</v>
          </cell>
        </row>
        <row r="21">
          <cell r="S21">
            <v>15</v>
          </cell>
          <cell r="T21">
            <v>1.8915176535325031</v>
          </cell>
        </row>
        <row r="22">
          <cell r="S22">
            <v>22.5</v>
          </cell>
          <cell r="T22">
            <v>1.1058200038713721</v>
          </cell>
        </row>
        <row r="23">
          <cell r="S23">
            <v>30</v>
          </cell>
          <cell r="T23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2"/>
  <sheetViews>
    <sheetView topLeftCell="B41" zoomScale="98" zoomScaleNormal="98" workbookViewId="0">
      <selection activeCell="G73" sqref="G73:G82"/>
    </sheetView>
  </sheetViews>
  <sheetFormatPr defaultRowHeight="15" x14ac:dyDescent="0.2"/>
  <cols>
    <col min="3" max="3" width="24.34765625" customWidth="1"/>
    <col min="11" max="11" width="22.46484375" customWidth="1"/>
  </cols>
  <sheetData>
    <row r="2" spans="3:13" x14ac:dyDescent="0.2">
      <c r="C2" s="1" t="s">
        <v>0</v>
      </c>
      <c r="K2" s="51"/>
    </row>
    <row r="3" spans="3:13" x14ac:dyDescent="0.2">
      <c r="C3" s="52"/>
      <c r="D3" s="52"/>
      <c r="E3" s="52"/>
      <c r="F3" s="52"/>
    </row>
    <row r="4" spans="3:13" x14ac:dyDescent="0.2">
      <c r="C4" s="52"/>
      <c r="D4" s="52"/>
      <c r="E4" s="52"/>
      <c r="F4" s="52"/>
    </row>
    <row r="7" spans="3:13" x14ac:dyDescent="0.2">
      <c r="K7" s="52"/>
      <c r="L7" s="52"/>
      <c r="M7" s="52"/>
    </row>
    <row r="8" spans="3:13" x14ac:dyDescent="0.2">
      <c r="K8" s="52"/>
      <c r="L8" s="52"/>
      <c r="M8" s="52"/>
    </row>
    <row r="9" spans="3:13" x14ac:dyDescent="0.2">
      <c r="K9" s="52"/>
      <c r="L9" s="52"/>
      <c r="M9" s="52"/>
    </row>
    <row r="10" spans="3:13" ht="15.75" thickBot="1" x14ac:dyDescent="0.25">
      <c r="C10" t="s">
        <v>5</v>
      </c>
      <c r="K10" s="52"/>
      <c r="L10" s="52"/>
      <c r="M10" s="52"/>
    </row>
    <row r="11" spans="3:13" x14ac:dyDescent="0.2">
      <c r="C11" s="3"/>
      <c r="D11" s="4" t="s">
        <v>1</v>
      </c>
      <c r="E11" s="5" t="s">
        <v>2</v>
      </c>
      <c r="K11" s="52"/>
      <c r="L11" s="52"/>
      <c r="M11" s="52"/>
    </row>
    <row r="12" spans="3:13" x14ac:dyDescent="0.2">
      <c r="C12" s="6" t="s">
        <v>3</v>
      </c>
      <c r="D12" s="2">
        <v>3000</v>
      </c>
      <c r="E12" s="7">
        <v>3</v>
      </c>
      <c r="K12" s="52"/>
      <c r="L12" s="52"/>
      <c r="M12" s="52"/>
    </row>
    <row r="13" spans="3:13" ht="15.75" thickBot="1" x14ac:dyDescent="0.25">
      <c r="C13" s="11" t="s">
        <v>4</v>
      </c>
      <c r="D13" s="12">
        <v>200</v>
      </c>
      <c r="E13" s="13">
        <v>0.2</v>
      </c>
      <c r="I13" t="s">
        <v>86</v>
      </c>
      <c r="K13" s="52"/>
      <c r="L13" s="52"/>
      <c r="M13" s="52"/>
    </row>
    <row r="14" spans="3:13" ht="15.75" thickBot="1" x14ac:dyDescent="0.25">
      <c r="C14" s="14" t="s">
        <v>11</v>
      </c>
      <c r="D14" s="15">
        <v>200</v>
      </c>
      <c r="E14" s="16">
        <v>0.2</v>
      </c>
      <c r="K14" s="52"/>
      <c r="L14" s="52"/>
      <c r="M14" s="52"/>
    </row>
    <row r="15" spans="3:13" x14ac:dyDescent="0.2">
      <c r="K15" s="52"/>
      <c r="L15" s="52"/>
      <c r="M15" s="52"/>
    </row>
    <row r="16" spans="3:13" x14ac:dyDescent="0.2">
      <c r="C16" s="2" t="s">
        <v>6</v>
      </c>
      <c r="D16" s="2">
        <v>6</v>
      </c>
      <c r="E16" s="2" t="s">
        <v>7</v>
      </c>
      <c r="K16" s="52"/>
      <c r="L16" s="52"/>
      <c r="M16" s="52"/>
    </row>
    <row r="17" spans="3:13" x14ac:dyDescent="0.2">
      <c r="C17" s="2" t="s">
        <v>8</v>
      </c>
      <c r="D17" s="2">
        <v>20</v>
      </c>
      <c r="E17" s="2" t="s">
        <v>9</v>
      </c>
      <c r="K17" s="52"/>
      <c r="L17" s="52"/>
      <c r="M17" s="52"/>
    </row>
    <row r="18" spans="3:13" x14ac:dyDescent="0.2">
      <c r="C18" s="2" t="s">
        <v>10</v>
      </c>
      <c r="D18" s="2">
        <v>415</v>
      </c>
      <c r="E18" s="2" t="s">
        <v>9</v>
      </c>
      <c r="K18" s="53"/>
      <c r="L18" s="52"/>
      <c r="M18" s="52"/>
    </row>
    <row r="19" spans="3:13" x14ac:dyDescent="0.2">
      <c r="K19" s="52"/>
      <c r="L19" s="52"/>
      <c r="M19" s="52"/>
    </row>
    <row r="20" spans="3:13" x14ac:dyDescent="0.2">
      <c r="C20" t="s">
        <v>13</v>
      </c>
      <c r="K20" s="54"/>
      <c r="L20" s="52"/>
      <c r="M20" s="52"/>
    </row>
    <row r="21" spans="3:13" x14ac:dyDescent="0.2">
      <c r="C21" s="8" t="s">
        <v>14</v>
      </c>
      <c r="D21" t="s">
        <v>16</v>
      </c>
      <c r="K21" s="54"/>
      <c r="L21" s="53"/>
      <c r="M21" s="52"/>
    </row>
    <row r="22" spans="3:13" x14ac:dyDescent="0.2">
      <c r="C22" s="2"/>
      <c r="D22" s="2" t="s">
        <v>1</v>
      </c>
      <c r="E22" s="2" t="s">
        <v>2</v>
      </c>
      <c r="K22" s="52"/>
      <c r="L22" s="52"/>
      <c r="M22" s="52"/>
    </row>
    <row r="23" spans="3:13" x14ac:dyDescent="0.2">
      <c r="C23" s="10" t="s">
        <v>14</v>
      </c>
      <c r="D23" s="2">
        <f>(D12/20)</f>
        <v>150</v>
      </c>
      <c r="E23" s="2">
        <v>0.15</v>
      </c>
      <c r="K23" s="52"/>
      <c r="L23" s="52"/>
      <c r="M23" s="52"/>
    </row>
    <row r="24" spans="3:13" x14ac:dyDescent="0.2">
      <c r="C24" s="10" t="s">
        <v>15</v>
      </c>
      <c r="D24" s="9">
        <v>200</v>
      </c>
      <c r="E24" s="2">
        <v>0.2</v>
      </c>
      <c r="K24" s="55"/>
      <c r="L24" s="52"/>
      <c r="M24" s="52"/>
    </row>
    <row r="25" spans="3:13" x14ac:dyDescent="0.2">
      <c r="K25" s="52"/>
      <c r="L25" s="52"/>
      <c r="M25" s="52"/>
    </row>
    <row r="26" spans="3:13" x14ac:dyDescent="0.2">
      <c r="K26" s="52"/>
      <c r="L26" s="52"/>
      <c r="M26" s="52"/>
    </row>
    <row r="27" spans="3:13" x14ac:dyDescent="0.2">
      <c r="K27" s="52"/>
      <c r="L27" s="52"/>
      <c r="M27" s="52"/>
    </row>
    <row r="29" spans="3:13" x14ac:dyDescent="0.2">
      <c r="C29" s="20" t="s">
        <v>12</v>
      </c>
    </row>
    <row r="30" spans="3:13" x14ac:dyDescent="0.2">
      <c r="C30" t="s">
        <v>76</v>
      </c>
      <c r="D30">
        <f>(E12+E23)</f>
        <v>3.15</v>
      </c>
      <c r="E30" t="s">
        <v>2</v>
      </c>
    </row>
    <row r="31" spans="3:13" x14ac:dyDescent="0.2">
      <c r="C31" t="s">
        <v>77</v>
      </c>
    </row>
    <row r="32" spans="3:13" ht="15.75" thickBot="1" x14ac:dyDescent="0.25">
      <c r="C32" t="s">
        <v>17</v>
      </c>
      <c r="D32">
        <f>(E12+E13)</f>
        <v>3.2</v>
      </c>
      <c r="E32" t="s">
        <v>2</v>
      </c>
    </row>
    <row r="33" spans="3:7" ht="15.75" thickBot="1" x14ac:dyDescent="0.25">
      <c r="E33" s="24" t="s">
        <v>18</v>
      </c>
      <c r="F33" s="16" t="str">
        <f>IF(D30&lt;D32,"LI","L2")</f>
        <v>LI</v>
      </c>
    </row>
    <row r="34" spans="3:7" x14ac:dyDescent="0.2">
      <c r="F34">
        <v>3.15</v>
      </c>
      <c r="G34" t="s">
        <v>2</v>
      </c>
    </row>
    <row r="36" spans="3:7" x14ac:dyDescent="0.2">
      <c r="C36" s="20" t="s">
        <v>19</v>
      </c>
    </row>
    <row r="37" spans="3:7" x14ac:dyDescent="0.2">
      <c r="C37" t="s">
        <v>20</v>
      </c>
    </row>
    <row r="38" spans="3:7" x14ac:dyDescent="0.2">
      <c r="C38" t="s">
        <v>21</v>
      </c>
      <c r="D38">
        <f>(E14*E24*25)</f>
        <v>1.0000000000000002</v>
      </c>
      <c r="E38" t="s">
        <v>7</v>
      </c>
    </row>
    <row r="39" spans="3:7" x14ac:dyDescent="0.2">
      <c r="C39" t="s">
        <v>22</v>
      </c>
      <c r="D39">
        <f>(D16)</f>
        <v>6</v>
      </c>
      <c r="E39" t="s">
        <v>7</v>
      </c>
    </row>
    <row r="40" spans="3:7" x14ac:dyDescent="0.2">
      <c r="C40" s="17" t="s">
        <v>25</v>
      </c>
      <c r="D40" s="18">
        <f>(D38+D39)</f>
        <v>7</v>
      </c>
      <c r="E40" s="19" t="s">
        <v>7</v>
      </c>
    </row>
    <row r="42" spans="3:7" ht="15.75" thickBot="1" x14ac:dyDescent="0.25">
      <c r="C42" s="12" t="s">
        <v>52</v>
      </c>
    </row>
    <row r="43" spans="3:7" ht="15.75" thickBot="1" x14ac:dyDescent="0.25">
      <c r="C43" s="14" t="s">
        <v>51</v>
      </c>
      <c r="D43" s="15">
        <f>(1.5*D40)</f>
        <v>10.5</v>
      </c>
      <c r="E43" s="16" t="s">
        <v>7</v>
      </c>
    </row>
    <row r="45" spans="3:7" ht="15.75" thickBot="1" x14ac:dyDescent="0.25">
      <c r="C45" s="20" t="s">
        <v>23</v>
      </c>
    </row>
    <row r="46" spans="3:7" x14ac:dyDescent="0.2">
      <c r="C46" s="25" t="s">
        <v>24</v>
      </c>
      <c r="D46" s="26">
        <f>((D43*F34^2))/8</f>
        <v>13.02328125</v>
      </c>
      <c r="E46" s="27" t="s">
        <v>26</v>
      </c>
    </row>
    <row r="47" spans="3:7" ht="15.75" thickBot="1" x14ac:dyDescent="0.25">
      <c r="C47" s="28" t="s">
        <v>27</v>
      </c>
      <c r="D47" s="29">
        <f>((D43*F34)/2)</f>
        <v>16.537499999999998</v>
      </c>
      <c r="E47" s="30" t="s">
        <v>28</v>
      </c>
    </row>
    <row r="49" spans="3:8" x14ac:dyDescent="0.2">
      <c r="C49" t="s">
        <v>29</v>
      </c>
      <c r="D49">
        <f>(0.138*D17*D14*D24^2)/10^6</f>
        <v>22.08</v>
      </c>
      <c r="E49" t="s">
        <v>26</v>
      </c>
    </row>
    <row r="51" spans="3:8" x14ac:dyDescent="0.2">
      <c r="C51" s="31" t="s">
        <v>30</v>
      </c>
      <c r="D51" s="22" t="str">
        <f>IF(D46&lt;D49,"UNDER REINFORCED","OVER REINFORCED")</f>
        <v>UNDER REINFORCED</v>
      </c>
      <c r="E51" s="22"/>
    </row>
    <row r="54" spans="3:8" x14ac:dyDescent="0.2">
      <c r="C54" s="20" t="s">
        <v>31</v>
      </c>
    </row>
    <row r="55" spans="3:8" x14ac:dyDescent="0.2">
      <c r="C55" t="s">
        <v>32</v>
      </c>
      <c r="D55" s="21">
        <f>((0.87*D14*D23)/D18)</f>
        <v>62.891566265060241</v>
      </c>
    </row>
    <row r="57" spans="3:8" ht="15.75" thickBot="1" x14ac:dyDescent="0.25">
      <c r="C57" t="s">
        <v>33</v>
      </c>
    </row>
    <row r="58" spans="3:8" ht="15.75" thickBot="1" x14ac:dyDescent="0.25">
      <c r="C58" s="32" t="s">
        <v>34</v>
      </c>
      <c r="D58" s="33">
        <f>((1.14*D46*10^6*D14*D17)/(D18*(D17*D14*D23)-D18))</f>
        <v>238.49904207671671</v>
      </c>
      <c r="E58" s="34" t="s">
        <v>35</v>
      </c>
      <c r="F58" s="8" t="s">
        <v>37</v>
      </c>
      <c r="G58">
        <v>113.09</v>
      </c>
      <c r="H58" t="s">
        <v>35</v>
      </c>
    </row>
    <row r="60" spans="3:8" x14ac:dyDescent="0.2">
      <c r="C60" t="s">
        <v>36</v>
      </c>
      <c r="D60">
        <f>(D58/G58)</f>
        <v>2.1089313120233149</v>
      </c>
      <c r="E60" t="s">
        <v>38</v>
      </c>
    </row>
    <row r="61" spans="3:8" ht="15.75" thickBot="1" x14ac:dyDescent="0.25"/>
    <row r="62" spans="3:8" ht="15.75" thickBot="1" x14ac:dyDescent="0.25">
      <c r="C62" s="32" t="s">
        <v>39</v>
      </c>
      <c r="D62" s="33">
        <f>(3*G58)</f>
        <v>339.27</v>
      </c>
      <c r="E62" s="34" t="s">
        <v>35</v>
      </c>
    </row>
    <row r="63" spans="3:8" ht="15.75" thickBot="1" x14ac:dyDescent="0.25">
      <c r="D63">
        <v>9</v>
      </c>
    </row>
    <row r="64" spans="3:8" ht="15.75" thickBot="1" x14ac:dyDescent="0.25">
      <c r="C64" s="36" t="s">
        <v>40</v>
      </c>
    </row>
    <row r="66" spans="3:8" x14ac:dyDescent="0.2">
      <c r="C66" s="20" t="s">
        <v>41</v>
      </c>
    </row>
    <row r="67" spans="3:8" x14ac:dyDescent="0.2">
      <c r="C67" t="s">
        <v>42</v>
      </c>
    </row>
    <row r="68" spans="3:8" x14ac:dyDescent="0.2">
      <c r="C68" s="9" t="s">
        <v>43</v>
      </c>
      <c r="D68" s="37">
        <f>((D47*10^3)/(D14*D23))</f>
        <v>0.55124999999999991</v>
      </c>
    </row>
    <row r="70" spans="3:8" x14ac:dyDescent="0.2">
      <c r="C70" t="s">
        <v>44</v>
      </c>
    </row>
    <row r="71" spans="3:8" x14ac:dyDescent="0.2">
      <c r="D71" s="23">
        <f>((100*D62)/(D23*D14))</f>
        <v>1.1309</v>
      </c>
      <c r="E71" t="s">
        <v>45</v>
      </c>
    </row>
    <row r="72" spans="3:8" x14ac:dyDescent="0.2">
      <c r="C72" s="2" t="s">
        <v>49</v>
      </c>
      <c r="D72" s="2">
        <v>0.63200000000000001</v>
      </c>
      <c r="E72" s="2" t="s">
        <v>9</v>
      </c>
    </row>
    <row r="73" spans="3:8" x14ac:dyDescent="0.2">
      <c r="C73" s="2" t="s">
        <v>50</v>
      </c>
      <c r="D73" s="2">
        <v>2.8</v>
      </c>
      <c r="E73" s="2" t="s">
        <v>9</v>
      </c>
    </row>
    <row r="75" spans="3:8" x14ac:dyDescent="0.2">
      <c r="C75" s="43" t="s">
        <v>46</v>
      </c>
      <c r="G75" s="2" t="s">
        <v>78</v>
      </c>
      <c r="H75" s="2">
        <v>50.26</v>
      </c>
    </row>
    <row r="76" spans="3:8" x14ac:dyDescent="0.2">
      <c r="C76" s="2" t="s">
        <v>47</v>
      </c>
      <c r="D76" s="2"/>
      <c r="E76" s="2"/>
    </row>
    <row r="77" spans="3:8" x14ac:dyDescent="0.2">
      <c r="C77" s="2"/>
      <c r="D77" s="2">
        <f>((0.87*D18*H75)/(0.4*D14))</f>
        <v>226.82966249999998</v>
      </c>
      <c r="E77" s="2" t="s">
        <v>1</v>
      </c>
    </row>
    <row r="78" spans="3:8" x14ac:dyDescent="0.2">
      <c r="C78" s="2" t="s">
        <v>53</v>
      </c>
      <c r="D78" s="2">
        <f>(0.75*150)</f>
        <v>112.5</v>
      </c>
      <c r="E78" s="2" t="s">
        <v>1</v>
      </c>
    </row>
    <row r="79" spans="3:8" x14ac:dyDescent="0.2">
      <c r="C79" s="2" t="s">
        <v>48</v>
      </c>
      <c r="D79" s="2">
        <v>300</v>
      </c>
      <c r="E79" s="2" t="s">
        <v>1</v>
      </c>
    </row>
    <row r="80" spans="3:8" x14ac:dyDescent="0.2">
      <c r="C80" s="2"/>
      <c r="D80" s="2"/>
      <c r="E80" s="2"/>
    </row>
    <row r="81" spans="3:4" ht="15.75" thickBot="1" x14ac:dyDescent="0.25"/>
    <row r="82" spans="3:4" ht="15.75" thickBot="1" x14ac:dyDescent="0.25">
      <c r="C82" s="35" t="s">
        <v>79</v>
      </c>
      <c r="D82" s="3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80"/>
  <sheetViews>
    <sheetView workbookViewId="0">
      <selection activeCell="M62" sqref="M62"/>
    </sheetView>
  </sheetViews>
  <sheetFormatPr defaultRowHeight="15" x14ac:dyDescent="0.2"/>
  <cols>
    <col min="3" max="3" width="24.34765625" customWidth="1"/>
    <col min="4" max="4" width="13.71875" customWidth="1"/>
  </cols>
  <sheetData>
    <row r="3" spans="3:5" x14ac:dyDescent="0.2">
      <c r="C3" s="52"/>
      <c r="D3" s="63"/>
      <c r="E3" s="63"/>
    </row>
    <row r="4" spans="3:5" x14ac:dyDescent="0.2">
      <c r="C4" s="52"/>
      <c r="D4" s="63"/>
      <c r="E4" s="63"/>
    </row>
    <row r="7" spans="3:5" x14ac:dyDescent="0.2">
      <c r="C7" s="1" t="s">
        <v>54</v>
      </c>
    </row>
    <row r="10" spans="3:5" x14ac:dyDescent="0.2">
      <c r="C10" t="s">
        <v>5</v>
      </c>
    </row>
    <row r="11" spans="3:5" x14ac:dyDescent="0.2">
      <c r="C11" s="2"/>
      <c r="D11" s="2" t="s">
        <v>1</v>
      </c>
      <c r="E11" s="2" t="s">
        <v>2</v>
      </c>
    </row>
    <row r="12" spans="3:5" x14ac:dyDescent="0.2">
      <c r="C12" s="2" t="s">
        <v>55</v>
      </c>
      <c r="D12" s="2">
        <v>7000</v>
      </c>
      <c r="E12" s="2">
        <v>7</v>
      </c>
    </row>
    <row r="13" spans="3:5" x14ac:dyDescent="0.2">
      <c r="C13" s="9" t="s">
        <v>56</v>
      </c>
      <c r="D13" s="2">
        <v>50</v>
      </c>
      <c r="E13" s="2">
        <v>0.05</v>
      </c>
    </row>
    <row r="14" spans="3:5" x14ac:dyDescent="0.2">
      <c r="C14" s="9" t="s">
        <v>57</v>
      </c>
      <c r="D14" s="2">
        <v>250</v>
      </c>
      <c r="E14" s="2">
        <v>0.25</v>
      </c>
    </row>
    <row r="15" spans="3:5" x14ac:dyDescent="0.2">
      <c r="C15" s="39" t="s">
        <v>11</v>
      </c>
      <c r="D15" s="38">
        <v>200</v>
      </c>
      <c r="E15" s="38">
        <v>0.2</v>
      </c>
    </row>
    <row r="16" spans="3:5" x14ac:dyDescent="0.2">
      <c r="C16" s="39" t="s">
        <v>59</v>
      </c>
      <c r="D16" s="38">
        <v>550</v>
      </c>
      <c r="E16" s="38">
        <v>0.55000000000000004</v>
      </c>
    </row>
    <row r="17" spans="3:5" x14ac:dyDescent="0.2">
      <c r="C17" s="9" t="s">
        <v>8</v>
      </c>
      <c r="D17" s="2">
        <v>20</v>
      </c>
      <c r="E17" s="2" t="s">
        <v>9</v>
      </c>
    </row>
    <row r="18" spans="3:5" x14ac:dyDescent="0.2">
      <c r="C18" s="9" t="s">
        <v>10</v>
      </c>
      <c r="D18" s="2">
        <v>415</v>
      </c>
      <c r="E18" s="2" t="s">
        <v>9</v>
      </c>
    </row>
    <row r="19" spans="3:5" x14ac:dyDescent="0.2">
      <c r="C19" s="2" t="s">
        <v>6</v>
      </c>
      <c r="D19" s="2">
        <v>15</v>
      </c>
      <c r="E19" s="2" t="s">
        <v>7</v>
      </c>
    </row>
    <row r="21" spans="3:5" x14ac:dyDescent="0.2">
      <c r="C21" s="20" t="s">
        <v>19</v>
      </c>
    </row>
    <row r="22" spans="3:5" x14ac:dyDescent="0.2">
      <c r="C22" t="s">
        <v>20</v>
      </c>
    </row>
    <row r="23" spans="3:5" x14ac:dyDescent="0.2">
      <c r="C23" t="s">
        <v>21</v>
      </c>
      <c r="D23">
        <f>(0.55*E15*25)</f>
        <v>2.7500000000000004</v>
      </c>
      <c r="E23" t="s">
        <v>7</v>
      </c>
    </row>
    <row r="24" spans="3:5" x14ac:dyDescent="0.2">
      <c r="C24" t="s">
        <v>22</v>
      </c>
      <c r="D24">
        <v>15</v>
      </c>
      <c r="E24" t="s">
        <v>7</v>
      </c>
    </row>
    <row r="25" spans="3:5" x14ac:dyDescent="0.2">
      <c r="C25" t="s">
        <v>58</v>
      </c>
      <c r="D25">
        <v>20</v>
      </c>
      <c r="E25" t="s">
        <v>7</v>
      </c>
    </row>
    <row r="26" spans="3:5" x14ac:dyDescent="0.2">
      <c r="C26" s="17" t="s">
        <v>25</v>
      </c>
      <c r="D26" s="18">
        <f>(SUM(D23:D25))</f>
        <v>37.75</v>
      </c>
      <c r="E26" s="19" t="s">
        <v>7</v>
      </c>
    </row>
    <row r="28" spans="3:5" ht="15.75" thickBot="1" x14ac:dyDescent="0.25">
      <c r="C28" s="12" t="s">
        <v>52</v>
      </c>
    </row>
    <row r="29" spans="3:5" ht="15.75" thickBot="1" x14ac:dyDescent="0.25">
      <c r="C29" s="14" t="s">
        <v>51</v>
      </c>
      <c r="D29" s="15">
        <f>(1.5*D26)</f>
        <v>56.625</v>
      </c>
      <c r="E29" s="16" t="s">
        <v>7</v>
      </c>
    </row>
    <row r="32" spans="3:5" ht="15.75" thickBot="1" x14ac:dyDescent="0.25">
      <c r="C32" s="20" t="s">
        <v>23</v>
      </c>
    </row>
    <row r="33" spans="3:5" x14ac:dyDescent="0.2">
      <c r="C33" s="25" t="s">
        <v>24</v>
      </c>
      <c r="D33" s="26">
        <f>((D29*E12^2)/8)</f>
        <v>346.828125</v>
      </c>
      <c r="E33" s="27" t="s">
        <v>26</v>
      </c>
    </row>
    <row r="34" spans="3:5" ht="15.75" thickBot="1" x14ac:dyDescent="0.25">
      <c r="C34" s="28" t="s">
        <v>27</v>
      </c>
      <c r="D34" s="29">
        <f>((D29*E12)/2)</f>
        <v>198.1875</v>
      </c>
      <c r="E34" s="30" t="s">
        <v>28</v>
      </c>
    </row>
    <row r="36" spans="3:5" x14ac:dyDescent="0.2">
      <c r="C36" t="s">
        <v>29</v>
      </c>
      <c r="D36">
        <f>(0.138*D17*D15*D14^2)/10^6</f>
        <v>34.5</v>
      </c>
      <c r="E36" t="s">
        <v>26</v>
      </c>
    </row>
    <row r="37" spans="3:5" x14ac:dyDescent="0.2">
      <c r="C37" s="8" t="s">
        <v>85</v>
      </c>
      <c r="D37" s="21">
        <f>(D33-D36)</f>
        <v>312.328125</v>
      </c>
    </row>
    <row r="38" spans="3:5" x14ac:dyDescent="0.2">
      <c r="C38" s="31" t="s">
        <v>30</v>
      </c>
      <c r="D38" s="22" t="str">
        <f>IF(D33&lt;D36,"UNDER REINFORCED","OVER REINFORCED")</f>
        <v>OVER REINFORCED</v>
      </c>
      <c r="E38" s="22"/>
    </row>
    <row r="40" spans="3:5" x14ac:dyDescent="0.2">
      <c r="C40" s="20" t="s">
        <v>31</v>
      </c>
    </row>
    <row r="41" spans="3:5" x14ac:dyDescent="0.2">
      <c r="D41" s="21"/>
    </row>
    <row r="42" spans="3:5" x14ac:dyDescent="0.2">
      <c r="C42" t="s">
        <v>60</v>
      </c>
    </row>
    <row r="43" spans="3:5" x14ac:dyDescent="0.2">
      <c r="D43">
        <f>((172.5*10^6)/(0.87*415*500-0.42))</f>
        <v>955.54854635307845</v>
      </c>
      <c r="E43" t="s">
        <v>35</v>
      </c>
    </row>
    <row r="45" spans="3:5" x14ac:dyDescent="0.2">
      <c r="C45" t="s">
        <v>83</v>
      </c>
      <c r="D45">
        <v>538</v>
      </c>
      <c r="E45" t="s">
        <v>9</v>
      </c>
    </row>
    <row r="46" spans="3:5" x14ac:dyDescent="0.2">
      <c r="C46" t="s">
        <v>84</v>
      </c>
      <c r="D46">
        <f>(D37*10^6/(0.87*D18*400))</f>
        <v>2162.6376194432905</v>
      </c>
    </row>
    <row r="48" spans="3:5" x14ac:dyDescent="0.2">
      <c r="C48" t="s">
        <v>61</v>
      </c>
    </row>
    <row r="49" spans="3:5" x14ac:dyDescent="0.2">
      <c r="D49">
        <f>((1277*353)/(0.87*415))</f>
        <v>1248.5279047223376</v>
      </c>
      <c r="E49" t="s">
        <v>35</v>
      </c>
    </row>
    <row r="52" spans="3:5" ht="15.75" thickBot="1" x14ac:dyDescent="0.25">
      <c r="C52" t="s">
        <v>62</v>
      </c>
    </row>
    <row r="53" spans="3:5" ht="15.75" thickBot="1" x14ac:dyDescent="0.25">
      <c r="C53" s="24" t="s">
        <v>34</v>
      </c>
      <c r="D53" s="15">
        <f>(D49+D43)</f>
        <v>2204.0764510754161</v>
      </c>
      <c r="E53" s="16" t="s">
        <v>35</v>
      </c>
    </row>
    <row r="55" spans="3:5" ht="15.75" thickBot="1" x14ac:dyDescent="0.25"/>
    <row r="56" spans="3:5" x14ac:dyDescent="0.2">
      <c r="C56" s="3" t="s">
        <v>63</v>
      </c>
      <c r="D56" s="4">
        <f>(5*490.87)</f>
        <v>2454.35</v>
      </c>
      <c r="E56" s="5" t="s">
        <v>35</v>
      </c>
    </row>
    <row r="57" spans="3:5" ht="15.75" thickBot="1" x14ac:dyDescent="0.25">
      <c r="C57" s="40" t="s">
        <v>64</v>
      </c>
      <c r="D57" s="41">
        <v>1257</v>
      </c>
      <c r="E57" s="42" t="s">
        <v>35</v>
      </c>
    </row>
    <row r="60" spans="3:5" x14ac:dyDescent="0.2">
      <c r="C60" s="43" t="s">
        <v>65</v>
      </c>
    </row>
    <row r="63" spans="3:5" x14ac:dyDescent="0.2">
      <c r="C63" s="20" t="s">
        <v>71</v>
      </c>
    </row>
    <row r="65" spans="3:6" x14ac:dyDescent="0.2">
      <c r="C65" s="45" t="s">
        <v>66</v>
      </c>
      <c r="D65" s="46"/>
      <c r="E65" s="47"/>
    </row>
    <row r="66" spans="3:6" x14ac:dyDescent="0.2">
      <c r="C66" s="48" t="s">
        <v>67</v>
      </c>
      <c r="D66" s="49">
        <f>(D34*10^3/(D15*D14))</f>
        <v>3.9637500000000001</v>
      </c>
      <c r="E66" s="50" t="s">
        <v>9</v>
      </c>
    </row>
    <row r="67" spans="3:6" x14ac:dyDescent="0.2">
      <c r="C67" s="44" t="s">
        <v>49</v>
      </c>
      <c r="D67" s="44">
        <v>0.78</v>
      </c>
      <c r="E67" s="44" t="s">
        <v>73</v>
      </c>
    </row>
    <row r="68" spans="3:6" x14ac:dyDescent="0.2">
      <c r="C68" s="2" t="s">
        <v>68</v>
      </c>
      <c r="D68" s="2">
        <v>1.96</v>
      </c>
      <c r="E68" s="2" t="s">
        <v>45</v>
      </c>
    </row>
    <row r="70" spans="3:6" x14ac:dyDescent="0.2">
      <c r="D70" t="s">
        <v>30</v>
      </c>
      <c r="E70" t="str">
        <f>IF(D66&lt;D67,"SAFE","NOTSAFE")</f>
        <v>NOTSAFE</v>
      </c>
      <c r="F70" t="s">
        <v>80</v>
      </c>
    </row>
    <row r="72" spans="3:6" x14ac:dyDescent="0.2">
      <c r="C72" s="43" t="s">
        <v>69</v>
      </c>
    </row>
    <row r="73" spans="3:6" x14ac:dyDescent="0.2">
      <c r="C73" t="s">
        <v>70</v>
      </c>
      <c r="D73">
        <f>(D34*10^3-(D67*D15*D14))</f>
        <v>159187.5</v>
      </c>
      <c r="E73" t="s">
        <v>74</v>
      </c>
    </row>
    <row r="75" spans="3:6" x14ac:dyDescent="0.2">
      <c r="C75" s="43" t="s">
        <v>46</v>
      </c>
    </row>
    <row r="76" spans="3:6" x14ac:dyDescent="0.2">
      <c r="C76" t="s">
        <v>81</v>
      </c>
      <c r="D76">
        <f>((0.87*D18*D16*100.53)/D73)</f>
        <v>125.40555053003533</v>
      </c>
      <c r="E76" t="s">
        <v>1</v>
      </c>
    </row>
    <row r="77" spans="3:6" x14ac:dyDescent="0.2">
      <c r="C77" t="s">
        <v>72</v>
      </c>
      <c r="D77">
        <v>300</v>
      </c>
      <c r="E77" t="s">
        <v>1</v>
      </c>
    </row>
    <row r="78" spans="3:6" x14ac:dyDescent="0.2">
      <c r="C78" t="s">
        <v>82</v>
      </c>
      <c r="D78">
        <f>(0.75*D14)</f>
        <v>187.5</v>
      </c>
    </row>
    <row r="80" spans="3:6" x14ac:dyDescent="0.2">
      <c r="C80" s="43" t="s">
        <v>75</v>
      </c>
    </row>
  </sheetData>
  <mergeCells count="2"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topLeftCell="A48" workbookViewId="0">
      <selection activeCell="K12" sqref="K12"/>
    </sheetView>
  </sheetViews>
  <sheetFormatPr defaultRowHeight="15" x14ac:dyDescent="0.2"/>
  <sheetData>
    <row r="1" spans="1:8" x14ac:dyDescent="0.2">
      <c r="B1" s="66" t="s">
        <v>87</v>
      </c>
      <c r="C1" s="66"/>
      <c r="D1" s="66"/>
    </row>
    <row r="3" spans="1:8" x14ac:dyDescent="0.2">
      <c r="B3" t="s">
        <v>88</v>
      </c>
    </row>
    <row r="4" spans="1:8" x14ac:dyDescent="0.2">
      <c r="C4" t="s">
        <v>89</v>
      </c>
      <c r="D4">
        <v>7</v>
      </c>
      <c r="E4" t="s">
        <v>90</v>
      </c>
    </row>
    <row r="5" spans="1:8" x14ac:dyDescent="0.2">
      <c r="C5" t="s">
        <v>91</v>
      </c>
      <c r="D5">
        <v>3</v>
      </c>
      <c r="E5" t="s">
        <v>90</v>
      </c>
    </row>
    <row r="6" spans="1:8" ht="17.25" x14ac:dyDescent="0.2">
      <c r="C6" t="s">
        <v>92</v>
      </c>
      <c r="D6">
        <v>3.5</v>
      </c>
      <c r="E6" t="s">
        <v>93</v>
      </c>
    </row>
    <row r="7" spans="1:8" ht="17.25" x14ac:dyDescent="0.2">
      <c r="C7" t="s">
        <v>94</v>
      </c>
      <c r="D7">
        <v>1.2</v>
      </c>
      <c r="E7" t="s">
        <v>93</v>
      </c>
    </row>
    <row r="8" spans="1:8" ht="18.75" x14ac:dyDescent="0.3">
      <c r="C8" t="s">
        <v>95</v>
      </c>
      <c r="D8">
        <v>20</v>
      </c>
      <c r="E8" t="s">
        <v>96</v>
      </c>
    </row>
    <row r="9" spans="1:8" ht="18.75" x14ac:dyDescent="0.3">
      <c r="C9" t="s">
        <v>97</v>
      </c>
      <c r="D9">
        <v>415</v>
      </c>
      <c r="E9" t="s">
        <v>96</v>
      </c>
    </row>
    <row r="10" spans="1:8" x14ac:dyDescent="0.2">
      <c r="C10" t="s">
        <v>98</v>
      </c>
      <c r="D10">
        <v>3000</v>
      </c>
      <c r="E10" t="s">
        <v>1</v>
      </c>
      <c r="F10" t="s">
        <v>99</v>
      </c>
      <c r="G10">
        <v>3</v>
      </c>
      <c r="H10" t="s">
        <v>90</v>
      </c>
    </row>
    <row r="11" spans="1:8" x14ac:dyDescent="0.2">
      <c r="C11" t="s">
        <v>100</v>
      </c>
      <c r="D11">
        <v>1</v>
      </c>
      <c r="E11" t="s">
        <v>90</v>
      </c>
      <c r="F11" t="s">
        <v>99</v>
      </c>
      <c r="G11">
        <v>1000</v>
      </c>
      <c r="H11" t="s">
        <v>1</v>
      </c>
    </row>
    <row r="12" spans="1:8" ht="18" x14ac:dyDescent="0.3">
      <c r="B12" t="s">
        <v>101</v>
      </c>
      <c r="C12">
        <f>(D4/D5)</f>
        <v>2.3333333333333335</v>
      </c>
    </row>
    <row r="13" spans="1:8" x14ac:dyDescent="0.2">
      <c r="B13" t="str">
        <f>IF(C12&gt;2,"one way slab","two way slab")</f>
        <v>one way slab</v>
      </c>
    </row>
    <row r="15" spans="1:8" x14ac:dyDescent="0.2">
      <c r="A15" s="8" t="s">
        <v>102</v>
      </c>
      <c r="B15" s="65" t="s">
        <v>103</v>
      </c>
      <c r="C15" s="65"/>
    </row>
    <row r="16" spans="1:8" x14ac:dyDescent="0.2">
      <c r="B16" t="s">
        <v>104</v>
      </c>
      <c r="C16">
        <v>20</v>
      </c>
    </row>
    <row r="17" spans="1:7" x14ac:dyDescent="0.2">
      <c r="B17" t="s">
        <v>105</v>
      </c>
      <c r="C17">
        <f>(D10/C16)</f>
        <v>150</v>
      </c>
      <c r="D17" t="s">
        <v>1</v>
      </c>
      <c r="E17" t="s">
        <v>106</v>
      </c>
      <c r="F17">
        <v>0.15</v>
      </c>
      <c r="G17" t="s">
        <v>90</v>
      </c>
    </row>
    <row r="18" spans="1:7" x14ac:dyDescent="0.2">
      <c r="B18" t="s">
        <v>107</v>
      </c>
      <c r="C18" s="64" t="s">
        <v>108</v>
      </c>
      <c r="D18" s="64"/>
    </row>
    <row r="19" spans="1:7" x14ac:dyDescent="0.2">
      <c r="B19" t="s">
        <v>107</v>
      </c>
      <c r="C19">
        <f>(C17+(15+10/2))</f>
        <v>170</v>
      </c>
      <c r="D19" t="s">
        <v>1</v>
      </c>
      <c r="E19" t="s">
        <v>109</v>
      </c>
      <c r="F19">
        <v>0.17</v>
      </c>
      <c r="G19" t="s">
        <v>90</v>
      </c>
    </row>
    <row r="21" spans="1:7" x14ac:dyDescent="0.2">
      <c r="A21" s="8" t="s">
        <v>110</v>
      </c>
      <c r="B21" s="65" t="s">
        <v>111</v>
      </c>
      <c r="C21" s="64"/>
    </row>
    <row r="22" spans="1:7" x14ac:dyDescent="0.2">
      <c r="B22" s="64" t="s">
        <v>112</v>
      </c>
      <c r="C22" s="64"/>
      <c r="D22">
        <f>(G10+0.23)</f>
        <v>3.23</v>
      </c>
      <c r="E22" t="s">
        <v>90</v>
      </c>
    </row>
    <row r="23" spans="1:7" x14ac:dyDescent="0.2">
      <c r="B23" s="64" t="s">
        <v>113</v>
      </c>
      <c r="C23" s="64"/>
      <c r="D23">
        <f>(G10+F17)</f>
        <v>3.15</v>
      </c>
      <c r="E23" t="s">
        <v>90</v>
      </c>
    </row>
    <row r="24" spans="1:7" x14ac:dyDescent="0.2">
      <c r="C24" t="s">
        <v>114</v>
      </c>
      <c r="D24" t="str">
        <f>IF(D22&gt;D23,"L2","L1")</f>
        <v>L2</v>
      </c>
      <c r="E24">
        <v>3.15</v>
      </c>
      <c r="F24" t="s">
        <v>90</v>
      </c>
    </row>
    <row r="26" spans="1:7" x14ac:dyDescent="0.2">
      <c r="A26" s="8" t="s">
        <v>115</v>
      </c>
      <c r="B26" s="65" t="s">
        <v>116</v>
      </c>
      <c r="C26" s="64"/>
    </row>
    <row r="27" spans="1:7" x14ac:dyDescent="0.2">
      <c r="B27" s="64" t="s">
        <v>117</v>
      </c>
      <c r="C27" s="64"/>
      <c r="D27" t="s">
        <v>118</v>
      </c>
    </row>
    <row r="28" spans="1:7" x14ac:dyDescent="0.2">
      <c r="C28" t="s">
        <v>119</v>
      </c>
      <c r="D28">
        <f>(F19*25*D11)</f>
        <v>4.25</v>
      </c>
      <c r="E28" t="s">
        <v>120</v>
      </c>
    </row>
    <row r="29" spans="1:7" x14ac:dyDescent="0.2">
      <c r="B29" s="64" t="s">
        <v>121</v>
      </c>
      <c r="C29" s="64"/>
      <c r="D29">
        <v>3.5</v>
      </c>
      <c r="E29" t="s">
        <v>122</v>
      </c>
    </row>
    <row r="30" spans="1:7" x14ac:dyDescent="0.2">
      <c r="B30" s="64" t="s">
        <v>123</v>
      </c>
      <c r="C30" s="64"/>
      <c r="D30">
        <v>1.2</v>
      </c>
      <c r="E30" t="s">
        <v>122</v>
      </c>
    </row>
    <row r="31" spans="1:7" x14ac:dyDescent="0.2">
      <c r="B31" t="s">
        <v>124</v>
      </c>
      <c r="D31">
        <f>(D28+D29+D30)</f>
        <v>8.9499999999999993</v>
      </c>
      <c r="E31" t="s">
        <v>122</v>
      </c>
    </row>
    <row r="32" spans="1:7" x14ac:dyDescent="0.2">
      <c r="A32" t="s">
        <v>125</v>
      </c>
      <c r="B32" s="64" t="s">
        <v>126</v>
      </c>
      <c r="C32" s="64"/>
      <c r="D32">
        <f>(1.5*D31)</f>
        <v>13.424999999999999</v>
      </c>
      <c r="E32" t="s">
        <v>122</v>
      </c>
    </row>
    <row r="34" spans="1:8" x14ac:dyDescent="0.2">
      <c r="B34" s="65" t="s">
        <v>127</v>
      </c>
      <c r="C34" s="64"/>
      <c r="D34" s="64"/>
    </row>
    <row r="35" spans="1:8" ht="18.75" x14ac:dyDescent="0.3">
      <c r="C35" t="s">
        <v>128</v>
      </c>
      <c r="D35" t="s">
        <v>129</v>
      </c>
    </row>
    <row r="36" spans="1:8" x14ac:dyDescent="0.2">
      <c r="C36" t="s">
        <v>130</v>
      </c>
      <c r="D36">
        <f>((D32*E24^2)/8)</f>
        <v>16.651195312499997</v>
      </c>
      <c r="E36" t="s">
        <v>131</v>
      </c>
      <c r="F36" t="s">
        <v>106</v>
      </c>
      <c r="G36">
        <v>16651200</v>
      </c>
      <c r="H36" t="s">
        <v>132</v>
      </c>
    </row>
    <row r="38" spans="1:8" x14ac:dyDescent="0.2">
      <c r="A38" s="8" t="s">
        <v>133</v>
      </c>
      <c r="B38" s="65" t="s">
        <v>134</v>
      </c>
      <c r="C38" s="64"/>
    </row>
    <row r="39" spans="1:8" ht="18.75" x14ac:dyDescent="0.3">
      <c r="B39" t="s">
        <v>128</v>
      </c>
      <c r="C39" t="s">
        <v>135</v>
      </c>
    </row>
    <row r="40" spans="1:8" ht="18" x14ac:dyDescent="0.3">
      <c r="B40" t="s">
        <v>136</v>
      </c>
      <c r="C40" t="s">
        <v>137</v>
      </c>
    </row>
    <row r="41" spans="1:8" x14ac:dyDescent="0.2">
      <c r="B41" t="s">
        <v>136</v>
      </c>
      <c r="C41">
        <f>SQRT(G36/(0.138*D8*G11))</f>
        <v>77.67266879836734</v>
      </c>
      <c r="D41" t="s">
        <v>1</v>
      </c>
      <c r="E41" t="s">
        <v>138</v>
      </c>
    </row>
    <row r="43" spans="1:8" ht="18" x14ac:dyDescent="0.3">
      <c r="A43" s="8" t="s">
        <v>139</v>
      </c>
      <c r="B43" s="65" t="s">
        <v>140</v>
      </c>
      <c r="C43" s="64"/>
    </row>
    <row r="44" spans="1:8" ht="18" x14ac:dyDescent="0.3">
      <c r="B44" t="s">
        <v>141</v>
      </c>
      <c r="C44" t="s">
        <v>142</v>
      </c>
    </row>
    <row r="45" spans="1:8" ht="18.75" x14ac:dyDescent="0.3">
      <c r="B45" t="s">
        <v>141</v>
      </c>
      <c r="C45">
        <f>(1.14*G36*G11*D8)/(D9*((G11*C17*D8)-D9))</f>
        <v>304.97982743034476</v>
      </c>
      <c r="D45" t="s">
        <v>143</v>
      </c>
    </row>
    <row r="46" spans="1:8" x14ac:dyDescent="0.2">
      <c r="B46" s="64" t="s">
        <v>144</v>
      </c>
      <c r="C46" s="64"/>
      <c r="D46" s="64"/>
      <c r="E46" s="64"/>
    </row>
    <row r="47" spans="1:8" ht="18.75" x14ac:dyDescent="0.3">
      <c r="A47" t="s">
        <v>125</v>
      </c>
      <c r="B47" t="s">
        <v>145</v>
      </c>
      <c r="C47">
        <f>(3.14*10^2)/4</f>
        <v>78.5</v>
      </c>
      <c r="D47" t="s">
        <v>143</v>
      </c>
    </row>
    <row r="48" spans="1:8" ht="18" x14ac:dyDescent="0.3">
      <c r="B48" t="s">
        <v>146</v>
      </c>
      <c r="C48" s="64" t="s">
        <v>147</v>
      </c>
      <c r="D48" s="64"/>
    </row>
    <row r="49" spans="1:5" x14ac:dyDescent="0.2">
      <c r="B49" t="s">
        <v>146</v>
      </c>
      <c r="C49">
        <f>((1000*C47)/C45)</f>
        <v>257.39407311432376</v>
      </c>
      <c r="D49" t="s">
        <v>1</v>
      </c>
    </row>
    <row r="50" spans="1:5" x14ac:dyDescent="0.2">
      <c r="B50" t="s">
        <v>146</v>
      </c>
      <c r="C50">
        <v>250</v>
      </c>
      <c r="D50" t="s">
        <v>1</v>
      </c>
    </row>
    <row r="51" spans="1:5" x14ac:dyDescent="0.2">
      <c r="B51" s="64" t="s">
        <v>148</v>
      </c>
      <c r="C51" s="64"/>
      <c r="D51" s="64"/>
      <c r="E51" s="64"/>
    </row>
    <row r="52" spans="1:5" ht="18" x14ac:dyDescent="0.3">
      <c r="B52" s="64" t="s">
        <v>149</v>
      </c>
      <c r="C52" s="64"/>
      <c r="D52" t="s">
        <v>150</v>
      </c>
    </row>
    <row r="53" spans="1:5" ht="18.75" x14ac:dyDescent="0.3">
      <c r="B53" s="64" t="s">
        <v>149</v>
      </c>
      <c r="C53" s="64"/>
      <c r="D53">
        <f>((1000*C47)/C50)</f>
        <v>314</v>
      </c>
      <c r="E53" t="s">
        <v>143</v>
      </c>
    </row>
    <row r="54" spans="1:5" ht="18" x14ac:dyDescent="0.3">
      <c r="B54" s="64" t="s">
        <v>151</v>
      </c>
      <c r="C54" s="64"/>
      <c r="D54" s="64" t="s">
        <v>152</v>
      </c>
      <c r="E54" s="64"/>
    </row>
    <row r="55" spans="1:5" x14ac:dyDescent="0.2">
      <c r="B55" s="64" t="s">
        <v>151</v>
      </c>
      <c r="C55" s="64"/>
      <c r="D55">
        <f>((100*C45)/(G11*C17))</f>
        <v>0.20331988495356315</v>
      </c>
      <c r="E55" t="s">
        <v>45</v>
      </c>
    </row>
    <row r="57" spans="1:5" x14ac:dyDescent="0.2">
      <c r="A57" s="8" t="s">
        <v>153</v>
      </c>
      <c r="B57" s="65" t="s">
        <v>154</v>
      </c>
      <c r="C57" s="64"/>
      <c r="D57" s="64"/>
    </row>
    <row r="58" spans="1:5" ht="18" x14ac:dyDescent="0.3">
      <c r="B58" t="s">
        <v>155</v>
      </c>
      <c r="C58" s="64" t="s">
        <v>156</v>
      </c>
      <c r="D58" s="64"/>
    </row>
    <row r="59" spans="1:5" ht="18.75" x14ac:dyDescent="0.3">
      <c r="B59" t="s">
        <v>157</v>
      </c>
      <c r="C59">
        <f>((0.12*G11*C19)/100)</f>
        <v>204</v>
      </c>
      <c r="D59" t="s">
        <v>143</v>
      </c>
    </row>
    <row r="60" spans="1:5" x14ac:dyDescent="0.2">
      <c r="B60" s="64" t="s">
        <v>158</v>
      </c>
      <c r="C60" s="64"/>
      <c r="D60" s="64"/>
    </row>
    <row r="61" spans="1:5" ht="18.75" x14ac:dyDescent="0.3">
      <c r="B61" t="s">
        <v>145</v>
      </c>
      <c r="C61" s="57">
        <f>((3.14*8^2)/4)</f>
        <v>50.24</v>
      </c>
      <c r="D61" t="s">
        <v>143</v>
      </c>
    </row>
    <row r="62" spans="1:5" ht="18" x14ac:dyDescent="0.3">
      <c r="B62" t="s">
        <v>159</v>
      </c>
      <c r="C62" t="s">
        <v>147</v>
      </c>
    </row>
    <row r="63" spans="1:5" ht="18" x14ac:dyDescent="0.3">
      <c r="B63" t="s">
        <v>159</v>
      </c>
      <c r="C63">
        <f>((1000*C61)/C59)</f>
        <v>246.27450980392157</v>
      </c>
      <c r="D63" t="s">
        <v>1</v>
      </c>
    </row>
    <row r="64" spans="1:5" ht="18" x14ac:dyDescent="0.3">
      <c r="B64" t="s">
        <v>159</v>
      </c>
      <c r="C64">
        <v>245</v>
      </c>
      <c r="D64" t="s">
        <v>1</v>
      </c>
    </row>
    <row r="65" spans="2:5" x14ac:dyDescent="0.2">
      <c r="B65" s="64" t="s">
        <v>160</v>
      </c>
      <c r="C65" s="64"/>
      <c r="D65" s="64"/>
      <c r="E65" s="64"/>
    </row>
  </sheetData>
  <mergeCells count="26">
    <mergeCell ref="B23:C23"/>
    <mergeCell ref="B1:D1"/>
    <mergeCell ref="B15:C15"/>
    <mergeCell ref="C18:D18"/>
    <mergeCell ref="B21:C21"/>
    <mergeCell ref="B22:C22"/>
    <mergeCell ref="B52:C52"/>
    <mergeCell ref="B26:C26"/>
    <mergeCell ref="B27:C27"/>
    <mergeCell ref="B29:C29"/>
    <mergeCell ref="B30:C30"/>
    <mergeCell ref="B32:C32"/>
    <mergeCell ref="B34:D34"/>
    <mergeCell ref="B38:C38"/>
    <mergeCell ref="B43:C43"/>
    <mergeCell ref="B46:E46"/>
    <mergeCell ref="C48:D48"/>
    <mergeCell ref="B51:E51"/>
    <mergeCell ref="B60:D60"/>
    <mergeCell ref="B65:E65"/>
    <mergeCell ref="B53:C53"/>
    <mergeCell ref="B54:C54"/>
    <mergeCell ref="D54:E54"/>
    <mergeCell ref="B55:C55"/>
    <mergeCell ref="B57:D57"/>
    <mergeCell ref="C58:D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6"/>
  <sheetViews>
    <sheetView tabSelected="1" topLeftCell="A51" workbookViewId="0">
      <selection activeCell="J32" sqref="J32"/>
    </sheetView>
  </sheetViews>
  <sheetFormatPr defaultRowHeight="15" x14ac:dyDescent="0.2"/>
  <sheetData>
    <row r="1" spans="1:7" x14ac:dyDescent="0.2">
      <c r="B1" s="56"/>
      <c r="C1" s="67" t="s">
        <v>161</v>
      </c>
      <c r="D1" s="67"/>
      <c r="E1" s="43"/>
    </row>
    <row r="2" spans="1:7" x14ac:dyDescent="0.2">
      <c r="A2" t="s">
        <v>162</v>
      </c>
    </row>
    <row r="3" spans="1:7" x14ac:dyDescent="0.2">
      <c r="B3" t="s">
        <v>88</v>
      </c>
      <c r="C3" s="8" t="s">
        <v>163</v>
      </c>
      <c r="D3">
        <v>4750</v>
      </c>
      <c r="E3" t="s">
        <v>1</v>
      </c>
    </row>
    <row r="4" spans="1:7" x14ac:dyDescent="0.2">
      <c r="C4" s="8" t="s">
        <v>164</v>
      </c>
      <c r="D4">
        <v>4.75</v>
      </c>
      <c r="E4" t="s">
        <v>90</v>
      </c>
    </row>
    <row r="5" spans="1:7" x14ac:dyDescent="0.2">
      <c r="C5" s="8" t="s">
        <v>165</v>
      </c>
      <c r="D5">
        <v>4.75</v>
      </c>
      <c r="E5" t="s">
        <v>90</v>
      </c>
    </row>
    <row r="6" spans="1:7" x14ac:dyDescent="0.2">
      <c r="C6" s="8" t="s">
        <v>166</v>
      </c>
      <c r="D6">
        <v>2.5</v>
      </c>
      <c r="E6" t="s">
        <v>90</v>
      </c>
    </row>
    <row r="7" spans="1:7" x14ac:dyDescent="0.2">
      <c r="C7" s="8" t="s">
        <v>167</v>
      </c>
      <c r="D7">
        <v>1</v>
      </c>
      <c r="E7" t="s">
        <v>122</v>
      </c>
    </row>
    <row r="8" spans="1:7" x14ac:dyDescent="0.2">
      <c r="C8" s="8" t="s">
        <v>168</v>
      </c>
      <c r="D8">
        <v>0.15</v>
      </c>
      <c r="E8" t="s">
        <v>90</v>
      </c>
    </row>
    <row r="9" spans="1:7" x14ac:dyDescent="0.2">
      <c r="C9" s="8" t="s">
        <v>169</v>
      </c>
      <c r="D9">
        <v>15</v>
      </c>
      <c r="E9" t="s">
        <v>9</v>
      </c>
    </row>
    <row r="10" spans="1:7" x14ac:dyDescent="0.2">
      <c r="C10" s="8" t="s">
        <v>170</v>
      </c>
      <c r="D10">
        <v>415</v>
      </c>
      <c r="E10" t="s">
        <v>9</v>
      </c>
    </row>
    <row r="11" spans="1:7" x14ac:dyDescent="0.2">
      <c r="C11" s="8" t="s">
        <v>171</v>
      </c>
      <c r="D11">
        <v>1</v>
      </c>
      <c r="E11" t="s">
        <v>90</v>
      </c>
      <c r="F11">
        <v>1000</v>
      </c>
      <c r="G11" t="s">
        <v>1</v>
      </c>
    </row>
    <row r="12" spans="1:7" x14ac:dyDescent="0.2">
      <c r="C12" s="8"/>
    </row>
    <row r="13" spans="1:7" x14ac:dyDescent="0.2">
      <c r="C13" s="8" t="s">
        <v>172</v>
      </c>
      <c r="D13">
        <f>D4/D5</f>
        <v>1</v>
      </c>
    </row>
    <row r="14" spans="1:7" x14ac:dyDescent="0.2">
      <c r="D14" t="str">
        <f>IF(D13&lt;2,"two way slab","oneway slab")</f>
        <v>two way slab</v>
      </c>
    </row>
    <row r="16" spans="1:7" x14ac:dyDescent="0.2">
      <c r="B16" s="8" t="s">
        <v>102</v>
      </c>
      <c r="C16" s="8" t="s">
        <v>173</v>
      </c>
      <c r="D16">
        <v>30</v>
      </c>
    </row>
    <row r="17" spans="2:7" x14ac:dyDescent="0.2">
      <c r="C17" s="8" t="s">
        <v>14</v>
      </c>
      <c r="D17">
        <f>D3/D16</f>
        <v>158.33333333333334</v>
      </c>
      <c r="E17" t="s">
        <v>1</v>
      </c>
    </row>
    <row r="18" spans="2:7" x14ac:dyDescent="0.2">
      <c r="C18" s="58" t="s">
        <v>14</v>
      </c>
      <c r="D18" s="59">
        <v>160</v>
      </c>
      <c r="E18" t="s">
        <v>1</v>
      </c>
      <c r="F18">
        <f>160*(10^-3)</f>
        <v>0.16</v>
      </c>
      <c r="G18" t="s">
        <v>90</v>
      </c>
    </row>
    <row r="19" spans="2:7" x14ac:dyDescent="0.2">
      <c r="C19" s="58" t="s">
        <v>15</v>
      </c>
      <c r="D19" s="8" t="s">
        <v>108</v>
      </c>
    </row>
    <row r="20" spans="2:7" x14ac:dyDescent="0.2">
      <c r="D20" s="59">
        <f>D18+(15+(10/2))</f>
        <v>180</v>
      </c>
      <c r="E20" t="s">
        <v>1</v>
      </c>
      <c r="F20">
        <v>0.18</v>
      </c>
      <c r="G20" t="s">
        <v>90</v>
      </c>
    </row>
    <row r="21" spans="2:7" x14ac:dyDescent="0.2">
      <c r="C21" s="58" t="s">
        <v>174</v>
      </c>
      <c r="D21" t="s">
        <v>175</v>
      </c>
      <c r="F21" s="59"/>
    </row>
    <row r="22" spans="2:7" x14ac:dyDescent="0.2">
      <c r="D22" s="43">
        <f>D20-(15+(10/2))</f>
        <v>160</v>
      </c>
      <c r="E22" t="s">
        <v>1</v>
      </c>
      <c r="F22">
        <v>0.16</v>
      </c>
      <c r="G22" s="59" t="s">
        <v>90</v>
      </c>
    </row>
    <row r="23" spans="2:7" x14ac:dyDescent="0.2">
      <c r="C23" s="58" t="s">
        <v>176</v>
      </c>
      <c r="D23" t="s">
        <v>177</v>
      </c>
      <c r="G23" s="59"/>
    </row>
    <row r="24" spans="2:7" x14ac:dyDescent="0.2">
      <c r="D24" s="43">
        <f>D20-(15+10+(10/2))</f>
        <v>150</v>
      </c>
      <c r="E24" t="s">
        <v>1</v>
      </c>
      <c r="F24">
        <v>0.15</v>
      </c>
      <c r="G24" s="59" t="s">
        <v>90</v>
      </c>
    </row>
    <row r="26" spans="2:7" x14ac:dyDescent="0.2">
      <c r="B26" t="s">
        <v>110</v>
      </c>
      <c r="C26" s="1" t="s">
        <v>178</v>
      </c>
    </row>
    <row r="28" spans="2:7" x14ac:dyDescent="0.2">
      <c r="B28" t="s">
        <v>179</v>
      </c>
      <c r="C28" t="s">
        <v>180</v>
      </c>
      <c r="D28">
        <f>D5+D8</f>
        <v>4.9000000000000004</v>
      </c>
      <c r="E28" t="s">
        <v>1</v>
      </c>
    </row>
    <row r="29" spans="2:7" x14ac:dyDescent="0.2">
      <c r="B29" t="s">
        <v>181</v>
      </c>
      <c r="C29" t="s">
        <v>182</v>
      </c>
      <c r="D29">
        <f>D4+F18</f>
        <v>4.91</v>
      </c>
    </row>
    <row r="30" spans="2:7" x14ac:dyDescent="0.2">
      <c r="C30" s="8" t="s">
        <v>183</v>
      </c>
      <c r="D30" s="8" t="e">
        <f>IF(#REF!&lt;#REF!,"L2","L1")</f>
        <v>#REF!</v>
      </c>
    </row>
    <row r="31" spans="2:7" x14ac:dyDescent="0.2">
      <c r="C31" s="8" t="s">
        <v>164</v>
      </c>
      <c r="D31">
        <v>4.9000000000000004</v>
      </c>
      <c r="E31" t="s">
        <v>90</v>
      </c>
    </row>
    <row r="33" spans="2:7" x14ac:dyDescent="0.2">
      <c r="B33" t="s">
        <v>115</v>
      </c>
      <c r="C33" t="s">
        <v>184</v>
      </c>
    </row>
    <row r="35" spans="2:7" x14ac:dyDescent="0.2">
      <c r="C35" s="8" t="s">
        <v>185</v>
      </c>
      <c r="D35" t="s">
        <v>186</v>
      </c>
    </row>
    <row r="36" spans="2:7" x14ac:dyDescent="0.2">
      <c r="C36" s="8"/>
      <c r="D36">
        <f>F20*D11*25</f>
        <v>4.5</v>
      </c>
      <c r="E36" t="s">
        <v>122</v>
      </c>
    </row>
    <row r="37" spans="2:7" x14ac:dyDescent="0.2">
      <c r="C37" s="8" t="s">
        <v>187</v>
      </c>
      <c r="D37">
        <v>2.5</v>
      </c>
      <c r="E37" t="s">
        <v>122</v>
      </c>
    </row>
    <row r="38" spans="2:7" x14ac:dyDescent="0.2">
      <c r="C38" s="8" t="s">
        <v>188</v>
      </c>
      <c r="D38">
        <v>1</v>
      </c>
      <c r="E38" t="s">
        <v>122</v>
      </c>
    </row>
    <row r="39" spans="2:7" x14ac:dyDescent="0.2">
      <c r="C39" s="8" t="s">
        <v>189</v>
      </c>
      <c r="D39">
        <f>D36+D37+D38</f>
        <v>8</v>
      </c>
      <c r="E39" t="s">
        <v>122</v>
      </c>
    </row>
    <row r="40" spans="2:7" x14ac:dyDescent="0.2">
      <c r="C40" s="8" t="s">
        <v>190</v>
      </c>
      <c r="D40">
        <f>D39*1.5</f>
        <v>12</v>
      </c>
      <c r="E40" t="s">
        <v>122</v>
      </c>
    </row>
    <row r="42" spans="2:7" x14ac:dyDescent="0.2">
      <c r="C42" s="43" t="s">
        <v>191</v>
      </c>
    </row>
    <row r="43" spans="2:7" x14ac:dyDescent="0.2">
      <c r="C43" s="8" t="s">
        <v>192</v>
      </c>
      <c r="D43" s="60" t="s">
        <v>193</v>
      </c>
    </row>
    <row r="44" spans="2:7" x14ac:dyDescent="0.2">
      <c r="D44" s="43">
        <f>0.062*D40*(D31^2)</f>
        <v>17.863440000000004</v>
      </c>
      <c r="E44" t="s">
        <v>131</v>
      </c>
      <c r="F44" s="43">
        <f>D44*(10^6)</f>
        <v>17863440.000000004</v>
      </c>
      <c r="G44" t="s">
        <v>194</v>
      </c>
    </row>
    <row r="46" spans="2:7" x14ac:dyDescent="0.2">
      <c r="C46" s="8" t="s">
        <v>195</v>
      </c>
      <c r="D46" t="s">
        <v>196</v>
      </c>
    </row>
    <row r="47" spans="2:7" x14ac:dyDescent="0.2">
      <c r="C47" s="8" t="s">
        <v>14</v>
      </c>
      <c r="D47" t="s">
        <v>197</v>
      </c>
    </row>
    <row r="48" spans="2:7" x14ac:dyDescent="0.2">
      <c r="D48" s="43">
        <f>SQRT(F44/(0.138*D9*F11))</f>
        <v>92.896077201463626</v>
      </c>
      <c r="E48" t="s">
        <v>1</v>
      </c>
      <c r="F48" s="43" t="s">
        <v>198</v>
      </c>
    </row>
    <row r="50" spans="2:7" ht="18" x14ac:dyDescent="0.3">
      <c r="B50" t="s">
        <v>133</v>
      </c>
      <c r="C50" s="59" t="s">
        <v>199</v>
      </c>
    </row>
    <row r="52" spans="2:7" ht="18" x14ac:dyDescent="0.3">
      <c r="C52" s="8" t="s">
        <v>200</v>
      </c>
    </row>
    <row r="53" spans="2:7" ht="18" x14ac:dyDescent="0.3">
      <c r="C53" s="58" t="s">
        <v>201</v>
      </c>
      <c r="D53" t="s">
        <v>202</v>
      </c>
    </row>
    <row r="54" spans="2:7" x14ac:dyDescent="0.2">
      <c r="D54" s="43">
        <f>(1.14*F44*F11*D9)/(D10*((F11*D18*D9)-D10))</f>
        <v>306.74463162066354</v>
      </c>
      <c r="E54" t="s">
        <v>35</v>
      </c>
    </row>
    <row r="56" spans="2:7" x14ac:dyDescent="0.2">
      <c r="C56" t="s">
        <v>203</v>
      </c>
    </row>
    <row r="57" spans="2:7" ht="18" x14ac:dyDescent="0.3">
      <c r="C57" s="8" t="s">
        <v>204</v>
      </c>
      <c r="D57" t="s">
        <v>147</v>
      </c>
    </row>
    <row r="58" spans="2:7" x14ac:dyDescent="0.2">
      <c r="D58">
        <f>(1000*78.53)/D54</f>
        <v>256.01100037217378</v>
      </c>
      <c r="E58" t="s">
        <v>1</v>
      </c>
      <c r="F58" s="43">
        <v>255</v>
      </c>
      <c r="G58" t="s">
        <v>1</v>
      </c>
    </row>
    <row r="59" spans="2:7" ht="18" x14ac:dyDescent="0.3">
      <c r="C59" s="61" t="s">
        <v>205</v>
      </c>
      <c r="D59" t="s">
        <v>206</v>
      </c>
    </row>
    <row r="60" spans="2:7" x14ac:dyDescent="0.2">
      <c r="D60" s="43">
        <f>(1000*78.53)/F58</f>
        <v>307.96078431372547</v>
      </c>
      <c r="E60" t="s">
        <v>35</v>
      </c>
    </row>
    <row r="62" spans="2:7" x14ac:dyDescent="0.2">
      <c r="C62" t="s">
        <v>207</v>
      </c>
    </row>
    <row r="64" spans="2:7" x14ac:dyDescent="0.2">
      <c r="B64" s="8" t="s">
        <v>139</v>
      </c>
      <c r="C64" s="59" t="s">
        <v>208</v>
      </c>
    </row>
    <row r="66" spans="3:7" ht="18" x14ac:dyDescent="0.3">
      <c r="C66" t="s">
        <v>209</v>
      </c>
      <c r="D66" t="s">
        <v>210</v>
      </c>
    </row>
    <row r="67" spans="3:7" x14ac:dyDescent="0.2">
      <c r="D67">
        <f>0.58*D10*(D54/D60)</f>
        <v>239.74946354168975</v>
      </c>
      <c r="E67" t="s">
        <v>194</v>
      </c>
    </row>
    <row r="69" spans="3:7" x14ac:dyDescent="0.2">
      <c r="C69" t="s">
        <v>211</v>
      </c>
      <c r="D69" t="s">
        <v>212</v>
      </c>
    </row>
    <row r="70" spans="3:7" x14ac:dyDescent="0.2">
      <c r="D70">
        <f>(100*D60)/(F11*D18)</f>
        <v>0.1924754901960784</v>
      </c>
      <c r="F70" s="62">
        <v>2E-3</v>
      </c>
    </row>
    <row r="72" spans="3:7" x14ac:dyDescent="0.2">
      <c r="C72" t="s">
        <v>213</v>
      </c>
      <c r="D72" t="s">
        <v>214</v>
      </c>
      <c r="E72">
        <f>34.4</f>
        <v>34.4</v>
      </c>
      <c r="F72" t="s">
        <v>1</v>
      </c>
    </row>
    <row r="74" spans="3:7" x14ac:dyDescent="0.2">
      <c r="C74" t="s">
        <v>215</v>
      </c>
      <c r="D74">
        <f>D31/D18</f>
        <v>3.0625000000000003E-2</v>
      </c>
      <c r="E74" t="s">
        <v>90</v>
      </c>
      <c r="F74" s="43">
        <v>30.62</v>
      </c>
      <c r="G74" t="s">
        <v>1</v>
      </c>
    </row>
    <row r="76" spans="3:7" x14ac:dyDescent="0.2">
      <c r="D76" s="43" t="str">
        <f>IF(E72&gt;F74,"Hence ok","not ok")</f>
        <v>Hence ok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singly reinforced beam</vt:lpstr>
      <vt:lpstr>doubly reinforced beam</vt:lpstr>
      <vt:lpstr>one way slab</vt:lpstr>
      <vt:lpstr>two way 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2021-07-25T15:46:51Z</dcterms:modified>
</cp:coreProperties>
</file>