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040"/>
  </bookViews>
  <sheets>
    <sheet name="Model" sheetId="1" r:id="rId1"/>
    <sheet name="DCF" sheetId="8" r:id="rId2"/>
    <sheet name="Comps. Analysis" sheetId="9" r:id="rId3"/>
    <sheet name="WACC" sheetId="6" r:id="rId4"/>
    <sheet name="Revenue&amp;Expenses" sheetId="4" r:id="rId5"/>
    <sheet name="Supporting Schedules" sheetId="2" r:id="rId6"/>
    <sheet name="Assets" sheetId="3" r:id="rId7"/>
    <sheet name="Liabilities" sheetId="5" r:id="rId8"/>
    <sheet name="Beta&amp; Rm" sheetId="7" r:id="rId9"/>
  </sheets>
  <externalReferences>
    <externalReference r:id="rId10"/>
    <externalReference r:id="rId11"/>
  </externalReferences>
  <definedNames>
    <definedName name="tgr">[1]DCF!$E$19</definedName>
    <definedName name="wacc">[1]DCF!$E$18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8"/>
  <c r="O26" i="9"/>
  <c r="D7"/>
  <c r="K12" i="1"/>
  <c r="J12"/>
  <c r="P17" i="2"/>
  <c r="M7" i="9" l="1"/>
  <c r="L7"/>
  <c r="K7"/>
  <c r="E7"/>
  <c r="F14"/>
  <c r="B14"/>
  <c r="H13"/>
  <c r="F13"/>
  <c r="B13"/>
  <c r="H12"/>
  <c r="F12"/>
  <c r="B12"/>
  <c r="F11"/>
  <c r="B11"/>
  <c r="H10"/>
  <c r="F10"/>
  <c r="B10"/>
  <c r="F9"/>
  <c r="B9"/>
  <c r="F8"/>
  <c r="B8"/>
  <c r="B7"/>
  <c r="H8" l="1"/>
  <c r="O8" s="1"/>
  <c r="H11"/>
  <c r="H14"/>
  <c r="H9"/>
  <c r="O9" s="1"/>
  <c r="F7"/>
  <c r="O28"/>
  <c r="O13"/>
  <c r="O11"/>
  <c r="O10"/>
  <c r="O12"/>
  <c r="O14" l="1"/>
  <c r="H7"/>
  <c r="O7" s="1"/>
  <c r="O17" l="1"/>
  <c r="O20"/>
  <c r="O18"/>
  <c r="O21"/>
  <c r="O16"/>
  <c r="O19"/>
  <c r="O25" s="1"/>
  <c r="O27" l="1"/>
  <c r="O30" s="1"/>
  <c r="D11" i="6" l="1"/>
  <c r="N46" i="4" l="1"/>
  <c r="M46"/>
  <c r="M34" s="1"/>
  <c r="L46"/>
  <c r="L34" s="1"/>
  <c r="K46"/>
  <c r="K34" s="1"/>
  <c r="N44"/>
  <c r="M44"/>
  <c r="M32" s="1"/>
  <c r="L44"/>
  <c r="L32" s="1"/>
  <c r="K44"/>
  <c r="N43"/>
  <c r="N31" s="1"/>
  <c r="M43"/>
  <c r="L43"/>
  <c r="L31" s="1"/>
  <c r="K43"/>
  <c r="K31" s="1"/>
  <c r="N40"/>
  <c r="N28" s="1"/>
  <c r="M40"/>
  <c r="M28" s="1"/>
  <c r="L40"/>
  <c r="K40"/>
  <c r="K28" s="1"/>
  <c r="N39"/>
  <c r="M39"/>
  <c r="M27" s="1"/>
  <c r="L39"/>
  <c r="L27" s="1"/>
  <c r="K39"/>
  <c r="N38"/>
  <c r="N26" s="1"/>
  <c r="M38"/>
  <c r="L38"/>
  <c r="L26" s="1"/>
  <c r="K38"/>
  <c r="K26" s="1"/>
  <c r="N37"/>
  <c r="N25" s="1"/>
  <c r="M37"/>
  <c r="M25" s="1"/>
  <c r="L37"/>
  <c r="K37"/>
  <c r="K25" s="1"/>
  <c r="N62" i="1"/>
  <c r="M62"/>
  <c r="L62"/>
  <c r="K62"/>
  <c r="J62"/>
  <c r="I62"/>
  <c r="H62"/>
  <c r="G62"/>
  <c r="F62"/>
  <c r="E62"/>
  <c r="D62"/>
  <c r="N68"/>
  <c r="M68"/>
  <c r="L68"/>
  <c r="K68"/>
  <c r="J68"/>
  <c r="I68"/>
  <c r="H68"/>
  <c r="G68"/>
  <c r="F68"/>
  <c r="E68"/>
  <c r="D68"/>
  <c r="J74"/>
  <c r="E70" i="2"/>
  <c r="E73" s="1"/>
  <c r="D73"/>
  <c r="D78" i="1" s="1"/>
  <c r="D72" i="2"/>
  <c r="K64" i="1"/>
  <c r="J64"/>
  <c r="N58"/>
  <c r="M58"/>
  <c r="L58"/>
  <c r="K58"/>
  <c r="J58"/>
  <c r="N57"/>
  <c r="M57"/>
  <c r="L57"/>
  <c r="K57"/>
  <c r="J57"/>
  <c r="N56"/>
  <c r="M56"/>
  <c r="L56"/>
  <c r="K56"/>
  <c r="J56"/>
  <c r="N55"/>
  <c r="M55"/>
  <c r="L55"/>
  <c r="K55"/>
  <c r="J55"/>
  <c r="N54"/>
  <c r="M54"/>
  <c r="L54"/>
  <c r="K54"/>
  <c r="J54"/>
  <c r="N51"/>
  <c r="M51"/>
  <c r="L51"/>
  <c r="K51"/>
  <c r="J51"/>
  <c r="N50"/>
  <c r="M50"/>
  <c r="L50"/>
  <c r="K50"/>
  <c r="J50"/>
  <c r="N48"/>
  <c r="M48"/>
  <c r="L48"/>
  <c r="K48"/>
  <c r="J48"/>
  <c r="N47"/>
  <c r="M47"/>
  <c r="L47"/>
  <c r="K47"/>
  <c r="J47"/>
  <c r="N46"/>
  <c r="M46"/>
  <c r="L46"/>
  <c r="K46"/>
  <c r="J46"/>
  <c r="N45"/>
  <c r="M45"/>
  <c r="L45"/>
  <c r="K45"/>
  <c r="J45"/>
  <c r="N44"/>
  <c r="M44"/>
  <c r="L44"/>
  <c r="K44"/>
  <c r="J44"/>
  <c r="N43"/>
  <c r="M43"/>
  <c r="L43"/>
  <c r="K43"/>
  <c r="J43"/>
  <c r="N42"/>
  <c r="M42"/>
  <c r="L42"/>
  <c r="K42"/>
  <c r="J42"/>
  <c r="N42" i="5"/>
  <c r="N66" i="1" s="1"/>
  <c r="M42" i="5"/>
  <c r="M66" i="1" s="1"/>
  <c r="L42" i="5"/>
  <c r="L66" i="1" s="1"/>
  <c r="K42" i="5"/>
  <c r="K66" i="1" s="1"/>
  <c r="J42" i="5"/>
  <c r="J66" i="1" s="1"/>
  <c r="L41" i="5"/>
  <c r="M41" s="1"/>
  <c r="K41"/>
  <c r="K65" i="1" s="1"/>
  <c r="J41" i="5"/>
  <c r="J65" i="1" s="1"/>
  <c r="N40" i="5"/>
  <c r="N64" i="1" s="1"/>
  <c r="M40" i="5"/>
  <c r="M64" i="1" s="1"/>
  <c r="L40" i="5"/>
  <c r="L64" i="1" s="1"/>
  <c r="K40" i="5"/>
  <c r="J40"/>
  <c r="I14"/>
  <c r="H14"/>
  <c r="G14"/>
  <c r="F14"/>
  <c r="E14"/>
  <c r="D14"/>
  <c r="L22"/>
  <c r="M22" s="1"/>
  <c r="K22"/>
  <c r="K75" i="1" s="1"/>
  <c r="J22" i="5"/>
  <c r="J75" i="1" s="1"/>
  <c r="K21" i="5"/>
  <c r="L21" s="1"/>
  <c r="M21" s="1"/>
  <c r="N21" s="1"/>
  <c r="N74" i="1" s="1"/>
  <c r="J21" i="5"/>
  <c r="K20"/>
  <c r="L20" s="1"/>
  <c r="J20"/>
  <c r="J73" i="1" s="1"/>
  <c r="M19" i="5"/>
  <c r="N19" s="1"/>
  <c r="L19"/>
  <c r="K19"/>
  <c r="J19"/>
  <c r="J18"/>
  <c r="K18" s="1"/>
  <c r="L18" s="1"/>
  <c r="M18" s="1"/>
  <c r="N18" s="1"/>
  <c r="M17"/>
  <c r="N17" s="1"/>
  <c r="L17"/>
  <c r="K17"/>
  <c r="J17"/>
  <c r="L16"/>
  <c r="M16" s="1"/>
  <c r="K16"/>
  <c r="J16"/>
  <c r="M15"/>
  <c r="N15" s="1"/>
  <c r="L15"/>
  <c r="K15"/>
  <c r="J15"/>
  <c r="J13"/>
  <c r="K13" s="1"/>
  <c r="J50" i="3"/>
  <c r="J42"/>
  <c r="K79"/>
  <c r="L79" s="1"/>
  <c r="M79" s="1"/>
  <c r="N79" s="1"/>
  <c r="J79"/>
  <c r="J78"/>
  <c r="K78" s="1"/>
  <c r="L78" s="1"/>
  <c r="M78" s="1"/>
  <c r="N78" s="1"/>
  <c r="J77"/>
  <c r="K77" s="1"/>
  <c r="L77" s="1"/>
  <c r="M77" s="1"/>
  <c r="N77" s="1"/>
  <c r="M76"/>
  <c r="N76" s="1"/>
  <c r="L76"/>
  <c r="K76"/>
  <c r="J76"/>
  <c r="J75"/>
  <c r="K75" s="1"/>
  <c r="L75" s="1"/>
  <c r="M75" s="1"/>
  <c r="N75" s="1"/>
  <c r="J74"/>
  <c r="K74" s="1"/>
  <c r="L74" s="1"/>
  <c r="M74" s="1"/>
  <c r="N74" s="1"/>
  <c r="J72"/>
  <c r="K72" s="1"/>
  <c r="L72" s="1"/>
  <c r="M72" s="1"/>
  <c r="N72" s="1"/>
  <c r="J71"/>
  <c r="K71" s="1"/>
  <c r="L71" s="1"/>
  <c r="M71" s="1"/>
  <c r="N71" s="1"/>
  <c r="K70"/>
  <c r="L70" s="1"/>
  <c r="M70" s="1"/>
  <c r="N70" s="1"/>
  <c r="J70"/>
  <c r="J69"/>
  <c r="K69" s="1"/>
  <c r="L69" s="1"/>
  <c r="M69" s="1"/>
  <c r="N69" s="1"/>
  <c r="J68"/>
  <c r="K68" s="1"/>
  <c r="L68" s="1"/>
  <c r="M68" s="1"/>
  <c r="N68" s="1"/>
  <c r="J67"/>
  <c r="K67" s="1"/>
  <c r="L67" s="1"/>
  <c r="M67" s="1"/>
  <c r="N67" s="1"/>
  <c r="J66"/>
  <c r="K66" s="1"/>
  <c r="L66" s="1"/>
  <c r="M66" s="1"/>
  <c r="N66" s="1"/>
  <c r="J64"/>
  <c r="K64" s="1"/>
  <c r="L64" s="1"/>
  <c r="M64" s="1"/>
  <c r="N64" s="1"/>
  <c r="J63"/>
  <c r="K63" s="1"/>
  <c r="L63" s="1"/>
  <c r="M63" s="1"/>
  <c r="N63" s="1"/>
  <c r="J62"/>
  <c r="K62" s="1"/>
  <c r="L62" s="1"/>
  <c r="M62" s="1"/>
  <c r="N62" s="1"/>
  <c r="M33"/>
  <c r="N33" s="1"/>
  <c r="L33"/>
  <c r="K33"/>
  <c r="J33"/>
  <c r="K32"/>
  <c r="L32" s="1"/>
  <c r="M32" s="1"/>
  <c r="N32" s="1"/>
  <c r="J32"/>
  <c r="J31"/>
  <c r="K31" s="1"/>
  <c r="L31" s="1"/>
  <c r="M31" s="1"/>
  <c r="N31" s="1"/>
  <c r="J30"/>
  <c r="K30" s="1"/>
  <c r="L30" s="1"/>
  <c r="M30" s="1"/>
  <c r="N30" s="1"/>
  <c r="J29"/>
  <c r="K29" s="1"/>
  <c r="L29" s="1"/>
  <c r="M29" s="1"/>
  <c r="N29" s="1"/>
  <c r="J28"/>
  <c r="K28" s="1"/>
  <c r="L28" s="1"/>
  <c r="M28" s="1"/>
  <c r="N28" s="1"/>
  <c r="J27"/>
  <c r="K27" s="1"/>
  <c r="L27" s="1"/>
  <c r="M27" s="1"/>
  <c r="N27" s="1"/>
  <c r="J26"/>
  <c r="K26" s="1"/>
  <c r="L26" s="1"/>
  <c r="M26" s="1"/>
  <c r="N26" s="1"/>
  <c r="J25"/>
  <c r="K25" s="1"/>
  <c r="L25" s="1"/>
  <c r="M25" s="1"/>
  <c r="N25" s="1"/>
  <c r="J24"/>
  <c r="K24" s="1"/>
  <c r="L24" s="1"/>
  <c r="M24" s="1"/>
  <c r="N24" s="1"/>
  <c r="J23"/>
  <c r="K23" s="1"/>
  <c r="L23" s="1"/>
  <c r="M23" s="1"/>
  <c r="N23" s="1"/>
  <c r="J22"/>
  <c r="K22" s="1"/>
  <c r="L22" s="1"/>
  <c r="M22" s="1"/>
  <c r="N22" s="1"/>
  <c r="J21"/>
  <c r="K21" s="1"/>
  <c r="L21" s="1"/>
  <c r="M21" s="1"/>
  <c r="N21" s="1"/>
  <c r="J20"/>
  <c r="K20" s="1"/>
  <c r="L20" s="1"/>
  <c r="M20" s="1"/>
  <c r="N20" s="1"/>
  <c r="K19"/>
  <c r="L19" s="1"/>
  <c r="M19" s="1"/>
  <c r="N19" s="1"/>
  <c r="J19"/>
  <c r="J18"/>
  <c r="K18" s="1"/>
  <c r="L18" s="1"/>
  <c r="M18" s="1"/>
  <c r="N18" s="1"/>
  <c r="J16"/>
  <c r="K16" s="1"/>
  <c r="L16" s="1"/>
  <c r="M16" s="1"/>
  <c r="N16" s="1"/>
  <c r="J15"/>
  <c r="K15" s="1"/>
  <c r="L15" s="1"/>
  <c r="M15" s="1"/>
  <c r="N15" s="1"/>
  <c r="J13"/>
  <c r="K13" s="1"/>
  <c r="L13" s="1"/>
  <c r="M13" s="1"/>
  <c r="N13" s="1"/>
  <c r="L12"/>
  <c r="M12" s="1"/>
  <c r="N12" s="1"/>
  <c r="K12"/>
  <c r="J12"/>
  <c r="K38"/>
  <c r="L38" s="1"/>
  <c r="M38" s="1"/>
  <c r="N38" s="1"/>
  <c r="J38" i="2"/>
  <c r="K38" s="1"/>
  <c r="N83" i="4"/>
  <c r="N66" s="1"/>
  <c r="M83"/>
  <c r="L83"/>
  <c r="K83"/>
  <c r="K66" s="1"/>
  <c r="N82"/>
  <c r="N65" s="1"/>
  <c r="M82"/>
  <c r="M65" s="1"/>
  <c r="L82"/>
  <c r="L65" s="1"/>
  <c r="K82"/>
  <c r="K65" s="1"/>
  <c r="L80"/>
  <c r="M80" s="1"/>
  <c r="K80"/>
  <c r="K63" s="1"/>
  <c r="N72"/>
  <c r="M72"/>
  <c r="L72"/>
  <c r="K72"/>
  <c r="N71"/>
  <c r="M71"/>
  <c r="L71"/>
  <c r="K71"/>
  <c r="N13" i="1"/>
  <c r="M13"/>
  <c r="L13"/>
  <c r="K13"/>
  <c r="J13"/>
  <c r="J25" i="4"/>
  <c r="J26"/>
  <c r="J27"/>
  <c r="J28"/>
  <c r="J29"/>
  <c r="J30"/>
  <c r="J31"/>
  <c r="J32"/>
  <c r="J33"/>
  <c r="J34"/>
  <c r="L25"/>
  <c r="M26"/>
  <c r="K27"/>
  <c r="N27"/>
  <c r="L28"/>
  <c r="K29"/>
  <c r="L29"/>
  <c r="M29"/>
  <c r="N29"/>
  <c r="K30"/>
  <c r="L30"/>
  <c r="M30"/>
  <c r="N30"/>
  <c r="M31"/>
  <c r="K32"/>
  <c r="N32"/>
  <c r="K33"/>
  <c r="L33"/>
  <c r="M33"/>
  <c r="N33"/>
  <c r="N34"/>
  <c r="E36"/>
  <c r="F36"/>
  <c r="G36"/>
  <c r="H36"/>
  <c r="I36"/>
  <c r="D37"/>
  <c r="E37"/>
  <c r="F37"/>
  <c r="G37"/>
  <c r="H37"/>
  <c r="I37"/>
  <c r="D38"/>
  <c r="E38"/>
  <c r="F38"/>
  <c r="G38"/>
  <c r="H38"/>
  <c r="I38"/>
  <c r="D39"/>
  <c r="E39"/>
  <c r="F39"/>
  <c r="G39"/>
  <c r="H39"/>
  <c r="I39"/>
  <c r="D40"/>
  <c r="E40"/>
  <c r="F40"/>
  <c r="G40"/>
  <c r="H40"/>
  <c r="I40"/>
  <c r="D41"/>
  <c r="E41"/>
  <c r="F41"/>
  <c r="G41"/>
  <c r="H41"/>
  <c r="I41"/>
  <c r="J41" s="1"/>
  <c r="K41" s="1"/>
  <c r="L41" s="1"/>
  <c r="M41" s="1"/>
  <c r="N41" s="1"/>
  <c r="D42"/>
  <c r="E42"/>
  <c r="F42"/>
  <c r="G42"/>
  <c r="H42"/>
  <c r="I42"/>
  <c r="J42" s="1"/>
  <c r="K42" s="1"/>
  <c r="L42" s="1"/>
  <c r="M42" s="1"/>
  <c r="N42" s="1"/>
  <c r="D43"/>
  <c r="E43"/>
  <c r="F43"/>
  <c r="G43"/>
  <c r="H43"/>
  <c r="I43"/>
  <c r="D44"/>
  <c r="E44"/>
  <c r="F44"/>
  <c r="G44"/>
  <c r="H44"/>
  <c r="I44"/>
  <c r="D45"/>
  <c r="E45"/>
  <c r="F45"/>
  <c r="G45"/>
  <c r="H45"/>
  <c r="I45"/>
  <c r="J45" s="1"/>
  <c r="K45" s="1"/>
  <c r="L45" s="1"/>
  <c r="M45" s="1"/>
  <c r="N45" s="1"/>
  <c r="D46"/>
  <c r="E46"/>
  <c r="F46"/>
  <c r="G46"/>
  <c r="H46"/>
  <c r="I46"/>
  <c r="J63"/>
  <c r="J64"/>
  <c r="K64"/>
  <c r="L64"/>
  <c r="M64"/>
  <c r="N64"/>
  <c r="J65"/>
  <c r="J66"/>
  <c r="L66"/>
  <c r="M66"/>
  <c r="J67"/>
  <c r="K67"/>
  <c r="L67"/>
  <c r="M67"/>
  <c r="N67"/>
  <c r="J68"/>
  <c r="K68"/>
  <c r="L68"/>
  <c r="M68"/>
  <c r="N68"/>
  <c r="D79"/>
  <c r="E79"/>
  <c r="F79"/>
  <c r="G79"/>
  <c r="H79"/>
  <c r="I79"/>
  <c r="D80"/>
  <c r="E80"/>
  <c r="F80"/>
  <c r="G80"/>
  <c r="H80"/>
  <c r="I80"/>
  <c r="D81"/>
  <c r="E81"/>
  <c r="F81"/>
  <c r="G81"/>
  <c r="H81"/>
  <c r="I81"/>
  <c r="J81"/>
  <c r="D82"/>
  <c r="E82"/>
  <c r="F82"/>
  <c r="G82"/>
  <c r="H82"/>
  <c r="I82"/>
  <c r="D83"/>
  <c r="E83"/>
  <c r="F83"/>
  <c r="G83"/>
  <c r="H83"/>
  <c r="I83"/>
  <c r="D84"/>
  <c r="E84"/>
  <c r="F84"/>
  <c r="G84"/>
  <c r="H84"/>
  <c r="I84"/>
  <c r="J84" s="1"/>
  <c r="K84" s="1"/>
  <c r="L84" s="1"/>
  <c r="M84" s="1"/>
  <c r="N84" s="1"/>
  <c r="D85"/>
  <c r="E85"/>
  <c r="F85"/>
  <c r="G85"/>
  <c r="H85"/>
  <c r="I85"/>
  <c r="K85" s="1"/>
  <c r="L85" s="1"/>
  <c r="M85" s="1"/>
  <c r="N85" s="1"/>
  <c r="N14" i="7"/>
  <c r="M20" i="5" l="1"/>
  <c r="L73" i="1"/>
  <c r="L13" i="5"/>
  <c r="K71" i="1"/>
  <c r="N22" i="5"/>
  <c r="N75" i="1" s="1"/>
  <c r="M75"/>
  <c r="N41" i="5"/>
  <c r="N65" i="1" s="1"/>
  <c r="M65"/>
  <c r="L75"/>
  <c r="L65"/>
  <c r="J71"/>
  <c r="K73"/>
  <c r="M74"/>
  <c r="L74"/>
  <c r="K74"/>
  <c r="E78"/>
  <c r="F70" i="2"/>
  <c r="F73" s="1"/>
  <c r="G70" s="1"/>
  <c r="G73" s="1"/>
  <c r="H70" s="1"/>
  <c r="H73" s="1"/>
  <c r="I70" s="1"/>
  <c r="J98" i="1"/>
  <c r="L38" i="2"/>
  <c r="K98" i="1"/>
  <c r="M14" i="5"/>
  <c r="M72" i="1" s="1"/>
  <c r="N16" i="5"/>
  <c r="N14" s="1"/>
  <c r="N72" i="1" s="1"/>
  <c r="K14" i="5"/>
  <c r="K72" i="1" s="1"/>
  <c r="L14" i="5"/>
  <c r="L72" i="1" s="1"/>
  <c r="J14" i="5"/>
  <c r="J72" i="1" s="1"/>
  <c r="M63" i="4"/>
  <c r="N80"/>
  <c r="N63" s="1"/>
  <c r="L63"/>
  <c r="J79"/>
  <c r="K81"/>
  <c r="N20" i="5" l="1"/>
  <c r="N73" i="1" s="1"/>
  <c r="M73"/>
  <c r="M13" i="5"/>
  <c r="L71" i="1"/>
  <c r="I71" i="2"/>
  <c r="I73" s="1"/>
  <c r="J70" s="1"/>
  <c r="M38"/>
  <c r="L98" i="1"/>
  <c r="L81" i="4"/>
  <c r="K79"/>
  <c r="N13" i="5" l="1"/>
  <c r="N71" i="1" s="1"/>
  <c r="M71"/>
  <c r="M98"/>
  <c r="N38" i="2"/>
  <c r="N98" i="1" s="1"/>
  <c r="M81" i="4"/>
  <c r="L79"/>
  <c r="N81" l="1"/>
  <c r="N79" s="1"/>
  <c r="M79"/>
  <c r="N77" l="1"/>
  <c r="M77"/>
  <c r="L77"/>
  <c r="K77"/>
  <c r="J60"/>
  <c r="E16" i="1"/>
  <c r="J48" i="2"/>
  <c r="J97" i="1" s="1"/>
  <c r="J17" i="2"/>
  <c r="J96" i="1" s="1"/>
  <c r="K17" i="2" l="1"/>
  <c r="K96" i="1" s="1"/>
  <c r="J79" i="8"/>
  <c r="K80" l="1"/>
  <c r="L80" s="1"/>
  <c r="M80" s="1"/>
  <c r="N80" s="1"/>
  <c r="J80"/>
  <c r="L17" i="2"/>
  <c r="M17" s="1"/>
  <c r="J12" i="4"/>
  <c r="N87" i="8"/>
  <c r="N37"/>
  <c r="N63" s="1"/>
  <c r="M37"/>
  <c r="M63" s="1"/>
  <c r="L37"/>
  <c r="L63" s="1"/>
  <c r="K37"/>
  <c r="K63" s="1"/>
  <c r="J37"/>
  <c r="J63" s="1"/>
  <c r="D54"/>
  <c r="E54" s="1"/>
  <c r="F54" s="1"/>
  <c r="G54" s="1"/>
  <c r="H54" s="1"/>
  <c r="I54" s="1"/>
  <c r="J54" s="1"/>
  <c r="K54" s="1"/>
  <c r="L54" s="1"/>
  <c r="M54" s="1"/>
  <c r="N54" s="1"/>
  <c r="D34"/>
  <c r="D29"/>
  <c r="N34"/>
  <c r="N29"/>
  <c r="E15"/>
  <c r="F15" s="1"/>
  <c r="G15" s="1"/>
  <c r="H15" s="1"/>
  <c r="I15" s="1"/>
  <c r="J15" s="1"/>
  <c r="K15" s="1"/>
  <c r="L15" s="1"/>
  <c r="M15" s="1"/>
  <c r="N15" s="1"/>
  <c r="D19" i="6"/>
  <c r="L96" i="1" l="1"/>
  <c r="M96"/>
  <c r="N17" i="2"/>
  <c r="N96" i="1" s="1"/>
  <c r="D39" i="8"/>
  <c r="E39" s="1"/>
  <c r="F39" s="1"/>
  <c r="G39" s="1"/>
  <c r="H39" s="1"/>
  <c r="I39" s="1"/>
  <c r="J39" s="1"/>
  <c r="K39" s="1"/>
  <c r="L39" s="1"/>
  <c r="M39" s="1"/>
  <c r="N39" s="1"/>
  <c r="D15" i="6"/>
  <c r="D8"/>
  <c r="I54" i="1" l="1"/>
  <c r="N86" i="8" s="1"/>
  <c r="I51" i="1"/>
  <c r="K21" i="4" l="1"/>
  <c r="L21" s="1"/>
  <c r="M21" s="1"/>
  <c r="N21" s="1"/>
  <c r="K29" i="1" l="1"/>
  <c r="L29" s="1"/>
  <c r="M29" s="1"/>
  <c r="N29" s="1"/>
  <c r="K15" i="4"/>
  <c r="L15" s="1"/>
  <c r="M15" s="1"/>
  <c r="N15" s="1"/>
  <c r="K42" i="2"/>
  <c r="L42" s="1"/>
  <c r="M42" s="1"/>
  <c r="N42" s="1"/>
  <c r="J35" i="3"/>
  <c r="K35" s="1"/>
  <c r="L35" s="1"/>
  <c r="M35" s="1"/>
  <c r="N35" s="1"/>
  <c r="I38" i="1"/>
  <c r="H38"/>
  <c r="G38"/>
  <c r="F38"/>
  <c r="E38"/>
  <c r="D38"/>
  <c r="K76" i="2"/>
  <c r="L76" s="1"/>
  <c r="M76" s="1"/>
  <c r="N76" s="1"/>
  <c r="K64"/>
  <c r="L64" s="1"/>
  <c r="M64" s="1"/>
  <c r="N64" s="1"/>
  <c r="K59"/>
  <c r="L59" s="1"/>
  <c r="M59" s="1"/>
  <c r="N59" s="1"/>
  <c r="K51"/>
  <c r="L51" s="1"/>
  <c r="M51" s="1"/>
  <c r="N51" s="1"/>
  <c r="D51"/>
  <c r="J32"/>
  <c r="K32" s="1"/>
  <c r="L32" s="1"/>
  <c r="M32" s="1"/>
  <c r="N32" s="1"/>
  <c r="J31"/>
  <c r="K31" s="1"/>
  <c r="L31" s="1"/>
  <c r="M31" s="1"/>
  <c r="N31" s="1"/>
  <c r="K30"/>
  <c r="L30" s="1"/>
  <c r="M30" s="1"/>
  <c r="N30" s="1"/>
  <c r="K20"/>
  <c r="L20" s="1"/>
  <c r="M20" s="1"/>
  <c r="N20" s="1"/>
  <c r="K18"/>
  <c r="L18" s="1"/>
  <c r="M18" s="1"/>
  <c r="N18" s="1"/>
  <c r="D20"/>
  <c r="D21"/>
  <c r="D37" i="1" s="1"/>
  <c r="I75"/>
  <c r="H75"/>
  <c r="G75"/>
  <c r="F75"/>
  <c r="E75"/>
  <c r="D75"/>
  <c r="I74"/>
  <c r="H74"/>
  <c r="G74"/>
  <c r="F74"/>
  <c r="E74"/>
  <c r="D74"/>
  <c r="I73"/>
  <c r="H73"/>
  <c r="G73"/>
  <c r="F73"/>
  <c r="E73"/>
  <c r="D73"/>
  <c r="I72"/>
  <c r="H72"/>
  <c r="G72"/>
  <c r="F72"/>
  <c r="E72"/>
  <c r="D72"/>
  <c r="I71"/>
  <c r="H71"/>
  <c r="G71"/>
  <c r="F71"/>
  <c r="E71"/>
  <c r="D71"/>
  <c r="I70"/>
  <c r="H70"/>
  <c r="G70"/>
  <c r="F70"/>
  <c r="E70"/>
  <c r="E67" s="1"/>
  <c r="D70"/>
  <c r="D67" s="1"/>
  <c r="I66"/>
  <c r="H66"/>
  <c r="G66"/>
  <c r="F66"/>
  <c r="E66"/>
  <c r="D66"/>
  <c r="I65"/>
  <c r="H65"/>
  <c r="G65"/>
  <c r="F65"/>
  <c r="E65"/>
  <c r="D65"/>
  <c r="I64"/>
  <c r="H64"/>
  <c r="G64"/>
  <c r="F64"/>
  <c r="E64"/>
  <c r="D64"/>
  <c r="D61" s="1"/>
  <c r="I50"/>
  <c r="H50"/>
  <c r="G50"/>
  <c r="F50"/>
  <c r="E50"/>
  <c r="D50"/>
  <c r="I55"/>
  <c r="H55"/>
  <c r="G55"/>
  <c r="F55"/>
  <c r="E55"/>
  <c r="D55"/>
  <c r="I58"/>
  <c r="H58"/>
  <c r="G58"/>
  <c r="F58"/>
  <c r="E58"/>
  <c r="I57"/>
  <c r="H57"/>
  <c r="G57"/>
  <c r="F57"/>
  <c r="E57"/>
  <c r="D58"/>
  <c r="D57"/>
  <c r="H54"/>
  <c r="G54"/>
  <c r="F54"/>
  <c r="E54"/>
  <c r="D54"/>
  <c r="I52"/>
  <c r="H52"/>
  <c r="G52"/>
  <c r="F52"/>
  <c r="E52"/>
  <c r="D52"/>
  <c r="H51"/>
  <c r="G51"/>
  <c r="F51"/>
  <c r="E51"/>
  <c r="D51"/>
  <c r="I47"/>
  <c r="H47"/>
  <c r="G47"/>
  <c r="F47"/>
  <c r="E47"/>
  <c r="D47"/>
  <c r="I46"/>
  <c r="H46"/>
  <c r="G46"/>
  <c r="F46"/>
  <c r="E46"/>
  <c r="D46"/>
  <c r="I44"/>
  <c r="H44"/>
  <c r="G44"/>
  <c r="F44"/>
  <c r="E44"/>
  <c r="D44"/>
  <c r="I43"/>
  <c r="H43"/>
  <c r="G43"/>
  <c r="F43"/>
  <c r="E43"/>
  <c r="D43"/>
  <c r="I42"/>
  <c r="H42"/>
  <c r="G42"/>
  <c r="F42"/>
  <c r="E42"/>
  <c r="D42"/>
  <c r="J23" i="2"/>
  <c r="J38" i="1" s="1"/>
  <c r="K24" i="2"/>
  <c r="L24" s="1"/>
  <c r="M24" s="1"/>
  <c r="N24" s="1"/>
  <c r="K24" i="5"/>
  <c r="L24" s="1"/>
  <c r="M24" s="1"/>
  <c r="K45"/>
  <c r="L45" s="1"/>
  <c r="K36"/>
  <c r="L36" s="1"/>
  <c r="M36" s="1"/>
  <c r="N36" s="1"/>
  <c r="K34"/>
  <c r="L34" s="1"/>
  <c r="M34" s="1"/>
  <c r="N34" s="1"/>
  <c r="K33"/>
  <c r="L33" s="1"/>
  <c r="M33" s="1"/>
  <c r="N33" s="1"/>
  <c r="K29"/>
  <c r="L29" s="1"/>
  <c r="M29" s="1"/>
  <c r="N29" s="1"/>
  <c r="K27"/>
  <c r="L27" s="1"/>
  <c r="K97" i="3"/>
  <c r="L97" s="1"/>
  <c r="M97" s="1"/>
  <c r="N97" s="1"/>
  <c r="K92"/>
  <c r="L92" s="1"/>
  <c r="M92" s="1"/>
  <c r="N92" s="1"/>
  <c r="K91"/>
  <c r="L91" s="1"/>
  <c r="M91" s="1"/>
  <c r="N91" s="1"/>
  <c r="K88"/>
  <c r="L88" s="1"/>
  <c r="M88" s="1"/>
  <c r="N88" s="1"/>
  <c r="K86"/>
  <c r="L86" s="1"/>
  <c r="K84"/>
  <c r="L84" s="1"/>
  <c r="M84" s="1"/>
  <c r="N84" s="1"/>
  <c r="K83"/>
  <c r="K56"/>
  <c r="L56" s="1"/>
  <c r="M56" s="1"/>
  <c r="K54"/>
  <c r="L54" s="1"/>
  <c r="M54" s="1"/>
  <c r="N54" s="1"/>
  <c r="K49"/>
  <c r="L49" s="1"/>
  <c r="M49" s="1"/>
  <c r="N49" s="1"/>
  <c r="K48"/>
  <c r="L48" s="1"/>
  <c r="M48" s="1"/>
  <c r="N48" s="1"/>
  <c r="K46"/>
  <c r="L46" s="1"/>
  <c r="M46" s="1"/>
  <c r="N46" s="1"/>
  <c r="K41"/>
  <c r="L41" s="1"/>
  <c r="M41" s="1"/>
  <c r="N41" s="1"/>
  <c r="K40"/>
  <c r="L40" s="1"/>
  <c r="M40" s="1"/>
  <c r="N40" s="1"/>
  <c r="K39"/>
  <c r="L39" s="1"/>
  <c r="M39" s="1"/>
  <c r="N39" s="1"/>
  <c r="G67" i="1" l="1"/>
  <c r="F67"/>
  <c r="J99"/>
  <c r="I67"/>
  <c r="H67"/>
  <c r="K48" i="2"/>
  <c r="K97" i="1" s="1"/>
  <c r="K57" i="2"/>
  <c r="L57" s="1"/>
  <c r="M57" s="1"/>
  <c r="N57" s="1"/>
  <c r="K23"/>
  <c r="K38" i="1" s="1"/>
  <c r="K99" s="1"/>
  <c r="N56" i="3"/>
  <c r="M86"/>
  <c r="L83"/>
  <c r="M45" i="5"/>
  <c r="M27"/>
  <c r="N24"/>
  <c r="N16" i="7"/>
  <c r="D12" i="6" s="1"/>
  <c r="D9" s="1"/>
  <c r="J45" i="8" l="1"/>
  <c r="J70" s="1"/>
  <c r="J100" i="1"/>
  <c r="L99"/>
  <c r="L45" i="8" s="1"/>
  <c r="K45"/>
  <c r="K70" s="1"/>
  <c r="L48" i="2"/>
  <c r="L97" i="1" s="1"/>
  <c r="L23" i="2"/>
  <c r="L38" i="1" s="1"/>
  <c r="N86" i="3"/>
  <c r="M83"/>
  <c r="N45" i="5"/>
  <c r="N27"/>
  <c r="M99" i="1" l="1"/>
  <c r="M48" i="2"/>
  <c r="M97" i="1" s="1"/>
  <c r="L70" i="8"/>
  <c r="M23" i="2"/>
  <c r="M38" i="1" s="1"/>
  <c r="N83" i="3"/>
  <c r="M45" i="8" l="1"/>
  <c r="M70" s="1"/>
  <c r="N99" i="1"/>
  <c r="N48" i="2"/>
  <c r="N97" i="1" s="1"/>
  <c r="N23" i="2"/>
  <c r="N38" i="1" s="1"/>
  <c r="N45" i="8" l="1"/>
  <c r="N70" s="1"/>
  <c r="H110" i="7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E110" l="1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N5" l="1"/>
  <c r="E25" i="1"/>
  <c r="E36" i="8" s="1"/>
  <c r="F25" i="1"/>
  <c r="F36" i="8" s="1"/>
  <c r="G25" i="1"/>
  <c r="G36" i="8" s="1"/>
  <c r="H25" i="1"/>
  <c r="H36" i="8" s="1"/>
  <c r="I25" i="1"/>
  <c r="I36" i="8" s="1"/>
  <c r="D25" i="1"/>
  <c r="D36" i="8" s="1"/>
  <c r="E73" i="3"/>
  <c r="E48" i="1" s="1"/>
  <c r="F73" i="3"/>
  <c r="F48" i="1" s="1"/>
  <c r="G73" i="3"/>
  <c r="G48" i="1" s="1"/>
  <c r="H73" i="3"/>
  <c r="H48" i="1" s="1"/>
  <c r="I73" i="3"/>
  <c r="D73"/>
  <c r="D48" i="1" s="1"/>
  <c r="E17" i="3"/>
  <c r="E56" i="1" s="1"/>
  <c r="F17" i="3"/>
  <c r="F56" i="1" s="1"/>
  <c r="G17" i="3"/>
  <c r="G56" i="1" s="1"/>
  <c r="H17" i="3"/>
  <c r="H56" i="1" s="1"/>
  <c r="I17" i="3"/>
  <c r="D17"/>
  <c r="D56" i="1" s="1"/>
  <c r="E65" i="3"/>
  <c r="E45" i="1" s="1"/>
  <c r="F65" i="3"/>
  <c r="F45" i="1" s="1"/>
  <c r="G65" i="3"/>
  <c r="G45" i="1" s="1"/>
  <c r="H65" i="3"/>
  <c r="H45" i="1" s="1"/>
  <c r="I65" i="3"/>
  <c r="D65"/>
  <c r="D45" i="1" s="1"/>
  <c r="E4" i="5"/>
  <c r="E5" s="1"/>
  <c r="E3"/>
  <c r="F3" s="1"/>
  <c r="G3" s="1"/>
  <c r="H3" s="1"/>
  <c r="I3" s="1"/>
  <c r="J3" s="1"/>
  <c r="K3" s="1"/>
  <c r="L3" s="1"/>
  <c r="M3" s="1"/>
  <c r="N3" s="1"/>
  <c r="E21" i="1"/>
  <c r="F21"/>
  <c r="G21"/>
  <c r="H21"/>
  <c r="I21"/>
  <c r="D16" i="6" s="1"/>
  <c r="D21" i="1"/>
  <c r="E19"/>
  <c r="F19"/>
  <c r="G19"/>
  <c r="H19"/>
  <c r="I19"/>
  <c r="D19"/>
  <c r="I24" i="2"/>
  <c r="H24"/>
  <c r="G24"/>
  <c r="F24"/>
  <c r="E24"/>
  <c r="D77"/>
  <c r="E17" i="1"/>
  <c r="F17"/>
  <c r="G17"/>
  <c r="H17"/>
  <c r="I17"/>
  <c r="D17"/>
  <c r="E12"/>
  <c r="F12"/>
  <c r="G12"/>
  <c r="H12"/>
  <c r="I12"/>
  <c r="D12"/>
  <c r="J110"/>
  <c r="I48" l="1"/>
  <c r="J73" i="3"/>
  <c r="K73" s="1"/>
  <c r="L73" s="1"/>
  <c r="M73" s="1"/>
  <c r="N73" s="1"/>
  <c r="I45" i="1"/>
  <c r="J65" i="3"/>
  <c r="K65" s="1"/>
  <c r="L65" s="1"/>
  <c r="M65" s="1"/>
  <c r="N65" s="1"/>
  <c r="I56" i="1"/>
  <c r="J17" i="3"/>
  <c r="K17" s="1"/>
  <c r="L17" s="1"/>
  <c r="M17" s="1"/>
  <c r="N17" s="1"/>
  <c r="D8"/>
  <c r="D35" s="1"/>
  <c r="D17" i="8"/>
  <c r="H8" i="3"/>
  <c r="H17" i="8"/>
  <c r="G8" i="3"/>
  <c r="G17" i="8"/>
  <c r="E8" i="3"/>
  <c r="E17" i="8"/>
  <c r="I8" i="3"/>
  <c r="I17" i="8"/>
  <c r="F8" i="3"/>
  <c r="F17" i="8"/>
  <c r="N11" i="7"/>
  <c r="E75" i="2"/>
  <c r="E77" s="1"/>
  <c r="E80" i="1" s="1"/>
  <c r="D80"/>
  <c r="F4" i="5"/>
  <c r="K12" i="4"/>
  <c r="J18"/>
  <c r="K18" s="1"/>
  <c r="L18" s="1"/>
  <c r="M18" s="1"/>
  <c r="N18" s="1"/>
  <c r="D53"/>
  <c r="E58"/>
  <c r="F58"/>
  <c r="F16" i="1" s="1"/>
  <c r="G58" i="4"/>
  <c r="G16" i="1" s="1"/>
  <c r="H58" i="4"/>
  <c r="H16" i="1" s="1"/>
  <c r="I58" i="4"/>
  <c r="I16" i="1" s="1"/>
  <c r="D58" i="4"/>
  <c r="D16" i="1" s="1"/>
  <c r="I53" i="4"/>
  <c r="H53"/>
  <c r="G53"/>
  <c r="F53"/>
  <c r="F8" i="5" s="1"/>
  <c r="E53" i="4"/>
  <c r="E24"/>
  <c r="F24"/>
  <c r="G24"/>
  <c r="G13" i="1" s="1"/>
  <c r="G21" i="8" s="1"/>
  <c r="H24" i="4"/>
  <c r="H13" i="1" s="1"/>
  <c r="H21" i="8" s="1"/>
  <c r="I24" i="4"/>
  <c r="I13" i="1" s="1"/>
  <c r="D24" i="4"/>
  <c r="D13" i="1" s="1"/>
  <c r="D21" i="8" s="1"/>
  <c r="I13" i="4"/>
  <c r="H13"/>
  <c r="G13"/>
  <c r="F13"/>
  <c r="E13"/>
  <c r="I14"/>
  <c r="I16" s="1"/>
  <c r="I20" s="1"/>
  <c r="J20" s="1"/>
  <c r="H14"/>
  <c r="H16" s="1"/>
  <c r="H20" s="1"/>
  <c r="G14"/>
  <c r="G16" s="1"/>
  <c r="G20" s="1"/>
  <c r="F14"/>
  <c r="F16" s="1"/>
  <c r="F20" s="1"/>
  <c r="E14"/>
  <c r="E16" s="1"/>
  <c r="E20" s="1"/>
  <c r="D14"/>
  <c r="D16" s="1"/>
  <c r="D20" s="1"/>
  <c r="E3"/>
  <c r="E4" s="1"/>
  <c r="E2"/>
  <c r="F2" s="1"/>
  <c r="G2" s="1"/>
  <c r="H2" s="1"/>
  <c r="I2" s="1"/>
  <c r="J2" s="1"/>
  <c r="K2" s="1"/>
  <c r="L2" s="1"/>
  <c r="M2" s="1"/>
  <c r="N2" s="1"/>
  <c r="I21" i="8" l="1"/>
  <c r="I26" s="1"/>
  <c r="I19" s="1"/>
  <c r="I18"/>
  <c r="E18"/>
  <c r="G8" i="5"/>
  <c r="D26" i="8"/>
  <c r="D19" s="1"/>
  <c r="D18"/>
  <c r="D22"/>
  <c r="G18"/>
  <c r="G26"/>
  <c r="G23" s="1"/>
  <c r="H22"/>
  <c r="F18"/>
  <c r="H26"/>
  <c r="H18"/>
  <c r="I8" i="5"/>
  <c r="H8"/>
  <c r="D8"/>
  <c r="D24" s="1"/>
  <c r="E21" i="4"/>
  <c r="E8" i="5"/>
  <c r="E24" s="1"/>
  <c r="K20" i="4"/>
  <c r="L20" s="1"/>
  <c r="M20" s="1"/>
  <c r="N20" s="1"/>
  <c r="F5" i="5"/>
  <c r="F24" s="1"/>
  <c r="G4"/>
  <c r="J24" i="4"/>
  <c r="F8"/>
  <c r="F13" i="1"/>
  <c r="E50" i="4"/>
  <c r="E15" i="1"/>
  <c r="E14" s="1"/>
  <c r="I8" i="4"/>
  <c r="I15" i="1"/>
  <c r="I14" s="1"/>
  <c r="H15"/>
  <c r="H14" s="1"/>
  <c r="D15"/>
  <c r="D14" s="1"/>
  <c r="G15"/>
  <c r="G14" s="1"/>
  <c r="F50" i="4"/>
  <c r="F15" i="1"/>
  <c r="F14" s="1"/>
  <c r="E8" i="4"/>
  <c r="E13" i="1"/>
  <c r="G8" i="4"/>
  <c r="H8"/>
  <c r="D8"/>
  <c r="L12"/>
  <c r="K14"/>
  <c r="J14"/>
  <c r="J11" s="1"/>
  <c r="I75"/>
  <c r="I50"/>
  <c r="I71" s="1"/>
  <c r="H50"/>
  <c r="H72" s="1"/>
  <c r="D50"/>
  <c r="G50"/>
  <c r="H21"/>
  <c r="F21"/>
  <c r="G21"/>
  <c r="I21"/>
  <c r="F3"/>
  <c r="D58" i="2"/>
  <c r="D52"/>
  <c r="E15"/>
  <c r="E20" s="1"/>
  <c r="D33"/>
  <c r="D43"/>
  <c r="D41" i="1" s="1"/>
  <c r="I18" i="2"/>
  <c r="H18"/>
  <c r="H16"/>
  <c r="G18"/>
  <c r="G16"/>
  <c r="G11" i="1"/>
  <c r="H11"/>
  <c r="I11"/>
  <c r="D11"/>
  <c r="H49"/>
  <c r="I22" i="8" l="1"/>
  <c r="H27"/>
  <c r="G9" i="4"/>
  <c r="D23" i="8"/>
  <c r="E11" i="1"/>
  <c r="E7" i="5" s="1"/>
  <c r="E21" i="8"/>
  <c r="E9" i="4"/>
  <c r="H23" i="8"/>
  <c r="D27"/>
  <c r="I27"/>
  <c r="F11" i="1"/>
  <c r="F7" i="5" s="1"/>
  <c r="F21" i="8"/>
  <c r="H19"/>
  <c r="G19"/>
  <c r="I23"/>
  <c r="J21"/>
  <c r="J22" s="1"/>
  <c r="I9" i="4"/>
  <c r="F77"/>
  <c r="E51"/>
  <c r="K11"/>
  <c r="J11" i="1"/>
  <c r="E28" i="2"/>
  <c r="E33" s="1"/>
  <c r="E40" i="1" s="1"/>
  <c r="D40"/>
  <c r="E68" i="2"/>
  <c r="E72" s="1"/>
  <c r="D77" i="1"/>
  <c r="E47" i="2"/>
  <c r="E51" s="1"/>
  <c r="D39" i="1"/>
  <c r="D7" i="3"/>
  <c r="D7" i="5"/>
  <c r="I7" i="3"/>
  <c r="I7" i="5"/>
  <c r="I31" s="1"/>
  <c r="G7" i="3"/>
  <c r="G7" i="5"/>
  <c r="H7"/>
  <c r="H7" i="3"/>
  <c r="G5" i="5"/>
  <c r="G24" s="1"/>
  <c r="H4"/>
  <c r="H77" i="4"/>
  <c r="H76"/>
  <c r="F9"/>
  <c r="K24"/>
  <c r="K21" i="8" s="1"/>
  <c r="I72" i="4"/>
  <c r="F71"/>
  <c r="F76"/>
  <c r="H51"/>
  <c r="F75"/>
  <c r="H75"/>
  <c r="I73"/>
  <c r="J73" s="1"/>
  <c r="H9"/>
  <c r="E76"/>
  <c r="F70"/>
  <c r="H73"/>
  <c r="E73"/>
  <c r="E72"/>
  <c r="I51"/>
  <c r="J50"/>
  <c r="F73"/>
  <c r="F51"/>
  <c r="D18" i="1"/>
  <c r="D20" s="1"/>
  <c r="E77" i="4"/>
  <c r="H70"/>
  <c r="G51"/>
  <c r="H71"/>
  <c r="E70"/>
  <c r="E71"/>
  <c r="F72"/>
  <c r="I77"/>
  <c r="E75"/>
  <c r="F75" i="2"/>
  <c r="F77" s="1"/>
  <c r="F80" i="1" s="1"/>
  <c r="J8" i="4"/>
  <c r="J9" s="1"/>
  <c r="J16"/>
  <c r="M12"/>
  <c r="L14"/>
  <c r="L11" s="1"/>
  <c r="L12" i="1" s="1"/>
  <c r="I76" i="4"/>
  <c r="J76" s="1"/>
  <c r="I70"/>
  <c r="D71"/>
  <c r="D77"/>
  <c r="D73"/>
  <c r="D70"/>
  <c r="D72"/>
  <c r="D76"/>
  <c r="G73"/>
  <c r="G77"/>
  <c r="G71"/>
  <c r="G72"/>
  <c r="G75"/>
  <c r="G76"/>
  <c r="D75"/>
  <c r="G70"/>
  <c r="F4"/>
  <c r="G3"/>
  <c r="D61" i="2"/>
  <c r="E58" s="1"/>
  <c r="E61" s="1"/>
  <c r="F58" s="1"/>
  <c r="F61" s="1"/>
  <c r="G58" s="1"/>
  <c r="G61" s="1"/>
  <c r="H58" s="1"/>
  <c r="H61" s="1"/>
  <c r="I58" s="1"/>
  <c r="I61" s="1"/>
  <c r="J58" s="1"/>
  <c r="J61" s="1"/>
  <c r="D60"/>
  <c r="E37"/>
  <c r="E42" s="1"/>
  <c r="E21"/>
  <c r="H18" i="1"/>
  <c r="H20" s="1"/>
  <c r="I18"/>
  <c r="I20" s="1"/>
  <c r="G18"/>
  <c r="G20" s="1"/>
  <c r="F61"/>
  <c r="G61"/>
  <c r="G76" s="1"/>
  <c r="H61"/>
  <c r="I61"/>
  <c r="F49"/>
  <c r="G49"/>
  <c r="I49"/>
  <c r="E49"/>
  <c r="D49"/>
  <c r="E61"/>
  <c r="E4" i="3"/>
  <c r="F4" s="1"/>
  <c r="E3"/>
  <c r="F3" s="1"/>
  <c r="G3" s="1"/>
  <c r="H3" s="1"/>
  <c r="I3" s="1"/>
  <c r="J3" s="1"/>
  <c r="K3" s="1"/>
  <c r="L3" s="1"/>
  <c r="M3" s="1"/>
  <c r="N3" s="1"/>
  <c r="E4" i="2"/>
  <c r="F4" s="1"/>
  <c r="E3"/>
  <c r="F3" s="1"/>
  <c r="G3" s="1"/>
  <c r="H3" s="1"/>
  <c r="I3" s="1"/>
  <c r="J3" s="1"/>
  <c r="K3" s="1"/>
  <c r="L3" s="1"/>
  <c r="M3" s="1"/>
  <c r="N3" s="1"/>
  <c r="E5" i="1"/>
  <c r="E6" s="1"/>
  <c r="E3"/>
  <c r="F3" s="1"/>
  <c r="G3" s="1"/>
  <c r="H3" s="1"/>
  <c r="I3" s="1"/>
  <c r="J3" s="1"/>
  <c r="K3" s="1"/>
  <c r="L3" s="1"/>
  <c r="M3" s="1"/>
  <c r="N3" s="1"/>
  <c r="F18" l="1"/>
  <c r="F20" s="1"/>
  <c r="F31" i="8" s="1"/>
  <c r="F7" i="3"/>
  <c r="F55" s="1"/>
  <c r="E7"/>
  <c r="E54" s="1"/>
  <c r="K22" i="8"/>
  <c r="F22"/>
  <c r="G22"/>
  <c r="F26"/>
  <c r="G22" i="1"/>
  <c r="G24" s="1"/>
  <c r="G32" s="1"/>
  <c r="G37" i="8" s="1"/>
  <c r="G31"/>
  <c r="G32" s="1"/>
  <c r="E22"/>
  <c r="E26"/>
  <c r="I22" i="1"/>
  <c r="I31" i="8"/>
  <c r="I32" s="1"/>
  <c r="E18" i="1"/>
  <c r="E20" s="1"/>
  <c r="H22"/>
  <c r="H24" s="1"/>
  <c r="H32" s="1"/>
  <c r="H37" i="8" s="1"/>
  <c r="H31"/>
  <c r="H32" s="1"/>
  <c r="D22" i="1"/>
  <c r="D24" s="1"/>
  <c r="D32" s="1"/>
  <c r="D37" i="8" s="1"/>
  <c r="D31"/>
  <c r="D32" s="1"/>
  <c r="K8" i="3"/>
  <c r="K17" i="8"/>
  <c r="J8" i="3"/>
  <c r="J17" i="8"/>
  <c r="L8" i="3"/>
  <c r="L17" i="8"/>
  <c r="E52" i="2"/>
  <c r="F47" s="1"/>
  <c r="F28"/>
  <c r="D36" i="1"/>
  <c r="D59" s="1"/>
  <c r="D79"/>
  <c r="D81" s="1"/>
  <c r="J7" i="5"/>
  <c r="K16" i="4"/>
  <c r="D53" i="3"/>
  <c r="D52"/>
  <c r="D51"/>
  <c r="D58"/>
  <c r="D57"/>
  <c r="D56"/>
  <c r="D55"/>
  <c r="D54"/>
  <c r="H51"/>
  <c r="H54"/>
  <c r="H57"/>
  <c r="H52"/>
  <c r="H55"/>
  <c r="H50"/>
  <c r="H58"/>
  <c r="H53"/>
  <c r="H56"/>
  <c r="G56"/>
  <c r="G51"/>
  <c r="G54"/>
  <c r="G57"/>
  <c r="G52"/>
  <c r="G55"/>
  <c r="G50"/>
  <c r="G58"/>
  <c r="G53"/>
  <c r="I89"/>
  <c r="K89" s="1"/>
  <c r="L89" s="1"/>
  <c r="M89" s="1"/>
  <c r="N89" s="1"/>
  <c r="I54"/>
  <c r="I57"/>
  <c r="K57" s="1"/>
  <c r="L57" s="1"/>
  <c r="M57" s="1"/>
  <c r="N57" s="1"/>
  <c r="I52"/>
  <c r="K52" s="1"/>
  <c r="L52" s="1"/>
  <c r="M52" s="1"/>
  <c r="N52" s="1"/>
  <c r="I55"/>
  <c r="K55" s="1"/>
  <c r="L55" s="1"/>
  <c r="M55" s="1"/>
  <c r="N55" s="1"/>
  <c r="I50"/>
  <c r="I58"/>
  <c r="K58" s="1"/>
  <c r="L58" s="1"/>
  <c r="M58" s="1"/>
  <c r="N58" s="1"/>
  <c r="I53"/>
  <c r="K53" s="1"/>
  <c r="L53" s="1"/>
  <c r="M53" s="1"/>
  <c r="N53" s="1"/>
  <c r="I56"/>
  <c r="I51"/>
  <c r="F15" i="2"/>
  <c r="E37" i="1"/>
  <c r="F68" i="2"/>
  <c r="F72" s="1"/>
  <c r="E77" i="1"/>
  <c r="K58" i="2"/>
  <c r="K61" s="1"/>
  <c r="K31" i="5"/>
  <c r="D46" i="3"/>
  <c r="D45"/>
  <c r="D44"/>
  <c r="D48"/>
  <c r="D43"/>
  <c r="D47"/>
  <c r="H47"/>
  <c r="H44"/>
  <c r="H46"/>
  <c r="H43"/>
  <c r="H48"/>
  <c r="H45"/>
  <c r="I44"/>
  <c r="I48"/>
  <c r="I45"/>
  <c r="I46"/>
  <c r="I43"/>
  <c r="I47"/>
  <c r="G47"/>
  <c r="G44"/>
  <c r="G46"/>
  <c r="G48"/>
  <c r="G45"/>
  <c r="G43"/>
  <c r="H31" i="5"/>
  <c r="H28"/>
  <c r="H33"/>
  <c r="H35"/>
  <c r="H30"/>
  <c r="H46"/>
  <c r="H36"/>
  <c r="H45"/>
  <c r="H47"/>
  <c r="H27"/>
  <c r="H32"/>
  <c r="H29"/>
  <c r="H34"/>
  <c r="H86" i="3"/>
  <c r="H95"/>
  <c r="H39"/>
  <c r="H41"/>
  <c r="H88"/>
  <c r="H96"/>
  <c r="H87"/>
  <c r="H82"/>
  <c r="H90"/>
  <c r="H98"/>
  <c r="H91"/>
  <c r="H84"/>
  <c r="H92"/>
  <c r="H99"/>
  <c r="H38"/>
  <c r="H94"/>
  <c r="H40"/>
  <c r="H83"/>
  <c r="H97"/>
  <c r="H49"/>
  <c r="H89"/>
  <c r="D46" i="5"/>
  <c r="D27"/>
  <c r="D31"/>
  <c r="D28"/>
  <c r="D36"/>
  <c r="D47"/>
  <c r="D32"/>
  <c r="D30"/>
  <c r="D29"/>
  <c r="D34"/>
  <c r="D33"/>
  <c r="D45"/>
  <c r="D35"/>
  <c r="I84" i="3"/>
  <c r="I88"/>
  <c r="I97"/>
  <c r="I99"/>
  <c r="I38"/>
  <c r="I87"/>
  <c r="I82"/>
  <c r="K82" s="1"/>
  <c r="L82" s="1"/>
  <c r="M82" s="1"/>
  <c r="N82" s="1"/>
  <c r="I40"/>
  <c r="I39"/>
  <c r="I86"/>
  <c r="I92"/>
  <c r="I41"/>
  <c r="I96"/>
  <c r="I94"/>
  <c r="I90"/>
  <c r="I98"/>
  <c r="I91"/>
  <c r="I95"/>
  <c r="I49"/>
  <c r="I83"/>
  <c r="I34" i="5"/>
  <c r="I46"/>
  <c r="I35"/>
  <c r="I28"/>
  <c r="I33"/>
  <c r="I36"/>
  <c r="I45"/>
  <c r="I30"/>
  <c r="I27"/>
  <c r="I29"/>
  <c r="I47"/>
  <c r="I32"/>
  <c r="G94" i="3"/>
  <c r="G90"/>
  <c r="G98"/>
  <c r="G84"/>
  <c r="G41"/>
  <c r="G88"/>
  <c r="G96"/>
  <c r="G38"/>
  <c r="G95"/>
  <c r="G39"/>
  <c r="G92"/>
  <c r="G99"/>
  <c r="G87"/>
  <c r="G82"/>
  <c r="G89"/>
  <c r="G97"/>
  <c r="G83"/>
  <c r="G40"/>
  <c r="G86"/>
  <c r="G49"/>
  <c r="G91"/>
  <c r="D98"/>
  <c r="D38"/>
  <c r="D86"/>
  <c r="D95"/>
  <c r="D39"/>
  <c r="D49"/>
  <c r="D97"/>
  <c r="D89"/>
  <c r="D40"/>
  <c r="D94"/>
  <c r="D84"/>
  <c r="D99"/>
  <c r="D92"/>
  <c r="D82"/>
  <c r="D96"/>
  <c r="D91"/>
  <c r="D88"/>
  <c r="D87"/>
  <c r="D50"/>
  <c r="D41"/>
  <c r="D83"/>
  <c r="D90"/>
  <c r="F33" i="5"/>
  <c r="F30"/>
  <c r="F46"/>
  <c r="F35"/>
  <c r="F36"/>
  <c r="F27"/>
  <c r="F45"/>
  <c r="F47"/>
  <c r="F28"/>
  <c r="F29"/>
  <c r="F34"/>
  <c r="F31"/>
  <c r="F32"/>
  <c r="E30"/>
  <c r="E35"/>
  <c r="E36"/>
  <c r="E45"/>
  <c r="E32"/>
  <c r="E31"/>
  <c r="E29"/>
  <c r="E28"/>
  <c r="E46"/>
  <c r="E47"/>
  <c r="E33"/>
  <c r="E34"/>
  <c r="E27"/>
  <c r="G28"/>
  <c r="G46"/>
  <c r="G33"/>
  <c r="G35"/>
  <c r="G30"/>
  <c r="G34"/>
  <c r="G47"/>
  <c r="G29"/>
  <c r="G45"/>
  <c r="G31"/>
  <c r="G32"/>
  <c r="G27"/>
  <c r="G36"/>
  <c r="I4"/>
  <c r="H5"/>
  <c r="H24" s="1"/>
  <c r="L24" i="4"/>
  <c r="K11" i="1"/>
  <c r="K8" i="4"/>
  <c r="K9" s="1"/>
  <c r="J59"/>
  <c r="J54"/>
  <c r="J55"/>
  <c r="J56"/>
  <c r="K50"/>
  <c r="J75"/>
  <c r="K76"/>
  <c r="J70"/>
  <c r="K73"/>
  <c r="E56" i="2"/>
  <c r="E60" s="1"/>
  <c r="D64"/>
  <c r="G75"/>
  <c r="G77" s="1"/>
  <c r="G80" i="1" s="1"/>
  <c r="N12" i="4"/>
  <c r="M14"/>
  <c r="M11" s="1"/>
  <c r="M12" i="1" s="1"/>
  <c r="L16" i="4"/>
  <c r="G4"/>
  <c r="H3"/>
  <c r="E5" i="3"/>
  <c r="F33" i="2"/>
  <c r="E43"/>
  <c r="D76" i="1"/>
  <c r="I76"/>
  <c r="E76"/>
  <c r="H76"/>
  <c r="F76"/>
  <c r="F5"/>
  <c r="G4" i="3"/>
  <c r="F5"/>
  <c r="G4" i="2"/>
  <c r="F5"/>
  <c r="E5"/>
  <c r="E87" i="3" l="1"/>
  <c r="E50"/>
  <c r="F97"/>
  <c r="F58"/>
  <c r="E38"/>
  <c r="E91"/>
  <c r="F50"/>
  <c r="E82"/>
  <c r="E44"/>
  <c r="E57"/>
  <c r="F88"/>
  <c r="E98"/>
  <c r="E48"/>
  <c r="E52"/>
  <c r="F96"/>
  <c r="E39"/>
  <c r="E47"/>
  <c r="E55"/>
  <c r="E96"/>
  <c r="F38"/>
  <c r="F83"/>
  <c r="E40"/>
  <c r="F53"/>
  <c r="F91"/>
  <c r="F90"/>
  <c r="H26" i="1"/>
  <c r="H29" s="1"/>
  <c r="F49" i="3"/>
  <c r="F98"/>
  <c r="E90"/>
  <c r="F45"/>
  <c r="E58"/>
  <c r="F51"/>
  <c r="F99"/>
  <c r="F95"/>
  <c r="E97"/>
  <c r="F40"/>
  <c r="F86"/>
  <c r="E83"/>
  <c r="E94"/>
  <c r="E41"/>
  <c r="E46"/>
  <c r="F43"/>
  <c r="E56"/>
  <c r="F57"/>
  <c r="F94"/>
  <c r="F92"/>
  <c r="E99"/>
  <c r="E49"/>
  <c r="F47"/>
  <c r="E51"/>
  <c r="F52"/>
  <c r="F22" i="1"/>
  <c r="F24" s="1"/>
  <c r="F32" s="1"/>
  <c r="F37" i="8" s="1"/>
  <c r="I24" i="1"/>
  <c r="I32" s="1"/>
  <c r="F87" i="3"/>
  <c r="F46"/>
  <c r="F56"/>
  <c r="F82"/>
  <c r="E89"/>
  <c r="E95"/>
  <c r="E45"/>
  <c r="F39"/>
  <c r="E88"/>
  <c r="E92"/>
  <c r="E43"/>
  <c r="F44"/>
  <c r="E53"/>
  <c r="F54"/>
  <c r="F84"/>
  <c r="F89"/>
  <c r="F41"/>
  <c r="E84"/>
  <c r="E86"/>
  <c r="F48"/>
  <c r="F32" i="8"/>
  <c r="G26" i="1"/>
  <c r="G29" s="1"/>
  <c r="D82"/>
  <c r="D84" s="1"/>
  <c r="E23" i="8"/>
  <c r="E27"/>
  <c r="E19"/>
  <c r="F27"/>
  <c r="F19"/>
  <c r="G27"/>
  <c r="D26" i="1"/>
  <c r="D29" s="1"/>
  <c r="E22"/>
  <c r="E24" s="1"/>
  <c r="E31" i="8"/>
  <c r="E32" s="1"/>
  <c r="F23"/>
  <c r="K26"/>
  <c r="K18"/>
  <c r="L18"/>
  <c r="M8" i="3"/>
  <c r="M17" i="8"/>
  <c r="J26"/>
  <c r="J19" s="1"/>
  <c r="J18"/>
  <c r="L8" i="4"/>
  <c r="L9" s="1"/>
  <c r="L21" i="8"/>
  <c r="L22" s="1"/>
  <c r="E39" i="1"/>
  <c r="E79"/>
  <c r="E81" s="1"/>
  <c r="E82" s="1"/>
  <c r="J7" i="3"/>
  <c r="K51"/>
  <c r="F52" i="2"/>
  <c r="F51"/>
  <c r="F21"/>
  <c r="F20"/>
  <c r="G28"/>
  <c r="G33" s="1"/>
  <c r="F40" i="1"/>
  <c r="L58" i="2"/>
  <c r="L61" s="1"/>
  <c r="F78" i="1"/>
  <c r="G68" i="2"/>
  <c r="G72" s="1"/>
  <c r="F77" i="1"/>
  <c r="F37" i="2"/>
  <c r="E41" i="1"/>
  <c r="L31" i="5"/>
  <c r="K44" i="3"/>
  <c r="K45"/>
  <c r="K47"/>
  <c r="K43"/>
  <c r="J93"/>
  <c r="K98"/>
  <c r="K95"/>
  <c r="K90"/>
  <c r="K96"/>
  <c r="K99"/>
  <c r="K46" i="5"/>
  <c r="K47"/>
  <c r="K35"/>
  <c r="J28"/>
  <c r="K30"/>
  <c r="K32"/>
  <c r="J85" i="3"/>
  <c r="K87"/>
  <c r="K94"/>
  <c r="G85"/>
  <c r="H42"/>
  <c r="G42"/>
  <c r="I42"/>
  <c r="D42"/>
  <c r="K7" i="5"/>
  <c r="K7" i="3"/>
  <c r="I85"/>
  <c r="H93"/>
  <c r="G93"/>
  <c r="H85"/>
  <c r="D93"/>
  <c r="D85"/>
  <c r="I93"/>
  <c r="I5" i="5"/>
  <c r="I24" s="1"/>
  <c r="J4"/>
  <c r="F35" i="3"/>
  <c r="E35"/>
  <c r="M24" i="4"/>
  <c r="M21" i="8" s="1"/>
  <c r="L11" i="1"/>
  <c r="J62" i="4"/>
  <c r="J17" i="1" s="1"/>
  <c r="J58" i="4"/>
  <c r="J16" i="1" s="1"/>
  <c r="L73" i="4"/>
  <c r="K70"/>
  <c r="L50"/>
  <c r="K55"/>
  <c r="K56"/>
  <c r="K59"/>
  <c r="K54"/>
  <c r="K60"/>
  <c r="L76"/>
  <c r="K75"/>
  <c r="J53"/>
  <c r="F56" i="2"/>
  <c r="F60" s="1"/>
  <c r="E64"/>
  <c r="H75"/>
  <c r="H77" s="1"/>
  <c r="H80" i="1" s="1"/>
  <c r="N14" i="4"/>
  <c r="N11" s="1"/>
  <c r="N12" i="1" s="1"/>
  <c r="M16" i="4"/>
  <c r="H4"/>
  <c r="I3"/>
  <c r="F6" i="1"/>
  <c r="G5"/>
  <c r="H4" i="3"/>
  <c r="G5"/>
  <c r="H4" i="2"/>
  <c r="G5"/>
  <c r="E42" i="3" l="1"/>
  <c r="D17" i="6"/>
  <c r="D21" s="1"/>
  <c r="I37" i="8"/>
  <c r="I26" i="1"/>
  <c r="I29" s="1"/>
  <c r="F26"/>
  <c r="F29" s="1"/>
  <c r="E85" i="3"/>
  <c r="F93"/>
  <c r="F85"/>
  <c r="F42"/>
  <c r="E93"/>
  <c r="D4" i="1"/>
  <c r="J8" i="5"/>
  <c r="M22" i="8"/>
  <c r="L26"/>
  <c r="L19" s="1"/>
  <c r="E32" i="1"/>
  <c r="E37" i="8" s="1"/>
  <c r="E26" i="1"/>
  <c r="E29" s="1"/>
  <c r="K56" i="8"/>
  <c r="K46"/>
  <c r="K71" s="1"/>
  <c r="K27"/>
  <c r="K57" s="1"/>
  <c r="K23"/>
  <c r="N8" i="3"/>
  <c r="N17" i="8"/>
  <c r="K19"/>
  <c r="J56"/>
  <c r="J46"/>
  <c r="J71" s="1"/>
  <c r="J23"/>
  <c r="J27"/>
  <c r="J57" s="1"/>
  <c r="M26"/>
  <c r="M18"/>
  <c r="E36" i="1"/>
  <c r="E59" s="1"/>
  <c r="E4" s="1"/>
  <c r="K50" i="3"/>
  <c r="L51"/>
  <c r="G78" i="1"/>
  <c r="G15" i="2"/>
  <c r="F37" i="1"/>
  <c r="H28" i="2"/>
  <c r="H33" s="1"/>
  <c r="G40" i="1"/>
  <c r="M58" i="2"/>
  <c r="M61" s="1"/>
  <c r="F79" i="1"/>
  <c r="F81" s="1"/>
  <c r="F82" s="1"/>
  <c r="G47" i="2"/>
  <c r="F39" i="1"/>
  <c r="H68" i="2"/>
  <c r="H72" s="1"/>
  <c r="G77" i="1"/>
  <c r="F43" i="2"/>
  <c r="F42"/>
  <c r="J61" i="1"/>
  <c r="M31" i="5"/>
  <c r="L44" i="3"/>
  <c r="L45"/>
  <c r="L47"/>
  <c r="L43"/>
  <c r="L98"/>
  <c r="L95"/>
  <c r="L90"/>
  <c r="L96"/>
  <c r="L99"/>
  <c r="L46" i="5"/>
  <c r="L47"/>
  <c r="L35"/>
  <c r="L32"/>
  <c r="L30"/>
  <c r="K28"/>
  <c r="K85" i="3"/>
  <c r="L87"/>
  <c r="L94"/>
  <c r="K93"/>
  <c r="L7" i="5"/>
  <c r="L7" i="3"/>
  <c r="J5" i="5"/>
  <c r="K4"/>
  <c r="G35" i="3"/>
  <c r="M11" i="1"/>
  <c r="N24" i="4"/>
  <c r="M8"/>
  <c r="M9" s="1"/>
  <c r="J15" i="1"/>
  <c r="J14" s="1"/>
  <c r="J18" s="1"/>
  <c r="M73" i="4"/>
  <c r="L70"/>
  <c r="M76"/>
  <c r="L75"/>
  <c r="M50"/>
  <c r="L59"/>
  <c r="L55"/>
  <c r="L56"/>
  <c r="L54"/>
  <c r="L60"/>
  <c r="K62"/>
  <c r="K17" i="1" s="1"/>
  <c r="K58" i="4"/>
  <c r="K16" i="1" s="1"/>
  <c r="K53" i="4"/>
  <c r="G56" i="2"/>
  <c r="G60" s="1"/>
  <c r="F64"/>
  <c r="I75"/>
  <c r="I77" s="1"/>
  <c r="N16" i="4"/>
  <c r="I4"/>
  <c r="J3"/>
  <c r="G6" i="1"/>
  <c r="H5"/>
  <c r="I4" i="3"/>
  <c r="H5"/>
  <c r="H5" i="2"/>
  <c r="I4"/>
  <c r="L56" i="8" l="1"/>
  <c r="L46"/>
  <c r="L71" s="1"/>
  <c r="L27"/>
  <c r="L57" s="1"/>
  <c r="L23"/>
  <c r="J12" i="5"/>
  <c r="N18" i="8"/>
  <c r="M19"/>
  <c r="M56"/>
  <c r="M46"/>
  <c r="M71" s="1"/>
  <c r="M23"/>
  <c r="M27"/>
  <c r="M57" s="1"/>
  <c r="N8" i="4"/>
  <c r="N9" s="1"/>
  <c r="N21" i="8"/>
  <c r="N22" s="1"/>
  <c r="K8" i="5"/>
  <c r="E84" i="1"/>
  <c r="L50" i="3"/>
  <c r="M51"/>
  <c r="I28" i="2"/>
  <c r="I33" s="1"/>
  <c r="H40" i="1"/>
  <c r="G52" i="2"/>
  <c r="G51"/>
  <c r="G79" i="1"/>
  <c r="G81" s="1"/>
  <c r="G82" s="1"/>
  <c r="N58" i="2"/>
  <c r="N61" s="1"/>
  <c r="H78" i="1"/>
  <c r="J75" i="2"/>
  <c r="J77" s="1"/>
  <c r="I80" i="1"/>
  <c r="J80" s="1"/>
  <c r="K80" s="1"/>
  <c r="L80" s="1"/>
  <c r="M80" s="1"/>
  <c r="N80" s="1"/>
  <c r="G21" i="2"/>
  <c r="G20"/>
  <c r="I68"/>
  <c r="I72" s="1"/>
  <c r="H77" i="1"/>
  <c r="G37" i="2"/>
  <c r="F41" i="1"/>
  <c r="F36" s="1"/>
  <c r="F59" s="1"/>
  <c r="K61"/>
  <c r="N31" i="5"/>
  <c r="M44" i="3"/>
  <c r="M45"/>
  <c r="M47"/>
  <c r="M43"/>
  <c r="M98"/>
  <c r="M95"/>
  <c r="M90"/>
  <c r="M96"/>
  <c r="M99"/>
  <c r="M46" i="5"/>
  <c r="M47"/>
  <c r="M35"/>
  <c r="M32"/>
  <c r="M30"/>
  <c r="L28"/>
  <c r="L85" i="3"/>
  <c r="M87"/>
  <c r="M94"/>
  <c r="L93"/>
  <c r="M7"/>
  <c r="M7" i="5"/>
  <c r="K5"/>
  <c r="L4"/>
  <c r="H35" i="3"/>
  <c r="L58" i="4"/>
  <c r="L16" i="1" s="1"/>
  <c r="N11"/>
  <c r="L62" i="4"/>
  <c r="L17" i="1" s="1"/>
  <c r="N76" i="4"/>
  <c r="M75"/>
  <c r="K15" i="1"/>
  <c r="K14" s="1"/>
  <c r="K18" s="1"/>
  <c r="N50" i="4"/>
  <c r="M56"/>
  <c r="M59"/>
  <c r="M54"/>
  <c r="M60"/>
  <c r="M55"/>
  <c r="L53"/>
  <c r="N73"/>
  <c r="M70"/>
  <c r="H56" i="2"/>
  <c r="H60" s="1"/>
  <c r="G64"/>
  <c r="J4" i="4"/>
  <c r="K3"/>
  <c r="I5" i="1"/>
  <c r="H6"/>
  <c r="I5" i="3"/>
  <c r="J4"/>
  <c r="J4" i="2"/>
  <c r="I5"/>
  <c r="J70" i="1" l="1"/>
  <c r="J67" s="1"/>
  <c r="J10" i="2"/>
  <c r="N26" i="8"/>
  <c r="N46" s="1"/>
  <c r="N71" s="1"/>
  <c r="H79" i="1"/>
  <c r="H81" s="1"/>
  <c r="H82" s="1"/>
  <c r="L8" i="5"/>
  <c r="K12"/>
  <c r="M50" i="3"/>
  <c r="N51"/>
  <c r="F4" i="1"/>
  <c r="F84"/>
  <c r="G42" i="2"/>
  <c r="G43"/>
  <c r="I40" i="1"/>
  <c r="J28" i="2"/>
  <c r="K75"/>
  <c r="K77" s="1"/>
  <c r="H47"/>
  <c r="G39" i="1"/>
  <c r="H15" i="2"/>
  <c r="G37" i="1"/>
  <c r="I77"/>
  <c r="J68" i="2"/>
  <c r="J72" s="1"/>
  <c r="L61" i="1"/>
  <c r="N44" i="3"/>
  <c r="N45"/>
  <c r="N47"/>
  <c r="N43"/>
  <c r="N98"/>
  <c r="N95"/>
  <c r="N90"/>
  <c r="N96"/>
  <c r="N99"/>
  <c r="N46" i="5"/>
  <c r="N47"/>
  <c r="N35"/>
  <c r="N32"/>
  <c r="N30"/>
  <c r="M28"/>
  <c r="N87" i="3"/>
  <c r="M85"/>
  <c r="N94"/>
  <c r="M93"/>
  <c r="N7"/>
  <c r="N7" i="5"/>
  <c r="M4"/>
  <c r="L5"/>
  <c r="I35" i="3"/>
  <c r="M58" i="4"/>
  <c r="M16" i="1" s="1"/>
  <c r="N59" i="4"/>
  <c r="N54"/>
  <c r="N60"/>
  <c r="N55"/>
  <c r="N56"/>
  <c r="N75"/>
  <c r="L15" i="1"/>
  <c r="L14" s="1"/>
  <c r="L18" s="1"/>
  <c r="N70" i="4"/>
  <c r="M53"/>
  <c r="M8" i="5" s="1"/>
  <c r="M62" i="4"/>
  <c r="M17" i="1" s="1"/>
  <c r="I56" i="2"/>
  <c r="I60" s="1"/>
  <c r="H64"/>
  <c r="K4" i="4"/>
  <c r="L3"/>
  <c r="J5" i="1"/>
  <c r="I6"/>
  <c r="K4" i="3"/>
  <c r="J5"/>
  <c r="J14" s="1"/>
  <c r="K4" i="2"/>
  <c r="J5"/>
  <c r="K70" i="1" l="1"/>
  <c r="K67" s="1"/>
  <c r="K10" i="2"/>
  <c r="J9"/>
  <c r="J11" s="1"/>
  <c r="J91" i="1" s="1"/>
  <c r="J52"/>
  <c r="N23" i="8"/>
  <c r="N56"/>
  <c r="N27"/>
  <c r="N57" s="1"/>
  <c r="N19"/>
  <c r="L12" i="5"/>
  <c r="J33" i="2"/>
  <c r="J40" i="1" s="1"/>
  <c r="N50" i="3"/>
  <c r="I78" i="1"/>
  <c r="K68" i="2"/>
  <c r="K72" s="1"/>
  <c r="J77" i="1"/>
  <c r="L75" i="2"/>
  <c r="L77" s="1"/>
  <c r="H52"/>
  <c r="H51"/>
  <c r="H21"/>
  <c r="H20"/>
  <c r="H37"/>
  <c r="G41" i="1"/>
  <c r="G36" s="1"/>
  <c r="G59" s="1"/>
  <c r="I64" i="2"/>
  <c r="J56"/>
  <c r="J60" s="1"/>
  <c r="M61" i="1"/>
  <c r="N28" i="5"/>
  <c r="N85" i="3"/>
  <c r="N93"/>
  <c r="M5" i="5"/>
  <c r="M12" s="1"/>
  <c r="N4"/>
  <c r="N58" i="4"/>
  <c r="N16" i="1" s="1"/>
  <c r="N53" i="4"/>
  <c r="M15" i="1"/>
  <c r="M14" s="1"/>
  <c r="M18" s="1"/>
  <c r="N62" i="4"/>
  <c r="N17" i="1" s="1"/>
  <c r="M3" i="4"/>
  <c r="L4"/>
  <c r="K5" i="1"/>
  <c r="J6"/>
  <c r="L4" i="3"/>
  <c r="K5"/>
  <c r="K14" s="1"/>
  <c r="K9" i="2" s="1"/>
  <c r="K5"/>
  <c r="L4"/>
  <c r="L70" i="1" l="1"/>
  <c r="L67" s="1"/>
  <c r="L10" i="2"/>
  <c r="M10"/>
  <c r="K11"/>
  <c r="K91" i="1" s="1"/>
  <c r="K48" i="8" s="1"/>
  <c r="K73" s="1"/>
  <c r="L9" i="2"/>
  <c r="K52" i="1"/>
  <c r="I79"/>
  <c r="I81" s="1"/>
  <c r="I82" s="1"/>
  <c r="N8" i="5"/>
  <c r="K28" i="2"/>
  <c r="M70" i="1"/>
  <c r="I15" i="2"/>
  <c r="H37" i="1"/>
  <c r="L68" i="2"/>
  <c r="L72" s="1"/>
  <c r="K77" i="1"/>
  <c r="K56" i="2"/>
  <c r="K60" s="1"/>
  <c r="J63"/>
  <c r="J21" i="1" s="1"/>
  <c r="I47" i="2"/>
  <c r="H39" i="1"/>
  <c r="G84"/>
  <c r="G4"/>
  <c r="H42" i="2"/>
  <c r="H43"/>
  <c r="M75"/>
  <c r="M77" s="1"/>
  <c r="N61" i="1"/>
  <c r="N5" i="5"/>
  <c r="N15" i="1"/>
  <c r="N14" s="1"/>
  <c r="N18" s="1"/>
  <c r="M4" i="4"/>
  <c r="N3"/>
  <c r="L5" i="1"/>
  <c r="K6"/>
  <c r="L5" i="3"/>
  <c r="L14" s="1"/>
  <c r="M4"/>
  <c r="M4" i="2"/>
  <c r="L5"/>
  <c r="L11" l="1"/>
  <c r="L91" i="1" s="1"/>
  <c r="L48" i="8" s="1"/>
  <c r="L73" s="1"/>
  <c r="M9" i="2"/>
  <c r="M11" s="1"/>
  <c r="M91" i="1" s="1"/>
  <c r="M48" i="8" s="1"/>
  <c r="M73" s="1"/>
  <c r="L52" i="1"/>
  <c r="J90"/>
  <c r="J105"/>
  <c r="M67"/>
  <c r="N12" i="5"/>
  <c r="K33" i="2"/>
  <c r="K40" i="1" s="1"/>
  <c r="K100"/>
  <c r="N75" i="2"/>
  <c r="N77" s="1"/>
  <c r="K63"/>
  <c r="K21" i="1" s="1"/>
  <c r="L56" i="2"/>
  <c r="L60" s="1"/>
  <c r="I52"/>
  <c r="I51"/>
  <c r="I21"/>
  <c r="I20"/>
  <c r="M68"/>
  <c r="M72" s="1"/>
  <c r="L77" i="1"/>
  <c r="I37" i="2"/>
  <c r="H41" i="1"/>
  <c r="H36" s="1"/>
  <c r="H59" s="1"/>
  <c r="N4" i="4"/>
  <c r="M5" i="1"/>
  <c r="L6"/>
  <c r="N4" i="3"/>
  <c r="M5"/>
  <c r="M14" s="1"/>
  <c r="N4" i="2"/>
  <c r="M5"/>
  <c r="N70" i="1" l="1"/>
  <c r="N67" s="1"/>
  <c r="N10" i="2"/>
  <c r="M52" i="1"/>
  <c r="N9" i="2"/>
  <c r="K90" i="1"/>
  <c r="K105"/>
  <c r="L28" i="2"/>
  <c r="H4" i="1"/>
  <c r="H84"/>
  <c r="J47" i="2"/>
  <c r="J50" s="1"/>
  <c r="J52" s="1"/>
  <c r="I39" i="1"/>
  <c r="J15" i="2"/>
  <c r="I37" i="1"/>
  <c r="N68" i="2"/>
  <c r="N72" s="1"/>
  <c r="M77" i="1"/>
  <c r="M56" i="2"/>
  <c r="M60" s="1"/>
  <c r="L63"/>
  <c r="L21" i="1" s="1"/>
  <c r="I43" i="2"/>
  <c r="I42"/>
  <c r="N5" i="1"/>
  <c r="M6"/>
  <c r="N5" i="3"/>
  <c r="N14" s="1"/>
  <c r="N52" i="1" s="1"/>
  <c r="N5" i="2"/>
  <c r="N11" l="1"/>
  <c r="N91" i="1" s="1"/>
  <c r="N48" i="8" s="1"/>
  <c r="N73" s="1"/>
  <c r="L90" i="1"/>
  <c r="L105"/>
  <c r="L33" i="2"/>
  <c r="L40" i="1" s="1"/>
  <c r="L100"/>
  <c r="J19" i="2"/>
  <c r="J21" s="1"/>
  <c r="J37"/>
  <c r="I41" i="1"/>
  <c r="N77"/>
  <c r="K47" i="2"/>
  <c r="J39" i="1"/>
  <c r="M63" i="2"/>
  <c r="M21" i="1" s="1"/>
  <c r="N56" i="2"/>
  <c r="N60" s="1"/>
  <c r="N6" i="1"/>
  <c r="M90" l="1"/>
  <c r="M105"/>
  <c r="I36"/>
  <c r="I59" s="1"/>
  <c r="I84" s="1"/>
  <c r="M28" i="2"/>
  <c r="K50"/>
  <c r="K52" s="1"/>
  <c r="J37" i="1"/>
  <c r="K15" i="2"/>
  <c r="J41"/>
  <c r="J19" i="1" s="1"/>
  <c r="N63" i="2"/>
  <c r="N21" i="1" s="1"/>
  <c r="J36" l="1"/>
  <c r="N105"/>
  <c r="N90"/>
  <c r="J41" i="8"/>
  <c r="J42" s="1"/>
  <c r="J68" s="1"/>
  <c r="J20" i="1"/>
  <c r="J22" s="1"/>
  <c r="J24" s="1"/>
  <c r="I4"/>
  <c r="M33" i="2"/>
  <c r="M40" i="1" s="1"/>
  <c r="M100"/>
  <c r="J89"/>
  <c r="L47" i="2"/>
  <c r="K39" i="1"/>
  <c r="J43" i="2"/>
  <c r="J41" i="1" s="1"/>
  <c r="K19" i="2"/>
  <c r="J43" i="8" l="1"/>
  <c r="J67"/>
  <c r="J25" i="1"/>
  <c r="J26" s="1"/>
  <c r="J31" i="8"/>
  <c r="N28" i="2"/>
  <c r="L50"/>
  <c r="L52" s="1"/>
  <c r="K37"/>
  <c r="K21"/>
  <c r="J88" i="1" l="1"/>
  <c r="J36" i="8"/>
  <c r="J62" s="1"/>
  <c r="J32"/>
  <c r="J60" s="1"/>
  <c r="J59"/>
  <c r="J31" i="1"/>
  <c r="N33" i="2"/>
  <c r="N40" i="1" s="1"/>
  <c r="N100"/>
  <c r="M47" i="2"/>
  <c r="L39" i="1"/>
  <c r="K41" i="2"/>
  <c r="K19" i="1" s="1"/>
  <c r="K37"/>
  <c r="L15" i="2"/>
  <c r="L19" s="1"/>
  <c r="J78" i="1" l="1"/>
  <c r="J65" i="8"/>
  <c r="K41"/>
  <c r="K89" i="1"/>
  <c r="J28"/>
  <c r="J71" i="2" s="1"/>
  <c r="M50"/>
  <c r="M52" s="1"/>
  <c r="K20" i="1"/>
  <c r="L21" i="2"/>
  <c r="K43"/>
  <c r="K41" i="1" s="1"/>
  <c r="J104" l="1"/>
  <c r="J107" s="1"/>
  <c r="J73" i="2"/>
  <c r="K70" s="1"/>
  <c r="K67" i="8"/>
  <c r="K43"/>
  <c r="K42"/>
  <c r="K68" s="1"/>
  <c r="K22" i="1"/>
  <c r="K24" s="1"/>
  <c r="K31" s="1"/>
  <c r="K31" i="8"/>
  <c r="N47" i="2"/>
  <c r="M39" i="1"/>
  <c r="K36"/>
  <c r="L37" i="2"/>
  <c r="L37" i="1"/>
  <c r="M15" i="2"/>
  <c r="M19" s="1"/>
  <c r="K25" i="1" l="1"/>
  <c r="K59" i="8"/>
  <c r="K32"/>
  <c r="K60" s="1"/>
  <c r="J79" i="1"/>
  <c r="J81" s="1"/>
  <c r="N50" i="2"/>
  <c r="N52" s="1"/>
  <c r="M21"/>
  <c r="L41"/>
  <c r="L19" i="1" s="1"/>
  <c r="L41" i="8" l="1"/>
  <c r="L89" i="1"/>
  <c r="K26"/>
  <c r="K36" i="8"/>
  <c r="K62" s="1"/>
  <c r="K65" s="1"/>
  <c r="N39" i="1"/>
  <c r="L20"/>
  <c r="M37"/>
  <c r="N15" i="2"/>
  <c r="N19" s="1"/>
  <c r="L43"/>
  <c r="L41" i="1" s="1"/>
  <c r="K71" i="2" l="1"/>
  <c r="K73" s="1"/>
  <c r="L70" s="1"/>
  <c r="L67" i="8"/>
  <c r="L43"/>
  <c r="L42"/>
  <c r="L68" s="1"/>
  <c r="K88" i="1"/>
  <c r="K93" s="1"/>
  <c r="K28"/>
  <c r="K104" s="1"/>
  <c r="K107" s="1"/>
  <c r="L22"/>
  <c r="L24" s="1"/>
  <c r="L25" s="1"/>
  <c r="L31" i="8"/>
  <c r="L36" i="1"/>
  <c r="M37" i="2"/>
  <c r="N21"/>
  <c r="K78" i="1" l="1"/>
  <c r="L26"/>
  <c r="L36" i="8"/>
  <c r="L62" s="1"/>
  <c r="L59"/>
  <c r="L32"/>
  <c r="L60" s="1"/>
  <c r="L31" i="1"/>
  <c r="M41" i="2"/>
  <c r="M19" i="1" s="1"/>
  <c r="N37"/>
  <c r="L71" i="2" l="1"/>
  <c r="L73" s="1"/>
  <c r="M70" s="1"/>
  <c r="L88" i="1"/>
  <c r="L93" s="1"/>
  <c r="L28"/>
  <c r="L78" s="1"/>
  <c r="M41" i="8"/>
  <c r="M89" i="1"/>
  <c r="K79"/>
  <c r="K81" s="1"/>
  <c r="L65" i="8"/>
  <c r="M20" i="1"/>
  <c r="M43" i="2"/>
  <c r="M41" i="1" s="1"/>
  <c r="L104" l="1"/>
  <c r="L107" s="1"/>
  <c r="M43" i="8"/>
  <c r="M67"/>
  <c r="M42"/>
  <c r="M68" s="1"/>
  <c r="M22" i="1"/>
  <c r="M24" s="1"/>
  <c r="M31" s="1"/>
  <c r="M31" i="8"/>
  <c r="M36" i="1"/>
  <c r="N37" i="2"/>
  <c r="M25" i="1" l="1"/>
  <c r="M36" i="8" s="1"/>
  <c r="M62" s="1"/>
  <c r="M59"/>
  <c r="M32"/>
  <c r="M60" s="1"/>
  <c r="L79" i="1"/>
  <c r="L81" s="1"/>
  <c r="N41" i="2"/>
  <c r="N19" i="1" s="1"/>
  <c r="N41" i="8" l="1"/>
  <c r="N89" i="1"/>
  <c r="M65" i="8"/>
  <c r="M26" i="1"/>
  <c r="N20"/>
  <c r="N43" i="2"/>
  <c r="N41" i="1" s="1"/>
  <c r="M71" i="2" l="1"/>
  <c r="M73" s="1"/>
  <c r="N70" s="1"/>
  <c r="M78" i="1"/>
  <c r="N43" i="8"/>
  <c r="N67"/>
  <c r="N42"/>
  <c r="N68" s="1"/>
  <c r="M88" i="1"/>
  <c r="M93" s="1"/>
  <c r="M28"/>
  <c r="M104" s="1"/>
  <c r="M107" s="1"/>
  <c r="N22"/>
  <c r="N24" s="1"/>
  <c r="N25" s="1"/>
  <c r="N31" i="8"/>
  <c r="N36" i="1"/>
  <c r="N26" l="1"/>
  <c r="N36" i="8"/>
  <c r="N62" s="1"/>
  <c r="N59"/>
  <c r="N32"/>
  <c r="N60" s="1"/>
  <c r="N31" i="1"/>
  <c r="N71" i="2" l="1"/>
  <c r="N73" s="1"/>
  <c r="N88" i="1"/>
  <c r="N93" s="1"/>
  <c r="N28"/>
  <c r="M79"/>
  <c r="M81" s="1"/>
  <c r="N65" i="8"/>
  <c r="N104" i="1" l="1"/>
  <c r="N107" s="1"/>
  <c r="N78"/>
  <c r="N79" l="1"/>
  <c r="N81" s="1"/>
  <c r="L76" l="1"/>
  <c r="L82" s="1"/>
  <c r="M76"/>
  <c r="M82" s="1"/>
  <c r="K76"/>
  <c r="K82" s="1"/>
  <c r="N76"/>
  <c r="N82" s="1"/>
  <c r="J76"/>
  <c r="J82" s="1"/>
  <c r="M109" l="1"/>
  <c r="N109"/>
  <c r="K109"/>
  <c r="J48" i="8"/>
  <c r="J93" i="1"/>
  <c r="L109"/>
  <c r="J109" l="1"/>
  <c r="J112" s="1"/>
  <c r="J49" i="8"/>
  <c r="J74" s="1"/>
  <c r="J50"/>
  <c r="J73"/>
  <c r="J76" s="1"/>
  <c r="J77" s="1"/>
  <c r="M50"/>
  <c r="M49"/>
  <c r="M74" s="1"/>
  <c r="M76"/>
  <c r="M77" s="1"/>
  <c r="K76"/>
  <c r="K77" s="1"/>
  <c r="K50"/>
  <c r="K49"/>
  <c r="K74" s="1"/>
  <c r="L49"/>
  <c r="L74" s="1"/>
  <c r="L50"/>
  <c r="L76"/>
  <c r="L77" s="1"/>
  <c r="N76"/>
  <c r="N82" s="1"/>
  <c r="N83" s="1"/>
  <c r="N49"/>
  <c r="N74" s="1"/>
  <c r="N50"/>
  <c r="J53" i="1" l="1"/>
  <c r="J49" s="1"/>
  <c r="J59" s="1"/>
  <c r="J84" s="1"/>
  <c r="K110"/>
  <c r="K112" s="1"/>
  <c r="N77" i="8"/>
  <c r="K53" i="1" l="1"/>
  <c r="K49" s="1"/>
  <c r="K59" s="1"/>
  <c r="K4" s="1"/>
  <c r="N85" i="8"/>
  <c r="N88" s="1"/>
  <c r="N91" s="1"/>
  <c r="L110" i="1"/>
  <c r="L112" s="1"/>
  <c r="J4"/>
  <c r="I98" i="8" l="1"/>
  <c r="C98"/>
  <c r="L49" i="1"/>
  <c r="L59" s="1"/>
  <c r="L84" s="1"/>
  <c r="L53"/>
  <c r="K84"/>
  <c r="M110"/>
  <c r="M112" s="1"/>
  <c r="M53" l="1"/>
  <c r="M49" s="1"/>
  <c r="M59" s="1"/>
  <c r="M4" s="1"/>
  <c r="L4"/>
  <c r="N110"/>
  <c r="N112" s="1"/>
  <c r="N53" s="1"/>
  <c r="M84" l="1"/>
  <c r="N49"/>
  <c r="N59" s="1"/>
  <c r="N4" l="1"/>
  <c r="N84"/>
</calcChain>
</file>

<file path=xl/comments1.xml><?xml version="1.0" encoding="utf-8"?>
<comments xmlns="http://schemas.openxmlformats.org/spreadsheetml/2006/main">
  <authors>
    <author>abhishek kumar singh</author>
  </authors>
  <commentList>
    <comment ref="N90" authorId="0">
      <text>
        <r>
          <rPr>
            <b/>
            <sz val="9"/>
            <color indexed="81"/>
            <rFont val="Tahoma"/>
            <family val="2"/>
          </rPr>
          <t>abhishek kumar singh:</t>
        </r>
        <r>
          <rPr>
            <sz val="9"/>
            <color indexed="81"/>
            <rFont val="Tahoma"/>
            <family val="2"/>
          </rPr>
          <t xml:space="preserve">
https://companiesmarketcap.com/inr/tata-consultancy-services/shares-outstanding/
</t>
        </r>
      </text>
    </comment>
  </commentList>
</comments>
</file>

<file path=xl/sharedStrings.xml><?xml version="1.0" encoding="utf-8"?>
<sst xmlns="http://schemas.openxmlformats.org/spreadsheetml/2006/main" count="619" uniqueCount="406">
  <si>
    <t>Historical Results</t>
  </si>
  <si>
    <t>Forecast Period</t>
  </si>
  <si>
    <t xml:space="preserve">Balance Sheet Check </t>
  </si>
  <si>
    <t>End of the Period</t>
  </si>
  <si>
    <t>Days in Period</t>
  </si>
  <si>
    <t>Profit &amp; Loss Statement</t>
  </si>
  <si>
    <t>Total Income</t>
  </si>
  <si>
    <t>Revenue from operations</t>
  </si>
  <si>
    <t>Other Income</t>
  </si>
  <si>
    <t>Expenses</t>
  </si>
  <si>
    <t>Other Expenses</t>
  </si>
  <si>
    <t>EBITDA</t>
  </si>
  <si>
    <t>Depreciation&amp;Amortisation</t>
  </si>
  <si>
    <t xml:space="preserve">EBIT </t>
  </si>
  <si>
    <t>Interest</t>
  </si>
  <si>
    <t>Profit before Exceptional Items and Taxes</t>
  </si>
  <si>
    <t>Exceptional items (Net)</t>
  </si>
  <si>
    <t>Profit Before Tax</t>
  </si>
  <si>
    <t>Tax</t>
  </si>
  <si>
    <t>Balance Sheet</t>
  </si>
  <si>
    <t>Current Assets</t>
  </si>
  <si>
    <t>Right of use Assets</t>
  </si>
  <si>
    <t>Goodwill</t>
  </si>
  <si>
    <t>Total Assets</t>
  </si>
  <si>
    <t>Current Liabilities</t>
  </si>
  <si>
    <t>Provisions</t>
  </si>
  <si>
    <t>Total Liabilities</t>
  </si>
  <si>
    <t>Equity Capital</t>
  </si>
  <si>
    <t>Other Equity</t>
  </si>
  <si>
    <t>Equity attributable to the Equity holders of the company</t>
  </si>
  <si>
    <t>Non Controlling Interest</t>
  </si>
  <si>
    <t>Total Equity</t>
  </si>
  <si>
    <t>Total Liabilities &amp; Shareholder's Equity</t>
  </si>
  <si>
    <t>Check</t>
  </si>
  <si>
    <t>Cash Flow Statement</t>
  </si>
  <si>
    <t>Operating Cash Flow</t>
  </si>
  <si>
    <t>Net Profit/Loss</t>
  </si>
  <si>
    <t>Plus: Depreciation &amp; Amortization</t>
  </si>
  <si>
    <t>Plus: Finance cost</t>
  </si>
  <si>
    <t>Other Operating Cash Flow</t>
  </si>
  <si>
    <t>Cash from Operations</t>
  </si>
  <si>
    <t>Investing Cash Flow</t>
  </si>
  <si>
    <t>Investments in Property &amp; Equipment</t>
  </si>
  <si>
    <t>Investments in Intangible and ROU</t>
  </si>
  <si>
    <t>Other Investing Cash Flow</t>
  </si>
  <si>
    <t>Cash from Investing</t>
  </si>
  <si>
    <t>Financing Cash Flow</t>
  </si>
  <si>
    <t>Issuance (repayment) of debt</t>
  </si>
  <si>
    <t>Dividend Paid</t>
  </si>
  <si>
    <t>Less: Finance Cost</t>
  </si>
  <si>
    <t xml:space="preserve">Other Financing Cash Flow </t>
  </si>
  <si>
    <t>Cash from Financing</t>
  </si>
  <si>
    <t>Net Increase (decrease) in Cash</t>
  </si>
  <si>
    <t>Opening Cash Balance</t>
  </si>
  <si>
    <t>Exchange Gain/(Loss) of foreign currency</t>
  </si>
  <si>
    <t>Closing Cash Balance</t>
  </si>
  <si>
    <t>Tata Consultancy Services Ltd</t>
  </si>
  <si>
    <t>TATA GROUP</t>
  </si>
  <si>
    <t>x</t>
  </si>
  <si>
    <t>Working Capital Schedule</t>
  </si>
  <si>
    <t>Change in NWC</t>
  </si>
  <si>
    <t>PP&amp;E Schedule</t>
  </si>
  <si>
    <r>
      <rPr>
        <b/>
        <sz val="12"/>
        <color theme="1"/>
        <rFont val="Calibri"/>
        <family val="2"/>
        <scheme val="minor"/>
      </rPr>
      <t>PPE:</t>
    </r>
    <r>
      <rPr>
        <sz val="12"/>
        <color theme="1"/>
        <rFont val="Calibri"/>
        <family val="2"/>
        <scheme val="minor"/>
      </rPr>
      <t xml:space="preserve"> Opening</t>
    </r>
  </si>
  <si>
    <r>
      <rPr>
        <b/>
        <sz val="12"/>
        <color theme="1"/>
        <rFont val="Calibri"/>
        <family val="2"/>
        <scheme val="minor"/>
      </rPr>
      <t xml:space="preserve">Plus: </t>
    </r>
    <r>
      <rPr>
        <sz val="12"/>
        <color theme="1"/>
        <rFont val="Calibri"/>
        <family val="2"/>
        <scheme val="minor"/>
      </rPr>
      <t>Translation exchange difference</t>
    </r>
  </si>
  <si>
    <r>
      <rPr>
        <b/>
        <sz val="12"/>
        <color theme="1"/>
        <rFont val="Calibri"/>
        <family val="2"/>
        <scheme val="minor"/>
      </rPr>
      <t>Plus:</t>
    </r>
    <r>
      <rPr>
        <sz val="12"/>
        <color theme="1"/>
        <rFont val="Calibri"/>
        <family val="2"/>
        <scheme val="minor"/>
      </rPr>
      <t xml:space="preserve"> Capex</t>
    </r>
  </si>
  <si>
    <r>
      <rPr>
        <b/>
        <sz val="12"/>
        <color theme="1"/>
        <rFont val="Calibri"/>
        <family val="2"/>
        <scheme val="minor"/>
      </rPr>
      <t>Less</t>
    </r>
    <r>
      <rPr>
        <sz val="12"/>
        <color theme="1"/>
        <rFont val="Calibri"/>
        <family val="2"/>
        <scheme val="minor"/>
      </rPr>
      <t>: Disposal</t>
    </r>
  </si>
  <si>
    <r>
      <rPr>
        <b/>
        <sz val="12"/>
        <color theme="1"/>
        <rFont val="Calibri"/>
        <family val="2"/>
        <scheme val="minor"/>
      </rPr>
      <t>Less:</t>
    </r>
    <r>
      <rPr>
        <sz val="12"/>
        <color theme="1"/>
        <rFont val="Calibri"/>
        <family val="2"/>
        <scheme val="minor"/>
      </rPr>
      <t xml:space="preserve"> Depreciation</t>
    </r>
  </si>
  <si>
    <r>
      <rPr>
        <b/>
        <sz val="12"/>
        <color theme="1"/>
        <rFont val="Calibri"/>
        <family val="2"/>
        <scheme val="minor"/>
      </rPr>
      <t>Closing:</t>
    </r>
    <r>
      <rPr>
        <sz val="12"/>
        <color theme="1"/>
        <rFont val="Calibri"/>
        <family val="2"/>
        <scheme val="minor"/>
      </rPr>
      <t xml:space="preserve"> PPE</t>
    </r>
  </si>
  <si>
    <t xml:space="preserve">Goodwill Schedules </t>
  </si>
  <si>
    <r>
      <rPr>
        <b/>
        <sz val="12"/>
        <color theme="1"/>
        <rFont val="Calibri"/>
        <family val="2"/>
        <scheme val="minor"/>
      </rPr>
      <t>Opening:</t>
    </r>
    <r>
      <rPr>
        <sz val="12"/>
        <color theme="1"/>
        <rFont val="Calibri"/>
        <family val="2"/>
        <scheme val="minor"/>
      </rPr>
      <t xml:space="preserve"> Goodwill</t>
    </r>
  </si>
  <si>
    <r>
      <rPr>
        <b/>
        <sz val="12"/>
        <color theme="1"/>
        <rFont val="Calibri"/>
        <family val="2"/>
        <scheme val="minor"/>
      </rPr>
      <t>Plus:</t>
    </r>
    <r>
      <rPr>
        <sz val="12"/>
        <color theme="1"/>
        <rFont val="Calibri"/>
        <family val="2"/>
        <scheme val="minor"/>
      </rPr>
      <t xml:space="preserve"> Goodwill</t>
    </r>
  </si>
  <si>
    <r>
      <rPr>
        <b/>
        <sz val="12"/>
        <color theme="1"/>
        <rFont val="Calibri"/>
        <family val="2"/>
        <scheme val="minor"/>
      </rPr>
      <t>Plus:</t>
    </r>
    <r>
      <rPr>
        <sz val="12"/>
        <color theme="1"/>
        <rFont val="Calibri"/>
        <family val="2"/>
        <scheme val="minor"/>
      </rPr>
      <t xml:space="preserve"> Translation exchange difference</t>
    </r>
  </si>
  <si>
    <r>
      <rPr>
        <b/>
        <sz val="12"/>
        <color theme="1"/>
        <rFont val="Calibri"/>
        <family val="2"/>
        <scheme val="minor"/>
      </rPr>
      <t>Less:</t>
    </r>
    <r>
      <rPr>
        <sz val="12"/>
        <color theme="1"/>
        <rFont val="Calibri"/>
        <family val="2"/>
        <scheme val="minor"/>
      </rPr>
      <t xml:space="preserve"> Disposal</t>
    </r>
  </si>
  <si>
    <r>
      <rPr>
        <b/>
        <sz val="12"/>
        <color theme="1"/>
        <rFont val="Calibri"/>
        <family val="2"/>
        <scheme val="minor"/>
      </rPr>
      <t>Less:</t>
    </r>
    <r>
      <rPr>
        <sz val="12"/>
        <color theme="1"/>
        <rFont val="Calibri"/>
        <family val="2"/>
        <scheme val="minor"/>
      </rPr>
      <t xml:space="preserve"> Amortisation</t>
    </r>
  </si>
  <si>
    <r>
      <rPr>
        <b/>
        <sz val="12"/>
        <color theme="1"/>
        <rFont val="Calibri"/>
        <family val="2"/>
        <scheme val="minor"/>
      </rPr>
      <t>Closing:</t>
    </r>
    <r>
      <rPr>
        <sz val="12"/>
        <color theme="1"/>
        <rFont val="Calibri"/>
        <family val="2"/>
        <scheme val="minor"/>
      </rPr>
      <t xml:space="preserve"> Goodwill</t>
    </r>
  </si>
  <si>
    <t>Other Intangible Schedules</t>
  </si>
  <si>
    <r>
      <rPr>
        <b/>
        <sz val="12"/>
        <color theme="1"/>
        <rFont val="Calibri"/>
        <family val="2"/>
        <scheme val="minor"/>
      </rPr>
      <t>Other</t>
    </r>
    <r>
      <rPr>
        <sz val="12"/>
        <color theme="1"/>
        <rFont val="Calibri"/>
        <family val="2"/>
        <scheme val="minor"/>
      </rPr>
      <t>: Intangible Opening</t>
    </r>
  </si>
  <si>
    <r>
      <rPr>
        <b/>
        <sz val="12"/>
        <color theme="1"/>
        <rFont val="Calibri"/>
        <family val="2"/>
        <scheme val="minor"/>
      </rPr>
      <t>Plus:</t>
    </r>
    <r>
      <rPr>
        <sz val="12"/>
        <color theme="1"/>
        <rFont val="Calibri"/>
        <family val="2"/>
        <scheme val="minor"/>
      </rPr>
      <t xml:space="preserve"> Other Intangible</t>
    </r>
  </si>
  <si>
    <r>
      <rPr>
        <b/>
        <sz val="12"/>
        <color theme="1"/>
        <rFont val="Calibri"/>
        <family val="2"/>
        <scheme val="minor"/>
      </rPr>
      <t xml:space="preserve">Closing: </t>
    </r>
    <r>
      <rPr>
        <sz val="12"/>
        <color theme="1"/>
        <rFont val="Calibri"/>
        <family val="2"/>
        <scheme val="minor"/>
      </rPr>
      <t xml:space="preserve">Other Intangible </t>
    </r>
  </si>
  <si>
    <r>
      <rPr>
        <b/>
        <sz val="12"/>
        <color theme="1"/>
        <rFont val="Calibri"/>
        <family val="2"/>
        <scheme val="minor"/>
      </rPr>
      <t xml:space="preserve">Opening: </t>
    </r>
    <r>
      <rPr>
        <sz val="12"/>
        <color theme="1"/>
        <rFont val="Calibri"/>
        <family val="2"/>
        <scheme val="minor"/>
      </rPr>
      <t>ROU</t>
    </r>
  </si>
  <si>
    <r>
      <rPr>
        <b/>
        <sz val="12"/>
        <color theme="1"/>
        <rFont val="Calibri"/>
        <family val="2"/>
        <scheme val="minor"/>
      </rPr>
      <t xml:space="preserve">Plus: </t>
    </r>
    <r>
      <rPr>
        <sz val="12"/>
        <color theme="1"/>
        <rFont val="Calibri"/>
        <family val="2"/>
        <scheme val="minor"/>
      </rPr>
      <t>ROU</t>
    </r>
  </si>
  <si>
    <r>
      <rPr>
        <b/>
        <sz val="12"/>
        <color theme="1"/>
        <rFont val="Calibri"/>
        <family val="2"/>
        <scheme val="minor"/>
      </rPr>
      <t xml:space="preserve">Closing: </t>
    </r>
    <r>
      <rPr>
        <sz val="12"/>
        <color theme="1"/>
        <rFont val="Calibri"/>
        <family val="2"/>
        <scheme val="minor"/>
      </rPr>
      <t>ROU</t>
    </r>
  </si>
  <si>
    <t>Debt &amp; Interest Schedules</t>
  </si>
  <si>
    <r>
      <rPr>
        <b/>
        <sz val="12"/>
        <color theme="1"/>
        <rFont val="Calibri"/>
        <family val="2"/>
        <scheme val="minor"/>
      </rPr>
      <t>Opening:</t>
    </r>
    <r>
      <rPr>
        <sz val="12"/>
        <color theme="1"/>
        <rFont val="Calibri"/>
        <family val="2"/>
        <scheme val="minor"/>
      </rPr>
      <t>Current Financial Liabilities</t>
    </r>
  </si>
  <si>
    <r>
      <rPr>
        <b/>
        <sz val="12"/>
        <color theme="1"/>
        <rFont val="Calibri"/>
        <family val="2"/>
        <scheme val="minor"/>
      </rPr>
      <t>Plus:</t>
    </r>
    <r>
      <rPr>
        <sz val="12"/>
        <color theme="1"/>
        <rFont val="Calibri"/>
        <family val="2"/>
        <scheme val="minor"/>
      </rPr>
      <t xml:space="preserve"> Current Financial Liabilities</t>
    </r>
  </si>
  <si>
    <r>
      <rPr>
        <b/>
        <sz val="12"/>
        <color theme="1"/>
        <rFont val="Calibri"/>
        <family val="2"/>
        <scheme val="minor"/>
      </rPr>
      <t>Opening:</t>
    </r>
    <r>
      <rPr>
        <sz val="12"/>
        <color theme="1"/>
        <rFont val="Calibri"/>
        <family val="2"/>
        <scheme val="minor"/>
      </rPr>
      <t xml:space="preserve"> Non Current Financial Liabilities</t>
    </r>
  </si>
  <si>
    <r>
      <rPr>
        <b/>
        <sz val="12"/>
        <color theme="1"/>
        <rFont val="Calibri"/>
        <family val="2"/>
        <scheme val="minor"/>
      </rPr>
      <t>Plus:</t>
    </r>
    <r>
      <rPr>
        <sz val="12"/>
        <color theme="1"/>
        <rFont val="Calibri"/>
        <family val="2"/>
        <scheme val="minor"/>
      </rPr>
      <t xml:space="preserve"> Non Current  Financial Liabilities</t>
    </r>
  </si>
  <si>
    <r>
      <rPr>
        <b/>
        <sz val="12"/>
        <color theme="1"/>
        <rFont val="Calibri"/>
        <family val="2"/>
        <scheme val="minor"/>
      </rPr>
      <t>Closing:</t>
    </r>
    <r>
      <rPr>
        <sz val="12"/>
        <color theme="1"/>
        <rFont val="Calibri"/>
        <family val="2"/>
        <scheme val="minor"/>
      </rPr>
      <t xml:space="preserve"> Current  Financial Liabilities</t>
    </r>
  </si>
  <si>
    <r>
      <rPr>
        <b/>
        <sz val="12"/>
        <color theme="1"/>
        <rFont val="Calibri"/>
        <family val="2"/>
        <scheme val="minor"/>
      </rPr>
      <t>Closing:</t>
    </r>
    <r>
      <rPr>
        <sz val="12"/>
        <color theme="1"/>
        <rFont val="Calibri"/>
        <family val="2"/>
        <scheme val="minor"/>
      </rPr>
      <t xml:space="preserve"> Non Current  Financial Liabilities</t>
    </r>
  </si>
  <si>
    <t>Interest (Finance Cost)</t>
  </si>
  <si>
    <t>Equity schedules</t>
  </si>
  <si>
    <t>Property, plant and equipment</t>
  </si>
  <si>
    <t>Other intangible assets</t>
  </si>
  <si>
    <t>Loans</t>
  </si>
  <si>
    <t>Other financial assets</t>
  </si>
  <si>
    <t>Income tax assets (net)</t>
  </si>
  <si>
    <t>Deferred tax assets (net)</t>
  </si>
  <si>
    <t>Other assets</t>
  </si>
  <si>
    <t>Inventories</t>
  </si>
  <si>
    <t>Cash and cash equivalents</t>
  </si>
  <si>
    <t>Other balances with banks</t>
  </si>
  <si>
    <t>Lease liabilities</t>
  </si>
  <si>
    <t>Other financial liabilities</t>
  </si>
  <si>
    <t>Unearned and deferred revenue</t>
  </si>
  <si>
    <t>Employee benefit obligations</t>
  </si>
  <si>
    <t>Deferred tax liabilities (net)</t>
  </si>
  <si>
    <t>Trade payables</t>
  </si>
  <si>
    <t>Other liabilities</t>
  </si>
  <si>
    <t>Income tax liabilities (net)</t>
  </si>
  <si>
    <t>Capital work-in-progress</t>
  </si>
  <si>
    <t>Right-of-use assets</t>
  </si>
  <si>
    <t>Non Current Assets</t>
  </si>
  <si>
    <t>Non Current Liabilities</t>
  </si>
  <si>
    <t>Employee benefit expenses</t>
  </si>
  <si>
    <t>Cost of equipment and software licences</t>
  </si>
  <si>
    <t xml:space="preserve">Trade Receivables </t>
  </si>
  <si>
    <t>Investments</t>
  </si>
  <si>
    <t>Trade receivables</t>
  </si>
  <si>
    <t>CWIP</t>
  </si>
  <si>
    <r>
      <t xml:space="preserve">Opening: </t>
    </r>
    <r>
      <rPr>
        <sz val="12"/>
        <color theme="1"/>
        <rFont val="Calibri"/>
        <family val="2"/>
        <scheme val="minor"/>
      </rPr>
      <t>Equity Share Capital</t>
    </r>
  </si>
  <si>
    <r>
      <rPr>
        <b/>
        <sz val="12"/>
        <color theme="1"/>
        <rFont val="Calibri"/>
        <family val="2"/>
        <scheme val="minor"/>
      </rPr>
      <t xml:space="preserve">Plus: </t>
    </r>
    <r>
      <rPr>
        <sz val="12"/>
        <color theme="1"/>
        <rFont val="Calibri"/>
        <family val="2"/>
        <scheme val="minor"/>
      </rPr>
      <t xml:space="preserve"> Equity Share Capital</t>
    </r>
  </si>
  <si>
    <r>
      <rPr>
        <b/>
        <sz val="12"/>
        <color theme="1"/>
        <rFont val="Calibri"/>
        <family val="2"/>
        <scheme val="minor"/>
      </rPr>
      <t xml:space="preserve">Opening: </t>
    </r>
    <r>
      <rPr>
        <sz val="12"/>
        <color theme="1"/>
        <rFont val="Calibri"/>
        <family val="2"/>
        <scheme val="minor"/>
      </rPr>
      <t>Other Equity</t>
    </r>
  </si>
  <si>
    <r>
      <t xml:space="preserve">PLUS: </t>
    </r>
    <r>
      <rPr>
        <sz val="12"/>
        <color theme="1"/>
        <rFont val="Calibri"/>
        <family val="2"/>
        <scheme val="minor"/>
      </rPr>
      <t>Other Equity</t>
    </r>
  </si>
  <si>
    <r>
      <rPr>
        <b/>
        <sz val="12"/>
        <color theme="1"/>
        <rFont val="Calibri"/>
        <family val="2"/>
        <scheme val="minor"/>
      </rPr>
      <t>Opening:</t>
    </r>
    <r>
      <rPr>
        <sz val="12"/>
        <color theme="1"/>
        <rFont val="Calibri"/>
        <family val="2"/>
        <scheme val="minor"/>
      </rPr>
      <t xml:space="preserve"> Non-Controlling Int.</t>
    </r>
  </si>
  <si>
    <r>
      <rPr>
        <b/>
        <sz val="12"/>
        <color theme="1"/>
        <rFont val="Calibri"/>
        <family val="2"/>
        <scheme val="minor"/>
      </rPr>
      <t>Plus:</t>
    </r>
    <r>
      <rPr>
        <sz val="12"/>
        <color theme="1"/>
        <rFont val="Calibri"/>
        <family val="2"/>
        <scheme val="minor"/>
      </rPr>
      <t xml:space="preserve"> Non-Controlling Int.</t>
    </r>
  </si>
  <si>
    <r>
      <t xml:space="preserve">Closing: </t>
    </r>
    <r>
      <rPr>
        <sz val="12"/>
        <color theme="1"/>
        <rFont val="Calibri"/>
        <family val="2"/>
        <scheme val="minor"/>
      </rPr>
      <t>Equity Share Capital</t>
    </r>
  </si>
  <si>
    <r>
      <rPr>
        <b/>
        <sz val="12"/>
        <color theme="1"/>
        <rFont val="Calibri"/>
        <family val="2"/>
        <scheme val="minor"/>
      </rPr>
      <t xml:space="preserve">Closing: </t>
    </r>
    <r>
      <rPr>
        <sz val="12"/>
        <color theme="1"/>
        <rFont val="Calibri"/>
        <family val="2"/>
        <scheme val="minor"/>
      </rPr>
      <t>Other Equity</t>
    </r>
  </si>
  <si>
    <r>
      <rPr>
        <b/>
        <sz val="12"/>
        <color theme="1"/>
        <rFont val="Calibri"/>
        <family val="2"/>
        <scheme val="minor"/>
      </rPr>
      <t>Closing:</t>
    </r>
    <r>
      <rPr>
        <sz val="12"/>
        <color theme="1"/>
        <rFont val="Calibri"/>
        <family val="2"/>
        <scheme val="minor"/>
      </rPr>
      <t xml:space="preserve"> Non-Controlling Int.</t>
    </r>
  </si>
  <si>
    <t>Utilization</t>
  </si>
  <si>
    <t>Billed Employees</t>
  </si>
  <si>
    <t>Growth(%)</t>
  </si>
  <si>
    <t>Total Employees Count</t>
  </si>
  <si>
    <t>Interest income</t>
  </si>
  <si>
    <t>Dividend income</t>
  </si>
  <si>
    <t>Net gain on investments FVTPL</t>
  </si>
  <si>
    <t>Net gain on sale of investments FVOCI</t>
  </si>
  <si>
    <t>Rent income</t>
  </si>
  <si>
    <t>Other income</t>
  </si>
  <si>
    <t>Total Other Income</t>
  </si>
  <si>
    <t>Net gain/(loss) on lease modification</t>
  </si>
  <si>
    <t>Net loss on sub-lease</t>
  </si>
  <si>
    <t>Net gain/on disposal of PPE</t>
  </si>
  <si>
    <t>Net foreign exchange gain/(loss)</t>
  </si>
  <si>
    <t>Billing Hours</t>
  </si>
  <si>
    <t>Billing rate per hour (INR)</t>
  </si>
  <si>
    <t>Salaries, incentives and allowances</t>
  </si>
  <si>
    <t>Contributions to provident and other funds</t>
  </si>
  <si>
    <t>Staff welfare expenses</t>
  </si>
  <si>
    <t>Raw materials, sub-assemblies and components consumed</t>
  </si>
  <si>
    <t>Equipment and software licences purchased</t>
  </si>
  <si>
    <t>Fees to external consultants</t>
  </si>
  <si>
    <t>Facility expenses</t>
  </si>
  <si>
    <t>Travel expenses</t>
  </si>
  <si>
    <t>Communication expenses</t>
  </si>
  <si>
    <t>Bad debts and advances written off (net)</t>
  </si>
  <si>
    <t>Other expenses</t>
  </si>
  <si>
    <t>Total Expenses</t>
  </si>
  <si>
    <t>Cost of equipment and software licences(%)</t>
  </si>
  <si>
    <t>Other Expenses(% of expenses)</t>
  </si>
  <si>
    <t>Employee benefit (% of expenses)</t>
  </si>
  <si>
    <t>Revenue per billable employee per year​(in cr.)</t>
  </si>
  <si>
    <t>Growth rate</t>
  </si>
  <si>
    <t>Total Other Income (Growth %)</t>
  </si>
  <si>
    <t>Trade Payable&amp; Other current liabilities</t>
  </si>
  <si>
    <t>Growth%</t>
  </si>
  <si>
    <t>% of net profit</t>
  </si>
  <si>
    <t>Net Profit</t>
  </si>
  <si>
    <t>Income Tax Assets(Net)</t>
  </si>
  <si>
    <t>Other Assest</t>
  </si>
  <si>
    <t>Current Liabilities % of total income</t>
  </si>
  <si>
    <t>Current Assets % of total income</t>
  </si>
  <si>
    <t>COGS</t>
  </si>
  <si>
    <t>% of Debt</t>
  </si>
  <si>
    <t>Non- Current Liabilities</t>
  </si>
  <si>
    <t>Non-Current Liabilities % of total income</t>
  </si>
  <si>
    <t>Non-Current Assets % of total income</t>
  </si>
  <si>
    <t>Fair value of foreign exchange derivative</t>
  </si>
  <si>
    <t>Trade Payable Days</t>
  </si>
  <si>
    <t>Trade Receivable Days</t>
  </si>
  <si>
    <t>Non-Current Assets</t>
  </si>
  <si>
    <t>Contract assets</t>
  </si>
  <si>
    <t>Prepaid expenses</t>
  </si>
  <si>
    <t>Contract fulfilment cost</t>
  </si>
  <si>
    <t>Capital advances</t>
  </si>
  <si>
    <t>Advances to related parties</t>
  </si>
  <si>
    <t>Others</t>
  </si>
  <si>
    <t>Security deposits</t>
  </si>
  <si>
    <t>Earmarked balance with banks</t>
  </si>
  <si>
    <t>Long-term bank deposits</t>
  </si>
  <si>
    <t>Interest receivable</t>
  </si>
  <si>
    <t>less:Allowance for advances to employee</t>
  </si>
  <si>
    <t>Advances to employee</t>
  </si>
  <si>
    <t>Advance received from customers</t>
  </si>
  <si>
    <t>Indirect taxes payable and other statutory liabilities</t>
  </si>
  <si>
    <t>Operating lease liabilities</t>
  </si>
  <si>
    <t>Tax liability on buy-back of equity shares</t>
  </si>
  <si>
    <t xml:space="preserve">Tax rate </t>
  </si>
  <si>
    <t>Levered Beta</t>
  </si>
  <si>
    <t>Date</t>
  </si>
  <si>
    <t xml:space="preserve">Closing Price </t>
  </si>
  <si>
    <t>Return%</t>
  </si>
  <si>
    <t>Closing Price</t>
  </si>
  <si>
    <t>Levered Raw Beta</t>
  </si>
  <si>
    <t>Jul 02, 2023</t>
  </si>
  <si>
    <t>Beta Weight</t>
  </si>
  <si>
    <t>Jul 09, 2023</t>
  </si>
  <si>
    <t>Jul 16, 2023</t>
  </si>
  <si>
    <t>Market Beta</t>
  </si>
  <si>
    <t>Jul 23, 2023</t>
  </si>
  <si>
    <t>Market Beta Rate</t>
  </si>
  <si>
    <t>Jul 30, 2023</t>
  </si>
  <si>
    <t>Aug 06, 2023</t>
  </si>
  <si>
    <t>Adjusted Levered Beta</t>
  </si>
  <si>
    <t>Aug 13, 2023</t>
  </si>
  <si>
    <t>Aug 20, 2023</t>
  </si>
  <si>
    <t>Aug 27, 2023</t>
  </si>
  <si>
    <t>Sep 03, 2023</t>
  </si>
  <si>
    <t>Sep 10, 2023</t>
  </si>
  <si>
    <t>Sep 17, 2023</t>
  </si>
  <si>
    <t>Sep 24, 2023</t>
  </si>
  <si>
    <t>Oct 01, 2023</t>
  </si>
  <si>
    <t>Oct 08, 2023</t>
  </si>
  <si>
    <t>Oct 15, 2023</t>
  </si>
  <si>
    <t>Oct 22, 2023</t>
  </si>
  <si>
    <t>Oct 29, 2023</t>
  </si>
  <si>
    <t>Nov 05, 2023</t>
  </si>
  <si>
    <t>Nov 12, 2023</t>
  </si>
  <si>
    <t>Nov 19, 2023</t>
  </si>
  <si>
    <t>Nov 26, 2023</t>
  </si>
  <si>
    <t>Dec 03, 2023</t>
  </si>
  <si>
    <t>Dec 10, 2023</t>
  </si>
  <si>
    <t>Dec 17, 2023</t>
  </si>
  <si>
    <t>Dec 24, 2023</t>
  </si>
  <si>
    <t>Dec 31, 2023</t>
  </si>
  <si>
    <t>Jan 07, 2024</t>
  </si>
  <si>
    <t>Jan 14, 2024</t>
  </si>
  <si>
    <t>Jan 21, 2024</t>
  </si>
  <si>
    <t>Jan 28, 2024</t>
  </si>
  <si>
    <t>Feb 04, 2024</t>
  </si>
  <si>
    <t>Feb 11, 2024</t>
  </si>
  <si>
    <t>Feb 18, 2024</t>
  </si>
  <si>
    <t>Feb 25, 2024</t>
  </si>
  <si>
    <t>Mar 03, 2024</t>
  </si>
  <si>
    <t>Mar 10, 2024</t>
  </si>
  <si>
    <t>Mar 17, 2024</t>
  </si>
  <si>
    <t>Mar 24, 2024</t>
  </si>
  <si>
    <t>Mar 31, 2024</t>
  </si>
  <si>
    <t>Apr 07, 2024</t>
  </si>
  <si>
    <t>Apr 14, 2024</t>
  </si>
  <si>
    <t>Apr 21, 2024</t>
  </si>
  <si>
    <t>Apr 28, 2024</t>
  </si>
  <si>
    <t>May 05, 2024</t>
  </si>
  <si>
    <t>May 12, 2024</t>
  </si>
  <si>
    <t>May 19, 2024</t>
  </si>
  <si>
    <t>May 26, 2024</t>
  </si>
  <si>
    <t>Jun 02, 2024</t>
  </si>
  <si>
    <t>Jun 09, 2024</t>
  </si>
  <si>
    <t>Jun 16, 2024</t>
  </si>
  <si>
    <t>Jun 23, 2024</t>
  </si>
  <si>
    <t>Jun 30, 2024</t>
  </si>
  <si>
    <t>Jul 07, 2024</t>
  </si>
  <si>
    <t>Jul 14, 2024</t>
  </si>
  <si>
    <t>Jul 21, 2024</t>
  </si>
  <si>
    <t>Jul 28, 2024</t>
  </si>
  <si>
    <t>Aug 04, 2024</t>
  </si>
  <si>
    <t>Aug 11, 2024</t>
  </si>
  <si>
    <t>Aug 18, 2024</t>
  </si>
  <si>
    <t>Aug 25, 2024</t>
  </si>
  <si>
    <t>Sep 01, 2024</t>
  </si>
  <si>
    <t>Sep 08, 2024</t>
  </si>
  <si>
    <t>Sep 15, 2024</t>
  </si>
  <si>
    <t>Sep 22, 2024</t>
  </si>
  <si>
    <t>Sep 29, 2024</t>
  </si>
  <si>
    <t>Oct 06, 2024</t>
  </si>
  <si>
    <t>Oct 13, 2024</t>
  </si>
  <si>
    <t>Oct 20, 2024</t>
  </si>
  <si>
    <t>Oct 27, 2024</t>
  </si>
  <si>
    <t>Nov 03, 2024</t>
  </si>
  <si>
    <t>Nov 10, 2024</t>
  </si>
  <si>
    <t>Nov 17, 2024</t>
  </si>
  <si>
    <t>Nov 24, 2024</t>
  </si>
  <si>
    <t>Dec 01, 2024</t>
  </si>
  <si>
    <t>Dec 08, 2024</t>
  </si>
  <si>
    <t>Dec 15, 2024</t>
  </si>
  <si>
    <t>Dec 22, 2024</t>
  </si>
  <si>
    <t>Dec 29, 2024</t>
  </si>
  <si>
    <t>Jan 05, 2025</t>
  </si>
  <si>
    <t>Jan 12, 2025</t>
  </si>
  <si>
    <t>Jan 19, 2025</t>
  </si>
  <si>
    <t>Jan 26, 2025</t>
  </si>
  <si>
    <t>Feb 02, 2025</t>
  </si>
  <si>
    <t>Feb 09, 2025</t>
  </si>
  <si>
    <t>Feb 16, 2025</t>
  </si>
  <si>
    <t>Feb 23, 2025</t>
  </si>
  <si>
    <t>Mar 02, 2025</t>
  </si>
  <si>
    <t>Mar 09, 2025</t>
  </si>
  <si>
    <t>Mar 16, 2025</t>
  </si>
  <si>
    <t>Mar 23, 2025</t>
  </si>
  <si>
    <t>Mar 30, 2025</t>
  </si>
  <si>
    <t>Apr 06, 2025</t>
  </si>
  <si>
    <t>Apr 13, 2025</t>
  </si>
  <si>
    <t>Apr 20, 2025</t>
  </si>
  <si>
    <t>Apr 27, 2025</t>
  </si>
  <si>
    <t>May 04, 2025</t>
  </si>
  <si>
    <t>May 11, 2025</t>
  </si>
  <si>
    <t>May 18, 2025</t>
  </si>
  <si>
    <t>May 25, 2025</t>
  </si>
  <si>
    <t>Jun 01, 2025</t>
  </si>
  <si>
    <t>Jun 08, 2025</t>
  </si>
  <si>
    <t>Jun 15, 2025</t>
  </si>
  <si>
    <t>Jun 22, 2025</t>
  </si>
  <si>
    <t>Jun 29, 2025</t>
  </si>
  <si>
    <t>Market Return</t>
  </si>
  <si>
    <t>Year</t>
  </si>
  <si>
    <t>Annual</t>
  </si>
  <si>
    <t>Dividend Yield</t>
  </si>
  <si>
    <r>
      <t xml:space="preserve">1.24% </t>
    </r>
    <r>
      <rPr>
        <vertAlign val="superscript"/>
        <sz val="11"/>
        <color theme="1"/>
        <rFont val="Calibri"/>
        <family val="2"/>
        <scheme val="minor"/>
      </rPr>
      <t>1</t>
    </r>
  </si>
  <si>
    <t>Total Market Returns</t>
  </si>
  <si>
    <t>Tata Consultancy Services Ltd 2 year Weekly Return</t>
  </si>
  <si>
    <t>NIFTY 2 year Weekly Return</t>
  </si>
  <si>
    <t>Cost of Debt</t>
  </si>
  <si>
    <t>Cost of Equity</t>
  </si>
  <si>
    <t>Risk Free Rate</t>
  </si>
  <si>
    <t>Tax Rate</t>
  </si>
  <si>
    <t>WACC</t>
  </si>
  <si>
    <t>TCS</t>
  </si>
  <si>
    <t>Prepaid rent</t>
  </si>
  <si>
    <t>Contract fulfillment costs</t>
  </si>
  <si>
    <t>Advances to suppliers</t>
  </si>
  <si>
    <t>Advance to related parties</t>
  </si>
  <si>
    <t xml:space="preserve">Indirect taxes recoverable </t>
  </si>
  <si>
    <t>Trade Receivable&amp; Other current assets</t>
  </si>
  <si>
    <t xml:space="preserve">Depreciation % </t>
  </si>
  <si>
    <t>Amortisation %</t>
  </si>
  <si>
    <t>Depreciation %</t>
  </si>
  <si>
    <t>Notes</t>
  </si>
  <si>
    <t>Changes in Working Capital</t>
  </si>
  <si>
    <t>WACC = % of equity x cost of equity + % of debt x cost of debt x (1 - Tax Rate)</t>
  </si>
  <si>
    <t>Cost of equity = Risk free rate + Beta x Market Risk Premium</t>
  </si>
  <si>
    <t>Market Cap</t>
  </si>
  <si>
    <t>% of Equity</t>
  </si>
  <si>
    <t>Beta</t>
  </si>
  <si>
    <t>Market Risk Premium</t>
  </si>
  <si>
    <t>Debt</t>
  </si>
  <si>
    <t>Total</t>
  </si>
  <si>
    <t>DCF</t>
  </si>
  <si>
    <t>Ticker</t>
  </si>
  <si>
    <t>End of Year</t>
  </si>
  <si>
    <t>Assumptions</t>
  </si>
  <si>
    <t>TGR</t>
  </si>
  <si>
    <t>Financials</t>
  </si>
  <si>
    <t>Revenue</t>
  </si>
  <si>
    <t>% growth</t>
  </si>
  <si>
    <t>% of total sales</t>
  </si>
  <si>
    <t>EBIT</t>
  </si>
  <si>
    <t>% of sales</t>
  </si>
  <si>
    <t>Taxes</t>
  </si>
  <si>
    <t>% tax rate</t>
  </si>
  <si>
    <t>Cash Flow Items</t>
  </si>
  <si>
    <t>D&amp;A</t>
  </si>
  <si>
    <t>% of CapEx</t>
  </si>
  <si>
    <t>CapEx</t>
  </si>
  <si>
    <t>% of change in sales</t>
  </si>
  <si>
    <t>EBIAT</t>
  </si>
  <si>
    <t>Unlevered FCF</t>
  </si>
  <si>
    <t>PV of UFCF</t>
  </si>
  <si>
    <t>Stub</t>
  </si>
  <si>
    <t>Discount Period</t>
  </si>
  <si>
    <t>Terminal Value</t>
  </si>
  <si>
    <t>PV of Terminal Value</t>
  </si>
  <si>
    <t>Enterprise Value</t>
  </si>
  <si>
    <t>(+) Cash</t>
  </si>
  <si>
    <t>(-) Debt</t>
  </si>
  <si>
    <t>Equity Value</t>
  </si>
  <si>
    <t>FDSO</t>
  </si>
  <si>
    <t>Implied Share Price</t>
  </si>
  <si>
    <t>Revenue from operation</t>
  </si>
  <si>
    <t>31/03 FYE</t>
  </si>
  <si>
    <t>Total Revenue</t>
  </si>
  <si>
    <t>Current Share Price (20/08/2025)</t>
  </si>
  <si>
    <t>Median Return</t>
  </si>
  <si>
    <t>Investment in Other Intangible assets</t>
  </si>
  <si>
    <t>10-year Indian Government Bond</t>
  </si>
  <si>
    <t xml:space="preserve">Revenue </t>
  </si>
  <si>
    <t xml:space="preserve">Expenses </t>
  </si>
  <si>
    <t>Sensitivity Analysis</t>
  </si>
  <si>
    <t>Implied Share Value</t>
  </si>
  <si>
    <t>Comparable Company Valuation in Crore</t>
  </si>
  <si>
    <t>Market Data</t>
  </si>
  <si>
    <t>Valuation</t>
  </si>
  <si>
    <t xml:space="preserve">Company </t>
  </si>
  <si>
    <t>Share Price</t>
  </si>
  <si>
    <t>Share Outstanding</t>
  </si>
  <si>
    <t>Net Debt</t>
  </si>
  <si>
    <t>Net Income</t>
  </si>
  <si>
    <t>EV/EBITDA</t>
  </si>
  <si>
    <t>High</t>
  </si>
  <si>
    <t>75th Percentile</t>
  </si>
  <si>
    <t>Average</t>
  </si>
  <si>
    <t>Median</t>
  </si>
  <si>
    <t>25th Percentile</t>
  </si>
  <si>
    <t>Low</t>
  </si>
  <si>
    <t>TCS Comparable Valuation</t>
  </si>
  <si>
    <t>Implied Enterprise Value</t>
  </si>
  <si>
    <t>Implied Market Value</t>
  </si>
  <si>
    <t>Implied Value Per Share</t>
  </si>
</sst>
</file>

<file path=xl/styles.xml><?xml version="1.0" encoding="utf-8"?>
<styleSheet xmlns="http://schemas.openxmlformats.org/spreadsheetml/2006/main">
  <numFmts count="15">
    <numFmt numFmtId="43" formatCode="_ * #,##0.00_ ;_ * \-#,##0.00_ ;_ * &quot;-&quot;??_ ;_ @_ "/>
    <numFmt numFmtId="164" formatCode="#,##0;\(#,##0\);\-"/>
    <numFmt numFmtId="165" formatCode="_-* #,##0_-;\(#,##0\)_-;_-* &quot;-&quot;_-;_-@"/>
    <numFmt numFmtId="166" formatCode="0.0%"/>
    <numFmt numFmtId="167" formatCode="_ * #,##0_ ;_ * \-#,##0_ ;_ * &quot;-&quot;??_ ;_ @_ "/>
    <numFmt numFmtId="168" formatCode="#,##0.00;\(#,##0.00\);\-"/>
    <numFmt numFmtId="169" formatCode="0.000"/>
    <numFmt numFmtId="170" formatCode="0&quot;Days&quot;"/>
    <numFmt numFmtId="171" formatCode="0&quot;A&quot;"/>
    <numFmt numFmtId="172" formatCode="0&quot;E&quot;"/>
    <numFmt numFmtId="173" formatCode="0%_);\(0%\);@_)"/>
    <numFmt numFmtId="174" formatCode="0.00%_);\(0.00%\);@_)"/>
    <numFmt numFmtId="175" formatCode="0.00%;\(0.00%\);\-"/>
    <numFmt numFmtId="176" formatCode="0.0\x"/>
    <numFmt numFmtId="177" formatCode="_ * #,##0.0_ ;_ * \-#,##0.0_ ;_ * &quot;-&quot;??_ ;_ @_ "/>
  </numFmts>
  <fonts count="6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249977111117893"/>
      <name val="Calibri"/>
      <family val="2"/>
      <scheme val="minor"/>
    </font>
    <font>
      <sz val="12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sz val="12"/>
      <color theme="3" tint="0.3999755851924192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i/>
      <sz val="12"/>
      <color theme="3" tint="0.39997558519241921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22222F"/>
      <name val="Arial"/>
      <family val="2"/>
    </font>
    <font>
      <b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i/>
      <sz val="16"/>
      <color theme="4" tint="-0.249977111117893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b/>
      <i/>
      <sz val="12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32526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b/>
      <i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rgb="FF008000"/>
      <name val="Calibri"/>
      <family val="2"/>
      <scheme val="minor"/>
    </font>
    <font>
      <sz val="11"/>
      <color rgb="FF008000"/>
      <name val="Calibri"/>
      <family val="2"/>
      <scheme val="minor"/>
    </font>
    <font>
      <i/>
      <sz val="12"/>
      <color rgb="FF008000"/>
      <name val="Calibri"/>
      <family val="2"/>
      <scheme val="minor"/>
    </font>
    <font>
      <sz val="12"/>
      <color rgb="FF008000"/>
      <name val="Calibri"/>
      <family val="2"/>
    </font>
    <font>
      <sz val="11"/>
      <color theme="9" tint="-0.249977111117893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.8000000000000007"/>
      <color theme="10"/>
      <name val="Calibri"/>
      <family val="2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rgb="FF0070C0"/>
      <name val="Calibri"/>
      <family val="2"/>
    </font>
    <font>
      <b/>
      <sz val="11"/>
      <color theme="3" tint="-0.249977111117893"/>
      <name val="Calibri"/>
      <family val="2"/>
      <scheme val="minor"/>
    </font>
    <font>
      <sz val="11"/>
      <color rgb="FFCC66FF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0070C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9775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theme="3" tint="-0.24994659260841701"/>
      </bottom>
      <diagonal/>
    </border>
    <border>
      <left style="thin">
        <color indexed="64"/>
      </left>
      <right/>
      <top/>
      <bottom style="hair">
        <color theme="3" tint="-0.24994659260841701"/>
      </bottom>
      <diagonal/>
    </border>
    <border>
      <left/>
      <right style="thin">
        <color indexed="64"/>
      </right>
      <top/>
      <bottom style="hair">
        <color theme="3" tint="-0.2499465926084170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 applyNumberFormat="0" applyFill="0" applyBorder="0" applyAlignment="0" applyProtection="0">
      <alignment vertical="top"/>
      <protection locked="0"/>
    </xf>
  </cellStyleXfs>
  <cellXfs count="619">
    <xf numFmtId="0" fontId="0" fillId="0" borderId="0" xfId="0"/>
    <xf numFmtId="0" fontId="2" fillId="3" borderId="0" xfId="0" applyFont="1" applyFill="1"/>
    <xf numFmtId="0" fontId="3" fillId="2" borderId="0" xfId="0" applyFont="1" applyFill="1"/>
    <xf numFmtId="0" fontId="5" fillId="2" borderId="0" xfId="0" applyFont="1" applyFill="1" applyAlignment="1">
      <alignment horizontal="center" vertical="center"/>
    </xf>
    <xf numFmtId="164" fontId="0" fillId="0" borderId="0" xfId="0" applyNumberFormat="1"/>
    <xf numFmtId="165" fontId="8" fillId="0" borderId="2" xfId="0" applyNumberFormat="1" applyFont="1" applyBorder="1"/>
    <xf numFmtId="0" fontId="9" fillId="2" borderId="0" xfId="0" applyFont="1" applyFill="1" applyAlignment="1">
      <alignment horizontal="center" vertical="center"/>
    </xf>
    <xf numFmtId="43" fontId="3" fillId="0" borderId="0" xfId="1" applyFont="1" applyBorder="1" applyAlignment="1">
      <alignment vertical="center"/>
    </xf>
    <xf numFmtId="43" fontId="10" fillId="0" borderId="2" xfId="1" applyFont="1" applyBorder="1" applyAlignment="1">
      <alignment vertical="center"/>
    </xf>
    <xf numFmtId="0" fontId="5" fillId="0" borderId="0" xfId="0" applyFont="1"/>
    <xf numFmtId="164" fontId="3" fillId="0" borderId="0" xfId="1" applyNumberFormat="1" applyFont="1" applyBorder="1" applyAlignment="1">
      <alignment vertical="center"/>
    </xf>
    <xf numFmtId="164" fontId="3" fillId="0" borderId="0" xfId="1" applyNumberFormat="1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vertical="center"/>
    </xf>
    <xf numFmtId="165" fontId="7" fillId="0" borderId="0" xfId="0" applyNumberFormat="1" applyFont="1"/>
    <xf numFmtId="0" fontId="17" fillId="2" borderId="0" xfId="0" applyFont="1" applyFill="1"/>
    <xf numFmtId="43" fontId="4" fillId="0" borderId="0" xfId="1" applyFont="1" applyFill="1" applyBorder="1" applyAlignment="1">
      <alignment vertical="center"/>
    </xf>
    <xf numFmtId="14" fontId="20" fillId="0" borderId="0" xfId="0" applyNumberFormat="1" applyFont="1"/>
    <xf numFmtId="14" fontId="21" fillId="0" borderId="0" xfId="0" applyNumberFormat="1" applyFont="1" applyAlignment="1">
      <alignment horizontal="right"/>
    </xf>
    <xf numFmtId="0" fontId="20" fillId="0" borderId="0" xfId="0" applyFont="1"/>
    <xf numFmtId="0" fontId="21" fillId="0" borderId="0" xfId="0" applyFont="1" applyAlignment="1">
      <alignment horizontal="right"/>
    </xf>
    <xf numFmtId="164" fontId="4" fillId="0" borderId="0" xfId="0" applyNumberFormat="1" applyFont="1"/>
    <xf numFmtId="43" fontId="10" fillId="0" borderId="0" xfId="1" applyFont="1" applyFill="1" applyBorder="1" applyAlignment="1">
      <alignment vertical="center"/>
    </xf>
    <xf numFmtId="0" fontId="23" fillId="2" borderId="0" xfId="0" applyFont="1" applyFill="1" applyAlignment="1">
      <alignment horizontal="center"/>
    </xf>
    <xf numFmtId="0" fontId="4" fillId="0" borderId="0" xfId="0" applyFont="1"/>
    <xf numFmtId="0" fontId="10" fillId="0" borderId="0" xfId="0" applyFont="1"/>
    <xf numFmtId="164" fontId="4" fillId="0" borderId="0" xfId="1" applyNumberFormat="1" applyFont="1"/>
    <xf numFmtId="0" fontId="4" fillId="0" borderId="3" xfId="0" applyFont="1" applyBorder="1"/>
    <xf numFmtId="164" fontId="10" fillId="0" borderId="0" xfId="0" applyNumberFormat="1" applyFont="1"/>
    <xf numFmtId="164" fontId="4" fillId="0" borderId="0" xfId="1" applyNumberFormat="1" applyFont="1" applyFill="1"/>
    <xf numFmtId="43" fontId="4" fillId="0" borderId="0" xfId="1" applyFont="1" applyAlignment="1">
      <alignment vertical="center"/>
    </xf>
    <xf numFmtId="43" fontId="4" fillId="0" borderId="0" xfId="1" applyFont="1" applyBorder="1" applyAlignment="1">
      <alignment vertical="center"/>
    </xf>
    <xf numFmtId="164" fontId="10" fillId="0" borderId="2" xfId="1" applyNumberFormat="1" applyFont="1" applyFill="1" applyBorder="1" applyAlignment="1">
      <alignment vertical="center"/>
    </xf>
    <xf numFmtId="43" fontId="10" fillId="0" borderId="0" xfId="1" applyFont="1" applyBorder="1" applyAlignment="1">
      <alignment vertical="center"/>
    </xf>
    <xf numFmtId="164" fontId="13" fillId="0" borderId="0" xfId="1" applyNumberFormat="1" applyFont="1" applyBorder="1" applyAlignment="1">
      <alignment vertical="center"/>
    </xf>
    <xf numFmtId="164" fontId="13" fillId="0" borderId="0" xfId="0" applyNumberFormat="1" applyFont="1"/>
    <xf numFmtId="169" fontId="5" fillId="0" borderId="0" xfId="1" applyNumberFormat="1" applyFont="1" applyFill="1"/>
    <xf numFmtId="164" fontId="4" fillId="0" borderId="3" xfId="0" applyNumberFormat="1" applyFont="1" applyBorder="1"/>
    <xf numFmtId="0" fontId="10" fillId="0" borderId="3" xfId="0" applyFont="1" applyBorder="1"/>
    <xf numFmtId="164" fontId="10" fillId="0" borderId="3" xfId="0" applyNumberFormat="1" applyFont="1" applyBorder="1"/>
    <xf numFmtId="164" fontId="10" fillId="0" borderId="2" xfId="1" applyNumberFormat="1" applyFont="1" applyBorder="1" applyAlignment="1">
      <alignment vertical="center"/>
    </xf>
    <xf numFmtId="164" fontId="10" fillId="0" borderId="4" xfId="1" applyNumberFormat="1" applyFont="1" applyBorder="1" applyAlignment="1">
      <alignment vertical="center"/>
    </xf>
    <xf numFmtId="164" fontId="10" fillId="0" borderId="4" xfId="1" applyNumberFormat="1" applyFont="1" applyFill="1" applyBorder="1" applyAlignment="1">
      <alignment vertical="center"/>
    </xf>
    <xf numFmtId="164" fontId="13" fillId="0" borderId="0" xfId="1" applyNumberFormat="1" applyFont="1" applyFill="1" applyBorder="1" applyAlignment="1">
      <alignment vertical="center"/>
    </xf>
    <xf numFmtId="43" fontId="4" fillId="0" borderId="4" xfId="1" applyFont="1" applyFill="1" applyBorder="1" applyAlignment="1">
      <alignment vertical="center"/>
    </xf>
    <xf numFmtId="164" fontId="10" fillId="0" borderId="4" xfId="0" applyNumberFormat="1" applyFont="1" applyBorder="1"/>
    <xf numFmtId="164" fontId="12" fillId="0" borderId="0" xfId="1" applyNumberFormat="1" applyFont="1" applyBorder="1" applyAlignment="1">
      <alignment vertical="center"/>
    </xf>
    <xf numFmtId="43" fontId="10" fillId="0" borderId="3" xfId="1" applyFont="1" applyBorder="1" applyAlignment="1">
      <alignment vertical="center"/>
    </xf>
    <xf numFmtId="167" fontId="4" fillId="0" borderId="3" xfId="1" applyNumberFormat="1" applyFont="1" applyBorder="1"/>
    <xf numFmtId="164" fontId="12" fillId="0" borderId="0" xfId="0" applyNumberFormat="1" applyFont="1"/>
    <xf numFmtId="0" fontId="5" fillId="5" borderId="0" xfId="0" applyFont="1" applyFill="1"/>
    <xf numFmtId="0" fontId="20" fillId="5" borderId="0" xfId="0" applyFont="1" applyFill="1"/>
    <xf numFmtId="0" fontId="21" fillId="5" borderId="0" xfId="0" applyFont="1" applyFill="1" applyAlignment="1">
      <alignment horizontal="right"/>
    </xf>
    <xf numFmtId="0" fontId="29" fillId="0" borderId="0" xfId="0" applyFont="1"/>
    <xf numFmtId="164" fontId="10" fillId="0" borderId="0" xfId="1" applyNumberFormat="1" applyFont="1" applyBorder="1" applyAlignment="1">
      <alignment vertical="center"/>
    </xf>
    <xf numFmtId="164" fontId="10" fillId="0" borderId="0" xfId="1" applyNumberFormat="1" applyFont="1" applyFill="1" applyBorder="1" applyAlignment="1">
      <alignment vertical="center"/>
    </xf>
    <xf numFmtId="164" fontId="4" fillId="0" borderId="0" xfId="1" applyNumberFormat="1" applyFont="1" applyBorder="1" applyAlignment="1">
      <alignment vertical="center"/>
    </xf>
    <xf numFmtId="164" fontId="13" fillId="0" borderId="0" xfId="1" applyNumberFormat="1" applyFont="1" applyBorder="1"/>
    <xf numFmtId="164" fontId="4" fillId="0" borderId="0" xfId="1" applyNumberFormat="1" applyFont="1" applyBorder="1"/>
    <xf numFmtId="43" fontId="10" fillId="0" borderId="5" xfId="1" applyFont="1" applyBorder="1" applyAlignment="1">
      <alignment vertical="center"/>
    </xf>
    <xf numFmtId="164" fontId="10" fillId="0" borderId="3" xfId="1" applyNumberFormat="1" applyFont="1" applyBorder="1" applyAlignment="1">
      <alignment vertical="center"/>
    </xf>
    <xf numFmtId="43" fontId="4" fillId="0" borderId="7" xfId="1" applyFont="1" applyBorder="1" applyAlignment="1">
      <alignment vertical="center"/>
    </xf>
    <xf numFmtId="164" fontId="4" fillId="0" borderId="8" xfId="0" applyNumberFormat="1" applyFont="1" applyBorder="1"/>
    <xf numFmtId="43" fontId="10" fillId="0" borderId="7" xfId="1" applyFont="1" applyBorder="1" applyAlignment="1">
      <alignment vertical="center"/>
    </xf>
    <xf numFmtId="164" fontId="10" fillId="0" borderId="8" xfId="1" applyNumberFormat="1" applyFont="1" applyFill="1" applyBorder="1" applyAlignment="1">
      <alignment vertical="center"/>
    </xf>
    <xf numFmtId="164" fontId="4" fillId="0" borderId="8" xfId="1" applyNumberFormat="1" applyFont="1" applyBorder="1"/>
    <xf numFmtId="43" fontId="10" fillId="0" borderId="11" xfId="1" applyFont="1" applyBorder="1" applyAlignment="1">
      <alignment vertical="center"/>
    </xf>
    <xf numFmtId="43" fontId="10" fillId="0" borderId="4" xfId="1" applyFont="1" applyBorder="1" applyAlignment="1">
      <alignment vertical="center"/>
    </xf>
    <xf numFmtId="164" fontId="10" fillId="0" borderId="12" xfId="0" applyNumberFormat="1" applyFont="1" applyBorder="1"/>
    <xf numFmtId="164" fontId="10" fillId="0" borderId="12" xfId="1" applyNumberFormat="1" applyFont="1" applyBorder="1" applyAlignment="1">
      <alignment vertical="center"/>
    </xf>
    <xf numFmtId="164" fontId="10" fillId="0" borderId="12" xfId="1" applyNumberFormat="1" applyFont="1" applyFill="1" applyBorder="1" applyAlignment="1">
      <alignment vertical="center"/>
    </xf>
    <xf numFmtId="43" fontId="10" fillId="0" borderId="13" xfId="1" applyFont="1" applyBorder="1" applyAlignment="1">
      <alignment vertical="center"/>
    </xf>
    <xf numFmtId="164" fontId="10" fillId="0" borderId="14" xfId="1" applyNumberFormat="1" applyFont="1" applyFill="1" applyBorder="1" applyAlignment="1">
      <alignment vertical="center"/>
    </xf>
    <xf numFmtId="43" fontId="12" fillId="0" borderId="0" xfId="1" applyFont="1" applyFill="1" applyBorder="1" applyAlignment="1">
      <alignment vertical="center"/>
    </xf>
    <xf numFmtId="164" fontId="12" fillId="0" borderId="0" xfId="1" applyNumberFormat="1" applyFont="1" applyFill="1" applyBorder="1" applyAlignment="1">
      <alignment vertical="center"/>
    </xf>
    <xf numFmtId="0" fontId="4" fillId="0" borderId="7" xfId="0" applyFont="1" applyBorder="1"/>
    <xf numFmtId="43" fontId="4" fillId="0" borderId="7" xfId="1" applyFont="1" applyFill="1" applyBorder="1" applyAlignment="1">
      <alignment vertical="center"/>
    </xf>
    <xf numFmtId="164" fontId="10" fillId="0" borderId="8" xfId="1" applyNumberFormat="1" applyFont="1" applyBorder="1" applyAlignment="1">
      <alignment vertical="center"/>
    </xf>
    <xf numFmtId="164" fontId="12" fillId="0" borderId="8" xfId="0" applyNumberFormat="1" applyFont="1" applyBorder="1"/>
    <xf numFmtId="0" fontId="10" fillId="0" borderId="7" xfId="0" applyFont="1" applyBorder="1" applyAlignment="1">
      <alignment wrapText="1"/>
    </xf>
    <xf numFmtId="43" fontId="10" fillId="0" borderId="11" xfId="1" applyFont="1" applyFill="1" applyBorder="1" applyAlignment="1">
      <alignment vertical="center"/>
    </xf>
    <xf numFmtId="0" fontId="10" fillId="0" borderId="5" xfId="0" applyFont="1" applyBorder="1"/>
    <xf numFmtId="164" fontId="4" fillId="0" borderId="6" xfId="0" applyNumberFormat="1" applyFont="1" applyBorder="1"/>
    <xf numFmtId="0" fontId="10" fillId="0" borderId="7" xfId="0" applyFont="1" applyBorder="1"/>
    <xf numFmtId="165" fontId="7" fillId="0" borderId="7" xfId="0" applyNumberFormat="1" applyFont="1" applyBorder="1"/>
    <xf numFmtId="0" fontId="10" fillId="0" borderId="11" xfId="0" applyFont="1" applyBorder="1"/>
    <xf numFmtId="0" fontId="10" fillId="0" borderId="4" xfId="0" applyFont="1" applyBorder="1"/>
    <xf numFmtId="164" fontId="15" fillId="0" borderId="4" xfId="0" applyNumberFormat="1" applyFont="1" applyBorder="1"/>
    <xf numFmtId="165" fontId="8" fillId="0" borderId="13" xfId="0" applyNumberFormat="1" applyFont="1" applyBorder="1"/>
    <xf numFmtId="164" fontId="8" fillId="0" borderId="2" xfId="0" applyNumberFormat="1" applyFont="1" applyBorder="1"/>
    <xf numFmtId="164" fontId="8" fillId="0" borderId="14" xfId="0" applyNumberFormat="1" applyFont="1" applyBorder="1"/>
    <xf numFmtId="0" fontId="6" fillId="4" borderId="0" xfId="0" applyFont="1" applyFill="1" applyAlignment="1">
      <alignment horizontal="left"/>
    </xf>
    <xf numFmtId="0" fontId="0" fillId="4" borderId="0" xfId="0" applyFill="1"/>
    <xf numFmtId="0" fontId="6" fillId="4" borderId="0" xfId="0" applyFont="1" applyFill="1"/>
    <xf numFmtId="164" fontId="6" fillId="4" borderId="0" xfId="0" applyNumberFormat="1" applyFont="1" applyFill="1"/>
    <xf numFmtId="164" fontId="0" fillId="4" borderId="0" xfId="0" applyNumberFormat="1" applyFill="1"/>
    <xf numFmtId="0" fontId="30" fillId="4" borderId="0" xfId="0" applyFont="1" applyFill="1"/>
    <xf numFmtId="164" fontId="30" fillId="4" borderId="0" xfId="0" applyNumberFormat="1" applyFont="1" applyFill="1"/>
    <xf numFmtId="164" fontId="31" fillId="4" borderId="0" xfId="0" applyNumberFormat="1" applyFont="1" applyFill="1"/>
    <xf numFmtId="0" fontId="32" fillId="4" borderId="0" xfId="0" applyFont="1" applyFill="1"/>
    <xf numFmtId="0" fontId="32" fillId="4" borderId="0" xfId="0" applyFont="1" applyFill="1" applyAlignment="1">
      <alignment horizontal="left"/>
    </xf>
    <xf numFmtId="0" fontId="33" fillId="5" borderId="0" xfId="0" applyFont="1" applyFill="1"/>
    <xf numFmtId="167" fontId="4" fillId="0" borderId="0" xfId="1" applyNumberFormat="1" applyFont="1" applyBorder="1"/>
    <xf numFmtId="167" fontId="13" fillId="0" borderId="0" xfId="1" applyNumberFormat="1" applyFont="1" applyBorder="1"/>
    <xf numFmtId="167" fontId="13" fillId="0" borderId="0" xfId="1" applyNumberFormat="1" applyFont="1" applyBorder="1" applyAlignment="1">
      <alignment horizontal="right"/>
    </xf>
    <xf numFmtId="0" fontId="28" fillId="0" borderId="0" xfId="0" applyFont="1"/>
    <xf numFmtId="0" fontId="27" fillId="0" borderId="0" xfId="0" applyFont="1"/>
    <xf numFmtId="10" fontId="28" fillId="0" borderId="0" xfId="0" applyNumberFormat="1" applyFont="1"/>
    <xf numFmtId="167" fontId="4" fillId="0" borderId="7" xfId="1" applyNumberFormat="1" applyFont="1" applyBorder="1" applyAlignment="1">
      <alignment horizontal="left" indent="2"/>
    </xf>
    <xf numFmtId="0" fontId="28" fillId="0" borderId="7" xfId="0" applyFont="1" applyBorder="1" applyAlignment="1">
      <alignment horizontal="left" indent="2"/>
    </xf>
    <xf numFmtId="0" fontId="0" fillId="0" borderId="8" xfId="0" applyBorder="1"/>
    <xf numFmtId="0" fontId="0" fillId="0" borderId="7" xfId="0" applyBorder="1"/>
    <xf numFmtId="0" fontId="0" fillId="0" borderId="1" xfId="0" applyBorder="1"/>
    <xf numFmtId="0" fontId="3" fillId="0" borderId="11" xfId="0" applyFont="1" applyBorder="1" applyAlignment="1">
      <alignment horizontal="left" indent="1"/>
    </xf>
    <xf numFmtId="0" fontId="3" fillId="0" borderId="4" xfId="0" applyFont="1" applyBorder="1"/>
    <xf numFmtId="164" fontId="24" fillId="0" borderId="4" xfId="1" applyNumberFormat="1" applyFont="1" applyBorder="1" applyAlignment="1">
      <alignment vertical="center"/>
    </xf>
    <xf numFmtId="0" fontId="0" fillId="0" borderId="4" xfId="0" applyBorder="1"/>
    <xf numFmtId="43" fontId="10" fillId="0" borderId="11" xfId="1" applyFont="1" applyBorder="1" applyAlignment="1">
      <alignment horizontal="left" vertical="center" indent="1"/>
    </xf>
    <xf numFmtId="164" fontId="15" fillId="0" borderId="4" xfId="1" applyNumberFormat="1" applyFont="1" applyBorder="1" applyAlignment="1">
      <alignment vertical="center"/>
    </xf>
    <xf numFmtId="164" fontId="15" fillId="0" borderId="4" xfId="1" applyNumberFormat="1" applyFont="1" applyFill="1" applyBorder="1" applyAlignment="1">
      <alignment vertical="center"/>
    </xf>
    <xf numFmtId="164" fontId="24" fillId="0" borderId="4" xfId="1" applyNumberFormat="1" applyFont="1" applyFill="1" applyBorder="1" applyAlignment="1">
      <alignment vertical="center"/>
    </xf>
    <xf numFmtId="164" fontId="24" fillId="0" borderId="4" xfId="0" applyNumberFormat="1" applyFont="1" applyBorder="1"/>
    <xf numFmtId="43" fontId="10" fillId="0" borderId="4" xfId="1" applyFont="1" applyBorder="1" applyAlignment="1">
      <alignment horizontal="left" vertical="center" indent="1"/>
    </xf>
    <xf numFmtId="10" fontId="0" fillId="0" borderId="0" xfId="2" applyNumberFormat="1" applyFont="1" applyBorder="1"/>
    <xf numFmtId="166" fontId="14" fillId="0" borderId="0" xfId="0" applyNumberFormat="1" applyFont="1"/>
    <xf numFmtId="166" fontId="0" fillId="0" borderId="0" xfId="0" applyNumberFormat="1"/>
    <xf numFmtId="0" fontId="33" fillId="0" borderId="0" xfId="0" applyFont="1"/>
    <xf numFmtId="0" fontId="24" fillId="0" borderId="5" xfId="0" applyFont="1" applyBorder="1"/>
    <xf numFmtId="0" fontId="26" fillId="0" borderId="3" xfId="0" applyFont="1" applyBorder="1"/>
    <xf numFmtId="164" fontId="26" fillId="0" borderId="3" xfId="0" applyNumberFormat="1" applyFont="1" applyBorder="1"/>
    <xf numFmtId="0" fontId="28" fillId="0" borderId="9" xfId="0" applyFont="1" applyBorder="1"/>
    <xf numFmtId="0" fontId="28" fillId="0" borderId="1" xfId="0" applyFont="1" applyBorder="1"/>
    <xf numFmtId="43" fontId="34" fillId="0" borderId="9" xfId="1" applyFont="1" applyBorder="1" applyAlignment="1">
      <alignment vertical="center"/>
    </xf>
    <xf numFmtId="43" fontId="35" fillId="0" borderId="1" xfId="1" applyFont="1" applyBorder="1" applyAlignment="1">
      <alignment vertical="center"/>
    </xf>
    <xf numFmtId="164" fontId="35" fillId="0" borderId="1" xfId="1" applyNumberFormat="1" applyFont="1" applyBorder="1" applyAlignment="1">
      <alignment vertical="center"/>
    </xf>
    <xf numFmtId="10" fontId="34" fillId="0" borderId="1" xfId="2" applyNumberFormat="1" applyFont="1" applyBorder="1" applyAlignment="1">
      <alignment vertical="center"/>
    </xf>
    <xf numFmtId="167" fontId="26" fillId="0" borderId="3" xfId="1" applyNumberFormat="1" applyFont="1" applyFill="1" applyBorder="1" applyAlignment="1">
      <alignment horizontal="right"/>
    </xf>
    <xf numFmtId="167" fontId="24" fillId="0" borderId="3" xfId="1" applyNumberFormat="1" applyFont="1" applyFill="1" applyBorder="1" applyAlignment="1">
      <alignment horizontal="right"/>
    </xf>
    <xf numFmtId="167" fontId="24" fillId="0" borderId="6" xfId="1" applyNumberFormat="1" applyFont="1" applyFill="1" applyBorder="1" applyAlignment="1">
      <alignment horizontal="right"/>
    </xf>
    <xf numFmtId="10" fontId="34" fillId="0" borderId="10" xfId="2" applyNumberFormat="1" applyFont="1" applyBorder="1" applyAlignment="1">
      <alignment vertical="center"/>
    </xf>
    <xf numFmtId="10" fontId="0" fillId="0" borderId="8" xfId="0" applyNumberFormat="1" applyBorder="1"/>
    <xf numFmtId="167" fontId="26" fillId="0" borderId="4" xfId="0" applyNumberFormat="1" applyFont="1" applyBorder="1" applyAlignment="1">
      <alignment horizontal="right"/>
    </xf>
    <xf numFmtId="167" fontId="26" fillId="0" borderId="12" xfId="0" applyNumberFormat="1" applyFont="1" applyBorder="1" applyAlignment="1">
      <alignment horizontal="right"/>
    </xf>
    <xf numFmtId="0" fontId="4" fillId="0" borderId="5" xfId="0" applyFont="1" applyBorder="1"/>
    <xf numFmtId="164" fontId="13" fillId="0" borderId="3" xfId="0" applyNumberFormat="1" applyFont="1" applyBorder="1"/>
    <xf numFmtId="164" fontId="12" fillId="0" borderId="3" xfId="0" applyNumberFormat="1" applyFont="1" applyBorder="1"/>
    <xf numFmtId="164" fontId="12" fillId="0" borderId="6" xfId="0" applyNumberFormat="1" applyFont="1" applyBorder="1"/>
    <xf numFmtId="0" fontId="4" fillId="0" borderId="9" xfId="0" applyFont="1" applyBorder="1"/>
    <xf numFmtId="0" fontId="4" fillId="0" borderId="1" xfId="0" applyFont="1" applyBorder="1"/>
    <xf numFmtId="164" fontId="4" fillId="0" borderId="1" xfId="0" applyNumberFormat="1" applyFont="1" applyBorder="1"/>
    <xf numFmtId="164" fontId="4" fillId="0" borderId="10" xfId="0" applyNumberFormat="1" applyFont="1" applyBorder="1"/>
    <xf numFmtId="164" fontId="4" fillId="2" borderId="0" xfId="0" applyNumberFormat="1" applyFont="1" applyFill="1"/>
    <xf numFmtId="164" fontId="4" fillId="2" borderId="0" xfId="1" applyNumberFormat="1" applyFont="1" applyFill="1" applyBorder="1" applyAlignment="1">
      <alignment vertical="center"/>
    </xf>
    <xf numFmtId="164" fontId="15" fillId="2" borderId="4" xfId="0" applyNumberFormat="1" applyFont="1" applyFill="1" applyBorder="1"/>
    <xf numFmtId="168" fontId="4" fillId="2" borderId="0" xfId="0" applyNumberFormat="1" applyFont="1" applyFill="1"/>
    <xf numFmtId="164" fontId="13" fillId="2" borderId="0" xfId="0" applyNumberFormat="1" applyFont="1" applyFill="1"/>
    <xf numFmtId="164" fontId="12" fillId="2" borderId="0" xfId="0" applyNumberFormat="1" applyFont="1" applyFill="1"/>
    <xf numFmtId="164" fontId="7" fillId="2" borderId="0" xfId="0" applyNumberFormat="1" applyFont="1" applyFill="1"/>
    <xf numFmtId="164" fontId="16" fillId="2" borderId="0" xfId="0" applyNumberFormat="1" applyFont="1" applyFill="1"/>
    <xf numFmtId="164" fontId="19" fillId="2" borderId="0" xfId="0" applyNumberFormat="1" applyFont="1" applyFill="1"/>
    <xf numFmtId="164" fontId="8" fillId="2" borderId="2" xfId="0" applyNumberFormat="1" applyFont="1" applyFill="1" applyBorder="1"/>
    <xf numFmtId="164" fontId="13" fillId="2" borderId="3" xfId="0" applyNumberFormat="1" applyFont="1" applyFill="1" applyBorder="1"/>
    <xf numFmtId="0" fontId="4" fillId="0" borderId="11" xfId="0" applyFont="1" applyBorder="1"/>
    <xf numFmtId="0" fontId="4" fillId="0" borderId="4" xfId="0" applyFont="1" applyBorder="1"/>
    <xf numFmtId="164" fontId="4" fillId="2" borderId="4" xfId="0" applyNumberFormat="1" applyFont="1" applyFill="1" applyBorder="1"/>
    <xf numFmtId="164" fontId="4" fillId="0" borderId="4" xfId="0" applyNumberFormat="1" applyFont="1" applyBorder="1"/>
    <xf numFmtId="164" fontId="4" fillId="0" borderId="12" xfId="0" applyNumberFormat="1" applyFont="1" applyBorder="1"/>
    <xf numFmtId="164" fontId="11" fillId="0" borderId="0" xfId="0" applyNumberFormat="1" applyFont="1"/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11" fillId="0" borderId="3" xfId="0" applyNumberFormat="1" applyFont="1" applyBorder="1"/>
    <xf numFmtId="0" fontId="4" fillId="0" borderId="7" xfId="0" applyFont="1" applyBorder="1" applyAlignment="1">
      <alignment horizontal="left" wrapText="1"/>
    </xf>
    <xf numFmtId="164" fontId="4" fillId="0" borderId="8" xfId="0" applyNumberFormat="1" applyFont="1" applyBorder="1" applyAlignment="1">
      <alignment horizontal="right" vertical="center"/>
    </xf>
    <xf numFmtId="167" fontId="13" fillId="0" borderId="3" xfId="1" applyNumberFormat="1" applyFont="1" applyBorder="1"/>
    <xf numFmtId="164" fontId="13" fillId="0" borderId="8" xfId="0" applyNumberFormat="1" applyFont="1" applyBorder="1" applyAlignment="1">
      <alignment vertical="center"/>
    </xf>
    <xf numFmtId="167" fontId="13" fillId="0" borderId="8" xfId="1" applyNumberFormat="1" applyFont="1" applyBorder="1"/>
    <xf numFmtId="168" fontId="13" fillId="0" borderId="0" xfId="0" applyNumberFormat="1" applyFont="1"/>
    <xf numFmtId="167" fontId="13" fillId="0" borderId="6" xfId="1" applyNumberFormat="1" applyFont="1" applyBorder="1"/>
    <xf numFmtId="164" fontId="13" fillId="0" borderId="1" xfId="0" applyNumberFormat="1" applyFont="1" applyBorder="1"/>
    <xf numFmtId="167" fontId="4" fillId="0" borderId="8" xfId="1" applyNumberFormat="1" applyFont="1" applyBorder="1"/>
    <xf numFmtId="167" fontId="4" fillId="0" borderId="6" xfId="1" applyNumberFormat="1" applyFont="1" applyBorder="1"/>
    <xf numFmtId="167" fontId="26" fillId="0" borderId="6" xfId="1" applyNumberFormat="1" applyFont="1" applyFill="1" applyBorder="1" applyAlignment="1">
      <alignment horizontal="right"/>
    </xf>
    <xf numFmtId="10" fontId="0" fillId="0" borderId="8" xfId="2" applyNumberFormat="1" applyFont="1" applyBorder="1"/>
    <xf numFmtId="0" fontId="0" fillId="0" borderId="3" xfId="0" applyBorder="1"/>
    <xf numFmtId="43" fontId="4" fillId="0" borderId="5" xfId="1" applyFont="1" applyBorder="1" applyAlignment="1">
      <alignment vertical="center"/>
    </xf>
    <xf numFmtId="43" fontId="10" fillId="0" borderId="1" xfId="1" applyFont="1" applyBorder="1" applyAlignment="1">
      <alignment vertical="center"/>
    </xf>
    <xf numFmtId="43" fontId="4" fillId="0" borderId="3" xfId="1" applyFont="1" applyBorder="1" applyAlignment="1">
      <alignment vertical="center"/>
    </xf>
    <xf numFmtId="0" fontId="10" fillId="5" borderId="0" xfId="0" applyFont="1" applyFill="1"/>
    <xf numFmtId="0" fontId="0" fillId="5" borderId="0" xfId="0" applyFill="1"/>
    <xf numFmtId="0" fontId="37" fillId="5" borderId="0" xfId="0" applyFont="1" applyFill="1"/>
    <xf numFmtId="43" fontId="4" fillId="0" borderId="7" xfId="1" applyFont="1" applyFill="1" applyBorder="1" applyAlignment="1">
      <alignment horizontal="left" vertical="center" indent="1"/>
    </xf>
    <xf numFmtId="43" fontId="4" fillId="0" borderId="5" xfId="1" applyFont="1" applyFill="1" applyBorder="1" applyAlignment="1">
      <alignment horizontal="left" vertical="center" indent="1"/>
    </xf>
    <xf numFmtId="43" fontId="4" fillId="0" borderId="9" xfId="1" applyFont="1" applyFill="1" applyBorder="1" applyAlignment="1">
      <alignment horizontal="left" vertical="center" indent="1"/>
    </xf>
    <xf numFmtId="167" fontId="0" fillId="0" borderId="0" xfId="1" applyNumberFormat="1" applyFont="1" applyBorder="1"/>
    <xf numFmtId="0" fontId="32" fillId="5" borderId="0" xfId="0" applyFont="1" applyFill="1"/>
    <xf numFmtId="0" fontId="38" fillId="5" borderId="0" xfId="0" applyFont="1" applyFill="1"/>
    <xf numFmtId="43" fontId="4" fillId="0" borderId="0" xfId="1" applyFont="1" applyFill="1" applyBorder="1" applyAlignment="1">
      <alignment horizontal="left" vertical="center" indent="1"/>
    </xf>
    <xf numFmtId="43" fontId="4" fillId="0" borderId="11" xfId="1" applyFont="1" applyFill="1" applyBorder="1" applyAlignment="1">
      <alignment horizontal="left" vertical="center" indent="1"/>
    </xf>
    <xf numFmtId="43" fontId="4" fillId="0" borderId="4" xfId="1" applyFont="1" applyBorder="1" applyAlignment="1">
      <alignment vertical="center"/>
    </xf>
    <xf numFmtId="43" fontId="4" fillId="0" borderId="3" xfId="1" applyFont="1" applyFill="1" applyBorder="1" applyAlignment="1">
      <alignment vertical="center"/>
    </xf>
    <xf numFmtId="167" fontId="10" fillId="0" borderId="3" xfId="1" applyNumberFormat="1" applyFont="1" applyBorder="1"/>
    <xf numFmtId="167" fontId="10" fillId="0" borderId="1" xfId="1" applyNumberFormat="1" applyFont="1" applyBorder="1"/>
    <xf numFmtId="167" fontId="5" fillId="0" borderId="5" xfId="1" applyNumberFormat="1" applyFont="1" applyBorder="1"/>
    <xf numFmtId="167" fontId="5" fillId="0" borderId="9" xfId="1" applyNumberFormat="1" applyFont="1" applyBorder="1"/>
    <xf numFmtId="0" fontId="4" fillId="5" borderId="0" xfId="0" applyFont="1" applyFill="1"/>
    <xf numFmtId="164" fontId="4" fillId="5" borderId="0" xfId="0" applyNumberFormat="1" applyFont="1" applyFill="1"/>
    <xf numFmtId="0" fontId="39" fillId="5" borderId="0" xfId="0" applyFont="1" applyFill="1"/>
    <xf numFmtId="164" fontId="39" fillId="5" borderId="0" xfId="0" applyNumberFormat="1" applyFont="1" applyFill="1"/>
    <xf numFmtId="0" fontId="40" fillId="5" borderId="0" xfId="0" applyFont="1" applyFill="1"/>
    <xf numFmtId="164" fontId="10" fillId="5" borderId="0" xfId="0" applyNumberFormat="1" applyFont="1" applyFill="1"/>
    <xf numFmtId="164" fontId="4" fillId="5" borderId="0" xfId="1" applyNumberFormat="1" applyFont="1" applyFill="1"/>
    <xf numFmtId="0" fontId="0" fillId="0" borderId="6" xfId="0" applyBorder="1"/>
    <xf numFmtId="164" fontId="13" fillId="0" borderId="4" xfId="0" applyNumberFormat="1" applyFont="1" applyBorder="1"/>
    <xf numFmtId="10" fontId="4" fillId="0" borderId="1" xfId="2" applyNumberFormat="1" applyFont="1" applyBorder="1"/>
    <xf numFmtId="0" fontId="34" fillId="0" borderId="9" xfId="0" applyFont="1" applyBorder="1"/>
    <xf numFmtId="0" fontId="36" fillId="0" borderId="1" xfId="0" applyFont="1" applyBorder="1"/>
    <xf numFmtId="10" fontId="34" fillId="0" borderId="1" xfId="2" applyNumberFormat="1" applyFont="1" applyBorder="1"/>
    <xf numFmtId="0" fontId="34" fillId="0" borderId="1" xfId="0" applyFont="1" applyBorder="1"/>
    <xf numFmtId="166" fontId="13" fillId="0" borderId="3" xfId="0" applyNumberFormat="1" applyFont="1" applyBorder="1"/>
    <xf numFmtId="166" fontId="13" fillId="0" borderId="0" xfId="0" applyNumberFormat="1" applyFont="1"/>
    <xf numFmtId="166" fontId="4" fillId="0" borderId="0" xfId="0" applyNumberFormat="1" applyFont="1"/>
    <xf numFmtId="170" fontId="4" fillId="0" borderId="4" xfId="1" applyNumberFormat="1" applyFont="1" applyBorder="1"/>
    <xf numFmtId="166" fontId="4" fillId="0" borderId="3" xfId="0" applyNumberFormat="1" applyFont="1" applyBorder="1"/>
    <xf numFmtId="166" fontId="4" fillId="0" borderId="6" xfId="0" applyNumberFormat="1" applyFont="1" applyBorder="1"/>
    <xf numFmtId="10" fontId="4" fillId="0" borderId="0" xfId="2" applyNumberFormat="1" applyFont="1" applyBorder="1"/>
    <xf numFmtId="10" fontId="13" fillId="0" borderId="0" xfId="0" applyNumberFormat="1" applyFont="1"/>
    <xf numFmtId="10" fontId="4" fillId="0" borderId="0" xfId="0" applyNumberFormat="1" applyFont="1"/>
    <xf numFmtId="10" fontId="4" fillId="0" borderId="8" xfId="0" applyNumberFormat="1" applyFont="1" applyBorder="1"/>
    <xf numFmtId="166" fontId="4" fillId="0" borderId="3" xfId="2" applyNumberFormat="1" applyFont="1" applyBorder="1"/>
    <xf numFmtId="0" fontId="4" fillId="0" borderId="11" xfId="0" applyFont="1" applyBorder="1" applyAlignment="1">
      <alignment horizontal="left" indent="1"/>
    </xf>
    <xf numFmtId="167" fontId="5" fillId="0" borderId="3" xfId="1" applyNumberFormat="1" applyFont="1" applyBorder="1"/>
    <xf numFmtId="167" fontId="5" fillId="0" borderId="6" xfId="1" applyNumberFormat="1" applyFont="1" applyBorder="1"/>
    <xf numFmtId="167" fontId="5" fillId="0" borderId="1" xfId="1" applyNumberFormat="1" applyFont="1" applyBorder="1"/>
    <xf numFmtId="167" fontId="5" fillId="0" borderId="10" xfId="1" applyNumberFormat="1" applyFont="1" applyBorder="1"/>
    <xf numFmtId="164" fontId="13" fillId="0" borderId="3" xfId="1" applyNumberFormat="1" applyFont="1" applyFill="1" applyBorder="1" applyAlignment="1">
      <alignment vertical="center"/>
    </xf>
    <xf numFmtId="164" fontId="13" fillId="0" borderId="1" xfId="1" applyNumberFormat="1" applyFont="1" applyFill="1" applyBorder="1" applyAlignment="1">
      <alignment vertical="center"/>
    </xf>
    <xf numFmtId="0" fontId="25" fillId="0" borderId="5" xfId="0" applyFont="1" applyBorder="1"/>
    <xf numFmtId="43" fontId="25" fillId="0" borderId="5" xfId="1" applyFont="1" applyFill="1" applyBorder="1" applyAlignment="1">
      <alignment horizontal="left" vertical="center"/>
    </xf>
    <xf numFmtId="43" fontId="25" fillId="0" borderId="5" xfId="1" applyFont="1" applyFill="1" applyBorder="1" applyAlignment="1">
      <alignment vertical="center"/>
    </xf>
    <xf numFmtId="2" fontId="0" fillId="0" borderId="0" xfId="0" applyNumberFormat="1"/>
    <xf numFmtId="43" fontId="5" fillId="7" borderId="7" xfId="1" applyFont="1" applyFill="1" applyBorder="1" applyAlignment="1">
      <alignment horizontal="left" vertical="center" indent="3"/>
    </xf>
    <xf numFmtId="43" fontId="5" fillId="7" borderId="0" xfId="1" applyFont="1" applyFill="1" applyBorder="1" applyAlignment="1">
      <alignment vertical="center"/>
    </xf>
    <xf numFmtId="0" fontId="4" fillId="0" borderId="7" xfId="0" applyFont="1" applyBorder="1" applyAlignment="1">
      <alignment horizontal="left" indent="1"/>
    </xf>
    <xf numFmtId="0" fontId="27" fillId="7" borderId="0" xfId="0" applyFont="1" applyFill="1"/>
    <xf numFmtId="0" fontId="0" fillId="7" borderId="0" xfId="0" applyFill="1"/>
    <xf numFmtId="0" fontId="27" fillId="7" borderId="1" xfId="0" applyFont="1" applyFill="1" applyBorder="1"/>
    <xf numFmtId="0" fontId="4" fillId="0" borderId="0" xfId="0" applyFont="1" applyAlignment="1">
      <alignment horizontal="left" indent="1"/>
    </xf>
    <xf numFmtId="43" fontId="4" fillId="0" borderId="1" xfId="1" applyFont="1" applyFill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3" xfId="0" applyBorder="1" applyAlignment="1">
      <alignment horizontal="left" indent="1"/>
    </xf>
    <xf numFmtId="10" fontId="4" fillId="0" borderId="0" xfId="2" applyNumberFormat="1" applyFont="1" applyFill="1" applyBorder="1"/>
    <xf numFmtId="10" fontId="5" fillId="0" borderId="0" xfId="2" applyNumberFormat="1" applyFont="1" applyFill="1" applyBorder="1"/>
    <xf numFmtId="0" fontId="4" fillId="0" borderId="1" xfId="0" applyFont="1" applyBorder="1" applyAlignment="1">
      <alignment horizontal="left" indent="1"/>
    </xf>
    <xf numFmtId="10" fontId="4" fillId="0" borderId="1" xfId="2" applyNumberFormat="1" applyFont="1" applyFill="1" applyBorder="1"/>
    <xf numFmtId="0" fontId="4" fillId="0" borderId="5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164" fontId="0" fillId="0" borderId="3" xfId="0" applyNumberFormat="1" applyBorder="1"/>
    <xf numFmtId="164" fontId="0" fillId="0" borderId="6" xfId="0" applyNumberFormat="1" applyBorder="1"/>
    <xf numFmtId="164" fontId="38" fillId="5" borderId="0" xfId="0" applyNumberFormat="1" applyFont="1" applyFill="1"/>
    <xf numFmtId="0" fontId="10" fillId="2" borderId="0" xfId="0" applyFont="1" applyFill="1" applyAlignment="1">
      <alignment horizontal="center"/>
    </xf>
    <xf numFmtId="0" fontId="22" fillId="3" borderId="0" xfId="0" applyFont="1" applyFill="1" applyAlignment="1">
      <alignment horizontal="center"/>
    </xf>
    <xf numFmtId="164" fontId="13" fillId="0" borderId="3" xfId="1" applyNumberFormat="1" applyFont="1" applyBorder="1"/>
    <xf numFmtId="167" fontId="21" fillId="0" borderId="3" xfId="1" applyNumberFormat="1" applyFont="1" applyBorder="1"/>
    <xf numFmtId="167" fontId="21" fillId="0" borderId="6" xfId="1" applyNumberFormat="1" applyFont="1" applyBorder="1"/>
    <xf numFmtId="167" fontId="21" fillId="0" borderId="1" xfId="1" applyNumberFormat="1" applyFont="1" applyBorder="1"/>
    <xf numFmtId="167" fontId="21" fillId="0" borderId="10" xfId="1" applyNumberFormat="1" applyFont="1" applyBorder="1"/>
    <xf numFmtId="0" fontId="10" fillId="2" borderId="0" xfId="0" applyFont="1" applyFill="1"/>
    <xf numFmtId="10" fontId="5" fillId="0" borderId="1" xfId="2" applyNumberFormat="1" applyFont="1" applyFill="1" applyBorder="1"/>
    <xf numFmtId="0" fontId="32" fillId="5" borderId="0" xfId="0" applyFont="1" applyFill="1" applyAlignment="1">
      <alignment horizontal="left" indent="1"/>
    </xf>
    <xf numFmtId="167" fontId="13" fillId="0" borderId="1" xfId="1" applyNumberFormat="1" applyFont="1" applyBorder="1"/>
    <xf numFmtId="164" fontId="20" fillId="0" borderId="1" xfId="0" applyNumberFormat="1" applyFont="1" applyBorder="1"/>
    <xf numFmtId="43" fontId="34" fillId="0" borderId="0" xfId="1" applyFont="1" applyBorder="1" applyAlignment="1">
      <alignment vertical="center"/>
    </xf>
    <xf numFmtId="43" fontId="21" fillId="0" borderId="5" xfId="1" applyFont="1" applyBorder="1" applyAlignment="1">
      <alignment vertical="center"/>
    </xf>
    <xf numFmtId="43" fontId="24" fillId="0" borderId="3" xfId="1" applyFont="1" applyBorder="1" applyAlignment="1">
      <alignment vertical="center"/>
    </xf>
    <xf numFmtId="43" fontId="34" fillId="0" borderId="1" xfId="1" applyFont="1" applyBorder="1" applyAlignment="1">
      <alignment vertical="center"/>
    </xf>
    <xf numFmtId="10" fontId="34" fillId="0" borderId="1" xfId="2" applyNumberFormat="1" applyFont="1" applyFill="1" applyBorder="1" applyAlignment="1">
      <alignment vertical="center"/>
    </xf>
    <xf numFmtId="10" fontId="34" fillId="0" borderId="10" xfId="2" applyNumberFormat="1" applyFont="1" applyFill="1" applyBorder="1" applyAlignment="1">
      <alignment vertical="center"/>
    </xf>
    <xf numFmtId="0" fontId="41" fillId="0" borderId="0" xfId="0" applyFont="1"/>
    <xf numFmtId="0" fontId="46" fillId="5" borderId="15" xfId="0" applyFont="1" applyFill="1" applyBorder="1"/>
    <xf numFmtId="0" fontId="46" fillId="5" borderId="15" xfId="0" applyFont="1" applyFill="1" applyBorder="1" applyAlignment="1">
      <alignment horizontal="right"/>
    </xf>
    <xf numFmtId="0" fontId="46" fillId="5" borderId="16" xfId="0" applyFont="1" applyFill="1" applyBorder="1"/>
    <xf numFmtId="0" fontId="46" fillId="5" borderId="17" xfId="0" applyFont="1" applyFill="1" applyBorder="1" applyAlignment="1">
      <alignment horizontal="right"/>
    </xf>
    <xf numFmtId="0" fontId="42" fillId="8" borderId="7" xfId="0" applyFont="1" applyFill="1" applyBorder="1" applyAlignment="1">
      <alignment horizontal="left" vertical="center"/>
    </xf>
    <xf numFmtId="4" fontId="43" fillId="8" borderId="0" xfId="0" applyNumberFormat="1" applyFont="1" applyFill="1" applyAlignment="1">
      <alignment horizontal="right" vertical="center" wrapText="1" readingOrder="1"/>
    </xf>
    <xf numFmtId="0" fontId="42" fillId="8" borderId="9" xfId="0" applyFont="1" applyFill="1" applyBorder="1" applyAlignment="1">
      <alignment horizontal="left" vertical="center"/>
    </xf>
    <xf numFmtId="4" fontId="43" fillId="8" borderId="1" xfId="0" applyNumberFormat="1" applyFont="1" applyFill="1" applyBorder="1" applyAlignment="1">
      <alignment horizontal="right" vertical="center" wrapText="1" readingOrder="1"/>
    </xf>
    <xf numFmtId="10" fontId="0" fillId="0" borderId="10" xfId="2" applyNumberFormat="1" applyFont="1" applyBorder="1"/>
    <xf numFmtId="0" fontId="46" fillId="5" borderId="16" xfId="0" applyFont="1" applyFill="1" applyBorder="1" applyAlignment="1">
      <alignment horizontal="left"/>
    </xf>
    <xf numFmtId="4" fontId="44" fillId="8" borderId="7" xfId="0" applyNumberFormat="1" applyFont="1" applyFill="1" applyBorder="1" applyAlignment="1">
      <alignment horizontal="right" vertical="center" wrapText="1" readingOrder="1"/>
    </xf>
    <xf numFmtId="4" fontId="44" fillId="0" borderId="9" xfId="0" applyNumberFormat="1" applyFont="1" applyBorder="1" applyAlignment="1">
      <alignment horizontal="right" vertical="center" wrapText="1" readingOrder="1"/>
    </xf>
    <xf numFmtId="0" fontId="46" fillId="5" borderId="1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10" fontId="0" fillId="0" borderId="8" xfId="2" applyNumberFormat="1" applyFont="1" applyBorder="1" applyAlignment="1">
      <alignment horizontal="right"/>
    </xf>
    <xf numFmtId="0" fontId="0" fillId="0" borderId="9" xfId="0" applyBorder="1" applyAlignment="1">
      <alignment horizontal="center"/>
    </xf>
    <xf numFmtId="10" fontId="0" fillId="0" borderId="10" xfId="2" applyNumberFormat="1" applyFont="1" applyBorder="1" applyAlignment="1">
      <alignment horizontal="right"/>
    </xf>
    <xf numFmtId="0" fontId="0" fillId="0" borderId="7" xfId="0" applyBorder="1" applyAlignment="1">
      <alignment horizontal="left"/>
    </xf>
    <xf numFmtId="43" fontId="0" fillId="0" borderId="8" xfId="0" applyNumberFormat="1" applyBorder="1"/>
    <xf numFmtId="9" fontId="0" fillId="0" borderId="8" xfId="0" applyNumberFormat="1" applyBorder="1"/>
    <xf numFmtId="43" fontId="0" fillId="0" borderId="8" xfId="1" applyFont="1" applyBorder="1"/>
    <xf numFmtId="0" fontId="0" fillId="2" borderId="9" xfId="0" applyFill="1" applyBorder="1"/>
    <xf numFmtId="43" fontId="0" fillId="2" borderId="10" xfId="0" applyNumberFormat="1" applyFill="1" applyBorder="1"/>
    <xf numFmtId="10" fontId="0" fillId="2" borderId="10" xfId="0" applyNumberFormat="1" applyFill="1" applyBorder="1"/>
    <xf numFmtId="10" fontId="4" fillId="0" borderId="1" xfId="2" applyNumberFormat="1" applyFont="1" applyFill="1" applyBorder="1" applyAlignment="1">
      <alignment vertical="center"/>
    </xf>
    <xf numFmtId="10" fontId="4" fillId="0" borderId="10" xfId="2" applyNumberFormat="1" applyFont="1" applyFill="1" applyBorder="1" applyAlignment="1">
      <alignment vertical="center"/>
    </xf>
    <xf numFmtId="0" fontId="4" fillId="0" borderId="9" xfId="0" applyFont="1" applyBorder="1" applyAlignment="1">
      <alignment horizontal="left" indent="1"/>
    </xf>
    <xf numFmtId="164" fontId="20" fillId="0" borderId="0" xfId="1" applyNumberFormat="1" applyFont="1" applyBorder="1"/>
    <xf numFmtId="170" fontId="4" fillId="0" borderId="12" xfId="1" applyNumberFormat="1" applyFont="1" applyBorder="1"/>
    <xf numFmtId="43" fontId="4" fillId="7" borderId="0" xfId="1" applyFont="1" applyFill="1" applyBorder="1" applyAlignment="1">
      <alignment vertical="center"/>
    </xf>
    <xf numFmtId="10" fontId="20" fillId="0" borderId="0" xfId="0" applyNumberFormat="1" applyFont="1"/>
    <xf numFmtId="10" fontId="5" fillId="0" borderId="0" xfId="0" applyNumberFormat="1" applyFont="1"/>
    <xf numFmtId="10" fontId="5" fillId="0" borderId="8" xfId="0" applyNumberFormat="1" applyFont="1" applyBorder="1"/>
    <xf numFmtId="0" fontId="5" fillId="7" borderId="9" xfId="0" applyFont="1" applyFill="1" applyBorder="1" applyAlignment="1">
      <alignment horizontal="left" indent="3"/>
    </xf>
    <xf numFmtId="0" fontId="0" fillId="7" borderId="1" xfId="0" applyFill="1" applyBorder="1"/>
    <xf numFmtId="0" fontId="5" fillId="7" borderId="1" xfId="0" applyFont="1" applyFill="1" applyBorder="1"/>
    <xf numFmtId="10" fontId="4" fillId="6" borderId="0" xfId="0" applyNumberFormat="1" applyFont="1" applyFill="1"/>
    <xf numFmtId="0" fontId="5" fillId="7" borderId="7" xfId="0" applyFont="1" applyFill="1" applyBorder="1" applyAlignment="1">
      <alignment horizontal="left" indent="3"/>
    </xf>
    <xf numFmtId="10" fontId="4" fillId="0" borderId="8" xfId="2" applyNumberFormat="1" applyFont="1" applyFill="1" applyBorder="1"/>
    <xf numFmtId="10" fontId="4" fillId="0" borderId="8" xfId="2" applyNumberFormat="1" applyFont="1" applyBorder="1"/>
    <xf numFmtId="10" fontId="4" fillId="6" borderId="8" xfId="0" applyNumberFormat="1" applyFont="1" applyFill="1" applyBorder="1"/>
    <xf numFmtId="164" fontId="20" fillId="0" borderId="0" xfId="1" applyNumberFormat="1" applyFont="1" applyFill="1" applyBorder="1"/>
    <xf numFmtId="167" fontId="13" fillId="0" borderId="0" xfId="1" applyNumberFormat="1" applyFont="1" applyFill="1" applyBorder="1"/>
    <xf numFmtId="167" fontId="13" fillId="0" borderId="0" xfId="1" applyNumberFormat="1" applyFont="1" applyFill="1" applyBorder="1" applyAlignment="1">
      <alignment vertical="center"/>
    </xf>
    <xf numFmtId="0" fontId="0" fillId="7" borderId="0" xfId="0" applyFill="1" applyAlignment="1">
      <alignment horizontal="left" indent="1"/>
    </xf>
    <xf numFmtId="43" fontId="5" fillId="7" borderId="7" xfId="1" applyFont="1" applyFill="1" applyBorder="1" applyAlignment="1">
      <alignment horizontal="left" vertical="center" wrapText="1" indent="3"/>
    </xf>
    <xf numFmtId="10" fontId="5" fillId="0" borderId="0" xfId="2" applyNumberFormat="1" applyFont="1" applyFill="1" applyBorder="1" applyAlignment="1">
      <alignment vertical="center"/>
    </xf>
    <xf numFmtId="164" fontId="20" fillId="0" borderId="0" xfId="1" applyNumberFormat="1" applyFont="1" applyFill="1" applyBorder="1" applyAlignment="1">
      <alignment vertical="center"/>
    </xf>
    <xf numFmtId="164" fontId="20" fillId="0" borderId="0" xfId="0" applyNumberFormat="1" applyFont="1"/>
    <xf numFmtId="10" fontId="13" fillId="0" borderId="0" xfId="2" applyNumberFormat="1" applyFont="1" applyBorder="1"/>
    <xf numFmtId="10" fontId="4" fillId="0" borderId="0" xfId="2" applyNumberFormat="1" applyFont="1" applyFill="1" applyBorder="1" applyAlignment="1">
      <alignment vertical="center"/>
    </xf>
    <xf numFmtId="170" fontId="4" fillId="0" borderId="4" xfId="0" applyNumberFormat="1" applyFont="1" applyBorder="1"/>
    <xf numFmtId="170" fontId="4" fillId="0" borderId="12" xfId="0" applyNumberFormat="1" applyFont="1" applyBorder="1"/>
    <xf numFmtId="43" fontId="10" fillId="7" borderId="0" xfId="1" applyFont="1" applyFill="1" applyBorder="1" applyAlignment="1">
      <alignment vertical="center"/>
    </xf>
    <xf numFmtId="0" fontId="20" fillId="0" borderId="1" xfId="0" applyFont="1" applyBorder="1"/>
    <xf numFmtId="10" fontId="34" fillId="0" borderId="10" xfId="2" applyNumberFormat="1" applyFont="1" applyBorder="1"/>
    <xf numFmtId="167" fontId="4" fillId="0" borderId="0" xfId="1" applyNumberFormat="1" applyFont="1"/>
    <xf numFmtId="164" fontId="12" fillId="0" borderId="0" xfId="1" applyNumberFormat="1" applyFont="1" applyBorder="1"/>
    <xf numFmtId="164" fontId="24" fillId="0" borderId="2" xfId="1" applyNumberFormat="1" applyFont="1" applyBorder="1" applyAlignment="1">
      <alignment vertical="center"/>
    </xf>
    <xf numFmtId="164" fontId="24" fillId="0" borderId="14" xfId="1" applyNumberFormat="1" applyFont="1" applyBorder="1" applyAlignment="1">
      <alignment vertical="center"/>
    </xf>
    <xf numFmtId="0" fontId="4" fillId="0" borderId="3" xfId="0" applyFont="1" applyBorder="1" applyAlignment="1">
      <alignment horizontal="left" indent="1"/>
    </xf>
    <xf numFmtId="3" fontId="13" fillId="0" borderId="3" xfId="0" applyNumberFormat="1" applyFont="1" applyBorder="1"/>
    <xf numFmtId="0" fontId="34" fillId="0" borderId="7" xfId="0" applyFont="1" applyBorder="1"/>
    <xf numFmtId="0" fontId="34" fillId="0" borderId="0" xfId="0" applyFont="1"/>
    <xf numFmtId="164" fontId="34" fillId="0" borderId="0" xfId="0" applyNumberFormat="1" applyFont="1"/>
    <xf numFmtId="10" fontId="34" fillId="0" borderId="0" xfId="2" applyNumberFormat="1" applyFont="1" applyBorder="1"/>
    <xf numFmtId="10" fontId="34" fillId="0" borderId="0" xfId="0" applyNumberFormat="1" applyFont="1"/>
    <xf numFmtId="10" fontId="34" fillId="0" borderId="8" xfId="0" applyNumberFormat="1" applyFont="1" applyBorder="1"/>
    <xf numFmtId="10" fontId="0" fillId="0" borderId="0" xfId="0" applyNumberFormat="1"/>
    <xf numFmtId="167" fontId="13" fillId="0" borderId="0" xfId="1" applyNumberFormat="1" applyFont="1" applyBorder="1" applyAlignment="1">
      <alignment vertical="center"/>
    </xf>
    <xf numFmtId="0" fontId="4" fillId="0" borderId="7" xfId="0" applyFont="1" applyBorder="1" applyAlignment="1">
      <alignment horizontal="left" vertical="center" wrapText="1"/>
    </xf>
    <xf numFmtId="10" fontId="34" fillId="0" borderId="8" xfId="2" applyNumberFormat="1" applyFont="1" applyBorder="1"/>
    <xf numFmtId="164" fontId="13" fillId="0" borderId="6" xfId="1" applyNumberFormat="1" applyFont="1" applyBorder="1"/>
    <xf numFmtId="164" fontId="4" fillId="0" borderId="3" xfId="1" applyNumberFormat="1" applyFont="1" applyBorder="1"/>
    <xf numFmtId="164" fontId="4" fillId="0" borderId="6" xfId="1" applyNumberFormat="1" applyFont="1" applyBorder="1"/>
    <xf numFmtId="164" fontId="4" fillId="0" borderId="1" xfId="1" applyNumberFormat="1" applyFont="1" applyBorder="1"/>
    <xf numFmtId="164" fontId="4" fillId="0" borderId="10" xfId="1" applyNumberFormat="1" applyFont="1" applyBorder="1"/>
    <xf numFmtId="164" fontId="4" fillId="0" borderId="4" xfId="1" applyNumberFormat="1" applyFont="1" applyBorder="1"/>
    <xf numFmtId="164" fontId="4" fillId="0" borderId="12" xfId="1" applyNumberFormat="1" applyFont="1" applyBorder="1"/>
    <xf numFmtId="0" fontId="0" fillId="10" borderId="0" xfId="0" applyFill="1"/>
    <xf numFmtId="0" fontId="49" fillId="5" borderId="0" xfId="0" applyFont="1" applyFill="1"/>
    <xf numFmtId="0" fontId="46" fillId="5" borderId="0" xfId="0" applyFont="1" applyFill="1"/>
    <xf numFmtId="10" fontId="4" fillId="0" borderId="8" xfId="2" applyNumberFormat="1" applyFont="1" applyFill="1" applyBorder="1" applyAlignment="1">
      <alignment vertical="center"/>
    </xf>
    <xf numFmtId="10" fontId="10" fillId="0" borderId="0" xfId="2" applyNumberFormat="1" applyFont="1" applyFill="1" applyBorder="1" applyAlignment="1">
      <alignment vertical="center"/>
    </xf>
    <xf numFmtId="164" fontId="10" fillId="0" borderId="0" xfId="2" applyNumberFormat="1" applyFont="1" applyFill="1" applyBorder="1" applyAlignment="1">
      <alignment vertical="center"/>
    </xf>
    <xf numFmtId="164" fontId="50" fillId="0" borderId="0" xfId="1" applyNumberFormat="1" applyFont="1" applyFill="1" applyBorder="1" applyAlignment="1">
      <alignment vertical="center"/>
    </xf>
    <xf numFmtId="164" fontId="50" fillId="0" borderId="0" xfId="0" applyNumberFormat="1" applyFont="1"/>
    <xf numFmtId="164" fontId="50" fillId="0" borderId="0" xfId="1" applyNumberFormat="1" applyFont="1" applyBorder="1" applyAlignment="1">
      <alignment vertical="center"/>
    </xf>
    <xf numFmtId="164" fontId="50" fillId="2" borderId="0" xfId="0" applyNumberFormat="1" applyFont="1" applyFill="1"/>
    <xf numFmtId="167" fontId="50" fillId="0" borderId="0" xfId="1" applyNumberFormat="1" applyFont="1"/>
    <xf numFmtId="164" fontId="50" fillId="0" borderId="0" xfId="1" applyNumberFormat="1" applyFont="1" applyBorder="1"/>
    <xf numFmtId="10" fontId="52" fillId="5" borderId="0" xfId="0" applyNumberFormat="1" applyFont="1" applyFill="1" applyAlignment="1">
      <alignment horizontal="right"/>
    </xf>
    <xf numFmtId="10" fontId="52" fillId="0" borderId="0" xfId="0" applyNumberFormat="1" applyFont="1" applyAlignment="1">
      <alignment horizontal="right"/>
    </xf>
    <xf numFmtId="167" fontId="52" fillId="0" borderId="0" xfId="0" applyNumberFormat="1" applyFont="1" applyAlignment="1">
      <alignment horizontal="right"/>
    </xf>
    <xf numFmtId="10" fontId="4" fillId="0" borderId="0" xfId="2" applyNumberFormat="1" applyFont="1"/>
    <xf numFmtId="0" fontId="4" fillId="0" borderId="7" xfId="0" applyFont="1" applyBorder="1" applyAlignment="1">
      <alignment horizontal="left"/>
    </xf>
    <xf numFmtId="43" fontId="10" fillId="0" borderId="13" xfId="1" applyFont="1" applyFill="1" applyBorder="1" applyAlignment="1">
      <alignment vertical="center"/>
    </xf>
    <xf numFmtId="43" fontId="10" fillId="0" borderId="7" xfId="1" applyFont="1" applyFill="1" applyBorder="1" applyAlignment="1">
      <alignment vertical="center"/>
    </xf>
    <xf numFmtId="164" fontId="53" fillId="0" borderId="0" xfId="0" applyNumberFormat="1" applyFont="1"/>
    <xf numFmtId="0" fontId="21" fillId="0" borderId="8" xfId="0" applyFont="1" applyBorder="1" applyAlignment="1">
      <alignment horizontal="right"/>
    </xf>
    <xf numFmtId="167" fontId="52" fillId="0" borderId="8" xfId="0" applyNumberFormat="1" applyFont="1" applyBorder="1" applyAlignment="1">
      <alignment horizontal="right"/>
    </xf>
    <xf numFmtId="10" fontId="52" fillId="0" borderId="8" xfId="0" applyNumberFormat="1" applyFont="1" applyBorder="1" applyAlignment="1">
      <alignment horizontal="right"/>
    </xf>
    <xf numFmtId="0" fontId="21" fillId="5" borderId="8" xfId="0" applyFont="1" applyFill="1" applyBorder="1" applyAlignment="1">
      <alignment horizontal="right"/>
    </xf>
    <xf numFmtId="164" fontId="50" fillId="0" borderId="8" xfId="1" applyNumberFormat="1" applyFont="1" applyBorder="1" applyAlignment="1">
      <alignment vertical="center"/>
    </xf>
    <xf numFmtId="167" fontId="50" fillId="0" borderId="8" xfId="1" applyNumberFormat="1" applyFont="1" applyBorder="1"/>
    <xf numFmtId="164" fontId="50" fillId="0" borderId="8" xfId="1" applyNumberFormat="1" applyFont="1" applyBorder="1"/>
    <xf numFmtId="164" fontId="50" fillId="0" borderId="8" xfId="0" applyNumberFormat="1" applyFont="1" applyBorder="1"/>
    <xf numFmtId="164" fontId="50" fillId="0" borderId="8" xfId="1" applyNumberFormat="1" applyFont="1" applyFill="1" applyBorder="1" applyAlignment="1">
      <alignment vertical="center"/>
    </xf>
    <xf numFmtId="164" fontId="50" fillId="2" borderId="8" xfId="0" applyNumberFormat="1" applyFont="1" applyFill="1" applyBorder="1"/>
    <xf numFmtId="164" fontId="53" fillId="0" borderId="8" xfId="0" applyNumberFormat="1" applyFont="1" applyBorder="1"/>
    <xf numFmtId="167" fontId="4" fillId="0" borderId="8" xfId="0" applyNumberFormat="1" applyFont="1" applyBorder="1"/>
    <xf numFmtId="0" fontId="9" fillId="0" borderId="1" xfId="0" applyFont="1" applyBorder="1"/>
    <xf numFmtId="3" fontId="0" fillId="0" borderId="0" xfId="0" applyNumberFormat="1"/>
    <xf numFmtId="166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9" fillId="0" borderId="0" xfId="0" applyFont="1"/>
    <xf numFmtId="10" fontId="0" fillId="11" borderId="18" xfId="0" applyNumberFormat="1" applyFill="1" applyBorder="1" applyAlignment="1">
      <alignment horizontal="right"/>
    </xf>
    <xf numFmtId="10" fontId="0" fillId="11" borderId="18" xfId="0" applyNumberFormat="1" applyFill="1" applyBorder="1"/>
    <xf numFmtId="43" fontId="0" fillId="11" borderId="18" xfId="0" applyNumberFormat="1" applyFill="1" applyBorder="1" applyAlignment="1">
      <alignment horizontal="right"/>
    </xf>
    <xf numFmtId="0" fontId="2" fillId="10" borderId="0" xfId="0" applyFont="1" applyFill="1"/>
    <xf numFmtId="0" fontId="2" fillId="9" borderId="0" xfId="0" applyFont="1" applyFill="1"/>
    <xf numFmtId="171" fontId="2" fillId="9" borderId="0" xfId="0" applyNumberFormat="1" applyFont="1" applyFill="1"/>
    <xf numFmtId="172" fontId="2" fillId="9" borderId="0" xfId="0" applyNumberFormat="1" applyFont="1" applyFill="1"/>
    <xf numFmtId="3" fontId="54" fillId="0" borderId="0" xfId="0" applyNumberFormat="1" applyFont="1"/>
    <xf numFmtId="0" fontId="3" fillId="7" borderId="5" xfId="0" applyFont="1" applyFill="1" applyBorder="1"/>
    <xf numFmtId="3" fontId="3" fillId="7" borderId="3" xfId="0" applyNumberFormat="1" applyFont="1" applyFill="1" applyBorder="1"/>
    <xf numFmtId="3" fontId="3" fillId="7" borderId="6" xfId="0" applyNumberFormat="1" applyFont="1" applyFill="1" applyBorder="1"/>
    <xf numFmtId="0" fontId="41" fillId="7" borderId="9" xfId="0" applyFont="1" applyFill="1" applyBorder="1"/>
    <xf numFmtId="9" fontId="55" fillId="7" borderId="1" xfId="2" applyFont="1" applyFill="1" applyBorder="1"/>
    <xf numFmtId="37" fontId="0" fillId="0" borderId="0" xfId="0" applyNumberFormat="1"/>
    <xf numFmtId="37" fontId="18" fillId="0" borderId="0" xfId="0" applyNumberFormat="1" applyFont="1" applyAlignment="1">
      <alignment horizontal="right"/>
    </xf>
    <xf numFmtId="39" fontId="0" fillId="0" borderId="0" xfId="0" applyNumberFormat="1"/>
    <xf numFmtId="0" fontId="0" fillId="11" borderId="18" xfId="0" applyFill="1" applyBorder="1" applyAlignment="1">
      <alignment horizontal="center"/>
    </xf>
    <xf numFmtId="14" fontId="0" fillId="11" borderId="18" xfId="0" applyNumberFormat="1" applyFill="1" applyBorder="1" applyAlignment="1">
      <alignment horizontal="center"/>
    </xf>
    <xf numFmtId="10" fontId="48" fillId="11" borderId="18" xfId="0" applyNumberFormat="1" applyFont="1" applyFill="1" applyBorder="1" applyAlignment="1">
      <alignment horizontal="center"/>
    </xf>
    <xf numFmtId="10" fontId="0" fillId="11" borderId="18" xfId="0" applyNumberFormat="1" applyFill="1" applyBorder="1" applyAlignment="1">
      <alignment horizontal="center"/>
    </xf>
    <xf numFmtId="167" fontId="0" fillId="0" borderId="0" xfId="1" applyNumberFormat="1" applyFont="1"/>
    <xf numFmtId="37" fontId="18" fillId="0" borderId="0" xfId="0" applyNumberFormat="1" applyFont="1"/>
    <xf numFmtId="167" fontId="51" fillId="0" borderId="0" xfId="1" applyNumberFormat="1" applyFont="1"/>
    <xf numFmtId="37" fontId="51" fillId="0" borderId="0" xfId="0" applyNumberFormat="1" applyFont="1"/>
    <xf numFmtId="174" fontId="28" fillId="0" borderId="0" xfId="2" applyNumberFormat="1" applyFont="1" applyAlignment="1">
      <alignment vertical="center"/>
    </xf>
    <xf numFmtId="174" fontId="28" fillId="0" borderId="0" xfId="2" applyNumberFormat="1" applyFont="1"/>
    <xf numFmtId="174" fontId="28" fillId="0" borderId="0" xfId="2" applyNumberFormat="1" applyFont="1" applyAlignment="1">
      <alignment horizontal="right"/>
    </xf>
    <xf numFmtId="174" fontId="56" fillId="0" borderId="0" xfId="0" applyNumberFormat="1" applyFont="1"/>
    <xf numFmtId="10" fontId="55" fillId="7" borderId="1" xfId="2" applyNumberFormat="1" applyFont="1" applyFill="1" applyBorder="1"/>
    <xf numFmtId="10" fontId="3" fillId="7" borderId="1" xfId="2" applyNumberFormat="1" applyFont="1" applyFill="1" applyBorder="1"/>
    <xf numFmtId="10" fontId="55" fillId="7" borderId="10" xfId="2" applyNumberFormat="1" applyFont="1" applyFill="1" applyBorder="1"/>
    <xf numFmtId="174" fontId="28" fillId="0" borderId="0" xfId="0" applyNumberFormat="1" applyFont="1"/>
    <xf numFmtId="37" fontId="54" fillId="2" borderId="0" xfId="0" applyNumberFormat="1" applyFont="1" applyFill="1" applyAlignment="1">
      <alignment horizontal="right"/>
    </xf>
    <xf numFmtId="0" fontId="0" fillId="2" borderId="0" xfId="0" applyFill="1"/>
    <xf numFmtId="173" fontId="28" fillId="2" borderId="0" xfId="2" applyNumberFormat="1" applyFont="1" applyFill="1"/>
    <xf numFmtId="0" fontId="28" fillId="2" borderId="0" xfId="0" applyFont="1" applyFill="1"/>
    <xf numFmtId="10" fontId="28" fillId="0" borderId="0" xfId="2" applyNumberFormat="1" applyFont="1"/>
    <xf numFmtId="164" fontId="51" fillId="0" borderId="0" xfId="1" applyNumberFormat="1" applyFont="1"/>
    <xf numFmtId="164" fontId="51" fillId="0" borderId="0" xfId="0" applyNumberFormat="1" applyFont="1"/>
    <xf numFmtId="3" fontId="51" fillId="0" borderId="0" xfId="0" applyNumberFormat="1" applyFont="1"/>
    <xf numFmtId="175" fontId="28" fillId="0" borderId="0" xfId="0" applyNumberFormat="1" applyFont="1"/>
    <xf numFmtId="167" fontId="51" fillId="0" borderId="0" xfId="0" applyNumberFormat="1" applyFont="1"/>
    <xf numFmtId="0" fontId="3" fillId="7" borderId="11" xfId="0" applyFont="1" applyFill="1" applyBorder="1"/>
    <xf numFmtId="0" fontId="3" fillId="7" borderId="4" xfId="0" applyFont="1" applyFill="1" applyBorder="1"/>
    <xf numFmtId="37" fontId="3" fillId="7" borderId="4" xfId="0" applyNumberFormat="1" applyFont="1" applyFill="1" applyBorder="1"/>
    <xf numFmtId="37" fontId="3" fillId="7" borderId="12" xfId="0" applyNumberFormat="1" applyFont="1" applyFill="1" applyBorder="1"/>
    <xf numFmtId="0" fontId="3" fillId="7" borderId="3" xfId="0" applyFont="1" applyFill="1" applyBorder="1"/>
    <xf numFmtId="37" fontId="3" fillId="7" borderId="3" xfId="0" applyNumberFormat="1" applyFont="1" applyFill="1" applyBorder="1"/>
    <xf numFmtId="37" fontId="3" fillId="7" borderId="6" xfId="0" applyNumberFormat="1" applyFont="1" applyFill="1" applyBorder="1"/>
    <xf numFmtId="0" fontId="3" fillId="7" borderId="9" xfId="0" applyFont="1" applyFill="1" applyBorder="1"/>
    <xf numFmtId="0" fontId="3" fillId="7" borderId="1" xfId="0" applyFont="1" applyFill="1" applyBorder="1"/>
    <xf numFmtId="37" fontId="3" fillId="7" borderId="1" xfId="0" applyNumberFormat="1" applyFont="1" applyFill="1" applyBorder="1"/>
    <xf numFmtId="37" fontId="3" fillId="7" borderId="10" xfId="0" applyNumberFormat="1" applyFont="1" applyFill="1" applyBorder="1"/>
    <xf numFmtId="43" fontId="0" fillId="0" borderId="0" xfId="1" applyNumberFormat="1" applyFont="1"/>
    <xf numFmtId="43" fontId="20" fillId="0" borderId="0" xfId="1" applyFont="1" applyBorder="1"/>
    <xf numFmtId="167" fontId="4" fillId="0" borderId="0" xfId="0" applyNumberFormat="1" applyFont="1"/>
    <xf numFmtId="9" fontId="52" fillId="5" borderId="0" xfId="0" applyNumberFormat="1" applyFont="1" applyFill="1"/>
    <xf numFmtId="9" fontId="52" fillId="0" borderId="0" xfId="0" applyNumberFormat="1" applyFont="1"/>
    <xf numFmtId="9" fontId="52" fillId="0" borderId="8" xfId="0" applyNumberFormat="1" applyFont="1" applyBorder="1"/>
    <xf numFmtId="167" fontId="4" fillId="0" borderId="0" xfId="1" applyNumberFormat="1" applyFont="1" applyFill="1" applyBorder="1"/>
    <xf numFmtId="167" fontId="4" fillId="0" borderId="8" xfId="1" applyNumberFormat="1" applyFont="1" applyFill="1" applyBorder="1"/>
    <xf numFmtId="2" fontId="5" fillId="0" borderId="0" xfId="0" applyNumberFormat="1" applyFont="1"/>
    <xf numFmtId="0" fontId="4" fillId="0" borderId="8" xfId="0" applyFont="1" applyBorder="1"/>
    <xf numFmtId="0" fontId="13" fillId="0" borderId="0" xfId="0" applyFont="1"/>
    <xf numFmtId="0" fontId="50" fillId="6" borderId="0" xfId="0" applyFont="1" applyFill="1"/>
    <xf numFmtId="0" fontId="50" fillId="6" borderId="8" xfId="0" applyFont="1" applyFill="1" applyBorder="1"/>
    <xf numFmtId="1" fontId="4" fillId="0" borderId="0" xfId="0" applyNumberFormat="1" applyFont="1"/>
    <xf numFmtId="1" fontId="50" fillId="0" borderId="0" xfId="0" applyNumberFormat="1" applyFont="1"/>
    <xf numFmtId="1" fontId="50" fillId="0" borderId="8" xfId="0" applyNumberFormat="1" applyFont="1" applyBorder="1"/>
    <xf numFmtId="167" fontId="10" fillId="0" borderId="4" xfId="0" applyNumberFormat="1" applyFont="1" applyBorder="1"/>
    <xf numFmtId="167" fontId="10" fillId="0" borderId="12" xfId="0" applyNumberFormat="1" applyFont="1" applyBorder="1"/>
    <xf numFmtId="167" fontId="4" fillId="0" borderId="1" xfId="0" applyNumberFormat="1" applyFont="1" applyBorder="1"/>
    <xf numFmtId="167" fontId="4" fillId="0" borderId="10" xfId="0" applyNumberFormat="1" applyFont="1" applyBorder="1"/>
    <xf numFmtId="10" fontId="24" fillId="0" borderId="4" xfId="2" applyNumberFormat="1" applyFont="1" applyBorder="1"/>
    <xf numFmtId="10" fontId="15" fillId="0" borderId="4" xfId="0" applyNumberFormat="1" applyFont="1" applyBorder="1"/>
    <xf numFmtId="10" fontId="15" fillId="0" borderId="12" xfId="0" applyNumberFormat="1" applyFont="1" applyBorder="1"/>
    <xf numFmtId="10" fontId="12" fillId="0" borderId="5" xfId="2" applyNumberFormat="1" applyFont="1" applyBorder="1"/>
    <xf numFmtId="10" fontId="12" fillId="0" borderId="3" xfId="2" applyNumberFormat="1" applyFont="1" applyBorder="1"/>
    <xf numFmtId="10" fontId="13" fillId="0" borderId="3" xfId="0" applyNumberFormat="1" applyFont="1" applyBorder="1"/>
    <xf numFmtId="10" fontId="12" fillId="0" borderId="7" xfId="2" applyNumberFormat="1" applyFont="1" applyBorder="1"/>
    <xf numFmtId="10" fontId="12" fillId="0" borderId="0" xfId="2" applyNumberFormat="1" applyFont="1" applyBorder="1"/>
    <xf numFmtId="10" fontId="4" fillId="6" borderId="0" xfId="1" applyNumberFormat="1" applyFont="1" applyFill="1" applyBorder="1"/>
    <xf numFmtId="10" fontId="4" fillId="6" borderId="8" xfId="1" applyNumberFormat="1" applyFont="1" applyFill="1" applyBorder="1"/>
    <xf numFmtId="10" fontId="12" fillId="0" borderId="9" xfId="2" applyNumberFormat="1" applyFont="1" applyBorder="1"/>
    <xf numFmtId="10" fontId="12" fillId="0" borderId="1" xfId="2" applyNumberFormat="1" applyFont="1" applyBorder="1"/>
    <xf numFmtId="10" fontId="13" fillId="0" borderId="1" xfId="0" applyNumberFormat="1" applyFont="1" applyBorder="1"/>
    <xf numFmtId="10" fontId="20" fillId="0" borderId="1" xfId="0" applyNumberFormat="1" applyFont="1" applyBorder="1"/>
    <xf numFmtId="10" fontId="20" fillId="0" borderId="10" xfId="0" applyNumberFormat="1" applyFont="1" applyBorder="1"/>
    <xf numFmtId="167" fontId="4" fillId="0" borderId="0" xfId="0" applyNumberFormat="1" applyFont="1" applyAlignment="1">
      <alignment vertical="center"/>
    </xf>
    <xf numFmtId="167" fontId="4" fillId="0" borderId="8" xfId="0" applyNumberFormat="1" applyFont="1" applyBorder="1" applyAlignment="1">
      <alignment vertical="center"/>
    </xf>
    <xf numFmtId="166" fontId="24" fillId="0" borderId="4" xfId="2" applyNumberFormat="1" applyFont="1" applyBorder="1"/>
    <xf numFmtId="10" fontId="24" fillId="0" borderId="4" xfId="0" applyNumberFormat="1" applyFont="1" applyBorder="1"/>
    <xf numFmtId="10" fontId="24" fillId="0" borderId="12" xfId="0" applyNumberFormat="1" applyFont="1" applyBorder="1"/>
    <xf numFmtId="166" fontId="4" fillId="0" borderId="0" xfId="2" applyNumberFormat="1" applyFont="1" applyBorder="1"/>
    <xf numFmtId="10" fontId="10" fillId="0" borderId="4" xfId="2" applyNumberFormat="1" applyFont="1" applyBorder="1" applyAlignment="1">
      <alignment horizontal="right" vertical="center"/>
    </xf>
    <xf numFmtId="10" fontId="10" fillId="0" borderId="4" xfId="0" applyNumberFormat="1" applyFont="1" applyBorder="1"/>
    <xf numFmtId="10" fontId="10" fillId="0" borderId="12" xfId="0" applyNumberFormat="1" applyFont="1" applyBorder="1"/>
    <xf numFmtId="10" fontId="4" fillId="0" borderId="0" xfId="2" applyNumberFormat="1" applyFont="1" applyBorder="1" applyAlignment="1">
      <alignment horizontal="right" vertical="center"/>
    </xf>
    <xf numFmtId="10" fontId="4" fillId="6" borderId="3" xfId="0" applyNumberFormat="1" applyFont="1" applyFill="1" applyBorder="1" applyAlignment="1">
      <alignment vertical="center"/>
    </xf>
    <xf numFmtId="10" fontId="4" fillId="6" borderId="6" xfId="0" applyNumberFormat="1" applyFont="1" applyFill="1" applyBorder="1" applyAlignment="1">
      <alignment vertical="center"/>
    </xf>
    <xf numFmtId="10" fontId="10" fillId="0" borderId="4" xfId="2" applyNumberFormat="1" applyFont="1" applyBorder="1"/>
    <xf numFmtId="37" fontId="0" fillId="12" borderId="0" xfId="0" applyNumberFormat="1" applyFill="1"/>
    <xf numFmtId="164" fontId="50" fillId="0" borderId="1" xfId="1" applyNumberFormat="1" applyFont="1" applyBorder="1" applyAlignment="1">
      <alignment vertical="center"/>
    </xf>
    <xf numFmtId="164" fontId="50" fillId="0" borderId="10" xfId="1" applyNumberFormat="1" applyFont="1" applyBorder="1" applyAlignment="1">
      <alignment vertical="center"/>
    </xf>
    <xf numFmtId="164" fontId="12" fillId="0" borderId="0" xfId="0" applyNumberFormat="1" applyFont="1" applyFill="1"/>
    <xf numFmtId="164" fontId="50" fillId="0" borderId="0" xfId="0" applyNumberFormat="1" applyFont="1" applyFill="1"/>
    <xf numFmtId="164" fontId="50" fillId="0" borderId="8" xfId="0" applyNumberFormat="1" applyFont="1" applyFill="1" applyBorder="1"/>
    <xf numFmtId="10" fontId="4" fillId="0" borderId="1" xfId="0" applyNumberFormat="1" applyFont="1" applyFill="1" applyBorder="1"/>
    <xf numFmtId="10" fontId="4" fillId="0" borderId="10" xfId="0" applyNumberFormat="1" applyFont="1" applyFill="1" applyBorder="1"/>
    <xf numFmtId="164" fontId="59" fillId="0" borderId="0" xfId="1" applyNumberFormat="1" applyFont="1" applyFill="1" applyBorder="1" applyAlignment="1">
      <alignment vertical="center"/>
    </xf>
    <xf numFmtId="164" fontId="52" fillId="0" borderId="0" xfId="0" applyNumberFormat="1" applyFont="1"/>
    <xf numFmtId="164" fontId="52" fillId="0" borderId="8" xfId="0" applyNumberFormat="1" applyFont="1" applyBorder="1"/>
    <xf numFmtId="164" fontId="50" fillId="0" borderId="1" xfId="0" applyNumberFormat="1" applyFont="1" applyBorder="1"/>
    <xf numFmtId="164" fontId="50" fillId="0" borderId="10" xfId="0" applyNumberFormat="1" applyFont="1" applyBorder="1"/>
    <xf numFmtId="10" fontId="4" fillId="0" borderId="0" xfId="0" applyNumberFormat="1" applyFont="1" applyFill="1"/>
    <xf numFmtId="10" fontId="4" fillId="0" borderId="8" xfId="0" applyNumberFormat="1" applyFont="1" applyFill="1" applyBorder="1"/>
    <xf numFmtId="10" fontId="4" fillId="0" borderId="10" xfId="2" applyNumberFormat="1" applyFont="1" applyFill="1" applyBorder="1"/>
    <xf numFmtId="167" fontId="50" fillId="0" borderId="3" xfId="1" applyNumberFormat="1" applyFont="1" applyBorder="1"/>
    <xf numFmtId="167" fontId="50" fillId="0" borderId="6" xfId="1" applyNumberFormat="1" applyFont="1" applyBorder="1"/>
    <xf numFmtId="167" fontId="50" fillId="0" borderId="0" xfId="1" applyNumberFormat="1" applyFont="1" applyBorder="1"/>
    <xf numFmtId="167" fontId="50" fillId="0" borderId="0" xfId="1" applyNumberFormat="1" applyFont="1" applyBorder="1" applyAlignment="1">
      <alignment vertical="center"/>
    </xf>
    <xf numFmtId="167" fontId="50" fillId="0" borderId="8" xfId="1" applyNumberFormat="1" applyFont="1" applyBorder="1" applyAlignment="1">
      <alignment vertical="center"/>
    </xf>
    <xf numFmtId="167" fontId="50" fillId="0" borderId="1" xfId="1" applyNumberFormat="1" applyFont="1" applyBorder="1"/>
    <xf numFmtId="167" fontId="50" fillId="0" borderId="10" xfId="1" applyNumberFormat="1" applyFont="1" applyBorder="1"/>
    <xf numFmtId="167" fontId="50" fillId="0" borderId="1" xfId="1" applyNumberFormat="1" applyFont="1" applyFill="1" applyBorder="1" applyAlignment="1">
      <alignment vertical="center"/>
    </xf>
    <xf numFmtId="10" fontId="5" fillId="0" borderId="0" xfId="0" applyNumberFormat="1" applyFont="1" applyFill="1"/>
    <xf numFmtId="10" fontId="5" fillId="0" borderId="8" xfId="0" applyNumberFormat="1" applyFont="1" applyFill="1" applyBorder="1"/>
    <xf numFmtId="166" fontId="4" fillId="0" borderId="0" xfId="0" applyNumberFormat="1" applyFont="1" applyFill="1"/>
    <xf numFmtId="166" fontId="4" fillId="0" borderId="8" xfId="0" applyNumberFormat="1" applyFont="1" applyFill="1" applyBorder="1"/>
    <xf numFmtId="164" fontId="50" fillId="0" borderId="3" xfId="0" applyNumberFormat="1" applyFont="1" applyBorder="1"/>
    <xf numFmtId="164" fontId="50" fillId="0" borderId="6" xfId="0" applyNumberFormat="1" applyFont="1" applyBorder="1"/>
    <xf numFmtId="10" fontId="5" fillId="0" borderId="1" xfId="0" applyNumberFormat="1" applyFont="1" applyFill="1" applyBorder="1"/>
    <xf numFmtId="10" fontId="5" fillId="0" borderId="10" xfId="0" applyNumberFormat="1" applyFont="1" applyFill="1" applyBorder="1"/>
    <xf numFmtId="164" fontId="50" fillId="2" borderId="0" xfId="1" applyNumberFormat="1" applyFont="1" applyFill="1" applyBorder="1" applyAlignment="1">
      <alignment vertical="center"/>
    </xf>
    <xf numFmtId="164" fontId="50" fillId="2" borderId="8" xfId="1" applyNumberFormat="1" applyFont="1" applyFill="1" applyBorder="1" applyAlignment="1">
      <alignment vertical="center"/>
    </xf>
    <xf numFmtId="164" fontId="12" fillId="2" borderId="0" xfId="1" applyNumberFormat="1" applyFont="1" applyFill="1" applyBorder="1" applyAlignment="1">
      <alignment vertical="center"/>
    </xf>
    <xf numFmtId="164" fontId="59" fillId="0" borderId="3" xfId="1" applyNumberFormat="1" applyFont="1" applyFill="1" applyBorder="1" applyAlignment="1">
      <alignment vertical="center"/>
    </xf>
    <xf numFmtId="164" fontId="50" fillId="0" borderId="3" xfId="1" applyNumberFormat="1" applyFont="1" applyFill="1" applyBorder="1" applyAlignment="1">
      <alignment vertical="center"/>
    </xf>
    <xf numFmtId="164" fontId="50" fillId="0" borderId="6" xfId="1" applyNumberFormat="1" applyFont="1" applyFill="1" applyBorder="1" applyAlignment="1">
      <alignment vertical="center"/>
    </xf>
    <xf numFmtId="3" fontId="60" fillId="11" borderId="18" xfId="0" applyNumberFormat="1" applyFont="1" applyFill="1" applyBorder="1" applyAlignment="1">
      <alignment horizontal="right"/>
    </xf>
    <xf numFmtId="39" fontId="63" fillId="0" borderId="0" xfId="3" applyNumberFormat="1" applyFont="1" applyAlignment="1" applyProtection="1"/>
    <xf numFmtId="0" fontId="4" fillId="0" borderId="7" xfId="0" applyFont="1" applyBorder="1" applyAlignment="1">
      <alignment horizontal="left" indent="2"/>
    </xf>
    <xf numFmtId="0" fontId="5" fillId="0" borderId="7" xfId="0" applyFont="1" applyBorder="1" applyAlignment="1">
      <alignment horizontal="left" indent="2"/>
    </xf>
    <xf numFmtId="0" fontId="4" fillId="0" borderId="9" xfId="0" applyFont="1" applyBorder="1" applyAlignment="1">
      <alignment horizontal="left" indent="2"/>
    </xf>
    <xf numFmtId="0" fontId="4" fillId="0" borderId="0" xfId="0" applyFont="1" applyAlignment="1">
      <alignment horizontal="left" indent="2"/>
    </xf>
    <xf numFmtId="0" fontId="10" fillId="0" borderId="11" xfId="0" applyFont="1" applyBorder="1" applyAlignment="1">
      <alignment horizontal="left" indent="1"/>
    </xf>
    <xf numFmtId="0" fontId="4" fillId="0" borderId="7" xfId="0" applyFont="1" applyBorder="1" applyAlignment="1">
      <alignment horizontal="left" wrapText="1" indent="2"/>
    </xf>
    <xf numFmtId="167" fontId="50" fillId="0" borderId="0" xfId="0" applyNumberFormat="1" applyFont="1"/>
    <xf numFmtId="167" fontId="50" fillId="0" borderId="8" xfId="0" applyNumberFormat="1" applyFont="1" applyBorder="1"/>
    <xf numFmtId="167" fontId="50" fillId="0" borderId="1" xfId="0" applyNumberFormat="1" applyFont="1" applyBorder="1"/>
    <xf numFmtId="167" fontId="50" fillId="0" borderId="10" xfId="0" applyNumberFormat="1" applyFont="1" applyBorder="1"/>
    <xf numFmtId="10" fontId="4" fillId="0" borderId="3" xfId="0" applyNumberFormat="1" applyFont="1" applyBorder="1"/>
    <xf numFmtId="10" fontId="4" fillId="0" borderId="6" xfId="0" applyNumberFormat="1" applyFont="1" applyBorder="1"/>
    <xf numFmtId="10" fontId="4" fillId="0" borderId="1" xfId="0" applyNumberFormat="1" applyFont="1" applyBorder="1"/>
    <xf numFmtId="10" fontId="4" fillId="0" borderId="10" xfId="0" applyNumberFormat="1" applyFont="1" applyBorder="1"/>
    <xf numFmtId="171" fontId="0" fillId="9" borderId="0" xfId="0" applyNumberFormat="1" applyFill="1"/>
    <xf numFmtId="172" fontId="0" fillId="9" borderId="0" xfId="0" applyNumberFormat="1" applyFill="1"/>
    <xf numFmtId="0" fontId="22" fillId="9" borderId="0" xfId="0" applyFont="1" applyFill="1"/>
    <xf numFmtId="39" fontId="57" fillId="0" borderId="0" xfId="0" applyNumberFormat="1" applyFont="1"/>
    <xf numFmtId="43" fontId="0" fillId="0" borderId="5" xfId="1" applyFont="1" applyBorder="1"/>
    <xf numFmtId="43" fontId="0" fillId="0" borderId="3" xfId="1" applyFont="1" applyBorder="1"/>
    <xf numFmtId="43" fontId="0" fillId="0" borderId="7" xfId="1" applyFont="1" applyBorder="1"/>
    <xf numFmtId="43" fontId="0" fillId="0" borderId="0" xfId="1" applyFont="1" applyBorder="1"/>
    <xf numFmtId="43" fontId="0" fillId="0" borderId="1" xfId="1" applyFont="1" applyBorder="1"/>
    <xf numFmtId="43" fontId="0" fillId="0" borderId="10" xfId="1" applyFont="1" applyBorder="1"/>
    <xf numFmtId="43" fontId="0" fillId="14" borderId="0" xfId="1" applyFont="1" applyFill="1" applyBorder="1"/>
    <xf numFmtId="43" fontId="0" fillId="15" borderId="9" xfId="1" applyFont="1" applyFill="1" applyBorder="1"/>
    <xf numFmtId="43" fontId="0" fillId="13" borderId="6" xfId="1" applyFont="1" applyFill="1" applyBorder="1"/>
    <xf numFmtId="0" fontId="64" fillId="0" borderId="19" xfId="0" applyFont="1" applyBorder="1"/>
    <xf numFmtId="0" fontId="65" fillId="0" borderId="19" xfId="0" applyFont="1" applyBorder="1"/>
    <xf numFmtId="0" fontId="66" fillId="0" borderId="19" xfId="0" applyFont="1" applyBorder="1"/>
    <xf numFmtId="0" fontId="0" fillId="0" borderId="19" xfId="0" applyBorder="1"/>
    <xf numFmtId="0" fontId="57" fillId="16" borderId="0" xfId="0" applyFont="1" applyFill="1"/>
    <xf numFmtId="0" fontId="2" fillId="16" borderId="0" xfId="0" applyFont="1" applyFill="1"/>
    <xf numFmtId="0" fontId="2" fillId="16" borderId="0" xfId="0" applyFont="1" applyFill="1" applyAlignment="1">
      <alignment horizontal="right"/>
    </xf>
    <xf numFmtId="0" fontId="2" fillId="16" borderId="0" xfId="0" applyFont="1" applyFill="1" applyAlignment="1">
      <alignment horizontal="right" wrapText="1"/>
    </xf>
    <xf numFmtId="0" fontId="57" fillId="16" borderId="0" xfId="0" applyFont="1" applyFill="1" applyAlignment="1">
      <alignment horizontal="right"/>
    </xf>
    <xf numFmtId="0" fontId="0" fillId="0" borderId="0" xfId="0" applyAlignment="1">
      <alignment horizontal="right"/>
    </xf>
    <xf numFmtId="3" fontId="0" fillId="2" borderId="0" xfId="0" applyNumberFormat="1" applyFill="1" applyAlignment="1">
      <alignment horizontal="right"/>
    </xf>
    <xf numFmtId="4" fontId="0" fillId="2" borderId="0" xfId="0" applyNumberFormat="1" applyFill="1" applyAlignment="1">
      <alignment horizontal="right"/>
    </xf>
    <xf numFmtId="3" fontId="0" fillId="2" borderId="0" xfId="1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176" fontId="0" fillId="2" borderId="0" xfId="1" applyNumberFormat="1" applyFont="1" applyFill="1" applyAlignment="1">
      <alignment horizontal="right"/>
    </xf>
    <xf numFmtId="0" fontId="0" fillId="17" borderId="0" xfId="0" applyFill="1"/>
    <xf numFmtId="3" fontId="0" fillId="0" borderId="21" xfId="0" applyNumberFormat="1" applyBorder="1" applyAlignment="1">
      <alignment horizontal="right"/>
    </xf>
    <xf numFmtId="3" fontId="0" fillId="0" borderId="21" xfId="1" applyNumberFormat="1" applyFont="1" applyBorder="1" applyAlignment="1">
      <alignment horizontal="right"/>
    </xf>
    <xf numFmtId="0" fontId="0" fillId="0" borderId="21" xfId="0" applyBorder="1" applyAlignment="1">
      <alignment horizontal="right"/>
    </xf>
    <xf numFmtId="176" fontId="0" fillId="0" borderId="21" xfId="1" applyNumberFormat="1" applyFont="1" applyBorder="1" applyAlignment="1">
      <alignment horizontal="right"/>
    </xf>
    <xf numFmtId="0" fontId="0" fillId="0" borderId="21" xfId="0" applyBorder="1"/>
    <xf numFmtId="0" fontId="0" fillId="2" borderId="21" xfId="0" applyFill="1" applyBorder="1"/>
    <xf numFmtId="176" fontId="0" fillId="2" borderId="21" xfId="0" applyNumberFormat="1" applyFill="1" applyBorder="1"/>
    <xf numFmtId="0" fontId="3" fillId="2" borderId="21" xfId="0" applyFont="1" applyFill="1" applyBorder="1"/>
    <xf numFmtId="176" fontId="3" fillId="2" borderId="21" xfId="0" applyNumberFormat="1" applyFont="1" applyFill="1" applyBorder="1"/>
    <xf numFmtId="0" fontId="2" fillId="16" borderId="0" xfId="0" applyFont="1" applyFill="1" applyAlignment="1">
      <alignment horizontal="center"/>
    </xf>
    <xf numFmtId="4" fontId="0" fillId="0" borderId="0" xfId="0" applyNumberFormat="1"/>
    <xf numFmtId="0" fontId="3" fillId="2" borderId="22" xfId="0" applyFont="1" applyFill="1" applyBorder="1"/>
    <xf numFmtId="177" fontId="3" fillId="2" borderId="22" xfId="0" applyNumberFormat="1" applyFont="1" applyFill="1" applyBorder="1"/>
    <xf numFmtId="164" fontId="60" fillId="2" borderId="0" xfId="0" applyNumberFormat="1" applyFont="1" applyFill="1" applyAlignment="1">
      <alignment horizontal="right"/>
    </xf>
    <xf numFmtId="3" fontId="60" fillId="0" borderId="21" xfId="0" applyNumberFormat="1" applyFont="1" applyBorder="1" applyAlignment="1">
      <alignment horizontal="right"/>
    </xf>
    <xf numFmtId="4" fontId="60" fillId="0" borderId="21" xfId="0" applyNumberFormat="1" applyFont="1" applyBorder="1" applyAlignment="1">
      <alignment horizontal="right"/>
    </xf>
    <xf numFmtId="164" fontId="60" fillId="0" borderId="21" xfId="0" applyNumberFormat="1" applyFont="1" applyBorder="1" applyAlignment="1">
      <alignment horizontal="right"/>
    </xf>
    <xf numFmtId="0" fontId="2" fillId="16" borderId="20" xfId="0" applyFont="1" applyFill="1" applyBorder="1" applyAlignment="1">
      <alignment horizontal="center"/>
    </xf>
    <xf numFmtId="9" fontId="0" fillId="0" borderId="0" xfId="2" applyFont="1"/>
    <xf numFmtId="0" fontId="4" fillId="0" borderId="0" xfId="0" applyFont="1" applyAlignment="1">
      <alignment horizontal="right"/>
    </xf>
    <xf numFmtId="10" fontId="4" fillId="0" borderId="0" xfId="2" applyNumberFormat="1" applyFont="1" applyAlignment="1">
      <alignment horizontal="left"/>
    </xf>
    <xf numFmtId="10" fontId="0" fillId="0" borderId="0" xfId="2" applyNumberFormat="1" applyFont="1" applyAlignment="1">
      <alignment horizontal="left"/>
    </xf>
    <xf numFmtId="0" fontId="0" fillId="0" borderId="21" xfId="0" applyFill="1" applyBorder="1"/>
    <xf numFmtId="0" fontId="3" fillId="0" borderId="21" xfId="0" applyFont="1" applyFill="1" applyBorder="1"/>
    <xf numFmtId="177" fontId="0" fillId="0" borderId="21" xfId="1" applyNumberFormat="1" applyFont="1" applyFill="1" applyBorder="1"/>
    <xf numFmtId="177" fontId="1" fillId="0" borderId="21" xfId="1" applyNumberFormat="1" applyFont="1" applyFill="1" applyBorder="1"/>
    <xf numFmtId="164" fontId="0" fillId="0" borderId="21" xfId="0" applyNumberFormat="1" applyFont="1" applyBorder="1" applyAlignment="1">
      <alignment horizontal="right"/>
    </xf>
    <xf numFmtId="0" fontId="10" fillId="2" borderId="0" xfId="0" applyFont="1" applyFill="1" applyAlignment="1">
      <alignment horizontal="center"/>
    </xf>
    <xf numFmtId="0" fontId="22" fillId="3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0" fillId="0" borderId="0" xfId="0" applyAlignment="1">
      <alignment horizontal="center" vertical="center" textRotation="90"/>
    </xf>
    <xf numFmtId="0" fontId="2" fillId="16" borderId="20" xfId="0" applyFont="1" applyFill="1" applyBorder="1" applyAlignment="1">
      <alignment horizontal="center"/>
    </xf>
    <xf numFmtId="0" fontId="45" fillId="4" borderId="0" xfId="0" applyFont="1" applyFill="1" applyAlignment="1">
      <alignment horizontal="center"/>
    </xf>
    <xf numFmtId="0" fontId="45" fillId="4" borderId="5" xfId="0" applyFont="1" applyFill="1" applyBorder="1" applyAlignment="1">
      <alignment horizontal="left"/>
    </xf>
    <xf numFmtId="0" fontId="45" fillId="4" borderId="3" xfId="0" applyFont="1" applyFill="1" applyBorder="1" applyAlignment="1">
      <alignment horizontal="left"/>
    </xf>
    <xf numFmtId="0" fontId="45" fillId="4" borderId="6" xfId="0" applyFont="1" applyFill="1" applyBorder="1" applyAlignment="1">
      <alignment horizontal="left"/>
    </xf>
    <xf numFmtId="0" fontId="46" fillId="4" borderId="5" xfId="0" applyFont="1" applyFill="1" applyBorder="1" applyAlignment="1">
      <alignment horizontal="center" vertical="center"/>
    </xf>
    <xf numFmtId="0" fontId="46" fillId="4" borderId="6" xfId="0" applyFont="1" applyFill="1" applyBorder="1" applyAlignment="1">
      <alignment horizontal="center" vertical="center"/>
    </xf>
    <xf numFmtId="0" fontId="45" fillId="4" borderId="5" xfId="0" applyFont="1" applyFill="1" applyBorder="1" applyAlignment="1">
      <alignment horizontal="center"/>
    </xf>
    <xf numFmtId="0" fontId="45" fillId="4" borderId="6" xfId="0" applyFont="1" applyFill="1" applyBorder="1" applyAlignment="1">
      <alignment horizontal="center"/>
    </xf>
    <xf numFmtId="164" fontId="67" fillId="0" borderId="2" xfId="0" applyNumberFormat="1" applyFont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008000"/>
      <color rgb="FFF9775D"/>
      <color rgb="FFFFFFFF"/>
      <color rgb="FF33CC33"/>
      <color rgb="FFFFE59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Chipotle/2024.07.27%20-%20Chipotle%20DC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CS%20Valuation%20mode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DCF"/>
      <sheetName val="WACC"/>
      <sheetName val="Shares"/>
      <sheetName val="IS - Historicals"/>
      <sheetName val="IS - Forecast"/>
      <sheetName val="CFS - Historicals"/>
      <sheetName val="CFS - Forecast"/>
    </sheetNames>
    <sheetDataSet>
      <sheetData sheetId="0" refreshError="1"/>
      <sheetData sheetId="1" refreshError="1">
        <row r="18">
          <cell r="E18">
            <v>8.4806000000000006E-2</v>
          </cell>
        </row>
        <row r="19">
          <cell r="E19">
            <v>2.5000000000000001E-2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Key Assumptions"/>
      <sheetName val="Historical data"/>
      <sheetName val="DCF"/>
      <sheetName val="Comp."/>
      <sheetName val="Raw Data"/>
    </sheetNames>
    <sheetDataSet>
      <sheetData sheetId="0"/>
      <sheetData sheetId="1"/>
      <sheetData sheetId="2"/>
      <sheetData sheetId="3"/>
      <sheetData sheetId="4">
        <row r="3">
          <cell r="C3" t="str">
            <v>TCS</v>
          </cell>
        </row>
        <row r="4">
          <cell r="C4" t="str">
            <v>Infosys</v>
          </cell>
        </row>
        <row r="5">
          <cell r="C5" t="str">
            <v>HCL Technologies</v>
          </cell>
        </row>
        <row r="6">
          <cell r="C6" t="str">
            <v>Wipro</v>
          </cell>
        </row>
        <row r="7">
          <cell r="C7" t="str">
            <v>LTIMindtree</v>
          </cell>
        </row>
        <row r="8">
          <cell r="C8" t="str">
            <v>Tech Mahindra</v>
          </cell>
        </row>
        <row r="9">
          <cell r="C9" t="str">
            <v>Persistent Sys</v>
          </cell>
        </row>
        <row r="10">
          <cell r="C10" t="str">
            <v>Oracle Fin.Serv.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companiesmarketcap.com/inr/tata-consultancy-services/shares-outstand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A113"/>
  <sheetViews>
    <sheetView showGridLines="0" tabSelected="1" topLeftCell="A2" zoomScale="80" zoomScaleNormal="80" workbookViewId="0">
      <pane xSplit="3" ySplit="6" topLeftCell="D8" activePane="bottomRight" state="frozen"/>
      <selection activeCell="A2" sqref="A2"/>
      <selection pane="topRight" activeCell="D2" sqref="D2"/>
      <selection pane="bottomLeft" activeCell="A8" sqref="A8"/>
      <selection pane="bottomRight" activeCell="I24" sqref="I24"/>
    </sheetView>
  </sheetViews>
  <sheetFormatPr defaultRowHeight="15"/>
  <cols>
    <col min="1" max="1" width="3.28515625" customWidth="1"/>
    <col min="2" max="2" width="44.28515625" bestFit="1" customWidth="1"/>
    <col min="4" max="9" width="15.85546875" customWidth="1"/>
    <col min="10" max="14" width="14.28515625" customWidth="1"/>
    <col min="15" max="15" width="0.85546875" customWidth="1"/>
    <col min="16" max="16" width="11" customWidth="1"/>
    <col min="17" max="20" width="8.85546875" bestFit="1" customWidth="1"/>
    <col min="21" max="21" width="9.85546875" bestFit="1" customWidth="1"/>
  </cols>
  <sheetData>
    <row r="2" spans="1:22" ht="15.75">
      <c r="B2" s="3" t="s">
        <v>57</v>
      </c>
      <c r="C2" s="3"/>
      <c r="D2" s="605" t="s">
        <v>0</v>
      </c>
      <c r="E2" s="605"/>
      <c r="F2" s="605"/>
      <c r="G2" s="605"/>
      <c r="H2" s="605"/>
      <c r="I2" s="605"/>
      <c r="J2" s="606" t="s">
        <v>1</v>
      </c>
      <c r="K2" s="606"/>
      <c r="L2" s="606"/>
      <c r="M2" s="606"/>
      <c r="N2" s="606"/>
    </row>
    <row r="3" spans="1:22" ht="21">
      <c r="B3" s="22" t="s">
        <v>56</v>
      </c>
      <c r="C3" s="6"/>
      <c r="D3" s="14">
        <v>2020</v>
      </c>
      <c r="E3" s="2">
        <f>D3+1</f>
        <v>2021</v>
      </c>
      <c r="F3" s="2">
        <f t="shared" ref="F3:N3" si="0">E3+1</f>
        <v>2022</v>
      </c>
      <c r="G3" s="2">
        <f t="shared" si="0"/>
        <v>2023</v>
      </c>
      <c r="H3" s="2">
        <f t="shared" si="0"/>
        <v>2024</v>
      </c>
      <c r="I3" s="2">
        <f t="shared" si="0"/>
        <v>2025</v>
      </c>
      <c r="J3" s="1">
        <f t="shared" si="0"/>
        <v>2026</v>
      </c>
      <c r="K3" s="1">
        <f t="shared" si="0"/>
        <v>2027</v>
      </c>
      <c r="L3" s="1">
        <f t="shared" si="0"/>
        <v>2028</v>
      </c>
      <c r="M3" s="1">
        <f t="shared" si="0"/>
        <v>2029</v>
      </c>
      <c r="N3" s="1">
        <f t="shared" si="0"/>
        <v>2030</v>
      </c>
    </row>
    <row r="4" spans="1:22" ht="15.75">
      <c r="B4" s="9" t="s">
        <v>2</v>
      </c>
      <c r="C4" s="9"/>
      <c r="D4" s="9" t="b">
        <f t="shared" ref="D4:N4" si="1">D82=D59</f>
        <v>1</v>
      </c>
      <c r="E4" s="9" t="b">
        <f t="shared" si="1"/>
        <v>1</v>
      </c>
      <c r="F4" s="9" t="b">
        <f t="shared" si="1"/>
        <v>1</v>
      </c>
      <c r="G4" s="9" t="b">
        <f t="shared" si="1"/>
        <v>1</v>
      </c>
      <c r="H4" s="9" t="b">
        <f t="shared" si="1"/>
        <v>1</v>
      </c>
      <c r="I4" s="9" t="b">
        <f t="shared" si="1"/>
        <v>1</v>
      </c>
      <c r="J4" s="9" t="b">
        <f t="shared" si="1"/>
        <v>1</v>
      </c>
      <c r="K4" s="9" t="b">
        <f t="shared" si="1"/>
        <v>1</v>
      </c>
      <c r="L4" s="9" t="b">
        <f t="shared" si="1"/>
        <v>1</v>
      </c>
      <c r="M4" s="9" t="b">
        <f t="shared" si="1"/>
        <v>1</v>
      </c>
      <c r="N4" s="9" t="b">
        <f t="shared" si="1"/>
        <v>1</v>
      </c>
    </row>
    <row r="5" spans="1:22" ht="15.75">
      <c r="B5" s="9" t="s">
        <v>3</v>
      </c>
      <c r="C5" s="9"/>
      <c r="D5" s="16">
        <v>43921</v>
      </c>
      <c r="E5" s="17">
        <f>EOMONTH(D5,12)</f>
        <v>44286</v>
      </c>
      <c r="F5" s="17">
        <f t="shared" ref="F5:N5" si="2">EOMONTH(E5,12)</f>
        <v>44651</v>
      </c>
      <c r="G5" s="17">
        <f t="shared" si="2"/>
        <v>45016</v>
      </c>
      <c r="H5" s="17">
        <f t="shared" si="2"/>
        <v>45382</v>
      </c>
      <c r="I5" s="17">
        <f t="shared" si="2"/>
        <v>45747</v>
      </c>
      <c r="J5" s="17">
        <f t="shared" si="2"/>
        <v>46112</v>
      </c>
      <c r="K5" s="17">
        <f t="shared" si="2"/>
        <v>46477</v>
      </c>
      <c r="L5" s="17">
        <f t="shared" si="2"/>
        <v>46843</v>
      </c>
      <c r="M5" s="17">
        <f t="shared" si="2"/>
        <v>47208</v>
      </c>
      <c r="N5" s="17">
        <f t="shared" si="2"/>
        <v>47573</v>
      </c>
    </row>
    <row r="6" spans="1:22" ht="15.75">
      <c r="B6" s="9" t="s">
        <v>4</v>
      </c>
      <c r="C6" s="9"/>
      <c r="D6" s="18">
        <v>366</v>
      </c>
      <c r="E6" s="19">
        <f>E5-D5</f>
        <v>365</v>
      </c>
      <c r="F6" s="19">
        <f t="shared" ref="F6:N6" si="3">F5-E5</f>
        <v>365</v>
      </c>
      <c r="G6" s="19">
        <f t="shared" si="3"/>
        <v>365</v>
      </c>
      <c r="H6" s="19">
        <f t="shared" si="3"/>
        <v>366</v>
      </c>
      <c r="I6" s="19">
        <f t="shared" si="3"/>
        <v>365</v>
      </c>
      <c r="J6" s="19">
        <f t="shared" si="3"/>
        <v>365</v>
      </c>
      <c r="K6" s="19">
        <f t="shared" si="3"/>
        <v>365</v>
      </c>
      <c r="L6" s="19">
        <f t="shared" si="3"/>
        <v>366</v>
      </c>
      <c r="M6" s="19">
        <f t="shared" si="3"/>
        <v>365</v>
      </c>
      <c r="N6" s="19">
        <f t="shared" si="3"/>
        <v>365</v>
      </c>
    </row>
    <row r="9" spans="1:22" ht="21">
      <c r="A9" t="s">
        <v>58</v>
      </c>
      <c r="B9" s="99" t="s">
        <v>5</v>
      </c>
      <c r="C9" s="90"/>
      <c r="D9" s="90"/>
      <c r="E9" s="91"/>
      <c r="F9" s="91"/>
      <c r="G9" s="91"/>
      <c r="H9" s="91"/>
      <c r="I9" s="91"/>
      <c r="J9" s="91"/>
      <c r="K9" s="91"/>
      <c r="L9" s="91"/>
      <c r="M9" s="91"/>
      <c r="N9" s="91"/>
      <c r="P9" s="607"/>
      <c r="Q9" s="607"/>
      <c r="R9" s="607"/>
      <c r="S9" s="607"/>
      <c r="T9" s="607"/>
      <c r="U9" s="607"/>
      <c r="V9" s="607"/>
    </row>
    <row r="11" spans="1:22" ht="15.75">
      <c r="B11" s="65" t="s">
        <v>6</v>
      </c>
      <c r="C11" s="66"/>
      <c r="D11" s="40">
        <f>SUM(D12:D13)</f>
        <v>161541</v>
      </c>
      <c r="E11" s="40">
        <f t="shared" ref="E11:N11" si="4">SUM(E12:E13)</f>
        <v>167311</v>
      </c>
      <c r="F11" s="40">
        <f t="shared" si="4"/>
        <v>195772</v>
      </c>
      <c r="G11" s="40">
        <f t="shared" si="4"/>
        <v>228907</v>
      </c>
      <c r="H11" s="40">
        <f t="shared" si="4"/>
        <v>245315</v>
      </c>
      <c r="I11" s="40">
        <f t="shared" si="4"/>
        <v>259286</v>
      </c>
      <c r="J11" s="40">
        <f>SUM(J12:J13)</f>
        <v>270638.50922181818</v>
      </c>
      <c r="K11" s="40">
        <f t="shared" si="4"/>
        <v>284157.11076244805</v>
      </c>
      <c r="L11" s="40">
        <f t="shared" si="4"/>
        <v>298350.97685028234</v>
      </c>
      <c r="M11" s="40">
        <f t="shared" si="4"/>
        <v>313253.8374694665</v>
      </c>
      <c r="N11" s="68">
        <f t="shared" si="4"/>
        <v>328901.1074428545</v>
      </c>
    </row>
    <row r="12" spans="1:22" ht="15.75">
      <c r="B12" s="60" t="s">
        <v>7</v>
      </c>
      <c r="C12" s="30"/>
      <c r="D12" s="55">
        <f>'Revenue&amp;Expenses'!D11</f>
        <v>156949</v>
      </c>
      <c r="E12" s="55">
        <f>'Revenue&amp;Expenses'!E11</f>
        <v>164177</v>
      </c>
      <c r="F12" s="55">
        <f>'Revenue&amp;Expenses'!F11</f>
        <v>191754</v>
      </c>
      <c r="G12" s="55">
        <f>'Revenue&amp;Expenses'!G11</f>
        <v>225458</v>
      </c>
      <c r="H12" s="55">
        <f>'Revenue&amp;Expenses'!H11</f>
        <v>240893</v>
      </c>
      <c r="I12" s="55">
        <f>'Revenue&amp;Expenses'!I11</f>
        <v>255324</v>
      </c>
      <c r="J12" s="365">
        <f>'Revenue&amp;Expenses'!J11</f>
        <v>266478.4092218182</v>
      </c>
      <c r="K12" s="365">
        <f>'Revenue&amp;Expenses'!K11</f>
        <v>279789.00576244807</v>
      </c>
      <c r="L12" s="365">
        <f>'Revenue&amp;Expenses'!L11</f>
        <v>293764.46660028235</v>
      </c>
      <c r="M12" s="365">
        <f>'Revenue&amp;Expenses'!M11</f>
        <v>308438.00170696649</v>
      </c>
      <c r="N12" s="381">
        <f>'Revenue&amp;Expenses'!N11</f>
        <v>323844.47989222949</v>
      </c>
    </row>
    <row r="13" spans="1:22" ht="15.75">
      <c r="B13" s="60" t="s">
        <v>8</v>
      </c>
      <c r="C13" s="30"/>
      <c r="D13" s="55">
        <f>'Revenue&amp;Expenses'!D24</f>
        <v>4592</v>
      </c>
      <c r="E13" s="55">
        <f>'Revenue&amp;Expenses'!E24</f>
        <v>3134</v>
      </c>
      <c r="F13" s="55">
        <f>'Revenue&amp;Expenses'!F24</f>
        <v>4018</v>
      </c>
      <c r="G13" s="55">
        <f>'Revenue&amp;Expenses'!G24</f>
        <v>3449</v>
      </c>
      <c r="H13" s="55">
        <f>'Revenue&amp;Expenses'!H24</f>
        <v>4422</v>
      </c>
      <c r="I13" s="55">
        <f>'Revenue&amp;Expenses'!I24</f>
        <v>3962</v>
      </c>
      <c r="J13" s="365">
        <f>'Revenue&amp;Expenses'!J24</f>
        <v>4160.1000000000004</v>
      </c>
      <c r="K13" s="365">
        <f>'Revenue&amp;Expenses'!K24</f>
        <v>4368.1050000000005</v>
      </c>
      <c r="L13" s="365">
        <f>'Revenue&amp;Expenses'!L24</f>
        <v>4586.5102500000003</v>
      </c>
      <c r="M13" s="365">
        <f>'Revenue&amp;Expenses'!M24</f>
        <v>4815.8357625000008</v>
      </c>
      <c r="N13" s="381">
        <f>'Revenue&amp;Expenses'!N24</f>
        <v>5056.6275506250013</v>
      </c>
    </row>
    <row r="14" spans="1:22" ht="15.75">
      <c r="B14" s="65" t="s">
        <v>9</v>
      </c>
      <c r="C14" s="66"/>
      <c r="D14" s="40">
        <f>SUM(D15:D17)</f>
        <v>114840</v>
      </c>
      <c r="E14" s="40">
        <f t="shared" ref="E14:I14" si="5">SUM(E15:E17)</f>
        <v>117631</v>
      </c>
      <c r="F14" s="40">
        <f t="shared" si="5"/>
        <v>138697</v>
      </c>
      <c r="G14" s="40">
        <f t="shared" si="5"/>
        <v>166199</v>
      </c>
      <c r="H14" s="40">
        <f t="shared" si="5"/>
        <v>176597</v>
      </c>
      <c r="I14" s="40">
        <f t="shared" si="5"/>
        <v>187917</v>
      </c>
      <c r="J14" s="44">
        <f>SUM(J15:J17)</f>
        <v>195202.05864</v>
      </c>
      <c r="K14" s="44">
        <f t="shared" ref="K14:N14" si="6">SUM(K15:K17)</f>
        <v>205938.17186519998</v>
      </c>
      <c r="L14" s="44">
        <f t="shared" si="6"/>
        <v>217264.77131778598</v>
      </c>
      <c r="M14" s="44">
        <f t="shared" si="6"/>
        <v>229214.33374026421</v>
      </c>
      <c r="N14" s="67">
        <f t="shared" si="6"/>
        <v>241821.12209597876</v>
      </c>
    </row>
    <row r="15" spans="1:22" ht="15.75">
      <c r="B15" s="60" t="s">
        <v>113</v>
      </c>
      <c r="C15" s="30"/>
      <c r="D15" s="55">
        <f>'Revenue&amp;Expenses'!D53</f>
        <v>85952</v>
      </c>
      <c r="E15" s="55">
        <f>'Revenue&amp;Expenses'!E53</f>
        <v>91814</v>
      </c>
      <c r="F15" s="55">
        <f>'Revenue&amp;Expenses'!F53</f>
        <v>107554</v>
      </c>
      <c r="G15" s="55">
        <f>'Revenue&amp;Expenses'!G53</f>
        <v>127522</v>
      </c>
      <c r="H15" s="55">
        <f>'Revenue&amp;Expenses'!H53</f>
        <v>140131</v>
      </c>
      <c r="I15" s="55">
        <f>'Revenue&amp;Expenses'!I53</f>
        <v>145788</v>
      </c>
      <c r="J15" s="365">
        <f>'Revenue&amp;Expenses'!J53</f>
        <v>154891.85060000001</v>
      </c>
      <c r="K15" s="365">
        <f>'Revenue&amp;Expenses'!K53</f>
        <v>163410.90238300001</v>
      </c>
      <c r="L15" s="365">
        <f>'Revenue&amp;Expenses'!L53</f>
        <v>172398.50201406499</v>
      </c>
      <c r="M15" s="365">
        <f>'Revenue&amp;Expenses'!M53</f>
        <v>181880.41962483854</v>
      </c>
      <c r="N15" s="381">
        <f>'Revenue&amp;Expenses'!N53</f>
        <v>191883.8427042047</v>
      </c>
    </row>
    <row r="16" spans="1:22" ht="15.75">
      <c r="B16" s="60" t="s">
        <v>114</v>
      </c>
      <c r="C16" s="30"/>
      <c r="D16" s="55">
        <f>'Revenue&amp;Expenses'!D58</f>
        <v>1905</v>
      </c>
      <c r="E16" s="55">
        <f>'Revenue&amp;Expenses'!E58</f>
        <v>1462</v>
      </c>
      <c r="F16" s="55">
        <f>'Revenue&amp;Expenses'!F58</f>
        <v>1163</v>
      </c>
      <c r="G16" s="55">
        <f>'Revenue&amp;Expenses'!G58</f>
        <v>1881</v>
      </c>
      <c r="H16" s="55">
        <f>'Revenue&amp;Expenses'!H58</f>
        <v>3702</v>
      </c>
      <c r="I16" s="55">
        <f>'Revenue&amp;Expenses'!I58</f>
        <v>11648</v>
      </c>
      <c r="J16" s="365">
        <f>'Revenue&amp;Expenses'!J58</f>
        <v>5998.2130500000003</v>
      </c>
      <c r="K16" s="365">
        <f>'Revenue&amp;Expenses'!K58</f>
        <v>6328.1147677499994</v>
      </c>
      <c r="L16" s="365">
        <f>'Revenue&amp;Expenses'!L58</f>
        <v>6676.1610799762502</v>
      </c>
      <c r="M16" s="365">
        <f>'Revenue&amp;Expenses'!M58</f>
        <v>7043.3499393749435</v>
      </c>
      <c r="N16" s="381">
        <f>'Revenue&amp;Expenses'!N58</f>
        <v>7430.734186040565</v>
      </c>
    </row>
    <row r="17" spans="2:14" ht="15.75">
      <c r="B17" s="60" t="s">
        <v>10</v>
      </c>
      <c r="C17" s="30"/>
      <c r="D17" s="55">
        <f>'Revenue&amp;Expenses'!D62</f>
        <v>26983</v>
      </c>
      <c r="E17" s="55">
        <f>'Revenue&amp;Expenses'!E62</f>
        <v>24355</v>
      </c>
      <c r="F17" s="55">
        <f>'Revenue&amp;Expenses'!F62</f>
        <v>29980</v>
      </c>
      <c r="G17" s="55">
        <f>'Revenue&amp;Expenses'!G62</f>
        <v>36796</v>
      </c>
      <c r="H17" s="55">
        <f>'Revenue&amp;Expenses'!H62</f>
        <v>32764</v>
      </c>
      <c r="I17" s="55">
        <f>'Revenue&amp;Expenses'!I62</f>
        <v>30481</v>
      </c>
      <c r="J17" s="365">
        <f>'Revenue&amp;Expenses'!J62</f>
        <v>34311.994989999999</v>
      </c>
      <c r="K17" s="365">
        <f>'Revenue&amp;Expenses'!K62</f>
        <v>36199.154714449993</v>
      </c>
      <c r="L17" s="365">
        <f>'Revenue&amp;Expenses'!L62</f>
        <v>38190.108223744755</v>
      </c>
      <c r="M17" s="365">
        <f>'Revenue&amp;Expenses'!M62</f>
        <v>40290.564176050706</v>
      </c>
      <c r="N17" s="381">
        <f>'Revenue&amp;Expenses'!N62</f>
        <v>42506.545205733499</v>
      </c>
    </row>
    <row r="18" spans="2:14" ht="15.75">
      <c r="B18" s="65" t="s">
        <v>11</v>
      </c>
      <c r="C18" s="66"/>
      <c r="D18" s="40">
        <f>D11-D14</f>
        <v>46701</v>
      </c>
      <c r="E18" s="41">
        <f t="shared" ref="E18:I18" si="7">E11-E14</f>
        <v>49680</v>
      </c>
      <c r="F18" s="41">
        <f t="shared" si="7"/>
        <v>57075</v>
      </c>
      <c r="G18" s="41">
        <f t="shared" si="7"/>
        <v>62708</v>
      </c>
      <c r="H18" s="41">
        <f t="shared" si="7"/>
        <v>68718</v>
      </c>
      <c r="I18" s="41">
        <f t="shared" si="7"/>
        <v>71369</v>
      </c>
      <c r="J18" s="41">
        <f>J11-J14</f>
        <v>75436.450581818179</v>
      </c>
      <c r="K18" s="41">
        <f t="shared" ref="K18:N18" si="8">K11-K14</f>
        <v>78218.938897248066</v>
      </c>
      <c r="L18" s="41">
        <f t="shared" si="8"/>
        <v>81086.205532496359</v>
      </c>
      <c r="M18" s="41">
        <f t="shared" si="8"/>
        <v>84039.50372920229</v>
      </c>
      <c r="N18" s="69">
        <f t="shared" si="8"/>
        <v>87079.985346875736</v>
      </c>
    </row>
    <row r="19" spans="2:14" ht="15.75">
      <c r="B19" s="60" t="s">
        <v>12</v>
      </c>
      <c r="C19" s="30"/>
      <c r="D19" s="23">
        <f>SUM('Supporting Schedules'!D19,'Supporting Schedules'!D41,'Supporting Schedules'!D50)</f>
        <v>3529</v>
      </c>
      <c r="E19" s="23">
        <f>SUM('Supporting Schedules'!E19,'Supporting Schedules'!E41,'Supporting Schedules'!E50)</f>
        <v>4065</v>
      </c>
      <c r="F19" s="334">
        <f>SUM('Supporting Schedules'!F19,'Supporting Schedules'!F41,'Supporting Schedules'!F50)</f>
        <v>4604</v>
      </c>
      <c r="G19" s="334">
        <f>SUM('Supporting Schedules'!G19,'Supporting Schedules'!G41,'Supporting Schedules'!G50)</f>
        <v>5022</v>
      </c>
      <c r="H19" s="334">
        <f>SUM('Supporting Schedules'!H19,'Supporting Schedules'!H41,'Supporting Schedules'!H50)</f>
        <v>4985</v>
      </c>
      <c r="I19" s="334">
        <f>SUM('Supporting Schedules'!I19,'Supporting Schedules'!I41,'Supporting Schedules'!I50)</f>
        <v>5242</v>
      </c>
      <c r="J19" s="367">
        <f>SUM('Supporting Schedules'!J19,'Supporting Schedules'!J41,'Supporting Schedules'!J50)</f>
        <v>5546.4189999999999</v>
      </c>
      <c r="K19" s="367">
        <f>SUM('Supporting Schedules'!K19,'Supporting Schedules'!K41,'Supporting Schedules'!K50)</f>
        <v>6133.0182100000002</v>
      </c>
      <c r="L19" s="367">
        <f>SUM('Supporting Schedules'!L19,'Supporting Schedules'!L41,'Supporting Schedules'!L50)</f>
        <v>6780.7308089000007</v>
      </c>
      <c r="M19" s="367">
        <f>SUM('Supporting Schedules'!M19,'Supporting Schedules'!M41,'Supporting Schedules'!M50)</f>
        <v>7502.6509536010017</v>
      </c>
      <c r="N19" s="382">
        <f>SUM('Supporting Schedules'!N19,'Supporting Schedules'!N41,'Supporting Schedules'!N50)</f>
        <v>8322.5554895060923</v>
      </c>
    </row>
    <row r="20" spans="2:14" ht="15.75">
      <c r="B20" s="62" t="s">
        <v>13</v>
      </c>
      <c r="C20" s="32"/>
      <c r="D20" s="53">
        <f>D18-D19</f>
        <v>43172</v>
      </c>
      <c r="E20" s="54">
        <f t="shared" ref="E20:N20" si="9">E18-E19</f>
        <v>45615</v>
      </c>
      <c r="F20" s="54">
        <f t="shared" si="9"/>
        <v>52471</v>
      </c>
      <c r="G20" s="54">
        <f t="shared" si="9"/>
        <v>57686</v>
      </c>
      <c r="H20" s="54">
        <f t="shared" si="9"/>
        <v>63733</v>
      </c>
      <c r="I20" s="54">
        <f t="shared" si="9"/>
        <v>66127</v>
      </c>
      <c r="J20" s="54">
        <f>J18-J19</f>
        <v>69890.031581818184</v>
      </c>
      <c r="K20" s="54">
        <f t="shared" si="9"/>
        <v>72085.920687248072</v>
      </c>
      <c r="L20" s="54">
        <f t="shared" si="9"/>
        <v>74305.474723596359</v>
      </c>
      <c r="M20" s="54">
        <f t="shared" si="9"/>
        <v>76536.852775601292</v>
      </c>
      <c r="N20" s="63">
        <f t="shared" si="9"/>
        <v>78757.429857369643</v>
      </c>
    </row>
    <row r="21" spans="2:14" ht="15.75">
      <c r="B21" s="60" t="s">
        <v>14</v>
      </c>
      <c r="C21" s="30"/>
      <c r="D21" s="55">
        <f>'Supporting Schedules'!D63</f>
        <v>924</v>
      </c>
      <c r="E21" s="55">
        <f>'Supporting Schedules'!E63</f>
        <v>637</v>
      </c>
      <c r="F21" s="55">
        <f>'Supporting Schedules'!F63</f>
        <v>784</v>
      </c>
      <c r="G21" s="55">
        <f>'Supporting Schedules'!G63</f>
        <v>779</v>
      </c>
      <c r="H21" s="55">
        <f>'Supporting Schedules'!H63</f>
        <v>778</v>
      </c>
      <c r="I21" s="55">
        <f>'Supporting Schedules'!I63</f>
        <v>796</v>
      </c>
      <c r="J21" s="365">
        <f>'Supporting Schedules'!J63</f>
        <v>837.63</v>
      </c>
      <c r="K21" s="365">
        <f>'Supporting Schedules'!K63</f>
        <v>837.63</v>
      </c>
      <c r="L21" s="365">
        <f>'Supporting Schedules'!L63</f>
        <v>837.63</v>
      </c>
      <c r="M21" s="365">
        <f>'Supporting Schedules'!M63</f>
        <v>837.63</v>
      </c>
      <c r="N21" s="381">
        <f>'Supporting Schedules'!N63</f>
        <v>837.63</v>
      </c>
    </row>
    <row r="22" spans="2:14" ht="15.75">
      <c r="B22" s="62" t="s">
        <v>15</v>
      </c>
      <c r="C22" s="32"/>
      <c r="D22" s="53">
        <f>D20-D21</f>
        <v>42248</v>
      </c>
      <c r="E22" s="54">
        <f t="shared" ref="E22:N22" si="10">E20-E21</f>
        <v>44978</v>
      </c>
      <c r="F22" s="54">
        <f t="shared" si="10"/>
        <v>51687</v>
      </c>
      <c r="G22" s="54">
        <f t="shared" si="10"/>
        <v>56907</v>
      </c>
      <c r="H22" s="54">
        <f t="shared" si="10"/>
        <v>62955</v>
      </c>
      <c r="I22" s="54">
        <f t="shared" si="10"/>
        <v>65331</v>
      </c>
      <c r="J22" s="54">
        <f>J20-J21</f>
        <v>69052.40158181818</v>
      </c>
      <c r="K22" s="54">
        <f t="shared" si="10"/>
        <v>71248.290687248067</v>
      </c>
      <c r="L22" s="54">
        <f t="shared" si="10"/>
        <v>73467.844723596354</v>
      </c>
      <c r="M22" s="54">
        <f t="shared" si="10"/>
        <v>75699.222775601287</v>
      </c>
      <c r="N22" s="63">
        <f t="shared" si="10"/>
        <v>77919.799857369639</v>
      </c>
    </row>
    <row r="23" spans="2:14" ht="15.75">
      <c r="B23" s="60" t="s">
        <v>16</v>
      </c>
      <c r="C23" s="30"/>
      <c r="D23" s="33">
        <v>0</v>
      </c>
      <c r="E23" s="42">
        <v>-1218</v>
      </c>
      <c r="F23" s="42">
        <v>0</v>
      </c>
      <c r="G23" s="42">
        <v>0</v>
      </c>
      <c r="H23" s="42">
        <v>-958</v>
      </c>
      <c r="I23" s="56">
        <v>0</v>
      </c>
      <c r="J23" s="368">
        <v>0</v>
      </c>
      <c r="K23" s="368">
        <v>0</v>
      </c>
      <c r="L23" s="368">
        <v>0</v>
      </c>
      <c r="M23" s="368">
        <v>0</v>
      </c>
      <c r="N23" s="383">
        <v>0</v>
      </c>
    </row>
    <row r="24" spans="2:14" ht="15.75">
      <c r="B24" s="65" t="s">
        <v>17</v>
      </c>
      <c r="C24" s="66"/>
      <c r="D24" s="40">
        <f>SUM(D22:D23)</f>
        <v>42248</v>
      </c>
      <c r="E24" s="41">
        <f t="shared" ref="E24:N24" si="11">SUM(E22:E23)</f>
        <v>43760</v>
      </c>
      <c r="F24" s="41">
        <f t="shared" si="11"/>
        <v>51687</v>
      </c>
      <c r="G24" s="41">
        <f t="shared" si="11"/>
        <v>56907</v>
      </c>
      <c r="H24" s="41">
        <f t="shared" si="11"/>
        <v>61997</v>
      </c>
      <c r="I24" s="41">
        <f>SUM(I22:I23)</f>
        <v>65331</v>
      </c>
      <c r="J24" s="41">
        <f>SUM(J22:J23)</f>
        <v>69052.40158181818</v>
      </c>
      <c r="K24" s="41">
        <f t="shared" si="11"/>
        <v>71248.290687248067</v>
      </c>
      <c r="L24" s="41">
        <f t="shared" si="11"/>
        <v>73467.844723596354</v>
      </c>
      <c r="M24" s="41">
        <f t="shared" si="11"/>
        <v>75699.222775601287</v>
      </c>
      <c r="N24" s="69">
        <f t="shared" si="11"/>
        <v>77919.799857369639</v>
      </c>
    </row>
    <row r="25" spans="2:14" ht="15.75">
      <c r="B25" s="75" t="s">
        <v>18</v>
      </c>
      <c r="C25" s="30"/>
      <c r="D25" s="45">
        <f>D31</f>
        <v>9801</v>
      </c>
      <c r="E25" s="45">
        <f t="shared" ref="E25:I25" si="12">E31</f>
        <v>11198</v>
      </c>
      <c r="F25" s="45">
        <f t="shared" si="12"/>
        <v>13238</v>
      </c>
      <c r="G25" s="45">
        <f t="shared" si="12"/>
        <v>14604</v>
      </c>
      <c r="H25" s="45">
        <f t="shared" si="12"/>
        <v>15898</v>
      </c>
      <c r="I25" s="45">
        <f t="shared" si="12"/>
        <v>16534</v>
      </c>
      <c r="J25" s="364">
        <f>J24*J32</f>
        <v>17263.100395454545</v>
      </c>
      <c r="K25" s="364">
        <f t="shared" ref="K25:N25" si="13">K24*K32</f>
        <v>17812.072671812017</v>
      </c>
      <c r="L25" s="364">
        <f t="shared" si="13"/>
        <v>18366.961180899089</v>
      </c>
      <c r="M25" s="364">
        <f t="shared" si="13"/>
        <v>18924.805693900322</v>
      </c>
      <c r="N25" s="384">
        <f t="shared" si="13"/>
        <v>19479.94996434241</v>
      </c>
    </row>
    <row r="26" spans="2:14" ht="16.5" thickBot="1">
      <c r="B26" s="70" t="s">
        <v>166</v>
      </c>
      <c r="C26" s="8"/>
      <c r="D26" s="31">
        <f>D24-D25</f>
        <v>32447</v>
      </c>
      <c r="E26" s="31">
        <f t="shared" ref="E26:N26" si="14">E24-E25</f>
        <v>32562</v>
      </c>
      <c r="F26" s="31">
        <f t="shared" si="14"/>
        <v>38449</v>
      </c>
      <c r="G26" s="31">
        <f t="shared" si="14"/>
        <v>42303</v>
      </c>
      <c r="H26" s="31">
        <f t="shared" si="14"/>
        <v>46099</v>
      </c>
      <c r="I26" s="31">
        <f t="shared" si="14"/>
        <v>48797</v>
      </c>
      <c r="J26" s="31">
        <f>J24-J25</f>
        <v>51789.301186363635</v>
      </c>
      <c r="K26" s="31">
        <f t="shared" si="14"/>
        <v>53436.218015436054</v>
      </c>
      <c r="L26" s="31">
        <f t="shared" si="14"/>
        <v>55100.883542697266</v>
      </c>
      <c r="M26" s="31">
        <f t="shared" si="14"/>
        <v>56774.417081700965</v>
      </c>
      <c r="N26" s="71">
        <f t="shared" si="14"/>
        <v>58439.849893027233</v>
      </c>
    </row>
    <row r="27" spans="2:14" ht="15.75">
      <c r="B27" s="32"/>
      <c r="C27" s="32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</row>
    <row r="28" spans="2:14" ht="15.75">
      <c r="B28" s="184" t="s">
        <v>48</v>
      </c>
      <c r="C28" s="46"/>
      <c r="D28" s="530">
        <v>37702</v>
      </c>
      <c r="E28" s="530">
        <v>10907</v>
      </c>
      <c r="F28" s="530">
        <v>13375</v>
      </c>
      <c r="G28" s="530">
        <v>41410</v>
      </c>
      <c r="H28" s="530">
        <v>25218</v>
      </c>
      <c r="I28" s="530">
        <v>44962</v>
      </c>
      <c r="J28" s="531">
        <f>J29*J26</f>
        <v>44538.799020272723</v>
      </c>
      <c r="K28" s="531">
        <f t="shared" ref="K28:N28" si="15">K29*K26</f>
        <v>45955.147493275006</v>
      </c>
      <c r="L28" s="531">
        <f t="shared" si="15"/>
        <v>47386.759846719644</v>
      </c>
      <c r="M28" s="531">
        <f t="shared" si="15"/>
        <v>48825.99869026283</v>
      </c>
      <c r="N28" s="532">
        <f t="shared" si="15"/>
        <v>50258.270908003418</v>
      </c>
    </row>
    <row r="29" spans="2:14" ht="15.75">
      <c r="B29" s="131" t="s">
        <v>165</v>
      </c>
      <c r="C29" s="185"/>
      <c r="D29" s="275">
        <f>D28/D26</f>
        <v>1.1619564212407927</v>
      </c>
      <c r="E29" s="275">
        <f t="shared" ref="E29:I29" si="16">E28/E26</f>
        <v>0.33496099748172714</v>
      </c>
      <c r="F29" s="275">
        <f t="shared" si="16"/>
        <v>0.34786340346953104</v>
      </c>
      <c r="G29" s="275">
        <f t="shared" si="16"/>
        <v>0.97889038602463185</v>
      </c>
      <c r="H29" s="275">
        <f t="shared" si="16"/>
        <v>0.5470400659450313</v>
      </c>
      <c r="I29" s="275">
        <f t="shared" si="16"/>
        <v>0.92140910301862822</v>
      </c>
      <c r="J29" s="302">
        <v>0.86</v>
      </c>
      <c r="K29" s="302">
        <f>J29</f>
        <v>0.86</v>
      </c>
      <c r="L29" s="302">
        <f t="shared" ref="L29:N29" si="17">K29</f>
        <v>0.86</v>
      </c>
      <c r="M29" s="302">
        <f t="shared" si="17"/>
        <v>0.86</v>
      </c>
      <c r="N29" s="303">
        <f t="shared" si="17"/>
        <v>0.86</v>
      </c>
    </row>
    <row r="30" spans="2:14" ht="3.95" customHeight="1">
      <c r="B30" s="271"/>
      <c r="C30" s="32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</row>
    <row r="31" spans="2:14" ht="15.75">
      <c r="B31" s="272" t="s">
        <v>18</v>
      </c>
      <c r="C31" s="273"/>
      <c r="D31" s="234">
        <v>9801</v>
      </c>
      <c r="E31" s="234">
        <v>11198</v>
      </c>
      <c r="F31" s="234">
        <v>13238</v>
      </c>
      <c r="G31" s="234">
        <v>14604</v>
      </c>
      <c r="H31" s="234">
        <v>15898</v>
      </c>
      <c r="I31" s="234">
        <v>16534</v>
      </c>
      <c r="J31" s="531">
        <f>J32*J24</f>
        <v>17263.100395454545</v>
      </c>
      <c r="K31" s="531">
        <f t="shared" ref="K31:N31" si="18">K32*K24</f>
        <v>17812.072671812017</v>
      </c>
      <c r="L31" s="531">
        <f t="shared" si="18"/>
        <v>18366.961180899089</v>
      </c>
      <c r="M31" s="531">
        <f t="shared" si="18"/>
        <v>18924.805693900322</v>
      </c>
      <c r="N31" s="532">
        <f t="shared" si="18"/>
        <v>19479.94996434241</v>
      </c>
    </row>
    <row r="32" spans="2:14" ht="15.75">
      <c r="B32" s="131" t="s">
        <v>196</v>
      </c>
      <c r="C32" s="274"/>
      <c r="D32" s="275">
        <f>D31/D24</f>
        <v>0.23198731300889983</v>
      </c>
      <c r="E32" s="275">
        <f t="shared" ref="E32:I32" si="19">E31/E24</f>
        <v>0.25589579524680073</v>
      </c>
      <c r="F32" s="275">
        <f t="shared" si="19"/>
        <v>0.25611855979259773</v>
      </c>
      <c r="G32" s="275">
        <f t="shared" si="19"/>
        <v>0.25662923717644576</v>
      </c>
      <c r="H32" s="275">
        <f t="shared" si="19"/>
        <v>0.25643176282723357</v>
      </c>
      <c r="I32" s="275">
        <f t="shared" si="19"/>
        <v>0.25308046715954141</v>
      </c>
      <c r="J32" s="275">
        <v>0.25</v>
      </c>
      <c r="K32" s="275">
        <v>0.25</v>
      </c>
      <c r="L32" s="275">
        <v>0.25</v>
      </c>
      <c r="M32" s="275">
        <v>0.25</v>
      </c>
      <c r="N32" s="276">
        <v>0.25</v>
      </c>
    </row>
    <row r="33" spans="2:20">
      <c r="B33" s="7"/>
      <c r="C33" s="7"/>
      <c r="D33" s="10"/>
      <c r="E33" s="11"/>
      <c r="F33" s="11"/>
      <c r="G33" s="11"/>
      <c r="H33" s="11"/>
      <c r="I33" s="4"/>
      <c r="J33" s="4"/>
      <c r="K33" s="4"/>
      <c r="L33" s="4"/>
      <c r="M33" s="4"/>
      <c r="N33" s="4"/>
    </row>
    <row r="34" spans="2:20" ht="21">
      <c r="B34" s="98" t="s">
        <v>19</v>
      </c>
      <c r="C34" s="92"/>
      <c r="D34" s="93"/>
      <c r="E34" s="94"/>
      <c r="F34" s="94"/>
      <c r="G34" s="94"/>
      <c r="H34" s="94"/>
      <c r="I34" s="94"/>
      <c r="J34" s="94"/>
      <c r="K34" s="94"/>
      <c r="L34" s="94"/>
      <c r="M34" s="94"/>
      <c r="N34" s="94"/>
    </row>
    <row r="35" spans="2:20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20" ht="15.75">
      <c r="B36" s="65" t="s">
        <v>111</v>
      </c>
      <c r="C36" s="66"/>
      <c r="D36" s="41">
        <f>SUM(D37:D48)</f>
        <v>30662</v>
      </c>
      <c r="E36" s="41">
        <f t="shared" ref="E36:N36" si="20">SUM(E37:E48)</f>
        <v>31479</v>
      </c>
      <c r="F36" s="41">
        <f t="shared" si="20"/>
        <v>33204</v>
      </c>
      <c r="G36" s="41">
        <f t="shared" si="20"/>
        <v>33381</v>
      </c>
      <c r="H36" s="41">
        <f t="shared" si="20"/>
        <v>33465</v>
      </c>
      <c r="I36" s="41">
        <f t="shared" si="20"/>
        <v>36618</v>
      </c>
      <c r="J36" s="41">
        <f>SUM(J37:J48)</f>
        <v>39450.690999999999</v>
      </c>
      <c r="K36" s="41">
        <f t="shared" si="20"/>
        <v>42385.257640000003</v>
      </c>
      <c r="L36" s="41">
        <f t="shared" si="20"/>
        <v>45457.263218350003</v>
      </c>
      <c r="M36" s="41">
        <f t="shared" si="20"/>
        <v>48717.915141165257</v>
      </c>
      <c r="N36" s="69">
        <f t="shared" si="20"/>
        <v>52236.051591633302</v>
      </c>
      <c r="O36" s="362"/>
      <c r="P36" s="362"/>
      <c r="Q36" s="362"/>
      <c r="R36" s="362"/>
      <c r="S36" s="362"/>
      <c r="T36" s="362"/>
    </row>
    <row r="37" spans="2:20" ht="15.75">
      <c r="B37" s="74" t="s">
        <v>91</v>
      </c>
      <c r="C37" s="30"/>
      <c r="D37" s="45">
        <f>'Supporting Schedules'!D21</f>
        <v>10941</v>
      </c>
      <c r="E37" s="73">
        <f>'Supporting Schedules'!E21</f>
        <v>11110</v>
      </c>
      <c r="F37" s="73">
        <f>'Supporting Schedules'!F21</f>
        <v>10774</v>
      </c>
      <c r="G37" s="73">
        <f>'Supporting Schedules'!G21</f>
        <v>10230</v>
      </c>
      <c r="H37" s="73">
        <f>'Supporting Schedules'!H21</f>
        <v>9376</v>
      </c>
      <c r="I37" s="73">
        <f>'Supporting Schedules'!I21</f>
        <v>10978</v>
      </c>
      <c r="J37" s="363">
        <f>'Supporting Schedules'!J21</f>
        <v>12401.439999999999</v>
      </c>
      <c r="K37" s="363">
        <f>'Supporting Schedules'!K21</f>
        <v>13721.044</v>
      </c>
      <c r="L37" s="363">
        <f>'Supporting Schedules'!L21</f>
        <v>14966.621799999999</v>
      </c>
      <c r="M37" s="363">
        <f>'Supporting Schedules'!M21</f>
        <v>16162.473370000002</v>
      </c>
      <c r="N37" s="385">
        <f>'Supporting Schedules'!N21</f>
        <v>17328.513422500004</v>
      </c>
    </row>
    <row r="38" spans="2:20" ht="15.75">
      <c r="B38" s="74" t="s">
        <v>109</v>
      </c>
      <c r="C38" s="15"/>
      <c r="D38" s="73">
        <f>'Supporting Schedules'!D23</f>
        <v>906</v>
      </c>
      <c r="E38" s="73">
        <f>'Supporting Schedules'!E23</f>
        <v>926</v>
      </c>
      <c r="F38" s="73">
        <f>'Supporting Schedules'!F23</f>
        <v>1205</v>
      </c>
      <c r="G38" s="73">
        <f>'Supporting Schedules'!G23</f>
        <v>1234</v>
      </c>
      <c r="H38" s="73">
        <f>'Supporting Schedules'!H23</f>
        <v>1564</v>
      </c>
      <c r="I38" s="48">
        <f>'Supporting Schedules'!I23</f>
        <v>1546</v>
      </c>
      <c r="J38" s="364">
        <f>'Supporting Schedules'!J23</f>
        <v>1677.4099999999999</v>
      </c>
      <c r="K38" s="364">
        <f>'Supporting Schedules'!K23</f>
        <v>1819.9898499999997</v>
      </c>
      <c r="L38" s="364">
        <f>'Supporting Schedules'!L23</f>
        <v>1974.6889872499996</v>
      </c>
      <c r="M38" s="364">
        <f>'Supporting Schedules'!M23</f>
        <v>2142.5375511662496</v>
      </c>
      <c r="N38" s="384">
        <f>'Supporting Schedules'!N23</f>
        <v>2324.6532430153807</v>
      </c>
    </row>
    <row r="39" spans="2:20" ht="15.75">
      <c r="B39" s="74" t="s">
        <v>110</v>
      </c>
      <c r="C39" s="72"/>
      <c r="D39" s="73">
        <f>'Supporting Schedules'!D52</f>
        <v>7994</v>
      </c>
      <c r="E39" s="73">
        <f>'Supporting Schedules'!E52</f>
        <v>7633</v>
      </c>
      <c r="F39" s="73">
        <f>'Supporting Schedules'!F52</f>
        <v>7636</v>
      </c>
      <c r="G39" s="73">
        <f>'Supporting Schedules'!G52</f>
        <v>7560</v>
      </c>
      <c r="H39" s="73">
        <f>'Supporting Schedules'!H52</f>
        <v>7886</v>
      </c>
      <c r="I39" s="48">
        <f>'Supporting Schedules'!I52</f>
        <v>9275</v>
      </c>
      <c r="J39" s="364">
        <f>'Supporting Schedules'!J52</f>
        <v>10756.116</v>
      </c>
      <c r="K39" s="364">
        <f>'Supporting Schedules'!K52</f>
        <v>12296.765040000002</v>
      </c>
      <c r="L39" s="364">
        <f>'Supporting Schedules'!L52</f>
        <v>13917.072993600003</v>
      </c>
      <c r="M39" s="364">
        <f>'Supporting Schedules'!M52</f>
        <v>15636.910710624003</v>
      </c>
      <c r="N39" s="384">
        <f>'Supporting Schedules'!N52</f>
        <v>17476.231332524163</v>
      </c>
    </row>
    <row r="40" spans="2:20" ht="15.75">
      <c r="B40" s="74" t="s">
        <v>22</v>
      </c>
      <c r="C40" s="72"/>
      <c r="D40" s="73">
        <f>'Supporting Schedules'!D33</f>
        <v>1710</v>
      </c>
      <c r="E40" s="73">
        <f>'Supporting Schedules'!E33</f>
        <v>1798</v>
      </c>
      <c r="F40" s="73">
        <f>'Supporting Schedules'!F33</f>
        <v>1787</v>
      </c>
      <c r="G40" s="73">
        <f>'Supporting Schedules'!G33</f>
        <v>1858</v>
      </c>
      <c r="H40" s="73">
        <f>'Supporting Schedules'!H33</f>
        <v>1832</v>
      </c>
      <c r="I40" s="73">
        <f>'Supporting Schedules'!I33</f>
        <v>1860</v>
      </c>
      <c r="J40" s="364">
        <f>'Supporting Schedules'!J33</f>
        <v>1860</v>
      </c>
      <c r="K40" s="364">
        <f>'Supporting Schedules'!K33</f>
        <v>1860</v>
      </c>
      <c r="L40" s="364">
        <f>'Supporting Schedules'!L33</f>
        <v>1860</v>
      </c>
      <c r="M40" s="364">
        <f>'Supporting Schedules'!M33</f>
        <v>1860</v>
      </c>
      <c r="N40" s="384">
        <f>'Supporting Schedules'!N33</f>
        <v>1860</v>
      </c>
    </row>
    <row r="41" spans="2:20" ht="15.75">
      <c r="B41" s="74" t="s">
        <v>92</v>
      </c>
      <c r="C41" s="30"/>
      <c r="D41" s="73">
        <f>'Supporting Schedules'!D43</f>
        <v>283</v>
      </c>
      <c r="E41" s="73">
        <f>'Supporting Schedules'!E43</f>
        <v>480</v>
      </c>
      <c r="F41" s="73">
        <f>'Supporting Schedules'!F43</f>
        <v>1101</v>
      </c>
      <c r="G41" s="73">
        <f>'Supporting Schedules'!G43</f>
        <v>867</v>
      </c>
      <c r="H41" s="73">
        <f>'Supporting Schedules'!H43</f>
        <v>510</v>
      </c>
      <c r="I41" s="48">
        <f>'Supporting Schedules'!I43</f>
        <v>940</v>
      </c>
      <c r="J41" s="364">
        <f>'Supporting Schedules'!J43</f>
        <v>736.72500000000002</v>
      </c>
      <c r="K41" s="364">
        <f>'Supporting Schedules'!K43</f>
        <v>668.45875000000001</v>
      </c>
      <c r="L41" s="364">
        <f>'Supporting Schedules'!L43</f>
        <v>719.87943749999999</v>
      </c>
      <c r="M41" s="364">
        <f>'Supporting Schedules'!M43</f>
        <v>896.99350937500003</v>
      </c>
      <c r="N41" s="384">
        <f>'Supporting Schedules'!N43</f>
        <v>1227.65359359375</v>
      </c>
    </row>
    <row r="42" spans="2:20" ht="15.75">
      <c r="B42" s="74" t="s">
        <v>116</v>
      </c>
      <c r="C42" s="30"/>
      <c r="D42" s="73">
        <f>Assets!D62</f>
        <v>216</v>
      </c>
      <c r="E42" s="73">
        <f>Assets!E62</f>
        <v>213</v>
      </c>
      <c r="F42" s="73">
        <f>Assets!F62</f>
        <v>223</v>
      </c>
      <c r="G42" s="73">
        <f>Assets!G62</f>
        <v>266</v>
      </c>
      <c r="H42" s="73">
        <f>Assets!H62</f>
        <v>281</v>
      </c>
      <c r="I42" s="48">
        <f>Assets!I62</f>
        <v>275</v>
      </c>
      <c r="J42" s="364">
        <f>Assets!J62</f>
        <v>275</v>
      </c>
      <c r="K42" s="364">
        <f>Assets!K62</f>
        <v>275</v>
      </c>
      <c r="L42" s="364">
        <f>Assets!L62</f>
        <v>275</v>
      </c>
      <c r="M42" s="364">
        <f>Assets!M62</f>
        <v>275</v>
      </c>
      <c r="N42" s="384">
        <f>Assets!N62</f>
        <v>275</v>
      </c>
    </row>
    <row r="43" spans="2:20" ht="15.75">
      <c r="B43" s="74" t="s">
        <v>117</v>
      </c>
      <c r="C43" s="30"/>
      <c r="D43" s="73">
        <f>Assets!D63</f>
        <v>398</v>
      </c>
      <c r="E43" s="73">
        <f>Assets!E63</f>
        <v>328</v>
      </c>
      <c r="F43" s="73">
        <f>Assets!F63</f>
        <v>200</v>
      </c>
      <c r="G43" s="73">
        <f>Assets!G63</f>
        <v>348</v>
      </c>
      <c r="H43" s="73">
        <f>Assets!H63</f>
        <v>143</v>
      </c>
      <c r="I43" s="48">
        <f>Assets!I63</f>
        <v>129</v>
      </c>
      <c r="J43" s="364">
        <f>Assets!J63</f>
        <v>129</v>
      </c>
      <c r="K43" s="364">
        <f>Assets!K63</f>
        <v>129</v>
      </c>
      <c r="L43" s="364">
        <f>Assets!L63</f>
        <v>129</v>
      </c>
      <c r="M43" s="364">
        <f>Assets!M63</f>
        <v>129</v>
      </c>
      <c r="N43" s="384">
        <f>Assets!N63</f>
        <v>129</v>
      </c>
    </row>
    <row r="44" spans="2:20" ht="15.75">
      <c r="B44" s="74" t="s">
        <v>93</v>
      </c>
      <c r="C44" s="30"/>
      <c r="D44" s="48">
        <f>Assets!D64</f>
        <v>29</v>
      </c>
      <c r="E44" s="48">
        <f>Assets!E64</f>
        <v>29</v>
      </c>
      <c r="F44" s="48">
        <f>Assets!F64</f>
        <v>311</v>
      </c>
      <c r="G44" s="48">
        <f>Assets!G64</f>
        <v>173</v>
      </c>
      <c r="H44" s="48">
        <f>Assets!H64</f>
        <v>2</v>
      </c>
      <c r="I44" s="48">
        <f>Assets!I64</f>
        <v>25</v>
      </c>
      <c r="J44" s="364">
        <f>Assets!J64</f>
        <v>25</v>
      </c>
      <c r="K44" s="364">
        <f>Assets!K64</f>
        <v>25</v>
      </c>
      <c r="L44" s="364">
        <f>Assets!L64</f>
        <v>25</v>
      </c>
      <c r="M44" s="364">
        <f>Assets!M64</f>
        <v>25</v>
      </c>
      <c r="N44" s="384">
        <f>Assets!N64</f>
        <v>25</v>
      </c>
    </row>
    <row r="45" spans="2:20" ht="15.75">
      <c r="B45" s="74" t="s">
        <v>94</v>
      </c>
      <c r="C45" s="30"/>
      <c r="D45" s="48">
        <f>Assets!D65</f>
        <v>1184</v>
      </c>
      <c r="E45" s="48">
        <f>Assets!E65</f>
        <v>1573</v>
      </c>
      <c r="F45" s="48">
        <f>Assets!F65</f>
        <v>2253</v>
      </c>
      <c r="G45" s="48">
        <f>Assets!G65</f>
        <v>2149</v>
      </c>
      <c r="H45" s="48">
        <f>Assets!H65</f>
        <v>3272</v>
      </c>
      <c r="I45" s="48">
        <f>Assets!I65</f>
        <v>2731</v>
      </c>
      <c r="J45" s="364">
        <f>Assets!J65</f>
        <v>2731</v>
      </c>
      <c r="K45" s="364">
        <f>Assets!K65</f>
        <v>2731</v>
      </c>
      <c r="L45" s="364">
        <f>Assets!L65</f>
        <v>2731</v>
      </c>
      <c r="M45" s="364">
        <f>Assets!M65</f>
        <v>2731</v>
      </c>
      <c r="N45" s="384">
        <f>Assets!N65</f>
        <v>2731</v>
      </c>
    </row>
    <row r="46" spans="2:20" ht="15.75">
      <c r="B46" s="74" t="s">
        <v>95</v>
      </c>
      <c r="C46" s="30"/>
      <c r="D46" s="48">
        <f>Assets!D71</f>
        <v>2462</v>
      </c>
      <c r="E46" s="48">
        <f>Assets!E71</f>
        <v>1845</v>
      </c>
      <c r="F46" s="48">
        <f>Assets!F71</f>
        <v>1983</v>
      </c>
      <c r="G46" s="48">
        <f>Assets!G71</f>
        <v>2583</v>
      </c>
      <c r="H46" s="48">
        <f>Assets!H71</f>
        <v>3403</v>
      </c>
      <c r="I46" s="48">
        <f>Assets!I71</f>
        <v>3578</v>
      </c>
      <c r="J46" s="364">
        <f>Assets!J71</f>
        <v>3578</v>
      </c>
      <c r="K46" s="364">
        <f>Assets!K71</f>
        <v>3578</v>
      </c>
      <c r="L46" s="364">
        <f>Assets!L71</f>
        <v>3578</v>
      </c>
      <c r="M46" s="364">
        <f>Assets!M71</f>
        <v>3578</v>
      </c>
      <c r="N46" s="384">
        <f>Assets!N71</f>
        <v>3578</v>
      </c>
    </row>
    <row r="47" spans="2:20" ht="15.75">
      <c r="B47" s="74" t="s">
        <v>96</v>
      </c>
      <c r="C47" s="30"/>
      <c r="D47" s="45">
        <f>Assets!D72</f>
        <v>2828</v>
      </c>
      <c r="E47" s="73">
        <f>Assets!E72</f>
        <v>3931</v>
      </c>
      <c r="F47" s="73">
        <f>Assets!F72</f>
        <v>3708</v>
      </c>
      <c r="G47" s="73">
        <f>Assets!G72</f>
        <v>3307</v>
      </c>
      <c r="H47" s="73">
        <f>Assets!H72</f>
        <v>1600</v>
      </c>
      <c r="I47" s="48">
        <f>Assets!I72</f>
        <v>1569</v>
      </c>
      <c r="J47" s="499">
        <f>Assets!J72</f>
        <v>1569</v>
      </c>
      <c r="K47" s="499">
        <f>Assets!K72</f>
        <v>1569</v>
      </c>
      <c r="L47" s="499">
        <f>Assets!L72</f>
        <v>1569</v>
      </c>
      <c r="M47" s="499">
        <f>Assets!M72</f>
        <v>1569</v>
      </c>
      <c r="N47" s="500">
        <f>Assets!N72</f>
        <v>1569</v>
      </c>
    </row>
    <row r="48" spans="2:20" ht="15.75">
      <c r="B48" s="74" t="s">
        <v>97</v>
      </c>
      <c r="C48" s="32"/>
      <c r="D48" s="45">
        <f>Assets!D73</f>
        <v>1711</v>
      </c>
      <c r="E48" s="45">
        <f>Assets!E73</f>
        <v>1613</v>
      </c>
      <c r="F48" s="45">
        <f>Assets!F73</f>
        <v>2023</v>
      </c>
      <c r="G48" s="45">
        <f>Assets!G73</f>
        <v>2806</v>
      </c>
      <c r="H48" s="45">
        <f>Assets!H73</f>
        <v>3596</v>
      </c>
      <c r="I48" s="45">
        <f>Assets!I73</f>
        <v>3712</v>
      </c>
      <c r="J48" s="496">
        <f>Assets!J73</f>
        <v>3712</v>
      </c>
      <c r="K48" s="496">
        <f>Assets!K73</f>
        <v>3712</v>
      </c>
      <c r="L48" s="496">
        <f>Assets!L73</f>
        <v>3712</v>
      </c>
      <c r="M48" s="496">
        <f>Assets!M73</f>
        <v>3712</v>
      </c>
      <c r="N48" s="497">
        <f>Assets!N73</f>
        <v>3712</v>
      </c>
    </row>
    <row r="49" spans="2:20" ht="15.75">
      <c r="B49" s="79" t="s">
        <v>20</v>
      </c>
      <c r="C49" s="43"/>
      <c r="D49" s="41">
        <f>SUM(D50:D58)</f>
        <v>90237</v>
      </c>
      <c r="E49" s="41">
        <f>SUM(E50:E58)</f>
        <v>99280</v>
      </c>
      <c r="F49" s="41">
        <f t="shared" ref="F49:N49" si="21">SUM(F50:F58)</f>
        <v>108310</v>
      </c>
      <c r="G49" s="41">
        <f t="shared" si="21"/>
        <v>110270</v>
      </c>
      <c r="H49" s="41">
        <f t="shared" si="21"/>
        <v>112984</v>
      </c>
      <c r="I49" s="41">
        <f t="shared" si="21"/>
        <v>123011</v>
      </c>
      <c r="J49" s="44">
        <f>SUM(J50:J58)</f>
        <v>128438.30296526899</v>
      </c>
      <c r="K49" s="44">
        <f t="shared" si="21"/>
        <v>133805.32389638486</v>
      </c>
      <c r="L49" s="44">
        <f t="shared" si="21"/>
        <v>139267.71959264125</v>
      </c>
      <c r="M49" s="44">
        <f t="shared" si="21"/>
        <v>144914.10995769556</v>
      </c>
      <c r="N49" s="67">
        <f t="shared" si="21"/>
        <v>150541.03756002698</v>
      </c>
      <c r="O49" s="362"/>
      <c r="P49" s="362"/>
      <c r="Q49" s="362"/>
      <c r="R49" s="362"/>
      <c r="S49" s="362"/>
      <c r="T49" s="362"/>
    </row>
    <row r="50" spans="2:20" ht="15.75">
      <c r="B50" s="75" t="s">
        <v>98</v>
      </c>
      <c r="C50" s="15"/>
      <c r="D50" s="73">
        <f>Assets!D12</f>
        <v>5</v>
      </c>
      <c r="E50" s="73">
        <f>Assets!E12</f>
        <v>8</v>
      </c>
      <c r="F50" s="73">
        <f>Assets!F12</f>
        <v>20</v>
      </c>
      <c r="G50" s="73">
        <f>Assets!G12</f>
        <v>28</v>
      </c>
      <c r="H50" s="73">
        <f>Assets!H12</f>
        <v>28</v>
      </c>
      <c r="I50" s="73">
        <f>Assets!I12</f>
        <v>21</v>
      </c>
      <c r="J50" s="364">
        <f>Assets!J12</f>
        <v>21</v>
      </c>
      <c r="K50" s="364">
        <f>Assets!K12</f>
        <v>21</v>
      </c>
      <c r="L50" s="364">
        <f>Assets!L12</f>
        <v>21</v>
      </c>
      <c r="M50" s="364">
        <f>Assets!M12</f>
        <v>21</v>
      </c>
      <c r="N50" s="384">
        <f>Assets!N12</f>
        <v>21</v>
      </c>
    </row>
    <row r="51" spans="2:20" ht="15.75">
      <c r="B51" s="75" t="s">
        <v>116</v>
      </c>
      <c r="C51" s="15"/>
      <c r="D51" s="73">
        <f>Assets!D13</f>
        <v>26140</v>
      </c>
      <c r="E51" s="73">
        <f>Assets!E13</f>
        <v>29160</v>
      </c>
      <c r="F51" s="73">
        <f>Assets!F13</f>
        <v>30262</v>
      </c>
      <c r="G51" s="73">
        <f>Assets!G13</f>
        <v>36897</v>
      </c>
      <c r="H51" s="73">
        <f>Assets!H13</f>
        <v>31481</v>
      </c>
      <c r="I51" s="48">
        <f>Assets!I13</f>
        <v>30689</v>
      </c>
      <c r="J51" s="364">
        <f>Assets!J13</f>
        <v>30689</v>
      </c>
      <c r="K51" s="364">
        <f>Assets!K13</f>
        <v>30689</v>
      </c>
      <c r="L51" s="364">
        <f>Assets!L13</f>
        <v>30689</v>
      </c>
      <c r="M51" s="364">
        <f>Assets!M13</f>
        <v>30689</v>
      </c>
      <c r="N51" s="384">
        <f>Assets!N13</f>
        <v>30689</v>
      </c>
    </row>
    <row r="52" spans="2:20" ht="15.75">
      <c r="B52" s="75" t="s">
        <v>115</v>
      </c>
      <c r="C52" s="15"/>
      <c r="D52" s="73">
        <f>Assets!D14</f>
        <v>36264</v>
      </c>
      <c r="E52" s="73">
        <f>Assets!E14</f>
        <v>36662</v>
      </c>
      <c r="F52" s="73">
        <f>Assets!F14</f>
        <v>41810</v>
      </c>
      <c r="G52" s="73">
        <f>Assets!G14</f>
        <v>49954</v>
      </c>
      <c r="H52" s="73">
        <f>Assets!H14</f>
        <v>53577</v>
      </c>
      <c r="I52" s="48">
        <f>Assets!I14</f>
        <v>59046</v>
      </c>
      <c r="J52" s="364">
        <f>Assets!J14</f>
        <v>62056.615846176843</v>
      </c>
      <c r="K52" s="364">
        <f>Assets!K14</f>
        <v>65156.343807693389</v>
      </c>
      <c r="L52" s="364">
        <f>Assets!L14</f>
        <v>68223.988144874325</v>
      </c>
      <c r="M52" s="364">
        <f>Assets!M14</f>
        <v>71828.027794773021</v>
      </c>
      <c r="N52" s="384">
        <f>Assets!N14</f>
        <v>75415.83778312194</v>
      </c>
      <c r="P52" s="4"/>
    </row>
    <row r="53" spans="2:20" ht="15.75">
      <c r="B53" s="75" t="s">
        <v>99</v>
      </c>
      <c r="C53" s="15"/>
      <c r="D53" s="503">
        <v>8646</v>
      </c>
      <c r="E53" s="503">
        <v>6858</v>
      </c>
      <c r="F53" s="503">
        <v>12488</v>
      </c>
      <c r="G53" s="503">
        <v>7123</v>
      </c>
      <c r="H53" s="503">
        <v>9016</v>
      </c>
      <c r="I53" s="503">
        <v>8342</v>
      </c>
      <c r="J53" s="499">
        <f>J112</f>
        <v>10758.687119092152</v>
      </c>
      <c r="K53" s="499">
        <f t="shared" ref="K53:N53" si="22">K112</f>
        <v>13025.980088691453</v>
      </c>
      <c r="L53" s="499">
        <f t="shared" si="22"/>
        <v>15420.731447766921</v>
      </c>
      <c r="M53" s="499">
        <f t="shared" si="22"/>
        <v>17463.082162922547</v>
      </c>
      <c r="N53" s="500">
        <f t="shared" si="22"/>
        <v>19502.199776905029</v>
      </c>
    </row>
    <row r="54" spans="2:20" ht="15.75">
      <c r="B54" s="75" t="s">
        <v>100</v>
      </c>
      <c r="C54" s="15"/>
      <c r="D54" s="73">
        <f>Assets!D15</f>
        <v>1020</v>
      </c>
      <c r="E54" s="73">
        <f>Assets!E15</f>
        <v>2471</v>
      </c>
      <c r="F54" s="73">
        <f>Assets!F15</f>
        <v>5733</v>
      </c>
      <c r="G54" s="73">
        <f>Assets!G15</f>
        <v>3909</v>
      </c>
      <c r="H54" s="73">
        <f>Assets!H15</f>
        <v>4270</v>
      </c>
      <c r="I54" s="73">
        <f>Assets!I15</f>
        <v>7121</v>
      </c>
      <c r="J54" s="363">
        <f>Assets!J15</f>
        <v>7121</v>
      </c>
      <c r="K54" s="363">
        <f>Assets!K15</f>
        <v>7121</v>
      </c>
      <c r="L54" s="363">
        <f>Assets!L15</f>
        <v>7121</v>
      </c>
      <c r="M54" s="363">
        <f>Assets!M15</f>
        <v>7121</v>
      </c>
      <c r="N54" s="385">
        <f>Assets!N15</f>
        <v>7121</v>
      </c>
    </row>
    <row r="55" spans="2:20" ht="15.75">
      <c r="B55" s="75" t="s">
        <v>93</v>
      </c>
      <c r="C55" s="15"/>
      <c r="D55" s="335">
        <f>Assets!D16</f>
        <v>8475</v>
      </c>
      <c r="E55" s="73">
        <f>Assets!E16</f>
        <v>11472</v>
      </c>
      <c r="F55" s="73">
        <f>Assets!F16</f>
        <v>6445</v>
      </c>
      <c r="G55" s="73">
        <f>Assets!G16</f>
        <v>1325</v>
      </c>
      <c r="H55" s="73">
        <f>Assets!H16</f>
        <v>491</v>
      </c>
      <c r="I55" s="73">
        <f>Assets!I16</f>
        <v>9</v>
      </c>
      <c r="J55" s="363">
        <f>Assets!J16</f>
        <v>9</v>
      </c>
      <c r="K55" s="363">
        <f>Assets!K16</f>
        <v>9</v>
      </c>
      <c r="L55" s="363">
        <f>Assets!L16</f>
        <v>9</v>
      </c>
      <c r="M55" s="363">
        <f>Assets!M16</f>
        <v>9</v>
      </c>
      <c r="N55" s="385">
        <f>Assets!N16</f>
        <v>9</v>
      </c>
      <c r="Q55" s="4"/>
    </row>
    <row r="56" spans="2:20" ht="15.75">
      <c r="B56" s="75" t="s">
        <v>94</v>
      </c>
      <c r="C56" s="30"/>
      <c r="D56" s="45">
        <f>Assets!D17</f>
        <v>1473</v>
      </c>
      <c r="E56" s="48">
        <f>Assets!E17</f>
        <v>1394</v>
      </c>
      <c r="F56" s="73">
        <f>Assets!F17</f>
        <v>1390</v>
      </c>
      <c r="G56" s="73">
        <f>Assets!G17</f>
        <v>1319</v>
      </c>
      <c r="H56" s="73">
        <f>Assets!H17</f>
        <v>1703</v>
      </c>
      <c r="I56" s="48">
        <f>Assets!I17</f>
        <v>2742</v>
      </c>
      <c r="J56" s="364">
        <f>Assets!J17</f>
        <v>2742</v>
      </c>
      <c r="K56" s="364">
        <f>Assets!K17</f>
        <v>2742</v>
      </c>
      <c r="L56" s="364">
        <f>Assets!L17</f>
        <v>2742</v>
      </c>
      <c r="M56" s="364">
        <f>Assets!M17</f>
        <v>2742</v>
      </c>
      <c r="N56" s="384">
        <f>Assets!N17</f>
        <v>2742</v>
      </c>
    </row>
    <row r="57" spans="2:20" ht="15.75">
      <c r="B57" s="373" t="s">
        <v>95</v>
      </c>
      <c r="C57" s="30"/>
      <c r="D57" s="45">
        <f>Assets!D24</f>
        <v>8</v>
      </c>
      <c r="E57" s="73">
        <f>Assets!E24</f>
        <v>19</v>
      </c>
      <c r="F57" s="48">
        <f>Assets!F24</f>
        <v>11</v>
      </c>
      <c r="G57" s="73">
        <f>Assets!G24</f>
        <v>8</v>
      </c>
      <c r="H57" s="73">
        <f>Assets!H24</f>
        <v>151</v>
      </c>
      <c r="I57" s="48">
        <f>Assets!I24</f>
        <v>257</v>
      </c>
      <c r="J57" s="364">
        <f>Assets!J24</f>
        <v>257</v>
      </c>
      <c r="K57" s="364">
        <f>Assets!K24</f>
        <v>257</v>
      </c>
      <c r="L57" s="364">
        <f>Assets!L24</f>
        <v>257</v>
      </c>
      <c r="M57" s="364">
        <f>Assets!M24</f>
        <v>257</v>
      </c>
      <c r="N57" s="384">
        <f>Assets!N24</f>
        <v>257</v>
      </c>
    </row>
    <row r="58" spans="2:20" ht="15.75">
      <c r="B58" s="373" t="s">
        <v>97</v>
      </c>
      <c r="C58" s="30"/>
      <c r="D58" s="45">
        <f>Assets!D25</f>
        <v>8206</v>
      </c>
      <c r="E58" s="48">
        <f>Assets!E25</f>
        <v>11236</v>
      </c>
      <c r="F58" s="45">
        <f>Assets!F25</f>
        <v>10151</v>
      </c>
      <c r="G58" s="45">
        <f>Assets!G25</f>
        <v>9707</v>
      </c>
      <c r="H58" s="45">
        <f>Assets!H25</f>
        <v>12267</v>
      </c>
      <c r="I58" s="45">
        <f>Assets!I25</f>
        <v>14784</v>
      </c>
      <c r="J58" s="365">
        <f>Assets!J25</f>
        <v>14784</v>
      </c>
      <c r="K58" s="365">
        <f>Assets!K25</f>
        <v>14784</v>
      </c>
      <c r="L58" s="365">
        <f>Assets!L25</f>
        <v>14784</v>
      </c>
      <c r="M58" s="365">
        <f>Assets!M25</f>
        <v>14784</v>
      </c>
      <c r="N58" s="497">
        <f>Assets!N25</f>
        <v>14784</v>
      </c>
    </row>
    <row r="59" spans="2:20" ht="16.5" thickBot="1">
      <c r="B59" s="374" t="s">
        <v>23</v>
      </c>
      <c r="C59" s="8"/>
      <c r="D59" s="336">
        <f t="shared" ref="D59:N59" si="23">SUM(D49,D36)</f>
        <v>120899</v>
      </c>
      <c r="E59" s="336">
        <f t="shared" si="23"/>
        <v>130759</v>
      </c>
      <c r="F59" s="336">
        <f t="shared" si="23"/>
        <v>141514</v>
      </c>
      <c r="G59" s="336">
        <f t="shared" si="23"/>
        <v>143651</v>
      </c>
      <c r="H59" s="336">
        <f t="shared" si="23"/>
        <v>146449</v>
      </c>
      <c r="I59" s="336">
        <f t="shared" si="23"/>
        <v>159629</v>
      </c>
      <c r="J59" s="336">
        <f>SUM(J49,J36)</f>
        <v>167888.99396526898</v>
      </c>
      <c r="K59" s="336">
        <f t="shared" si="23"/>
        <v>176190.58153638485</v>
      </c>
      <c r="L59" s="336">
        <f t="shared" si="23"/>
        <v>184724.98281099126</v>
      </c>
      <c r="M59" s="336">
        <f t="shared" si="23"/>
        <v>193632.02509886082</v>
      </c>
      <c r="N59" s="337">
        <f t="shared" si="23"/>
        <v>202777.08915166027</v>
      </c>
      <c r="O59" s="362"/>
      <c r="P59" s="362"/>
      <c r="Q59" s="362"/>
      <c r="R59" s="362"/>
      <c r="S59" s="362"/>
      <c r="T59" s="362"/>
    </row>
    <row r="60" spans="2:20" ht="15.75">
      <c r="B60" s="375"/>
      <c r="C60" s="32"/>
      <c r="D60" s="53"/>
      <c r="E60" s="12"/>
      <c r="F60" s="12"/>
      <c r="G60" s="12"/>
      <c r="H60" s="12"/>
      <c r="I60" s="20"/>
      <c r="J60" s="20"/>
      <c r="K60" s="20"/>
      <c r="L60" s="20"/>
      <c r="M60" s="20"/>
      <c r="N60" s="20"/>
    </row>
    <row r="61" spans="2:20" ht="15.75">
      <c r="B61" s="79" t="s">
        <v>112</v>
      </c>
      <c r="C61" s="66"/>
      <c r="D61" s="40">
        <f>SUM(D62:D66)</f>
        <v>9090</v>
      </c>
      <c r="E61" s="41">
        <f>SUM(E62:E66)</f>
        <v>9496</v>
      </c>
      <c r="F61" s="41">
        <f t="shared" ref="F61:N61" si="24">SUM(F62:F66)</f>
        <v>9317</v>
      </c>
      <c r="G61" s="41">
        <f t="shared" si="24"/>
        <v>8887</v>
      </c>
      <c r="H61" s="41">
        <f t="shared" si="24"/>
        <v>9026</v>
      </c>
      <c r="I61" s="41">
        <f t="shared" si="24"/>
        <v>10857</v>
      </c>
      <c r="J61" s="41">
        <f t="shared" si="24"/>
        <v>10857</v>
      </c>
      <c r="K61" s="41">
        <f t="shared" si="24"/>
        <v>10857</v>
      </c>
      <c r="L61" s="41">
        <f t="shared" si="24"/>
        <v>10857</v>
      </c>
      <c r="M61" s="41">
        <f t="shared" si="24"/>
        <v>10857</v>
      </c>
      <c r="N61" s="69">
        <f t="shared" si="24"/>
        <v>10857</v>
      </c>
    </row>
    <row r="62" spans="2:20" ht="15.75">
      <c r="B62" s="75" t="s">
        <v>101</v>
      </c>
      <c r="C62" s="15"/>
      <c r="D62" s="73">
        <f>'Supporting Schedules'!D61</f>
        <v>7197</v>
      </c>
      <c r="E62" s="73">
        <f>'Supporting Schedules'!E61</f>
        <v>6783</v>
      </c>
      <c r="F62" s="73">
        <f>'Supporting Schedules'!F61</f>
        <v>6940</v>
      </c>
      <c r="G62" s="73">
        <f>'Supporting Schedules'!G61</f>
        <v>6556</v>
      </c>
      <c r="H62" s="73">
        <f>'Supporting Schedules'!H61</f>
        <v>6881</v>
      </c>
      <c r="I62" s="498">
        <f>'Supporting Schedules'!I61</f>
        <v>8518</v>
      </c>
      <c r="J62" s="499">
        <f>'Supporting Schedules'!J61</f>
        <v>8518</v>
      </c>
      <c r="K62" s="499">
        <f>'Supporting Schedules'!K61</f>
        <v>8518</v>
      </c>
      <c r="L62" s="499">
        <f>'Supporting Schedules'!L61</f>
        <v>8518</v>
      </c>
      <c r="M62" s="499">
        <f>'Supporting Schedules'!M61</f>
        <v>8518</v>
      </c>
      <c r="N62" s="500">
        <f>'Supporting Schedules'!N61</f>
        <v>8518</v>
      </c>
    </row>
    <row r="63" spans="2:20" ht="15.75">
      <c r="B63" s="75" t="s">
        <v>102</v>
      </c>
      <c r="C63" s="15"/>
      <c r="D63" s="529"/>
      <c r="E63" s="529"/>
      <c r="F63" s="529"/>
      <c r="G63" s="529"/>
      <c r="H63" s="529"/>
      <c r="I63" s="155"/>
      <c r="J63" s="366"/>
      <c r="K63" s="366"/>
      <c r="L63" s="366"/>
      <c r="M63" s="366"/>
      <c r="N63" s="386"/>
    </row>
    <row r="64" spans="2:20" ht="15.75">
      <c r="B64" s="75" t="s">
        <v>103</v>
      </c>
      <c r="C64" s="23"/>
      <c r="D64" s="48">
        <f>Liabilities!D40</f>
        <v>697</v>
      </c>
      <c r="E64" s="73">
        <f>Liabilities!E40</f>
        <v>1197</v>
      </c>
      <c r="F64" s="73">
        <f>Liabilities!F40</f>
        <v>1110</v>
      </c>
      <c r="G64" s="48">
        <f>Liabilities!G40</f>
        <v>1003</v>
      </c>
      <c r="H64" s="73">
        <f>Liabilities!H40</f>
        <v>482</v>
      </c>
      <c r="I64" s="48">
        <f>Liabilities!I40</f>
        <v>518</v>
      </c>
      <c r="J64" s="364">
        <f>Liabilities!J40</f>
        <v>518</v>
      </c>
      <c r="K64" s="364">
        <f>Liabilities!K40</f>
        <v>518</v>
      </c>
      <c r="L64" s="364">
        <f>Liabilities!L40</f>
        <v>518</v>
      </c>
      <c r="M64" s="364">
        <f>Liabilities!M40</f>
        <v>518</v>
      </c>
      <c r="N64" s="384">
        <f>Liabilities!N40</f>
        <v>518</v>
      </c>
    </row>
    <row r="65" spans="2:21" ht="15.75">
      <c r="B65" s="75" t="s">
        <v>104</v>
      </c>
      <c r="C65" s="15"/>
      <c r="D65" s="73">
        <f>Liabilities!D41</f>
        <v>417</v>
      </c>
      <c r="E65" s="73">
        <f>Liabilities!E41</f>
        <v>749</v>
      </c>
      <c r="F65" s="73">
        <f>Liabilities!F41</f>
        <v>677</v>
      </c>
      <c r="G65" s="73">
        <f>Liabilities!G41</f>
        <v>536</v>
      </c>
      <c r="H65" s="73">
        <f>Liabilities!H41</f>
        <v>686</v>
      </c>
      <c r="I65" s="48">
        <f>Liabilities!I41</f>
        <v>841</v>
      </c>
      <c r="J65" s="364">
        <f>Liabilities!J41</f>
        <v>841</v>
      </c>
      <c r="K65" s="364">
        <f>Liabilities!K41</f>
        <v>841</v>
      </c>
      <c r="L65" s="364">
        <f>Liabilities!L41</f>
        <v>841</v>
      </c>
      <c r="M65" s="364">
        <f>Liabilities!M41</f>
        <v>841</v>
      </c>
      <c r="N65" s="384">
        <f>Liabilities!N41</f>
        <v>841</v>
      </c>
    </row>
    <row r="66" spans="2:21" ht="15.75">
      <c r="B66" s="75" t="s">
        <v>105</v>
      </c>
      <c r="C66" s="15"/>
      <c r="D66" s="73">
        <f>Liabilities!D42</f>
        <v>779</v>
      </c>
      <c r="E66" s="73">
        <f>Liabilities!E42</f>
        <v>767</v>
      </c>
      <c r="F66" s="73">
        <f>Liabilities!F42</f>
        <v>590</v>
      </c>
      <c r="G66" s="73">
        <f>Liabilities!G42</f>
        <v>792</v>
      </c>
      <c r="H66" s="73">
        <f>Liabilities!H42</f>
        <v>977</v>
      </c>
      <c r="I66" s="48">
        <f>Liabilities!I42</f>
        <v>980</v>
      </c>
      <c r="J66" s="364">
        <f>Liabilities!J42</f>
        <v>980</v>
      </c>
      <c r="K66" s="364">
        <f>Liabilities!K42</f>
        <v>980</v>
      </c>
      <c r="L66" s="364">
        <f>Liabilities!L42</f>
        <v>980</v>
      </c>
      <c r="M66" s="364">
        <f>Liabilities!M42</f>
        <v>980</v>
      </c>
      <c r="N66" s="384">
        <f>Liabilities!N42</f>
        <v>980</v>
      </c>
    </row>
    <row r="67" spans="2:21" ht="15.75">
      <c r="B67" s="79" t="s">
        <v>24</v>
      </c>
      <c r="C67" s="66"/>
      <c r="D67" s="41">
        <f>SUM(D68:D75)</f>
        <v>27060</v>
      </c>
      <c r="E67" s="41">
        <f t="shared" ref="E67:N67" si="25">SUM(E68:E75)</f>
        <v>34155</v>
      </c>
      <c r="F67" s="41">
        <f t="shared" si="25"/>
        <v>42351</v>
      </c>
      <c r="G67" s="41">
        <f t="shared" si="25"/>
        <v>43558</v>
      </c>
      <c r="H67" s="41">
        <f t="shared" si="25"/>
        <v>46104</v>
      </c>
      <c r="I67" s="41">
        <f t="shared" si="25"/>
        <v>53001</v>
      </c>
      <c r="J67" s="41">
        <f t="shared" si="25"/>
        <v>54010.491799178082</v>
      </c>
      <c r="K67" s="41">
        <f t="shared" si="25"/>
        <v>54831.008848132878</v>
      </c>
      <c r="L67" s="41">
        <f t="shared" si="25"/>
        <v>55651.286426761653</v>
      </c>
      <c r="M67" s="41">
        <f t="shared" si="25"/>
        <v>56609.910323193093</v>
      </c>
      <c r="N67" s="69">
        <f t="shared" si="25"/>
        <v>57573.395390968712</v>
      </c>
      <c r="O67" s="362"/>
      <c r="P67" s="362"/>
      <c r="Q67" s="362"/>
      <c r="R67" s="362"/>
      <c r="S67" s="362"/>
      <c r="T67" s="362"/>
    </row>
    <row r="68" spans="2:21" ht="15.75">
      <c r="B68" s="75" t="s">
        <v>101</v>
      </c>
      <c r="C68" s="21"/>
      <c r="D68" s="73">
        <f>'Supporting Schedules'!D60</f>
        <v>7368</v>
      </c>
      <c r="E68" s="73">
        <f>'Supporting Schedules'!E60</f>
        <v>7442</v>
      </c>
      <c r="F68" s="73">
        <f>'Supporting Schedules'!F60</f>
        <v>9137</v>
      </c>
      <c r="G68" s="73">
        <f>'Supporting Schedules'!G60</f>
        <v>10553</v>
      </c>
      <c r="H68" s="73">
        <f>'Supporting Schedules'!H60</f>
        <v>9867</v>
      </c>
      <c r="I68" s="73">
        <f>'Supporting Schedules'!I60</f>
        <v>10096</v>
      </c>
      <c r="J68" s="499">
        <f>'Supporting Schedules'!J60</f>
        <v>10096</v>
      </c>
      <c r="K68" s="499">
        <f>'Supporting Schedules'!K60</f>
        <v>10096</v>
      </c>
      <c r="L68" s="499">
        <f>'Supporting Schedules'!L60</f>
        <v>10096</v>
      </c>
      <c r="M68" s="499">
        <f>'Supporting Schedules'!M60</f>
        <v>10096</v>
      </c>
      <c r="N68" s="500">
        <f>'Supporting Schedules'!N60</f>
        <v>10096</v>
      </c>
    </row>
    <row r="69" spans="2:21" ht="15.75">
      <c r="B69" s="75" t="s">
        <v>102</v>
      </c>
      <c r="C69" s="15"/>
      <c r="D69" s="529"/>
      <c r="E69" s="529"/>
      <c r="F69" s="529"/>
      <c r="G69" s="529"/>
      <c r="H69" s="529"/>
      <c r="I69" s="155"/>
      <c r="J69" s="527"/>
      <c r="K69" s="527"/>
      <c r="L69" s="527"/>
      <c r="M69" s="527"/>
      <c r="N69" s="528"/>
      <c r="O69" s="226"/>
      <c r="P69" s="372"/>
      <c r="Q69" s="226"/>
      <c r="R69" s="226"/>
      <c r="S69" s="226"/>
      <c r="T69" s="226"/>
      <c r="U69" s="346"/>
    </row>
    <row r="70" spans="2:21" ht="15.75">
      <c r="B70" s="75" t="s">
        <v>106</v>
      </c>
      <c r="C70" s="30"/>
      <c r="D70" s="45">
        <f>Liabilities!D12</f>
        <v>6740</v>
      </c>
      <c r="E70" s="73">
        <f>Liabilities!E12</f>
        <v>7860</v>
      </c>
      <c r="F70" s="73">
        <f>Liabilities!F12</f>
        <v>8045</v>
      </c>
      <c r="G70" s="73">
        <f>Liabilities!G12</f>
        <v>10515</v>
      </c>
      <c r="H70" s="73">
        <f>Liabilities!H12</f>
        <v>9981</v>
      </c>
      <c r="I70" s="48">
        <f>Liabilities!I12</f>
        <v>13909</v>
      </c>
      <c r="J70" s="364">
        <f>Liabilities!J12</f>
        <v>14918.491799178082</v>
      </c>
      <c r="K70" s="364">
        <f>Liabilities!K12</f>
        <v>15739.008848132877</v>
      </c>
      <c r="L70" s="364">
        <f>Liabilities!L12</f>
        <v>16559.286426761657</v>
      </c>
      <c r="M70" s="364">
        <f>Liabilities!M12</f>
        <v>17517.910323193093</v>
      </c>
      <c r="N70" s="384">
        <f>Liabilities!N12</f>
        <v>18481.395390968715</v>
      </c>
    </row>
    <row r="71" spans="2:21" ht="15.75">
      <c r="B71" s="75" t="s">
        <v>103</v>
      </c>
      <c r="C71" s="30"/>
      <c r="D71" s="45">
        <f>Liabilities!D13</f>
        <v>2915</v>
      </c>
      <c r="E71" s="73">
        <f>Liabilities!E13</f>
        <v>3650</v>
      </c>
      <c r="F71" s="73">
        <f>Liabilities!F13</f>
        <v>3635</v>
      </c>
      <c r="G71" s="73">
        <f>Liabilities!G13</f>
        <v>3843</v>
      </c>
      <c r="H71" s="73">
        <f>Liabilities!H13</f>
        <v>3640</v>
      </c>
      <c r="I71" s="48">
        <f>Liabilities!I13</f>
        <v>4028</v>
      </c>
      <c r="J71" s="364">
        <f>Liabilities!J13</f>
        <v>4028</v>
      </c>
      <c r="K71" s="364">
        <f>Liabilities!K13</f>
        <v>4028</v>
      </c>
      <c r="L71" s="364">
        <f>Liabilities!L13</f>
        <v>4028</v>
      </c>
      <c r="M71" s="364">
        <f>Liabilities!M13</f>
        <v>4028</v>
      </c>
      <c r="N71" s="384">
        <f>Liabilities!N13</f>
        <v>4028</v>
      </c>
    </row>
    <row r="72" spans="2:21" ht="15.75">
      <c r="B72" s="75" t="s">
        <v>107</v>
      </c>
      <c r="C72" s="30"/>
      <c r="D72" s="45">
        <f>Liabilities!D14</f>
        <v>3283</v>
      </c>
      <c r="E72" s="73">
        <f>Liabilities!E14</f>
        <v>4068</v>
      </c>
      <c r="F72" s="73">
        <f>Liabilities!F14</f>
        <v>8392</v>
      </c>
      <c r="G72" s="73">
        <f>Liabilities!G14</f>
        <v>4892</v>
      </c>
      <c r="H72" s="73">
        <f>Liabilities!H14</f>
        <v>6524</v>
      </c>
      <c r="I72" s="48">
        <f>Liabilities!I14</f>
        <v>7188</v>
      </c>
      <c r="J72" s="364">
        <f>Liabilities!J14</f>
        <v>7188</v>
      </c>
      <c r="K72" s="364">
        <f>Liabilities!K14</f>
        <v>7188</v>
      </c>
      <c r="L72" s="364">
        <f>Liabilities!L14</f>
        <v>7188</v>
      </c>
      <c r="M72" s="364">
        <f>Liabilities!M14</f>
        <v>7188</v>
      </c>
      <c r="N72" s="384">
        <f>Liabilities!N14</f>
        <v>7188</v>
      </c>
    </row>
    <row r="73" spans="2:21" ht="15.75">
      <c r="B73" s="75" t="s">
        <v>25</v>
      </c>
      <c r="C73" s="30"/>
      <c r="D73" s="45">
        <f>Liabilities!D20</f>
        <v>293</v>
      </c>
      <c r="E73" s="73">
        <f>Liabilities!E20</f>
        <v>1394</v>
      </c>
      <c r="F73" s="73">
        <f>Liabilities!F20</f>
        <v>1411</v>
      </c>
      <c r="G73" s="73">
        <f>Liabilities!G20</f>
        <v>345</v>
      </c>
      <c r="H73" s="73">
        <f>Liabilities!H20</f>
        <v>140</v>
      </c>
      <c r="I73" s="48">
        <f>Liabilities!I20</f>
        <v>180</v>
      </c>
      <c r="J73" s="364">
        <f>Liabilities!J20</f>
        <v>180</v>
      </c>
      <c r="K73" s="364">
        <f>Liabilities!K20</f>
        <v>180</v>
      </c>
      <c r="L73" s="364">
        <f>Liabilities!L20</f>
        <v>180</v>
      </c>
      <c r="M73" s="364">
        <f>Liabilities!M20</f>
        <v>180</v>
      </c>
      <c r="N73" s="384">
        <f>Liabilities!N20</f>
        <v>180</v>
      </c>
    </row>
    <row r="74" spans="2:21" ht="15.75">
      <c r="B74" s="60" t="s">
        <v>104</v>
      </c>
      <c r="C74" s="30"/>
      <c r="D74" s="45">
        <f>Liabilities!D21</f>
        <v>2749</v>
      </c>
      <c r="E74" s="73">
        <f>Liabilities!E21</f>
        <v>3498</v>
      </c>
      <c r="F74" s="73">
        <f>Liabilities!F21</f>
        <v>3810</v>
      </c>
      <c r="G74" s="73">
        <f>Liabilities!G21</f>
        <v>4065</v>
      </c>
      <c r="H74" s="73">
        <f>Liabilities!H21</f>
        <v>4519</v>
      </c>
      <c r="I74" s="48">
        <f>Liabilities!I21</f>
        <v>4885</v>
      </c>
      <c r="J74" s="364">
        <f>Liabilities!J21</f>
        <v>4885</v>
      </c>
      <c r="K74" s="364">
        <f>Liabilities!K21</f>
        <v>4885</v>
      </c>
      <c r="L74" s="364">
        <f>Liabilities!L21</f>
        <v>4885</v>
      </c>
      <c r="M74" s="364">
        <f>Liabilities!M21</f>
        <v>4885</v>
      </c>
      <c r="N74" s="384">
        <f>Liabilities!N21</f>
        <v>4885</v>
      </c>
    </row>
    <row r="75" spans="2:21" ht="15.75">
      <c r="B75" s="60" t="s">
        <v>108</v>
      </c>
      <c r="C75" s="30"/>
      <c r="D75" s="45">
        <f>Liabilities!D22</f>
        <v>3712</v>
      </c>
      <c r="E75" s="73">
        <f>Liabilities!E22</f>
        <v>6243</v>
      </c>
      <c r="F75" s="73">
        <f>Liabilities!F22</f>
        <v>7921</v>
      </c>
      <c r="G75" s="73">
        <f>Liabilities!G22</f>
        <v>9345</v>
      </c>
      <c r="H75" s="73">
        <f>Liabilities!H22</f>
        <v>11433</v>
      </c>
      <c r="I75" s="48">
        <f>Liabilities!I22</f>
        <v>12715</v>
      </c>
      <c r="J75" s="364">
        <f>Liabilities!J22</f>
        <v>12715</v>
      </c>
      <c r="K75" s="364">
        <f>Liabilities!K22</f>
        <v>12715</v>
      </c>
      <c r="L75" s="364">
        <f>Liabilities!L22</f>
        <v>12715</v>
      </c>
      <c r="M75" s="364">
        <f>Liabilities!M22</f>
        <v>12715</v>
      </c>
      <c r="N75" s="384">
        <f>Liabilities!N22</f>
        <v>12715</v>
      </c>
    </row>
    <row r="76" spans="2:21" ht="15.75">
      <c r="B76" s="65" t="s">
        <v>26</v>
      </c>
      <c r="C76" s="66"/>
      <c r="D76" s="40">
        <f>SUM(D67,D61)</f>
        <v>36150</v>
      </c>
      <c r="E76" s="40">
        <f>SUM(E67,E61)</f>
        <v>43651</v>
      </c>
      <c r="F76" s="40">
        <f t="shared" ref="F76:N76" si="26">SUM(F67,F61)</f>
        <v>51668</v>
      </c>
      <c r="G76" s="40">
        <f t="shared" si="26"/>
        <v>52445</v>
      </c>
      <c r="H76" s="40">
        <f t="shared" si="26"/>
        <v>55130</v>
      </c>
      <c r="I76" s="40">
        <f t="shared" si="26"/>
        <v>63858</v>
      </c>
      <c r="J76" s="41">
        <f t="shared" si="26"/>
        <v>64867.491799178082</v>
      </c>
      <c r="K76" s="41">
        <f t="shared" si="26"/>
        <v>65688.008848132886</v>
      </c>
      <c r="L76" s="41">
        <f t="shared" si="26"/>
        <v>66508.286426761653</v>
      </c>
      <c r="M76" s="41">
        <f t="shared" si="26"/>
        <v>67466.910323193093</v>
      </c>
      <c r="N76" s="69">
        <f t="shared" si="26"/>
        <v>68430.395390968712</v>
      </c>
      <c r="O76" s="362"/>
      <c r="P76" s="362"/>
      <c r="Q76" s="362"/>
      <c r="R76" s="362"/>
      <c r="S76" s="362"/>
      <c r="T76" s="362"/>
    </row>
    <row r="77" spans="2:21" ht="15.75">
      <c r="B77" s="60" t="s">
        <v>27</v>
      </c>
      <c r="C77" s="30"/>
      <c r="D77" s="45">
        <f>'Supporting Schedules'!D72</f>
        <v>375</v>
      </c>
      <c r="E77" s="45">
        <f>'Supporting Schedules'!E72</f>
        <v>370</v>
      </c>
      <c r="F77" s="45">
        <f>'Supporting Schedules'!F72</f>
        <v>366</v>
      </c>
      <c r="G77" s="45">
        <f>'Supporting Schedules'!G72</f>
        <v>366</v>
      </c>
      <c r="H77" s="45">
        <f>'Supporting Schedules'!H72</f>
        <v>362</v>
      </c>
      <c r="I77" s="45">
        <f>'Supporting Schedules'!I72</f>
        <v>362</v>
      </c>
      <c r="J77" s="365">
        <f>'Supporting Schedules'!J72</f>
        <v>362</v>
      </c>
      <c r="K77" s="365">
        <f>'Supporting Schedules'!K72</f>
        <v>362</v>
      </c>
      <c r="L77" s="365">
        <f>'Supporting Schedules'!L72</f>
        <v>362</v>
      </c>
      <c r="M77" s="365">
        <f>'Supporting Schedules'!M72</f>
        <v>362</v>
      </c>
      <c r="N77" s="381">
        <f>'Supporting Schedules'!N72</f>
        <v>362</v>
      </c>
    </row>
    <row r="78" spans="2:21" ht="15.75">
      <c r="B78" s="60" t="s">
        <v>28</v>
      </c>
      <c r="C78" s="30"/>
      <c r="D78" s="45">
        <f>'Supporting Schedules'!D73</f>
        <v>83751</v>
      </c>
      <c r="E78" s="45">
        <f>'Supporting Schedules'!E73</f>
        <v>86063</v>
      </c>
      <c r="F78" s="45">
        <f>'Supporting Schedules'!F73</f>
        <v>88773</v>
      </c>
      <c r="G78" s="45">
        <f>'Supporting Schedules'!G73</f>
        <v>90058</v>
      </c>
      <c r="H78" s="45">
        <f>'Supporting Schedules'!H73</f>
        <v>90127</v>
      </c>
      <c r="I78" s="45">
        <f>'Supporting Schedules'!I73</f>
        <v>94394</v>
      </c>
      <c r="J78" s="365">
        <f>I78+J26-J28</f>
        <v>101644.5021660909</v>
      </c>
      <c r="K78" s="365">
        <f>J78+K26-K28</f>
        <v>109125.57268825197</v>
      </c>
      <c r="L78" s="365">
        <f>K78+L26-L28</f>
        <v>116839.69638422958</v>
      </c>
      <c r="M78" s="365">
        <f>L78+M26-M28</f>
        <v>124788.11477566771</v>
      </c>
      <c r="N78" s="381">
        <f>M78+N26-N28</f>
        <v>132969.69376069153</v>
      </c>
    </row>
    <row r="79" spans="2:21" ht="31.5">
      <c r="B79" s="78" t="s">
        <v>29</v>
      </c>
      <c r="C79" s="32"/>
      <c r="D79" s="53">
        <f>SUM(D77:D78)</f>
        <v>84126</v>
      </c>
      <c r="E79" s="53">
        <f>SUM(E77:E78)</f>
        <v>86433</v>
      </c>
      <c r="F79" s="53">
        <f t="shared" ref="F79:N79" si="27">SUM(F77:F78)</f>
        <v>89139</v>
      </c>
      <c r="G79" s="53">
        <f t="shared" si="27"/>
        <v>90424</v>
      </c>
      <c r="H79" s="53">
        <f t="shared" si="27"/>
        <v>90489</v>
      </c>
      <c r="I79" s="53">
        <f t="shared" si="27"/>
        <v>94756</v>
      </c>
      <c r="J79" s="54">
        <f t="shared" si="27"/>
        <v>102006.5021660909</v>
      </c>
      <c r="K79" s="54">
        <f t="shared" si="27"/>
        <v>109487.57268825197</v>
      </c>
      <c r="L79" s="54">
        <f t="shared" si="27"/>
        <v>117201.69638422958</v>
      </c>
      <c r="M79" s="54">
        <f t="shared" si="27"/>
        <v>125150.11477566771</v>
      </c>
      <c r="N79" s="63">
        <f t="shared" si="27"/>
        <v>133331.69376069153</v>
      </c>
    </row>
    <row r="80" spans="2:21" ht="15.75">
      <c r="B80" s="60" t="s">
        <v>30</v>
      </c>
      <c r="C80" s="30"/>
      <c r="D80" s="45">
        <f>'Supporting Schedules'!D77</f>
        <v>623</v>
      </c>
      <c r="E80" s="45">
        <f>'Supporting Schedules'!E77</f>
        <v>675</v>
      </c>
      <c r="F80" s="20">
        <f>'Supporting Schedules'!F77</f>
        <v>707</v>
      </c>
      <c r="G80" s="45">
        <f>'Supporting Schedules'!G77</f>
        <v>782</v>
      </c>
      <c r="H80" s="45">
        <f>'Supporting Schedules'!H77</f>
        <v>830</v>
      </c>
      <c r="I80" s="45">
        <f>'Supporting Schedules'!I77</f>
        <v>1015</v>
      </c>
      <c r="J80" s="365">
        <f>I80</f>
        <v>1015</v>
      </c>
      <c r="K80" s="365">
        <f t="shared" ref="K80:N80" si="28">J80</f>
        <v>1015</v>
      </c>
      <c r="L80" s="365">
        <f t="shared" si="28"/>
        <v>1015</v>
      </c>
      <c r="M80" s="365">
        <f t="shared" si="28"/>
        <v>1015</v>
      </c>
      <c r="N80" s="381">
        <f t="shared" si="28"/>
        <v>1015</v>
      </c>
    </row>
    <row r="81" spans="2:27" ht="15.75">
      <c r="B81" s="62" t="s">
        <v>31</v>
      </c>
      <c r="C81" s="30"/>
      <c r="D81" s="53">
        <f>SUM(D79,D80)</f>
        <v>84749</v>
      </c>
      <c r="E81" s="53">
        <f>SUM(E79,E80)</f>
        <v>87108</v>
      </c>
      <c r="F81" s="53">
        <f t="shared" ref="F81:N81" si="29">SUM(F79,F80)</f>
        <v>89846</v>
      </c>
      <c r="G81" s="53">
        <f t="shared" si="29"/>
        <v>91206</v>
      </c>
      <c r="H81" s="53">
        <f t="shared" si="29"/>
        <v>91319</v>
      </c>
      <c r="I81" s="53">
        <f t="shared" si="29"/>
        <v>95771</v>
      </c>
      <c r="J81" s="53">
        <f t="shared" si="29"/>
        <v>103021.5021660909</v>
      </c>
      <c r="K81" s="53">
        <f t="shared" si="29"/>
        <v>110502.57268825197</v>
      </c>
      <c r="L81" s="53">
        <f t="shared" si="29"/>
        <v>118216.69638422958</v>
      </c>
      <c r="M81" s="53">
        <f t="shared" si="29"/>
        <v>126165.11477566771</v>
      </c>
      <c r="N81" s="76">
        <f t="shared" si="29"/>
        <v>134346.69376069153</v>
      </c>
    </row>
    <row r="82" spans="2:27" ht="16.5" thickBot="1">
      <c r="B82" s="70" t="s">
        <v>32</v>
      </c>
      <c r="C82" s="8"/>
      <c r="D82" s="39">
        <f>SUM(D81,D76)</f>
        <v>120899</v>
      </c>
      <c r="E82" s="39">
        <f>SUM(E81,E76)</f>
        <v>130759</v>
      </c>
      <c r="F82" s="39">
        <f t="shared" ref="F82:N82" si="30">SUM(F81,F76)</f>
        <v>141514</v>
      </c>
      <c r="G82" s="39">
        <f t="shared" si="30"/>
        <v>143651</v>
      </c>
      <c r="H82" s="39">
        <f t="shared" si="30"/>
        <v>146449</v>
      </c>
      <c r="I82" s="39">
        <f t="shared" si="30"/>
        <v>159629</v>
      </c>
      <c r="J82" s="31">
        <f>SUM(J81,J76)</f>
        <v>167888.99396526898</v>
      </c>
      <c r="K82" s="31">
        <f t="shared" si="30"/>
        <v>176190.58153638485</v>
      </c>
      <c r="L82" s="31">
        <f t="shared" si="30"/>
        <v>184724.98281099123</v>
      </c>
      <c r="M82" s="31">
        <f t="shared" si="30"/>
        <v>193632.02509886079</v>
      </c>
      <c r="N82" s="71">
        <f t="shared" si="30"/>
        <v>202777.08915166024</v>
      </c>
      <c r="O82" s="20"/>
      <c r="P82" s="20"/>
      <c r="Q82" s="20"/>
      <c r="R82" s="20"/>
      <c r="S82" s="20"/>
      <c r="T82" s="20"/>
      <c r="U82" s="361"/>
    </row>
    <row r="83" spans="2:27" ht="15.75">
      <c r="B83" s="23"/>
      <c r="C83" s="23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</row>
    <row r="84" spans="2:27" ht="15.75">
      <c r="B84" s="9" t="s">
        <v>33</v>
      </c>
      <c r="C84" s="9"/>
      <c r="D84" s="35">
        <f t="shared" ref="D84:N84" si="31">D82-D59</f>
        <v>0</v>
      </c>
      <c r="E84" s="35">
        <f t="shared" si="31"/>
        <v>0</v>
      </c>
      <c r="F84" s="35">
        <f t="shared" si="31"/>
        <v>0</v>
      </c>
      <c r="G84" s="35">
        <f t="shared" si="31"/>
        <v>0</v>
      </c>
      <c r="H84" s="35">
        <f t="shared" si="31"/>
        <v>0</v>
      </c>
      <c r="I84" s="35">
        <f t="shared" si="31"/>
        <v>0</v>
      </c>
      <c r="J84" s="35">
        <f t="shared" si="31"/>
        <v>0</v>
      </c>
      <c r="K84" s="35">
        <f t="shared" si="31"/>
        <v>0</v>
      </c>
      <c r="L84" s="35">
        <f t="shared" si="31"/>
        <v>0</v>
      </c>
      <c r="M84" s="35">
        <f t="shared" si="31"/>
        <v>0</v>
      </c>
      <c r="N84" s="35">
        <f t="shared" si="31"/>
        <v>0</v>
      </c>
    </row>
    <row r="85" spans="2:27" ht="21">
      <c r="B85" s="98" t="s">
        <v>34</v>
      </c>
      <c r="C85" s="95"/>
      <c r="D85" s="96"/>
      <c r="E85" s="97"/>
      <c r="F85" s="97"/>
      <c r="G85" s="97"/>
      <c r="H85" s="97"/>
      <c r="I85" s="97"/>
      <c r="J85" s="97"/>
      <c r="K85" s="97"/>
      <c r="L85" s="97"/>
      <c r="M85" s="97"/>
      <c r="N85" s="97"/>
    </row>
    <row r="86" spans="2:27" ht="15.75">
      <c r="B86" s="23"/>
      <c r="C86" s="23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Q86" s="23"/>
      <c r="R86" s="23"/>
      <c r="S86" s="23"/>
      <c r="T86" s="23"/>
      <c r="U86" s="23"/>
      <c r="V86" s="23"/>
    </row>
    <row r="87" spans="2:27" ht="15.75">
      <c r="B87" s="80" t="s">
        <v>35</v>
      </c>
      <c r="C87" s="37"/>
      <c r="D87" s="38"/>
      <c r="E87" s="36"/>
      <c r="F87" s="36"/>
      <c r="G87" s="36"/>
      <c r="H87" s="36"/>
      <c r="I87" s="36"/>
      <c r="J87" s="36"/>
      <c r="K87" s="36"/>
      <c r="L87" s="36"/>
      <c r="M87" s="36"/>
      <c r="N87" s="81"/>
    </row>
    <row r="88" spans="2:27" ht="15.75">
      <c r="B88" s="74" t="s">
        <v>36</v>
      </c>
      <c r="C88" s="23"/>
      <c r="D88" s="150"/>
      <c r="E88" s="150"/>
      <c r="F88" s="150"/>
      <c r="G88" s="150"/>
      <c r="H88" s="150"/>
      <c r="I88" s="150"/>
      <c r="J88" s="364">
        <f>J26</f>
        <v>51789.301186363635</v>
      </c>
      <c r="K88" s="364">
        <f t="shared" ref="K88:N88" si="32">K26</f>
        <v>53436.218015436054</v>
      </c>
      <c r="L88" s="364">
        <f t="shared" si="32"/>
        <v>55100.883542697266</v>
      </c>
      <c r="M88" s="364">
        <f t="shared" si="32"/>
        <v>56774.417081700965</v>
      </c>
      <c r="N88" s="384">
        <f t="shared" si="32"/>
        <v>58439.849893027233</v>
      </c>
      <c r="P88" s="20"/>
      <c r="Q88" s="20"/>
      <c r="R88" s="20"/>
      <c r="S88" s="20"/>
      <c r="T88" s="20"/>
      <c r="U88" s="20"/>
      <c r="V88" s="23"/>
      <c r="W88" s="23"/>
      <c r="X88" s="23"/>
      <c r="Y88" s="23"/>
      <c r="Z88" s="23"/>
      <c r="AA88" s="23"/>
    </row>
    <row r="89" spans="2:27" ht="15.75">
      <c r="B89" s="74" t="s">
        <v>37</v>
      </c>
      <c r="C89" s="23"/>
      <c r="D89" s="150"/>
      <c r="E89" s="150"/>
      <c r="F89" s="151"/>
      <c r="G89" s="151"/>
      <c r="H89" s="151"/>
      <c r="I89" s="151"/>
      <c r="J89" s="363">
        <f>J19</f>
        <v>5546.4189999999999</v>
      </c>
      <c r="K89" s="363">
        <f t="shared" ref="K89:N89" si="33">K19</f>
        <v>6133.0182100000002</v>
      </c>
      <c r="L89" s="363">
        <f t="shared" si="33"/>
        <v>6780.7308089000007</v>
      </c>
      <c r="M89" s="363">
        <f t="shared" si="33"/>
        <v>7502.6509536010017</v>
      </c>
      <c r="N89" s="385">
        <f t="shared" si="33"/>
        <v>8322.5554895060923</v>
      </c>
      <c r="P89" s="20"/>
      <c r="Q89" s="20"/>
      <c r="R89" s="20"/>
      <c r="S89" s="20"/>
      <c r="T89" s="20"/>
      <c r="U89" s="20"/>
      <c r="V89" s="23"/>
      <c r="W89" s="20"/>
      <c r="X89" s="20"/>
      <c r="Y89" s="20"/>
      <c r="Z89" s="20"/>
      <c r="AA89" s="20"/>
    </row>
    <row r="90" spans="2:27" ht="15.75">
      <c r="B90" s="74" t="s">
        <v>38</v>
      </c>
      <c r="C90" s="23"/>
      <c r="D90" s="150"/>
      <c r="E90" s="150"/>
      <c r="F90" s="150"/>
      <c r="G90" s="150"/>
      <c r="H90" s="150"/>
      <c r="I90" s="150"/>
      <c r="J90" s="364">
        <f>J21</f>
        <v>837.63</v>
      </c>
      <c r="K90" s="364">
        <f t="shared" ref="K90:N90" si="34">K21</f>
        <v>837.63</v>
      </c>
      <c r="L90" s="364">
        <f t="shared" si="34"/>
        <v>837.63</v>
      </c>
      <c r="M90" s="364">
        <f t="shared" si="34"/>
        <v>837.63</v>
      </c>
      <c r="N90" s="384">
        <f t="shared" si="34"/>
        <v>837.63</v>
      </c>
      <c r="P90" s="20"/>
      <c r="Q90" s="20"/>
      <c r="R90" s="20"/>
      <c r="S90" s="20"/>
      <c r="T90" s="20"/>
      <c r="U90" s="20"/>
      <c r="V90" s="23"/>
      <c r="W90" s="23"/>
      <c r="X90" s="23"/>
      <c r="Y90" s="23"/>
      <c r="Z90" s="23"/>
      <c r="AA90" s="23"/>
    </row>
    <row r="91" spans="2:27" ht="15.75">
      <c r="B91" s="74" t="s">
        <v>336</v>
      </c>
      <c r="C91" s="23"/>
      <c r="D91" s="150"/>
      <c r="E91" s="150"/>
      <c r="F91" s="150"/>
      <c r="G91" s="150"/>
      <c r="H91" s="150"/>
      <c r="I91" s="150"/>
      <c r="J91" s="364">
        <f>'Supporting Schedules'!J11</f>
        <v>-2001.1240469987606</v>
      </c>
      <c r="K91" s="364">
        <f>'Supporting Schedules'!K11</f>
        <v>-2279.2109125617517</v>
      </c>
      <c r="L91" s="364">
        <f>'Supporting Schedules'!L11</f>
        <v>-2247.3667585521562</v>
      </c>
      <c r="M91" s="364">
        <f>'Supporting Schedules'!M11</f>
        <v>-2645.4157534672595</v>
      </c>
      <c r="N91" s="384">
        <f>'Supporting Schedules'!N11</f>
        <v>-2624.3249205732973</v>
      </c>
      <c r="P91" s="20"/>
      <c r="Q91" s="20"/>
      <c r="R91" s="20"/>
      <c r="S91" s="20"/>
      <c r="T91" s="20"/>
      <c r="U91" s="20"/>
      <c r="V91" s="23"/>
      <c r="W91" s="23"/>
    </row>
    <row r="92" spans="2:27" ht="15.75">
      <c r="B92" s="74" t="s">
        <v>39</v>
      </c>
      <c r="C92" s="23"/>
      <c r="D92" s="150"/>
      <c r="E92" s="151"/>
      <c r="F92" s="151"/>
      <c r="G92" s="151"/>
      <c r="H92" s="151"/>
      <c r="I92" s="151"/>
      <c r="J92" s="364">
        <v>0</v>
      </c>
      <c r="K92" s="364">
        <v>0</v>
      </c>
      <c r="L92" s="364">
        <v>0</v>
      </c>
      <c r="M92" s="364">
        <v>0</v>
      </c>
      <c r="N92" s="384">
        <v>0</v>
      </c>
      <c r="P92" s="20"/>
      <c r="Q92" s="20"/>
      <c r="R92" s="20"/>
      <c r="S92" s="20"/>
      <c r="T92" s="20"/>
      <c r="U92" s="23"/>
      <c r="V92" s="23"/>
      <c r="W92" s="23"/>
    </row>
    <row r="93" spans="2:27" ht="15.75">
      <c r="B93" s="84" t="s">
        <v>40</v>
      </c>
      <c r="C93" s="85"/>
      <c r="D93" s="152"/>
      <c r="E93" s="152"/>
      <c r="F93" s="152"/>
      <c r="G93" s="152"/>
      <c r="H93" s="152"/>
      <c r="I93" s="152"/>
      <c r="J93" s="44">
        <f>SUM(J88:J92)</f>
        <v>56172.226139364873</v>
      </c>
      <c r="K93" s="44">
        <f t="shared" ref="K93:N93" si="35">SUM(K88:K92)</f>
        <v>58127.655312874303</v>
      </c>
      <c r="L93" s="44">
        <f t="shared" si="35"/>
        <v>60471.877593045108</v>
      </c>
      <c r="M93" s="44">
        <f t="shared" si="35"/>
        <v>62469.282281834705</v>
      </c>
      <c r="N93" s="67">
        <f t="shared" si="35"/>
        <v>64975.710461960029</v>
      </c>
      <c r="U93" s="23"/>
      <c r="V93" s="23"/>
      <c r="W93" s="23"/>
    </row>
    <row r="94" spans="2:27" ht="15.75">
      <c r="B94" s="74"/>
      <c r="C94" s="23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61"/>
      <c r="U94" s="23"/>
      <c r="V94" s="23"/>
      <c r="W94" s="23"/>
    </row>
    <row r="95" spans="2:27" ht="15.75">
      <c r="B95" s="82" t="s">
        <v>41</v>
      </c>
      <c r="C95" s="24"/>
      <c r="D95" s="27"/>
      <c r="E95" s="20"/>
      <c r="F95" s="20"/>
      <c r="G95" s="20"/>
      <c r="H95" s="20"/>
      <c r="I95" s="20"/>
      <c r="J95" s="20"/>
      <c r="K95" s="20"/>
      <c r="L95" s="20"/>
      <c r="M95" s="20"/>
      <c r="N95" s="61"/>
      <c r="U95" s="23"/>
      <c r="V95" s="23"/>
      <c r="W95" s="23"/>
    </row>
    <row r="96" spans="2:27" ht="15.75">
      <c r="B96" s="74" t="s">
        <v>42</v>
      </c>
      <c r="C96" s="23"/>
      <c r="D96" s="150"/>
      <c r="E96" s="150"/>
      <c r="F96" s="150"/>
      <c r="G96" s="150"/>
      <c r="H96" s="150"/>
      <c r="I96" s="150"/>
      <c r="J96" s="364">
        <f>-SUM('Supporting Schedules'!J17)</f>
        <v>-4521.3</v>
      </c>
      <c r="K96" s="364">
        <f>-SUM('Supporting Schedules'!K17)</f>
        <v>-4747.3650000000007</v>
      </c>
      <c r="L96" s="364">
        <f>-SUM('Supporting Schedules'!L17)</f>
        <v>-4984.7332500000011</v>
      </c>
      <c r="M96" s="364">
        <f>-SUM('Supporting Schedules'!M17)</f>
        <v>-5233.9699125000016</v>
      </c>
      <c r="N96" s="384">
        <f>-SUM('Supporting Schedules'!N17)</f>
        <v>-5495.6684081250023</v>
      </c>
      <c r="P96" s="597"/>
      <c r="Q96" s="598"/>
      <c r="R96" s="20"/>
      <c r="S96" s="20"/>
      <c r="T96" s="20"/>
      <c r="U96" s="23"/>
      <c r="V96" s="23"/>
      <c r="W96" s="23"/>
    </row>
    <row r="97" spans="2:23" ht="15.75">
      <c r="B97" s="74" t="s">
        <v>43</v>
      </c>
      <c r="C97" s="23"/>
      <c r="D97" s="150"/>
      <c r="E97" s="150"/>
      <c r="F97" s="150"/>
      <c r="G97" s="150"/>
      <c r="H97" s="150"/>
      <c r="I97" s="150"/>
      <c r="J97" s="364">
        <f>-SUM('Supporting Schedules'!J48)</f>
        <v>-3529.9</v>
      </c>
      <c r="K97" s="364">
        <f>-SUM('Supporting Schedules'!K48)</f>
        <v>-3882.8900000000003</v>
      </c>
      <c r="L97" s="364">
        <f>-SUM('Supporting Schedules'!L48)</f>
        <v>-4271.179000000001</v>
      </c>
      <c r="M97" s="364">
        <f>-SUM('Supporting Schedules'!M48)</f>
        <v>-4698.2969000000012</v>
      </c>
      <c r="N97" s="384">
        <f>-SUM('Supporting Schedules'!N48)</f>
        <v>-5168.1265900000017</v>
      </c>
      <c r="P97" s="20"/>
      <c r="Q97" s="20"/>
      <c r="R97" s="20"/>
      <c r="S97" s="20"/>
      <c r="T97" s="20"/>
      <c r="U97" s="23"/>
      <c r="V97" s="23"/>
      <c r="W97" s="23"/>
    </row>
    <row r="98" spans="2:23" ht="15.75">
      <c r="B98" s="74" t="s">
        <v>381</v>
      </c>
      <c r="C98" s="23"/>
      <c r="D98" s="150"/>
      <c r="E98" s="150"/>
      <c r="F98" s="150"/>
      <c r="G98" s="150"/>
      <c r="H98" s="150"/>
      <c r="I98" s="150"/>
      <c r="J98" s="364">
        <f>-SUM('Supporting Schedules'!J38)</f>
        <v>-196.5</v>
      </c>
      <c r="K98" s="364">
        <f>-SUM('Supporting Schedules'!K38)</f>
        <v>-294.75</v>
      </c>
      <c r="L98" s="364">
        <f>-SUM('Supporting Schedules'!L38)</f>
        <v>-442.125</v>
      </c>
      <c r="M98" s="364">
        <f>-SUM('Supporting Schedules'!M38)</f>
        <v>-663.1875</v>
      </c>
      <c r="N98" s="384">
        <f>-SUM('Supporting Schedules'!N38)</f>
        <v>-994.78125</v>
      </c>
      <c r="P98" s="20"/>
      <c r="Q98" s="20"/>
      <c r="R98" s="20"/>
      <c r="S98" s="20"/>
      <c r="T98" s="20"/>
      <c r="U98" s="23"/>
      <c r="V98" s="23"/>
      <c r="W98" s="23"/>
    </row>
    <row r="99" spans="2:23" ht="15.75">
      <c r="B99" s="74" t="s">
        <v>44</v>
      </c>
      <c r="C99" s="23"/>
      <c r="D99" s="150"/>
      <c r="E99" s="150"/>
      <c r="F99" s="150"/>
      <c r="G99" s="150"/>
      <c r="H99" s="150"/>
      <c r="I99" s="150"/>
      <c r="J99" s="364">
        <f>I38-J38</f>
        <v>-131.40999999999985</v>
      </c>
      <c r="K99" s="364">
        <f t="shared" ref="K99:N99" si="36">J38-K38</f>
        <v>-142.57984999999985</v>
      </c>
      <c r="L99" s="364">
        <f t="shared" si="36"/>
        <v>-154.69913724999992</v>
      </c>
      <c r="M99" s="364">
        <f t="shared" si="36"/>
        <v>-167.84856391624999</v>
      </c>
      <c r="N99" s="384">
        <f t="shared" si="36"/>
        <v>-182.11569184913105</v>
      </c>
      <c r="P99" s="20"/>
      <c r="Q99" s="20"/>
      <c r="R99" s="20"/>
      <c r="S99" s="20"/>
      <c r="T99" s="20"/>
      <c r="U99" s="23"/>
      <c r="V99" s="23"/>
      <c r="W99" s="23"/>
    </row>
    <row r="100" spans="2:23" ht="15.75">
      <c r="B100" s="84" t="s">
        <v>45</v>
      </c>
      <c r="C100" s="85"/>
      <c r="D100" s="152"/>
      <c r="E100" s="152"/>
      <c r="F100" s="152"/>
      <c r="G100" s="152"/>
      <c r="H100" s="152"/>
      <c r="I100" s="152"/>
      <c r="J100" s="44">
        <f>SUM(J96:J99)</f>
        <v>-8379.11</v>
      </c>
      <c r="K100" s="44">
        <f t="shared" ref="K100:N100" si="37">SUM(K96:K99)</f>
        <v>-9067.5848500000011</v>
      </c>
      <c r="L100" s="44">
        <f t="shared" si="37"/>
        <v>-9852.7363872500009</v>
      </c>
      <c r="M100" s="44">
        <f t="shared" si="37"/>
        <v>-10763.302876416252</v>
      </c>
      <c r="N100" s="67">
        <f t="shared" si="37"/>
        <v>-11840.691939974135</v>
      </c>
      <c r="P100" s="20"/>
      <c r="Q100" s="20"/>
      <c r="R100" s="20"/>
      <c r="S100" s="20"/>
      <c r="T100" s="20"/>
      <c r="U100" s="23"/>
      <c r="V100" s="23"/>
      <c r="W100" s="23"/>
    </row>
    <row r="101" spans="2:23" ht="15.75">
      <c r="B101" s="74"/>
      <c r="C101" s="23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61"/>
      <c r="U101" s="23"/>
      <c r="V101" s="23"/>
      <c r="W101" s="23"/>
    </row>
    <row r="102" spans="2:23" ht="15.75">
      <c r="B102" s="82" t="s">
        <v>46</v>
      </c>
      <c r="C102" s="24"/>
      <c r="D102" s="27"/>
      <c r="E102" s="20"/>
      <c r="F102" s="20"/>
      <c r="G102" s="20"/>
      <c r="H102" s="20"/>
      <c r="I102" s="20"/>
      <c r="J102" s="20"/>
      <c r="K102" s="20"/>
      <c r="L102" s="20"/>
      <c r="M102" s="20"/>
      <c r="N102" s="61"/>
      <c r="U102" s="23"/>
      <c r="V102" s="23"/>
      <c r="W102" s="23"/>
    </row>
    <row r="103" spans="2:23" ht="15.75">
      <c r="B103" s="74" t="s">
        <v>47</v>
      </c>
      <c r="C103" s="23"/>
      <c r="D103" s="153"/>
      <c r="E103" s="150"/>
      <c r="F103" s="150"/>
      <c r="G103" s="150"/>
      <c r="H103" s="150"/>
      <c r="I103" s="150"/>
      <c r="J103" s="364">
        <v>0</v>
      </c>
      <c r="K103" s="364">
        <v>0</v>
      </c>
      <c r="L103" s="364">
        <v>0</v>
      </c>
      <c r="M103" s="364">
        <v>0</v>
      </c>
      <c r="N103" s="384">
        <v>0</v>
      </c>
      <c r="P103" s="20"/>
      <c r="Q103" s="20"/>
      <c r="R103" s="20"/>
      <c r="S103" s="20"/>
      <c r="T103" s="20"/>
      <c r="U103" s="20"/>
      <c r="V103" s="23"/>
      <c r="W103" s="23"/>
    </row>
    <row r="104" spans="2:23" ht="15.75">
      <c r="B104" s="74" t="s">
        <v>48</v>
      </c>
      <c r="C104" s="23"/>
      <c r="D104" s="154"/>
      <c r="E104" s="154"/>
      <c r="F104" s="154"/>
      <c r="G104" s="154"/>
      <c r="H104" s="154"/>
      <c r="I104" s="154"/>
      <c r="J104" s="364">
        <f>-J28</f>
        <v>-44538.799020272723</v>
      </c>
      <c r="K104" s="364">
        <f t="shared" ref="K104:N104" si="38">-K28</f>
        <v>-45955.147493275006</v>
      </c>
      <c r="L104" s="364">
        <f t="shared" si="38"/>
        <v>-47386.759846719644</v>
      </c>
      <c r="M104" s="364">
        <f t="shared" si="38"/>
        <v>-48825.99869026283</v>
      </c>
      <c r="N104" s="384">
        <f t="shared" si="38"/>
        <v>-50258.270908003418</v>
      </c>
      <c r="P104" s="20"/>
      <c r="Q104" s="20"/>
      <c r="R104" s="20"/>
      <c r="S104" s="20"/>
      <c r="T104" s="20"/>
      <c r="U104" s="20"/>
      <c r="V104" s="23"/>
      <c r="W104" s="23"/>
    </row>
    <row r="105" spans="2:23" ht="15.75">
      <c r="B105" s="74" t="s">
        <v>49</v>
      </c>
      <c r="C105" s="23"/>
      <c r="D105" s="155"/>
      <c r="E105" s="155"/>
      <c r="F105" s="155"/>
      <c r="G105" s="155"/>
      <c r="H105" s="155"/>
      <c r="I105" s="155"/>
      <c r="J105" s="364">
        <f>-(J21)</f>
        <v>-837.63</v>
      </c>
      <c r="K105" s="364">
        <f t="shared" ref="K105:N105" si="39">-(K21)</f>
        <v>-837.63</v>
      </c>
      <c r="L105" s="364">
        <f t="shared" si="39"/>
        <v>-837.63</v>
      </c>
      <c r="M105" s="364">
        <f t="shared" si="39"/>
        <v>-837.63</v>
      </c>
      <c r="N105" s="384">
        <f t="shared" si="39"/>
        <v>-837.63</v>
      </c>
      <c r="P105" s="20"/>
      <c r="Q105" s="20"/>
      <c r="R105" s="20"/>
      <c r="S105" s="20"/>
      <c r="T105" s="20"/>
      <c r="U105" s="20"/>
      <c r="V105" s="23"/>
      <c r="W105" s="23"/>
    </row>
    <row r="106" spans="2:23" ht="15.75">
      <c r="B106" s="74" t="s">
        <v>50</v>
      </c>
      <c r="C106" s="23"/>
      <c r="D106" s="150"/>
      <c r="E106" s="150"/>
      <c r="F106" s="150"/>
      <c r="G106" s="150"/>
      <c r="H106" s="150"/>
      <c r="I106" s="150"/>
      <c r="J106" s="364">
        <v>0</v>
      </c>
      <c r="K106" s="364">
        <v>0</v>
      </c>
      <c r="L106" s="364">
        <v>0</v>
      </c>
      <c r="M106" s="364">
        <v>0</v>
      </c>
      <c r="N106" s="384">
        <v>0</v>
      </c>
      <c r="U106" s="23"/>
      <c r="V106" s="23"/>
      <c r="W106" s="23"/>
    </row>
    <row r="107" spans="2:23" ht="15.75">
      <c r="B107" s="84" t="s">
        <v>51</v>
      </c>
      <c r="C107" s="85"/>
      <c r="D107" s="152"/>
      <c r="E107" s="152"/>
      <c r="F107" s="152"/>
      <c r="G107" s="152"/>
      <c r="H107" s="152"/>
      <c r="I107" s="152"/>
      <c r="J107" s="44">
        <f>SUM(J103:J105)</f>
        <v>-45376.429020272721</v>
      </c>
      <c r="K107" s="44">
        <f t="shared" ref="K107:N107" si="40">SUM(K103:K105)</f>
        <v>-46792.777493275004</v>
      </c>
      <c r="L107" s="44">
        <f t="shared" si="40"/>
        <v>-48224.389846719641</v>
      </c>
      <c r="M107" s="44">
        <f t="shared" si="40"/>
        <v>-49663.628690262827</v>
      </c>
      <c r="N107" s="67">
        <f t="shared" si="40"/>
        <v>-51095.900908003416</v>
      </c>
      <c r="P107" s="20"/>
      <c r="Q107" s="20"/>
      <c r="R107" s="20"/>
      <c r="S107" s="20"/>
      <c r="T107" s="20"/>
      <c r="U107" s="20"/>
      <c r="V107" s="23"/>
      <c r="W107" s="23"/>
    </row>
    <row r="108" spans="2:23" ht="15.75">
      <c r="B108" s="74"/>
      <c r="C108" s="23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61"/>
      <c r="P108" s="23"/>
      <c r="Q108" s="23"/>
      <c r="R108" s="23"/>
      <c r="S108" s="23"/>
      <c r="T108" s="23"/>
      <c r="U108" s="23"/>
      <c r="V108" s="23"/>
      <c r="W108" s="23"/>
    </row>
    <row r="109" spans="2:23" ht="15.75">
      <c r="B109" s="83" t="s">
        <v>52</v>
      </c>
      <c r="C109" s="13"/>
      <c r="D109" s="156"/>
      <c r="E109" s="156"/>
      <c r="F109" s="156"/>
      <c r="G109" s="156"/>
      <c r="H109" s="156"/>
      <c r="I109" s="156"/>
      <c r="J109" s="376">
        <f>SUM(J107+J100+J93)</f>
        <v>2416.687119092152</v>
      </c>
      <c r="K109" s="376">
        <f t="shared" ref="K109:N109" si="41">SUM(K107+K100+K93)</f>
        <v>2267.2929695993007</v>
      </c>
      <c r="L109" s="376">
        <f t="shared" si="41"/>
        <v>2394.7513590754679</v>
      </c>
      <c r="M109" s="376">
        <f t="shared" si="41"/>
        <v>2042.3507151556259</v>
      </c>
      <c r="N109" s="387">
        <f t="shared" si="41"/>
        <v>2039.117613982482</v>
      </c>
      <c r="P109" s="20"/>
      <c r="Q109" s="20"/>
      <c r="R109" s="20"/>
      <c r="S109" s="20"/>
      <c r="T109" s="20"/>
      <c r="U109" s="23"/>
      <c r="V109" s="23"/>
      <c r="W109" s="23"/>
    </row>
    <row r="110" spans="2:23" ht="15.75">
      <c r="B110" s="83" t="s">
        <v>53</v>
      </c>
      <c r="C110" s="13"/>
      <c r="D110" s="157"/>
      <c r="E110" s="158"/>
      <c r="F110" s="158"/>
      <c r="G110" s="158"/>
      <c r="H110" s="158"/>
      <c r="I110" s="158"/>
      <c r="J110" s="376">
        <f>I112</f>
        <v>8342</v>
      </c>
      <c r="K110" s="376">
        <f t="shared" ref="K110:N110" si="42">J112</f>
        <v>10758.687119092152</v>
      </c>
      <c r="L110" s="376">
        <f t="shared" si="42"/>
        <v>13025.980088691453</v>
      </c>
      <c r="M110" s="376">
        <f t="shared" si="42"/>
        <v>15420.731447766921</v>
      </c>
      <c r="N110" s="387">
        <f t="shared" si="42"/>
        <v>17463.082162922547</v>
      </c>
      <c r="P110" s="20"/>
      <c r="Q110" s="23"/>
      <c r="R110" s="23"/>
      <c r="S110" s="23"/>
      <c r="T110" s="23"/>
      <c r="U110" s="23"/>
      <c r="V110" s="23"/>
      <c r="W110" s="23"/>
    </row>
    <row r="111" spans="2:23" ht="15.75">
      <c r="B111" s="83" t="s">
        <v>54</v>
      </c>
      <c r="C111" s="13"/>
      <c r="D111" s="157"/>
      <c r="E111" s="157"/>
      <c r="F111" s="154"/>
      <c r="G111" s="154"/>
      <c r="H111" s="154"/>
      <c r="I111" s="154"/>
      <c r="J111" s="364">
        <v>0</v>
      </c>
      <c r="K111" s="364">
        <v>0</v>
      </c>
      <c r="L111" s="364">
        <v>0</v>
      </c>
      <c r="M111" s="364">
        <v>0</v>
      </c>
      <c r="N111" s="384">
        <v>0</v>
      </c>
      <c r="P111" s="23"/>
      <c r="Q111" s="23"/>
      <c r="R111" s="23"/>
      <c r="S111" s="23"/>
      <c r="T111" s="23"/>
      <c r="U111" s="23"/>
      <c r="V111" s="23"/>
      <c r="W111" s="23"/>
    </row>
    <row r="112" spans="2:23" ht="16.5" thickBot="1">
      <c r="B112" s="87" t="s">
        <v>55</v>
      </c>
      <c r="C112" s="5"/>
      <c r="D112" s="159"/>
      <c r="E112" s="159"/>
      <c r="F112" s="159"/>
      <c r="G112" s="159"/>
      <c r="H112" s="159"/>
      <c r="I112" s="618">
        <v>8342</v>
      </c>
      <c r="J112" s="88">
        <f>SUM(J109:J110)</f>
        <v>10758.687119092152</v>
      </c>
      <c r="K112" s="88">
        <f t="shared" ref="K112:N112" si="43">SUM(K109:K110)</f>
        <v>13025.980088691453</v>
      </c>
      <c r="L112" s="88">
        <f t="shared" si="43"/>
        <v>15420.731447766921</v>
      </c>
      <c r="M112" s="88">
        <f t="shared" si="43"/>
        <v>17463.082162922547</v>
      </c>
      <c r="N112" s="89">
        <f t="shared" si="43"/>
        <v>19502.199776905029</v>
      </c>
      <c r="P112" s="23"/>
      <c r="Q112" s="23"/>
      <c r="R112" s="23"/>
      <c r="S112" s="23"/>
      <c r="T112" s="23"/>
      <c r="U112" s="23"/>
      <c r="V112" s="23"/>
      <c r="W112" s="23"/>
    </row>
    <row r="113" spans="16:20" ht="15.75">
      <c r="P113" s="23"/>
      <c r="Q113" s="23"/>
      <c r="R113" s="23"/>
      <c r="S113" s="23"/>
      <c r="T113" s="23"/>
    </row>
  </sheetData>
  <mergeCells count="3">
    <mergeCell ref="D2:I2"/>
    <mergeCell ref="J2:N2"/>
    <mergeCell ref="P9:V9"/>
  </mergeCells>
  <pageMargins left="0.7" right="0.7" top="0.75" bottom="0.75" header="0.3" footer="0.3"/>
  <pageSetup orientation="portrait" r:id="rId1"/>
  <ignoredErrors>
    <ignoredError sqref="G79" formulaRange="1"/>
    <ignoredError sqref="D21:I21 J21:N21 J49:N49 J41:N4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N103"/>
  <sheetViews>
    <sheetView showGridLines="0" zoomScale="85" zoomScaleNormal="85" workbookViewId="0">
      <pane xSplit="1" ySplit="2" topLeftCell="B84" activePane="bottomRight" state="frozen"/>
      <selection pane="topRight" activeCell="B1" sqref="B1"/>
      <selection pane="bottomLeft" activeCell="A3" sqref="A3"/>
      <selection pane="bottomRight" activeCell="N87" sqref="N87"/>
    </sheetView>
  </sheetViews>
  <sheetFormatPr defaultRowHeight="15" outlineLevelCol="1"/>
  <cols>
    <col min="1" max="1" width="3.5703125" customWidth="1"/>
    <col min="2" max="2" width="3.42578125" customWidth="1"/>
    <col min="3" max="3" width="15.42578125" customWidth="1"/>
    <col min="4" max="8" width="18.140625" hidden="1" customWidth="1" outlineLevel="1"/>
    <col min="9" max="9" width="16.42578125" hidden="1" customWidth="1" outlineLevel="1"/>
    <col min="10" max="10" width="17" customWidth="1" collapsed="1"/>
    <col min="11" max="14" width="18.140625" customWidth="1"/>
    <col min="15" max="15" width="9.140625" customWidth="1"/>
  </cols>
  <sheetData>
    <row r="1" spans="2:14" ht="8.4499999999999993" customHeight="1"/>
    <row r="2" spans="2:14" ht="18" customHeight="1">
      <c r="B2" s="389" t="s">
        <v>345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4" spans="2:14">
      <c r="C4" t="s">
        <v>346</v>
      </c>
      <c r="J4" s="410" t="s">
        <v>325</v>
      </c>
    </row>
    <row r="5" spans="2:14">
      <c r="C5" t="s">
        <v>198</v>
      </c>
      <c r="J5" s="411">
        <v>45901</v>
      </c>
    </row>
    <row r="6" spans="2:14">
      <c r="C6" t="s">
        <v>347</v>
      </c>
      <c r="J6" s="411">
        <v>46112</v>
      </c>
    </row>
    <row r="8" spans="2:14">
      <c r="C8" s="397" t="s">
        <v>348</v>
      </c>
      <c r="D8" s="357"/>
      <c r="E8" s="357"/>
      <c r="F8" s="357"/>
      <c r="G8" s="357"/>
      <c r="H8" s="357"/>
      <c r="I8" s="357"/>
      <c r="J8" s="357"/>
      <c r="K8" s="357"/>
      <c r="L8" s="357"/>
      <c r="M8" s="357"/>
      <c r="N8" s="357"/>
    </row>
    <row r="10" spans="2:14">
      <c r="C10" t="s">
        <v>324</v>
      </c>
      <c r="J10" s="413">
        <f>WACC!D21</f>
        <v>0.11195036266607072</v>
      </c>
    </row>
    <row r="11" spans="2:14">
      <c r="C11" t="s">
        <v>349</v>
      </c>
      <c r="J11" s="412">
        <v>4.4999999999999998E-2</v>
      </c>
    </row>
    <row r="13" spans="2:14">
      <c r="C13" s="397" t="s">
        <v>350</v>
      </c>
      <c r="D13" s="357"/>
      <c r="E13" s="357"/>
      <c r="F13" s="357"/>
      <c r="G13" s="357"/>
      <c r="H13" s="357"/>
      <c r="I13" s="357"/>
      <c r="J13" s="357"/>
      <c r="K13" s="357"/>
      <c r="L13" s="357"/>
      <c r="M13" s="357"/>
      <c r="N13" s="357"/>
    </row>
    <row r="15" spans="2:14">
      <c r="C15" s="398" t="s">
        <v>351</v>
      </c>
      <c r="D15" s="399">
        <v>2020</v>
      </c>
      <c r="E15" s="399">
        <f t="shared" ref="E15:N15" si="0">D15+1</f>
        <v>2021</v>
      </c>
      <c r="F15" s="399">
        <f t="shared" si="0"/>
        <v>2022</v>
      </c>
      <c r="G15" s="399">
        <f t="shared" si="0"/>
        <v>2023</v>
      </c>
      <c r="H15" s="399">
        <f t="shared" si="0"/>
        <v>2024</v>
      </c>
      <c r="I15" s="399">
        <f t="shared" si="0"/>
        <v>2025</v>
      </c>
      <c r="J15" s="400">
        <f t="shared" si="0"/>
        <v>2026</v>
      </c>
      <c r="K15" s="400">
        <f t="shared" si="0"/>
        <v>2027</v>
      </c>
      <c r="L15" s="400">
        <f t="shared" si="0"/>
        <v>2028</v>
      </c>
      <c r="M15" s="400">
        <f t="shared" si="0"/>
        <v>2029</v>
      </c>
      <c r="N15" s="400">
        <f t="shared" si="0"/>
        <v>2030</v>
      </c>
    </row>
    <row r="17" spans="3:14">
      <c r="C17" t="s">
        <v>376</v>
      </c>
      <c r="D17" s="414">
        <f>Model!D12</f>
        <v>156949</v>
      </c>
      <c r="E17" s="414">
        <f>Model!E12</f>
        <v>164177</v>
      </c>
      <c r="F17" s="414">
        <f>Model!F12</f>
        <v>191754</v>
      </c>
      <c r="G17" s="414">
        <f>Model!G12</f>
        <v>225458</v>
      </c>
      <c r="H17" s="414">
        <f>Model!H12</f>
        <v>240893</v>
      </c>
      <c r="I17" s="414">
        <f>Model!I12</f>
        <v>255324</v>
      </c>
      <c r="J17" s="416">
        <f>Model!J12</f>
        <v>266478.4092218182</v>
      </c>
      <c r="K17" s="416">
        <f>Model!K12</f>
        <v>279789.00576244807</v>
      </c>
      <c r="L17" s="416">
        <f>Model!L12</f>
        <v>293764.46660028235</v>
      </c>
      <c r="M17" s="416">
        <f>Model!M12</f>
        <v>308438.00170696649</v>
      </c>
      <c r="N17" s="416">
        <f>Model!N12</f>
        <v>323844.47989222949</v>
      </c>
    </row>
    <row r="18" spans="3:14">
      <c r="C18" s="104" t="s">
        <v>352</v>
      </c>
      <c r="D18" s="418" t="str">
        <f>IF(ISERROR(D17/#REF!-1),"--",D17/#REF!-1)</f>
        <v>--</v>
      </c>
      <c r="E18" s="419">
        <f>IF(ISERROR(E17/D17-1),"--",E17/D17-1)</f>
        <v>4.6053176509566862E-2</v>
      </c>
      <c r="F18" s="419">
        <f t="shared" ref="F18:N18" si="1">IF(ISERROR(F17/E17-1),"--",F17/E17-1)</f>
        <v>0.1679711530847805</v>
      </c>
      <c r="G18" s="419">
        <f t="shared" si="1"/>
        <v>0.17576686796624852</v>
      </c>
      <c r="H18" s="419">
        <f t="shared" si="1"/>
        <v>6.8460644554639849E-2</v>
      </c>
      <c r="I18" s="419">
        <f t="shared" si="1"/>
        <v>5.9906265437351891E-2</v>
      </c>
      <c r="J18" s="419">
        <f t="shared" si="1"/>
        <v>4.3687272727272797E-2</v>
      </c>
      <c r="K18" s="419">
        <f t="shared" si="1"/>
        <v>4.9950000000000161E-2</v>
      </c>
      <c r="L18" s="419">
        <f t="shared" si="1"/>
        <v>4.9949999999999939E-2</v>
      </c>
      <c r="M18" s="419">
        <f t="shared" si="1"/>
        <v>4.9950000000000161E-2</v>
      </c>
      <c r="N18" s="419">
        <f t="shared" si="1"/>
        <v>4.9950000000000161E-2</v>
      </c>
    </row>
    <row r="19" spans="3:14">
      <c r="C19" s="104" t="s">
        <v>353</v>
      </c>
      <c r="D19" s="420">
        <f t="shared" ref="D19:N19" si="2">D17/D$26</f>
        <v>0.97157378003107575</v>
      </c>
      <c r="E19" s="420">
        <f t="shared" si="2"/>
        <v>0.98126841630257422</v>
      </c>
      <c r="F19" s="420">
        <f t="shared" si="2"/>
        <v>0.97947612528860106</v>
      </c>
      <c r="G19" s="420">
        <f t="shared" si="2"/>
        <v>0.98493274561284716</v>
      </c>
      <c r="H19" s="420">
        <f t="shared" si="2"/>
        <v>0.98197419644131012</v>
      </c>
      <c r="I19" s="420">
        <f t="shared" si="2"/>
        <v>0.98471957606658289</v>
      </c>
      <c r="J19" s="420">
        <f t="shared" si="2"/>
        <v>0.98462857332475806</v>
      </c>
      <c r="K19" s="420">
        <f t="shared" si="2"/>
        <v>0.98462785256972973</v>
      </c>
      <c r="L19" s="420">
        <f t="shared" si="2"/>
        <v>0.98462713178143346</v>
      </c>
      <c r="M19" s="420">
        <f t="shared" si="2"/>
        <v>0.98462641095986758</v>
      </c>
      <c r="N19" s="420">
        <f t="shared" si="2"/>
        <v>0.98462569010503076</v>
      </c>
    </row>
    <row r="20" spans="3:14">
      <c r="D20" s="401"/>
      <c r="E20" s="401"/>
      <c r="F20" s="401"/>
      <c r="G20" s="401"/>
      <c r="H20" s="401"/>
      <c r="I20" s="401"/>
      <c r="J20" s="401"/>
      <c r="K20" s="401"/>
      <c r="L20" s="401"/>
      <c r="M20" s="401"/>
    </row>
    <row r="21" spans="3:14">
      <c r="C21" t="s">
        <v>137</v>
      </c>
      <c r="D21" s="415">
        <f>Model!D13</f>
        <v>4592</v>
      </c>
      <c r="E21" s="415">
        <f>Model!E13</f>
        <v>3134</v>
      </c>
      <c r="F21" s="415">
        <f>Model!F13</f>
        <v>4018</v>
      </c>
      <c r="G21" s="415">
        <f>Model!G13</f>
        <v>3449</v>
      </c>
      <c r="H21" s="415">
        <f>Model!H13</f>
        <v>4422</v>
      </c>
      <c r="I21" s="415">
        <f>Model!I13</f>
        <v>3962</v>
      </c>
      <c r="J21" s="417">
        <f>Model!J13</f>
        <v>4160.1000000000004</v>
      </c>
      <c r="K21" s="417">
        <f>Model!K13</f>
        <v>4368.1050000000005</v>
      </c>
      <c r="L21" s="417">
        <f>Model!L13</f>
        <v>4586.5102500000003</v>
      </c>
      <c r="M21" s="417">
        <f>Model!M13</f>
        <v>4815.8357625000008</v>
      </c>
      <c r="N21" s="417">
        <f>Model!N13</f>
        <v>5056.6275506250013</v>
      </c>
    </row>
    <row r="22" spans="3:14">
      <c r="C22" s="104" t="s">
        <v>352</v>
      </c>
      <c r="D22" s="419" t="str">
        <f>IF(ISERROR(D21/#REF!-1),"--",D21/#REF!-1)</f>
        <v>--</v>
      </c>
      <c r="E22" s="419">
        <f t="shared" ref="E22:N22" si="3">IF(ISERROR(E21/D21-1),"--",E21/D21-1)</f>
        <v>-0.31750871080139376</v>
      </c>
      <c r="F22" s="419">
        <f t="shared" si="3"/>
        <v>0.28206764518187621</v>
      </c>
      <c r="G22" s="419">
        <f t="shared" si="3"/>
        <v>-0.1416127426580388</v>
      </c>
      <c r="H22" s="419">
        <f t="shared" si="3"/>
        <v>0.28211075674108432</v>
      </c>
      <c r="I22" s="419">
        <f t="shared" si="3"/>
        <v>-0.10402532790592489</v>
      </c>
      <c r="J22" s="419">
        <f t="shared" si="3"/>
        <v>5.0000000000000044E-2</v>
      </c>
      <c r="K22" s="419">
        <f t="shared" si="3"/>
        <v>5.0000000000000044E-2</v>
      </c>
      <c r="L22" s="419">
        <f t="shared" si="3"/>
        <v>5.0000000000000044E-2</v>
      </c>
      <c r="M22" s="419">
        <f t="shared" si="3"/>
        <v>5.0000000000000044E-2</v>
      </c>
      <c r="N22" s="425">
        <f t="shared" si="3"/>
        <v>5.0000000000000044E-2</v>
      </c>
    </row>
    <row r="23" spans="3:14">
      <c r="C23" s="104" t="s">
        <v>353</v>
      </c>
      <c r="D23" s="420">
        <f t="shared" ref="D23:N23" si="4">D21/D$26</f>
        <v>2.8426219968924298E-2</v>
      </c>
      <c r="E23" s="420">
        <f t="shared" si="4"/>
        <v>1.8731583697425752E-2</v>
      </c>
      <c r="F23" s="420">
        <f t="shared" si="4"/>
        <v>2.0523874711398975E-2</v>
      </c>
      <c r="G23" s="420">
        <f t="shared" si="4"/>
        <v>1.5067254387152861E-2</v>
      </c>
      <c r="H23" s="420">
        <f t="shared" si="4"/>
        <v>1.8025803558689848E-2</v>
      </c>
      <c r="I23" s="420">
        <f t="shared" si="4"/>
        <v>1.5280423933417154E-2</v>
      </c>
      <c r="J23" s="420">
        <f t="shared" si="4"/>
        <v>1.5371426675242061E-2</v>
      </c>
      <c r="K23" s="420">
        <f t="shared" si="4"/>
        <v>1.5372147430270306E-2</v>
      </c>
      <c r="L23" s="420">
        <f t="shared" si="4"/>
        <v>1.5372868218566585E-2</v>
      </c>
      <c r="M23" s="420">
        <f t="shared" si="4"/>
        <v>1.5373589040132382E-2</v>
      </c>
      <c r="N23" s="425">
        <f t="shared" si="4"/>
        <v>1.5374309894969186E-2</v>
      </c>
    </row>
    <row r="24" spans="3:14">
      <c r="D24" s="401"/>
      <c r="E24" s="401"/>
      <c r="F24" s="401"/>
      <c r="G24" s="401"/>
      <c r="H24" s="401"/>
      <c r="I24" s="401"/>
      <c r="J24" s="401"/>
      <c r="K24" s="401"/>
      <c r="L24" s="401"/>
      <c r="M24" s="401"/>
    </row>
    <row r="25" spans="3:14">
      <c r="D25" s="401"/>
      <c r="E25" s="401"/>
      <c r="F25" s="401"/>
      <c r="G25" s="401"/>
      <c r="H25" s="401"/>
      <c r="I25" s="401"/>
      <c r="J25" s="401"/>
      <c r="K25" s="401"/>
      <c r="L25" s="401"/>
      <c r="M25" s="401"/>
    </row>
    <row r="26" spans="3:14">
      <c r="C26" s="402" t="s">
        <v>378</v>
      </c>
      <c r="D26" s="403">
        <f>SUM(D17,D21)</f>
        <v>161541</v>
      </c>
      <c r="E26" s="403">
        <f t="shared" ref="E26:M26" si="5">SUM(E17,E21)</f>
        <v>167311</v>
      </c>
      <c r="F26" s="403">
        <f t="shared" si="5"/>
        <v>195772</v>
      </c>
      <c r="G26" s="403">
        <f t="shared" si="5"/>
        <v>228907</v>
      </c>
      <c r="H26" s="403">
        <f t="shared" si="5"/>
        <v>245315</v>
      </c>
      <c r="I26" s="403">
        <f t="shared" si="5"/>
        <v>259286</v>
      </c>
      <c r="J26" s="403">
        <f t="shared" si="5"/>
        <v>270638.50922181818</v>
      </c>
      <c r="K26" s="403">
        <f t="shared" si="5"/>
        <v>284157.11076244805</v>
      </c>
      <c r="L26" s="403">
        <f t="shared" si="5"/>
        <v>298350.97685028234</v>
      </c>
      <c r="M26" s="403">
        <f t="shared" si="5"/>
        <v>313253.8374694665</v>
      </c>
      <c r="N26" s="404">
        <f>SUM(N17,N21)</f>
        <v>328901.1074428545</v>
      </c>
    </row>
    <row r="27" spans="3:14">
      <c r="C27" s="405" t="s">
        <v>352</v>
      </c>
      <c r="D27" s="406" t="str">
        <f>IF(ISERROR(D26/#REF!-1),"--",D26/#REF!-1)</f>
        <v>--</v>
      </c>
      <c r="E27" s="422">
        <f t="shared" ref="E27:G27" si="6">IF(ISERROR(E26/D26-1),"--",E26/D26-1)</f>
        <v>3.5718486328548238E-2</v>
      </c>
      <c r="F27" s="422">
        <f t="shared" si="6"/>
        <v>0.17010836107607985</v>
      </c>
      <c r="G27" s="422">
        <f t="shared" si="6"/>
        <v>0.16925300860184289</v>
      </c>
      <c r="H27" s="422">
        <f>IF(ISERROR(H26/G26-1),"--",H26/G26-1)</f>
        <v>7.1679765144796903E-2</v>
      </c>
      <c r="I27" s="422">
        <f t="shared" ref="I27:N27" si="7">IF(ISERROR(I26/H26-1),"--",I26/H26-1)</f>
        <v>5.6951266738682893E-2</v>
      </c>
      <c r="J27" s="422">
        <f>IF(ISERROR(J26/I26-1),"--",J26/I26-1)</f>
        <v>4.3783733876175956E-2</v>
      </c>
      <c r="K27" s="422">
        <f>IF(ISERROR(K26/J26-1),"--",K26/J26-1)</f>
        <v>4.9950768571333848E-2</v>
      </c>
      <c r="L27" s="422">
        <f t="shared" si="7"/>
        <v>4.9950768607371465E-2</v>
      </c>
      <c r="M27" s="423">
        <f t="shared" si="7"/>
        <v>4.9950768643411081E-2</v>
      </c>
      <c r="N27" s="424">
        <f t="shared" si="7"/>
        <v>4.9950768679452029E-2</v>
      </c>
    </row>
    <row r="28" spans="3:14">
      <c r="D28" s="390"/>
      <c r="E28" s="390"/>
      <c r="F28" s="390"/>
      <c r="G28" s="390"/>
      <c r="H28" s="390"/>
      <c r="I28" s="390"/>
    </row>
    <row r="29" spans="3:14">
      <c r="C29" s="398" t="s">
        <v>354</v>
      </c>
      <c r="D29" s="399">
        <f>D15</f>
        <v>2020</v>
      </c>
      <c r="E29" s="399">
        <v>2021</v>
      </c>
      <c r="F29" s="399">
        <v>2022</v>
      </c>
      <c r="G29" s="399">
        <v>2023</v>
      </c>
      <c r="H29" s="399">
        <v>2024</v>
      </c>
      <c r="I29" s="399">
        <v>2025</v>
      </c>
      <c r="J29" s="400">
        <v>2026</v>
      </c>
      <c r="K29" s="400">
        <v>2027</v>
      </c>
      <c r="L29" s="400">
        <v>2028</v>
      </c>
      <c r="M29" s="400">
        <v>2029</v>
      </c>
      <c r="N29" s="400">
        <f t="shared" ref="N29" si="8">M29+1</f>
        <v>2030</v>
      </c>
    </row>
    <row r="31" spans="3:14">
      <c r="C31" t="s">
        <v>354</v>
      </c>
      <c r="D31" s="415">
        <f>Model!D20</f>
        <v>43172</v>
      </c>
      <c r="E31" s="407">
        <f>Model!E20</f>
        <v>45615</v>
      </c>
      <c r="F31" s="407">
        <f>Model!F20</f>
        <v>52471</v>
      </c>
      <c r="G31" s="407">
        <f>Model!G20</f>
        <v>57686</v>
      </c>
      <c r="H31" s="407">
        <f>Model!H20</f>
        <v>63733</v>
      </c>
      <c r="I31" s="407">
        <f>Model!I20</f>
        <v>66127</v>
      </c>
      <c r="J31" s="417">
        <f>Model!J20</f>
        <v>69890.031581818184</v>
      </c>
      <c r="K31" s="417">
        <f>Model!K20</f>
        <v>72085.920687248072</v>
      </c>
      <c r="L31" s="417">
        <f>Model!L20</f>
        <v>74305.474723596359</v>
      </c>
      <c r="M31" s="417">
        <f>Model!M20</f>
        <v>76536.852775601292</v>
      </c>
      <c r="N31" s="417">
        <f>Model!N20</f>
        <v>78757.429857369643</v>
      </c>
    </row>
    <row r="32" spans="3:14">
      <c r="C32" s="104" t="s">
        <v>355</v>
      </c>
      <c r="D32" s="419">
        <f>D31/D26</f>
        <v>0.26725103843606268</v>
      </c>
      <c r="E32" s="419">
        <f t="shared" ref="E32:N32" si="9">E31/E26</f>
        <v>0.27263598926549959</v>
      </c>
      <c r="F32" s="419">
        <f t="shared" si="9"/>
        <v>0.26802096316122836</v>
      </c>
      <c r="G32" s="419">
        <f t="shared" si="9"/>
        <v>0.25200627329002606</v>
      </c>
      <c r="H32" s="419">
        <f t="shared" si="9"/>
        <v>0.25980066445182726</v>
      </c>
      <c r="I32" s="419">
        <f t="shared" si="9"/>
        <v>0.25503498067770725</v>
      </c>
      <c r="J32" s="419">
        <f t="shared" si="9"/>
        <v>0.25824126722681429</v>
      </c>
      <c r="K32" s="419">
        <f t="shared" si="9"/>
        <v>0.25368332502335667</v>
      </c>
      <c r="L32" s="419">
        <f t="shared" si="9"/>
        <v>0.24905390124090032</v>
      </c>
      <c r="M32" s="419">
        <f t="shared" si="9"/>
        <v>0.24432854005519244</v>
      </c>
      <c r="N32" s="425">
        <f t="shared" si="9"/>
        <v>0.23945626230843109</v>
      </c>
    </row>
    <row r="33" spans="3:14">
      <c r="D33" s="407"/>
      <c r="E33" s="407"/>
      <c r="F33" s="407"/>
      <c r="G33" s="407"/>
      <c r="H33" s="407"/>
      <c r="I33" s="407"/>
      <c r="J33" s="407"/>
      <c r="K33" s="407"/>
      <c r="L33" s="407"/>
      <c r="M33" s="407"/>
    </row>
    <row r="34" spans="3:14">
      <c r="C34" s="398" t="s">
        <v>323</v>
      </c>
      <c r="D34" s="399">
        <f>D15</f>
        <v>2020</v>
      </c>
      <c r="E34" s="399">
        <v>2021</v>
      </c>
      <c r="F34" s="399">
        <v>2022</v>
      </c>
      <c r="G34" s="399">
        <v>2023</v>
      </c>
      <c r="H34" s="399">
        <v>2024</v>
      </c>
      <c r="I34" s="399">
        <v>2025</v>
      </c>
      <c r="J34" s="400">
        <v>2026</v>
      </c>
      <c r="K34" s="400">
        <v>2027</v>
      </c>
      <c r="L34" s="400">
        <v>2028</v>
      </c>
      <c r="M34" s="400">
        <v>2029</v>
      </c>
      <c r="N34" s="400">
        <f t="shared" ref="N34" si="10">M34+1</f>
        <v>2030</v>
      </c>
    </row>
    <row r="36" spans="3:14">
      <c r="C36" t="s">
        <v>356</v>
      </c>
      <c r="D36" s="415">
        <f>Model!D25</f>
        <v>9801</v>
      </c>
      <c r="E36" s="415">
        <f>Model!E25</f>
        <v>11198</v>
      </c>
      <c r="F36" s="415">
        <f>Model!F25</f>
        <v>13238</v>
      </c>
      <c r="G36" s="415">
        <f>Model!G25</f>
        <v>14604</v>
      </c>
      <c r="H36" s="415">
        <f>Model!H25</f>
        <v>15898</v>
      </c>
      <c r="I36" s="415">
        <f>Model!I25</f>
        <v>16534</v>
      </c>
      <c r="J36" s="417">
        <f>Model!J25</f>
        <v>17263.100395454545</v>
      </c>
      <c r="K36" s="417">
        <f>Model!K25</f>
        <v>17812.072671812017</v>
      </c>
      <c r="L36" s="417">
        <f>Model!L25</f>
        <v>18366.961180899089</v>
      </c>
      <c r="M36" s="417">
        <f>Model!M25</f>
        <v>18924.805693900322</v>
      </c>
      <c r="N36" s="417">
        <f>Model!N25</f>
        <v>19479.94996434241</v>
      </c>
    </row>
    <row r="37" spans="3:14">
      <c r="C37" s="104" t="s">
        <v>357</v>
      </c>
      <c r="D37" s="419">
        <f>Model!D32</f>
        <v>0.23198731300889983</v>
      </c>
      <c r="E37" s="419">
        <f>Model!E32</f>
        <v>0.25589579524680073</v>
      </c>
      <c r="F37" s="420">
        <f>Model!F32</f>
        <v>0.25611855979259773</v>
      </c>
      <c r="G37" s="419">
        <f>Model!G32</f>
        <v>0.25662923717644576</v>
      </c>
      <c r="H37" s="419">
        <f>Model!H32</f>
        <v>0.25643176282723357</v>
      </c>
      <c r="I37" s="425">
        <f>Model!I32</f>
        <v>0.25308046715954141</v>
      </c>
      <c r="J37" s="425">
        <f>Model!J32</f>
        <v>0.25</v>
      </c>
      <c r="K37" s="425">
        <f>Model!K32</f>
        <v>0.25</v>
      </c>
      <c r="L37" s="425">
        <f>Model!L32</f>
        <v>0.25</v>
      </c>
      <c r="M37" s="425">
        <f>Model!M32</f>
        <v>0.25</v>
      </c>
      <c r="N37" s="421">
        <f>Model!N32</f>
        <v>0.25</v>
      </c>
    </row>
    <row r="39" spans="3:14">
      <c r="C39" s="398" t="s">
        <v>358</v>
      </c>
      <c r="D39" s="399">
        <f>D34</f>
        <v>2020</v>
      </c>
      <c r="E39" s="399">
        <f t="shared" ref="E39:N39" si="11">D39+1</f>
        <v>2021</v>
      </c>
      <c r="F39" s="399">
        <f t="shared" si="11"/>
        <v>2022</v>
      </c>
      <c r="G39" s="399">
        <f t="shared" si="11"/>
        <v>2023</v>
      </c>
      <c r="H39" s="399">
        <f t="shared" si="11"/>
        <v>2024</v>
      </c>
      <c r="I39" s="399">
        <f t="shared" si="11"/>
        <v>2025</v>
      </c>
      <c r="J39" s="400">
        <f t="shared" si="11"/>
        <v>2026</v>
      </c>
      <c r="K39" s="400">
        <f t="shared" si="11"/>
        <v>2027</v>
      </c>
      <c r="L39" s="400">
        <f t="shared" si="11"/>
        <v>2028</v>
      </c>
      <c r="M39" s="400">
        <f t="shared" si="11"/>
        <v>2029</v>
      </c>
      <c r="N39" s="400">
        <f t="shared" si="11"/>
        <v>2030</v>
      </c>
    </row>
    <row r="41" spans="3:14">
      <c r="C41" t="s">
        <v>359</v>
      </c>
      <c r="D41" s="427"/>
      <c r="E41" s="427"/>
      <c r="F41" s="427"/>
      <c r="G41" s="427"/>
      <c r="H41" s="427"/>
      <c r="I41" s="427"/>
      <c r="J41" s="416">
        <f>Model!J19</f>
        <v>5546.4189999999999</v>
      </c>
      <c r="K41" s="416">
        <f>Model!K19</f>
        <v>6133.0182100000002</v>
      </c>
      <c r="L41" s="416">
        <f>Model!L19</f>
        <v>6780.7308089000007</v>
      </c>
      <c r="M41" s="416">
        <f>Model!M19</f>
        <v>7502.6509536010017</v>
      </c>
      <c r="N41" s="416">
        <f>Model!N19</f>
        <v>8322.5554895060923</v>
      </c>
    </row>
    <row r="42" spans="3:14">
      <c r="C42" s="104" t="s">
        <v>355</v>
      </c>
      <c r="D42" s="429"/>
      <c r="E42" s="429"/>
      <c r="F42" s="429"/>
      <c r="G42" s="429"/>
      <c r="H42" s="429"/>
      <c r="I42" s="429"/>
      <c r="J42" s="430">
        <f>J41/J26</f>
        <v>2.0493827785069921E-2</v>
      </c>
      <c r="K42" s="106">
        <f t="shared" ref="K42:N42" si="12">K41/K26</f>
        <v>2.1583194569876979E-2</v>
      </c>
      <c r="L42" s="106">
        <f t="shared" si="12"/>
        <v>2.2727362519421843E-2</v>
      </c>
      <c r="M42" s="106">
        <f t="shared" si="12"/>
        <v>2.3950707241798118E-2</v>
      </c>
      <c r="N42" s="106">
        <f t="shared" si="12"/>
        <v>2.530412729288882E-2</v>
      </c>
    </row>
    <row r="43" spans="3:14">
      <c r="C43" s="104" t="s">
        <v>360</v>
      </c>
      <c r="D43" s="429"/>
      <c r="E43" s="429"/>
      <c r="F43" s="429"/>
      <c r="G43" s="429"/>
      <c r="H43" s="429"/>
      <c r="I43" s="429"/>
      <c r="J43" s="430">
        <f>J41/J45</f>
        <v>0.67783005666896012</v>
      </c>
      <c r="K43" s="430">
        <f t="shared" ref="K43:N43" si="13">K41/K45</f>
        <v>0.69909194859629664</v>
      </c>
      <c r="L43" s="430">
        <f t="shared" si="13"/>
        <v>0.72054094360828636</v>
      </c>
      <c r="M43" s="430">
        <f t="shared" si="13"/>
        <v>0.74282824244955414</v>
      </c>
      <c r="N43" s="430">
        <f t="shared" si="13"/>
        <v>0.76734501393224541</v>
      </c>
    </row>
    <row r="45" spans="3:14">
      <c r="C45" t="s">
        <v>361</v>
      </c>
      <c r="D45" s="426"/>
      <c r="E45" s="426"/>
      <c r="F45" s="426"/>
      <c r="G45" s="426"/>
      <c r="H45" s="426"/>
      <c r="I45" s="427"/>
      <c r="J45" s="416">
        <f>(Model!J96+Model!J97+Model!J99)*-1</f>
        <v>8182.6100000000006</v>
      </c>
      <c r="K45" s="416">
        <f>(Model!K96+Model!K97+Model!K99)*-1</f>
        <v>8772.8348500000011</v>
      </c>
      <c r="L45" s="416">
        <f>(Model!L96+Model!L97+Model!L99)*-1</f>
        <v>9410.6113872500009</v>
      </c>
      <c r="M45" s="416">
        <f>(Model!M96+Model!M97+Model!M99)*-1</f>
        <v>10100.115376416252</v>
      </c>
      <c r="N45" s="416">
        <f>(Model!N96+Model!N97+Model!N99)*-1</f>
        <v>10845.910689974135</v>
      </c>
    </row>
    <row r="46" spans="3:14">
      <c r="C46" s="104" t="s">
        <v>355</v>
      </c>
      <c r="D46" s="428"/>
      <c r="E46" s="428"/>
      <c r="F46" s="428"/>
      <c r="G46" s="428"/>
      <c r="H46" s="428"/>
      <c r="I46" s="429"/>
      <c r="J46" s="430">
        <f>J45/J26</f>
        <v>3.0234463024230773E-2</v>
      </c>
      <c r="K46" s="106">
        <f t="shared" ref="K46:N46" si="14">K45/K26</f>
        <v>3.0873184297450104E-2</v>
      </c>
      <c r="L46" s="106">
        <f t="shared" si="14"/>
        <v>3.1542083376426847E-2</v>
      </c>
      <c r="M46" s="106">
        <f t="shared" si="14"/>
        <v>3.2242591050143897E-2</v>
      </c>
      <c r="N46" s="106">
        <f t="shared" si="14"/>
        <v>3.2976206052631116E-2</v>
      </c>
    </row>
    <row r="48" spans="3:14">
      <c r="C48" t="s">
        <v>60</v>
      </c>
      <c r="D48" s="426"/>
      <c r="E48" s="426"/>
      <c r="F48" s="426"/>
      <c r="G48" s="426"/>
      <c r="H48" s="426"/>
      <c r="I48" s="427"/>
      <c r="J48" s="431">
        <f>Model!J91</f>
        <v>-2001.1240469987606</v>
      </c>
      <c r="K48" s="432">
        <f>Model!K91</f>
        <v>-2279.2109125617517</v>
      </c>
      <c r="L48" s="432">
        <f>Model!L91</f>
        <v>-2247.3667585521562</v>
      </c>
      <c r="M48" s="432">
        <f>Model!M91</f>
        <v>-2645.4157534672595</v>
      </c>
      <c r="N48" s="432">
        <f>Model!N91</f>
        <v>-2624.3249205732973</v>
      </c>
    </row>
    <row r="49" spans="3:14">
      <c r="C49" s="104" t="s">
        <v>355</v>
      </c>
      <c r="D49" s="428"/>
      <c r="E49" s="428"/>
      <c r="F49" s="428"/>
      <c r="G49" s="428"/>
      <c r="H49" s="428"/>
      <c r="I49" s="429"/>
      <c r="J49" s="434">
        <f>J48/J26</f>
        <v>-7.3940846509711524E-3</v>
      </c>
      <c r="K49" s="434">
        <f t="shared" ref="K49:N49" si="15">K48/K26</f>
        <v>-8.0209532904040003E-3</v>
      </c>
      <c r="L49" s="434">
        <f t="shared" si="15"/>
        <v>-7.5326274519956528E-3</v>
      </c>
      <c r="M49" s="434">
        <f t="shared" si="15"/>
        <v>-8.4449588066901615E-3</v>
      </c>
      <c r="N49" s="434">
        <f t="shared" si="15"/>
        <v>-7.9790698820595037E-3</v>
      </c>
    </row>
    <row r="50" spans="3:14">
      <c r="C50" s="104" t="s">
        <v>362</v>
      </c>
      <c r="D50" s="428"/>
      <c r="E50" s="428"/>
      <c r="F50" s="428"/>
      <c r="G50" s="428"/>
      <c r="H50" s="428"/>
      <c r="I50" s="429"/>
      <c r="J50" s="434">
        <f>J48/(J26-I26)</f>
        <v>-0.17627151917682099</v>
      </c>
      <c r="K50" s="434">
        <f t="shared" ref="K50:N50" si="16">K48/(K26-J26)</f>
        <v>-0.16859812797289955</v>
      </c>
      <c r="L50" s="434">
        <f t="shared" si="16"/>
        <v>-0.15833365938814917</v>
      </c>
      <c r="M50" s="434">
        <f t="shared" si="16"/>
        <v>-0.17751060155939918</v>
      </c>
      <c r="N50" s="434">
        <f t="shared" si="16"/>
        <v>-0.16771775044698545</v>
      </c>
    </row>
    <row r="52" spans="3:14">
      <c r="C52" s="397" t="s">
        <v>345</v>
      </c>
      <c r="D52" s="357"/>
      <c r="E52" s="357"/>
      <c r="F52" s="357"/>
      <c r="G52" s="357"/>
      <c r="H52" s="357"/>
      <c r="I52" s="357"/>
      <c r="J52" s="357"/>
      <c r="K52" s="357"/>
      <c r="L52" s="357"/>
      <c r="M52" s="357"/>
      <c r="N52" s="357"/>
    </row>
    <row r="54" spans="3:14">
      <c r="C54" s="398" t="s">
        <v>377</v>
      </c>
      <c r="D54" s="399">
        <f>D15</f>
        <v>2020</v>
      </c>
      <c r="E54" s="399">
        <f t="shared" ref="E54:N54" si="17">D54+1</f>
        <v>2021</v>
      </c>
      <c r="F54" s="399">
        <f t="shared" si="17"/>
        <v>2022</v>
      </c>
      <c r="G54" s="399">
        <f t="shared" si="17"/>
        <v>2023</v>
      </c>
      <c r="H54" s="399">
        <f t="shared" si="17"/>
        <v>2024</v>
      </c>
      <c r="I54" s="399">
        <f t="shared" si="17"/>
        <v>2025</v>
      </c>
      <c r="J54" s="400">
        <f t="shared" si="17"/>
        <v>2026</v>
      </c>
      <c r="K54" s="400">
        <f t="shared" si="17"/>
        <v>2027</v>
      </c>
      <c r="L54" s="400">
        <f t="shared" si="17"/>
        <v>2028</v>
      </c>
      <c r="M54" s="400">
        <f t="shared" si="17"/>
        <v>2029</v>
      </c>
      <c r="N54" s="400">
        <f t="shared" si="17"/>
        <v>2030</v>
      </c>
    </row>
    <row r="56" spans="3:14">
      <c r="C56" t="s">
        <v>351</v>
      </c>
      <c r="D56" s="427"/>
      <c r="E56" s="427"/>
      <c r="F56" s="427"/>
      <c r="G56" s="427"/>
      <c r="H56" s="427"/>
      <c r="I56" s="427"/>
      <c r="J56" s="433">
        <f>J26</f>
        <v>270638.50922181818</v>
      </c>
      <c r="K56" s="433">
        <f t="shared" ref="K56:N56" si="18">K26</f>
        <v>284157.11076244805</v>
      </c>
      <c r="L56" s="433">
        <f t="shared" si="18"/>
        <v>298350.97685028234</v>
      </c>
      <c r="M56" s="433">
        <f t="shared" si="18"/>
        <v>313253.8374694665</v>
      </c>
      <c r="N56" s="433">
        <f t="shared" si="18"/>
        <v>328901.1074428545</v>
      </c>
    </row>
    <row r="57" spans="3:14">
      <c r="C57" s="104" t="s">
        <v>352</v>
      </c>
      <c r="D57" s="429"/>
      <c r="E57" s="429"/>
      <c r="F57" s="429"/>
      <c r="G57" s="429"/>
      <c r="H57" s="429"/>
      <c r="I57" s="429"/>
      <c r="J57" s="430">
        <f>J27</f>
        <v>4.3783733876175956E-2</v>
      </c>
      <c r="K57" s="106">
        <f t="shared" ref="K57:N57" si="19">K27</f>
        <v>4.9950768571333848E-2</v>
      </c>
      <c r="L57" s="106">
        <f t="shared" si="19"/>
        <v>4.9950768607371465E-2</v>
      </c>
      <c r="M57" s="106">
        <f t="shared" si="19"/>
        <v>4.9950768643411081E-2</v>
      </c>
      <c r="N57" s="106">
        <f t="shared" si="19"/>
        <v>4.9950768679452029E-2</v>
      </c>
    </row>
    <row r="59" spans="3:14">
      <c r="C59" t="s">
        <v>354</v>
      </c>
      <c r="D59" s="427"/>
      <c r="E59" s="427"/>
      <c r="F59" s="427"/>
      <c r="G59" s="427"/>
      <c r="H59" s="427"/>
      <c r="I59" s="427"/>
      <c r="J59" s="417">
        <f>J31</f>
        <v>69890.031581818184</v>
      </c>
      <c r="K59" s="417">
        <f t="shared" ref="K59:N59" si="20">K31</f>
        <v>72085.920687248072</v>
      </c>
      <c r="L59" s="417">
        <f t="shared" si="20"/>
        <v>74305.474723596359</v>
      </c>
      <c r="M59" s="417">
        <f t="shared" si="20"/>
        <v>76536.852775601292</v>
      </c>
      <c r="N59" s="417">
        <f t="shared" si="20"/>
        <v>78757.429857369643</v>
      </c>
    </row>
    <row r="60" spans="3:14">
      <c r="C60" s="104" t="s">
        <v>355</v>
      </c>
      <c r="D60" s="429"/>
      <c r="E60" s="429"/>
      <c r="F60" s="429"/>
      <c r="G60" s="429"/>
      <c r="H60" s="429"/>
      <c r="I60" s="429"/>
      <c r="J60" s="425">
        <f>J32</f>
        <v>0.25824126722681429</v>
      </c>
      <c r="K60" s="425">
        <f t="shared" ref="K60:N60" si="21">K32</f>
        <v>0.25368332502335667</v>
      </c>
      <c r="L60" s="425">
        <f t="shared" si="21"/>
        <v>0.24905390124090032</v>
      </c>
      <c r="M60" s="425">
        <f t="shared" si="21"/>
        <v>0.24432854005519244</v>
      </c>
      <c r="N60" s="425">
        <f t="shared" si="21"/>
        <v>0.23945626230843109</v>
      </c>
    </row>
    <row r="62" spans="3:14">
      <c r="C62" t="s">
        <v>356</v>
      </c>
      <c r="D62" s="427"/>
      <c r="E62" s="427"/>
      <c r="F62" s="427"/>
      <c r="G62" s="427"/>
      <c r="H62" s="427"/>
      <c r="I62" s="427"/>
      <c r="J62" s="417">
        <f>J36</f>
        <v>17263.100395454545</v>
      </c>
      <c r="K62" s="417">
        <f t="shared" ref="K62:N62" si="22">K36</f>
        <v>17812.072671812017</v>
      </c>
      <c r="L62" s="417">
        <f t="shared" si="22"/>
        <v>18366.961180899089</v>
      </c>
      <c r="M62" s="417">
        <f t="shared" si="22"/>
        <v>18924.805693900322</v>
      </c>
      <c r="N62" s="417">
        <f t="shared" si="22"/>
        <v>19479.94996434241</v>
      </c>
    </row>
    <row r="63" spans="3:14">
      <c r="C63" s="104" t="s">
        <v>357</v>
      </c>
      <c r="D63" s="429"/>
      <c r="E63" s="429"/>
      <c r="F63" s="429"/>
      <c r="G63" s="429"/>
      <c r="H63" s="429"/>
      <c r="I63" s="429"/>
      <c r="J63" s="430">
        <f>J37</f>
        <v>0.25</v>
      </c>
      <c r="K63" s="106">
        <f t="shared" ref="K63:N63" si="23">K37</f>
        <v>0.25</v>
      </c>
      <c r="L63" s="106">
        <f t="shared" si="23"/>
        <v>0.25</v>
      </c>
      <c r="M63" s="106">
        <f t="shared" si="23"/>
        <v>0.25</v>
      </c>
      <c r="N63" s="106">
        <f t="shared" si="23"/>
        <v>0.25</v>
      </c>
    </row>
    <row r="65" spans="3:14">
      <c r="C65" s="436" t="s">
        <v>363</v>
      </c>
      <c r="D65" s="437"/>
      <c r="E65" s="437"/>
      <c r="F65" s="437"/>
      <c r="G65" s="437"/>
      <c r="H65" s="438"/>
      <c r="I65" s="438"/>
      <c r="J65" s="438">
        <f>J59-J62</f>
        <v>52626.931186363639</v>
      </c>
      <c r="K65" s="438">
        <f t="shared" ref="K65:M65" si="24">K59-K62</f>
        <v>54273.848015436059</v>
      </c>
      <c r="L65" s="438">
        <f t="shared" si="24"/>
        <v>55938.51354269727</v>
      </c>
      <c r="M65" s="438">
        <f t="shared" si="24"/>
        <v>57612.04708170097</v>
      </c>
      <c r="N65" s="439">
        <f>N59-N62</f>
        <v>59277.479893027237</v>
      </c>
    </row>
    <row r="67" spans="3:14">
      <c r="C67" t="s">
        <v>359</v>
      </c>
      <c r="D67" s="427"/>
      <c r="E67" s="427"/>
      <c r="F67" s="427"/>
      <c r="G67" s="427"/>
      <c r="H67" s="427"/>
      <c r="I67" s="427"/>
      <c r="J67" s="435">
        <f>J41</f>
        <v>5546.4189999999999</v>
      </c>
      <c r="K67" s="435">
        <f t="shared" ref="K67:N67" si="25">K41</f>
        <v>6133.0182100000002</v>
      </c>
      <c r="L67" s="435">
        <f t="shared" si="25"/>
        <v>6780.7308089000007</v>
      </c>
      <c r="M67" s="435">
        <f t="shared" si="25"/>
        <v>7502.6509536010017</v>
      </c>
      <c r="N67" s="435">
        <f t="shared" si="25"/>
        <v>8322.5554895060923</v>
      </c>
    </row>
    <row r="68" spans="3:14">
      <c r="C68" s="105" t="s">
        <v>355</v>
      </c>
      <c r="D68" s="427"/>
      <c r="E68" s="427"/>
      <c r="F68" s="427"/>
      <c r="G68" s="427"/>
      <c r="H68" s="427"/>
      <c r="I68" s="427"/>
      <c r="J68" s="106">
        <f>J42</f>
        <v>2.0493827785069921E-2</v>
      </c>
      <c r="K68" s="106">
        <f t="shared" ref="K68:N68" si="26">K42</f>
        <v>2.1583194569876979E-2</v>
      </c>
      <c r="L68" s="106">
        <f t="shared" si="26"/>
        <v>2.2727362519421843E-2</v>
      </c>
      <c r="M68" s="106">
        <f t="shared" si="26"/>
        <v>2.3950707241798118E-2</v>
      </c>
      <c r="N68" s="106">
        <f t="shared" si="26"/>
        <v>2.530412729288882E-2</v>
      </c>
    </row>
    <row r="70" spans="3:14">
      <c r="C70" t="s">
        <v>361</v>
      </c>
      <c r="D70" s="427"/>
      <c r="E70" s="427"/>
      <c r="F70" s="427"/>
      <c r="G70" s="427"/>
      <c r="H70" s="427"/>
      <c r="I70" s="427"/>
      <c r="J70" s="435">
        <f>J45</f>
        <v>8182.6100000000006</v>
      </c>
      <c r="K70" s="435">
        <f t="shared" ref="K70:N70" si="27">K45</f>
        <v>8772.8348500000011</v>
      </c>
      <c r="L70" s="435">
        <f t="shared" si="27"/>
        <v>9410.6113872500009</v>
      </c>
      <c r="M70" s="435">
        <f t="shared" si="27"/>
        <v>10100.115376416252</v>
      </c>
      <c r="N70" s="435">
        <f t="shared" si="27"/>
        <v>10845.910689974135</v>
      </c>
    </row>
    <row r="71" spans="3:14">
      <c r="C71" s="105" t="s">
        <v>355</v>
      </c>
      <c r="D71" s="427"/>
      <c r="E71" s="427"/>
      <c r="F71" s="427"/>
      <c r="G71" s="427"/>
      <c r="H71" s="427"/>
      <c r="I71" s="427"/>
      <c r="J71" s="106">
        <f>J46</f>
        <v>3.0234463024230773E-2</v>
      </c>
      <c r="K71" s="106">
        <f t="shared" ref="K71:N71" si="28">K46</f>
        <v>3.0873184297450104E-2</v>
      </c>
      <c r="L71" s="106">
        <f t="shared" si="28"/>
        <v>3.1542083376426847E-2</v>
      </c>
      <c r="M71" s="106">
        <f t="shared" si="28"/>
        <v>3.2242591050143897E-2</v>
      </c>
      <c r="N71" s="106">
        <f t="shared" si="28"/>
        <v>3.2976206052631116E-2</v>
      </c>
    </row>
    <row r="73" spans="3:14">
      <c r="C73" t="s">
        <v>60</v>
      </c>
      <c r="D73" s="427"/>
      <c r="E73" s="427"/>
      <c r="F73" s="427"/>
      <c r="G73" s="427"/>
      <c r="H73" s="427"/>
      <c r="I73" s="427"/>
      <c r="J73" s="432">
        <f>J48</f>
        <v>-2001.1240469987606</v>
      </c>
      <c r="K73" s="432">
        <f t="shared" ref="K73:N73" si="29">K48</f>
        <v>-2279.2109125617517</v>
      </c>
      <c r="L73" s="432">
        <f t="shared" si="29"/>
        <v>-2247.3667585521562</v>
      </c>
      <c r="M73" s="432">
        <f t="shared" si="29"/>
        <v>-2645.4157534672595</v>
      </c>
      <c r="N73" s="432">
        <f t="shared" si="29"/>
        <v>-2624.3249205732973</v>
      </c>
    </row>
    <row r="74" spans="3:14">
      <c r="C74" s="105" t="s">
        <v>355</v>
      </c>
      <c r="D74" s="427"/>
      <c r="E74" s="427"/>
      <c r="F74" s="427"/>
      <c r="G74" s="427"/>
      <c r="H74" s="427"/>
      <c r="I74" s="427"/>
      <c r="J74" s="434">
        <f>J49</f>
        <v>-7.3940846509711524E-3</v>
      </c>
      <c r="K74" s="434">
        <f t="shared" ref="K74:N74" si="30">K49</f>
        <v>-8.0209532904040003E-3</v>
      </c>
      <c r="L74" s="434">
        <f t="shared" si="30"/>
        <v>-7.5326274519956528E-3</v>
      </c>
      <c r="M74" s="434">
        <f t="shared" si="30"/>
        <v>-8.4449588066901615E-3</v>
      </c>
      <c r="N74" s="434">
        <f t="shared" si="30"/>
        <v>-7.9790698820595037E-3</v>
      </c>
    </row>
    <row r="76" spans="3:14">
      <c r="C76" s="402" t="s">
        <v>364</v>
      </c>
      <c r="D76" s="440"/>
      <c r="E76" s="440"/>
      <c r="F76" s="440"/>
      <c r="G76" s="440"/>
      <c r="H76" s="441"/>
      <c r="I76" s="441"/>
      <c r="J76" s="441">
        <f>J65+J67-J70-J73</f>
        <v>51991.864233362401</v>
      </c>
      <c r="K76" s="441">
        <f t="shared" ref="K76:N76" si="31">K65+K67-K70-K73</f>
        <v>53913.242287997811</v>
      </c>
      <c r="L76" s="441">
        <f t="shared" si="31"/>
        <v>55555.999722899425</v>
      </c>
      <c r="M76" s="441">
        <f t="shared" si="31"/>
        <v>57659.998412352987</v>
      </c>
      <c r="N76" s="442">
        <f t="shared" si="31"/>
        <v>59378.4496131325</v>
      </c>
    </row>
    <row r="77" spans="3:14">
      <c r="C77" s="443" t="s">
        <v>365</v>
      </c>
      <c r="D77" s="444"/>
      <c r="E77" s="444"/>
      <c r="F77" s="444"/>
      <c r="G77" s="444"/>
      <c r="H77" s="445"/>
      <c r="I77" s="445"/>
      <c r="J77" s="445">
        <f>(J76*J79)/(1+$J$10)^J80</f>
        <v>28508.149877449188</v>
      </c>
      <c r="K77" s="445">
        <f>K76/(1+$J$10)^K80</f>
        <v>45575.023298268548</v>
      </c>
      <c r="L77" s="445">
        <f>L76/(1+$J$10)^L80</f>
        <v>42235.439223206115</v>
      </c>
      <c r="M77" s="445">
        <f>M76/(1+$J$10)^M80</f>
        <v>39421.693148067556</v>
      </c>
      <c r="N77" s="446">
        <f>N76/(1+$J$10)^N80</f>
        <v>36509.349924434136</v>
      </c>
    </row>
    <row r="79" spans="3:14">
      <c r="C79" t="s">
        <v>366</v>
      </c>
      <c r="J79" s="239">
        <f>YEARFRAC(J5,J6)</f>
        <v>0.58333333333333337</v>
      </c>
    </row>
    <row r="80" spans="3:14">
      <c r="C80" t="s">
        <v>367</v>
      </c>
      <c r="J80" s="239">
        <f>J79</f>
        <v>0.58333333333333337</v>
      </c>
      <c r="K80" s="239">
        <f>J79+1</f>
        <v>1.5833333333333335</v>
      </c>
      <c r="L80" s="239">
        <f>K80+1</f>
        <v>2.5833333333333335</v>
      </c>
      <c r="M80" s="239">
        <f>L80+1</f>
        <v>3.5833333333333335</v>
      </c>
      <c r="N80" s="239">
        <f>M80+1</f>
        <v>4.5833333333333339</v>
      </c>
    </row>
    <row r="82" spans="3:14">
      <c r="C82" t="s">
        <v>368</v>
      </c>
      <c r="N82" s="408">
        <f>(N76*(1+J11))/(J10-J11)</f>
        <v>926813.19973147148</v>
      </c>
    </row>
    <row r="83" spans="3:14">
      <c r="C83" t="s">
        <v>369</v>
      </c>
      <c r="N83" s="408">
        <f>N82/(1+J10)^N80</f>
        <v>569859.05903641321</v>
      </c>
    </row>
    <row r="85" spans="3:14">
      <c r="C85" t="s">
        <v>370</v>
      </c>
      <c r="N85" s="495">
        <f>SUM(J77:N77,N83)</f>
        <v>762108.71450783871</v>
      </c>
    </row>
    <row r="86" spans="3:14">
      <c r="C86" t="s">
        <v>371</v>
      </c>
      <c r="N86" s="407">
        <f>Model!I53+Model!I54</f>
        <v>15463</v>
      </c>
    </row>
    <row r="87" spans="3:14">
      <c r="C87" t="s">
        <v>372</v>
      </c>
      <c r="N87" s="407">
        <f>WACC!D14</f>
        <v>9392</v>
      </c>
    </row>
    <row r="88" spans="3:14">
      <c r="C88" t="s">
        <v>373</v>
      </c>
      <c r="N88" s="495">
        <f>N85+N86-N87</f>
        <v>768179.71450783871</v>
      </c>
    </row>
    <row r="90" spans="3:14">
      <c r="C90" t="s">
        <v>374</v>
      </c>
      <c r="N90" s="534">
        <v>361.81</v>
      </c>
    </row>
    <row r="91" spans="3:14">
      <c r="C91" t="s">
        <v>375</v>
      </c>
      <c r="N91" s="409">
        <f>N88/N90</f>
        <v>2123.1577748205927</v>
      </c>
    </row>
    <row r="92" spans="3:14">
      <c r="C92" t="s">
        <v>379</v>
      </c>
      <c r="N92" s="447">
        <v>3016</v>
      </c>
    </row>
    <row r="94" spans="3:14" ht="15.75">
      <c r="C94" s="551" t="s">
        <v>385</v>
      </c>
      <c r="D94" s="549"/>
      <c r="E94" s="549"/>
      <c r="F94" s="549"/>
      <c r="G94" s="549"/>
      <c r="H94" s="549"/>
      <c r="I94" s="549"/>
      <c r="J94" s="550"/>
      <c r="K94" s="550"/>
      <c r="L94" s="550"/>
      <c r="M94" s="550"/>
      <c r="N94" s="550"/>
    </row>
    <row r="96" spans="3:14">
      <c r="J96" s="111"/>
      <c r="K96" s="111"/>
      <c r="L96" s="111" t="s">
        <v>386</v>
      </c>
      <c r="M96" s="111"/>
      <c r="N96" s="111"/>
    </row>
    <row r="97" spans="2:14">
      <c r="L97" t="s">
        <v>368</v>
      </c>
    </row>
    <row r="98" spans="2:14">
      <c r="C98" s="552">
        <f>N91</f>
        <v>2123.1577748205927</v>
      </c>
      <c r="I98" s="552">
        <f>N91</f>
        <v>2123.1577748205927</v>
      </c>
      <c r="J98" s="346">
        <v>2.5000000000000001E-2</v>
      </c>
      <c r="K98" s="346">
        <v>3.5000000000000003E-2</v>
      </c>
      <c r="L98" s="346">
        <v>4.4999999999999998E-2</v>
      </c>
      <c r="M98" s="346">
        <v>5.5E-2</v>
      </c>
      <c r="N98" s="346">
        <v>6.5000000000000002E-2</v>
      </c>
    </row>
    <row r="99" spans="2:14">
      <c r="B99" s="608" t="s">
        <v>324</v>
      </c>
      <c r="C99" s="346">
        <v>9.1999999999999998E-2</v>
      </c>
      <c r="I99" s="346">
        <v>9.1999999999999998E-2</v>
      </c>
      <c r="J99" s="553">
        <f t="dataTable" ref="J99:N103" dt2D="1" dtr="1" r1="J11" r2="J10"/>
        <v>2251.5553691755435</v>
      </c>
      <c r="K99" s="554">
        <v>2565.0529365845418</v>
      </c>
      <c r="L99" s="554">
        <v>3011.9537241675812</v>
      </c>
      <c r="M99" s="554">
        <v>3700.4225050387513</v>
      </c>
      <c r="N99" s="561">
        <v>4898.8681606293067</v>
      </c>
    </row>
    <row r="100" spans="2:14">
      <c r="B100" s="608"/>
      <c r="C100" s="346">
        <v>0.10199999999999999</v>
      </c>
      <c r="I100" s="346">
        <v>0.10199999999999999</v>
      </c>
      <c r="J100" s="555">
        <v>1960.6534087767559</v>
      </c>
      <c r="K100" s="556">
        <v>2185.2649388118261</v>
      </c>
      <c r="L100" s="556">
        <v>2488.6875320170961</v>
      </c>
      <c r="M100" s="556">
        <v>2921.226122330992</v>
      </c>
      <c r="N100" s="298">
        <v>3587.5693560578043</v>
      </c>
    </row>
    <row r="101" spans="2:14">
      <c r="B101" s="608"/>
      <c r="C101" s="346">
        <v>0.112</v>
      </c>
      <c r="I101" s="346">
        <v>0.112</v>
      </c>
      <c r="J101" s="555">
        <v>1736.6820855777964</v>
      </c>
      <c r="K101" s="556">
        <v>1904.1491814343858</v>
      </c>
      <c r="L101" s="559">
        <v>2121.6064551586137</v>
      </c>
      <c r="M101" s="556">
        <v>2415.3645266808176</v>
      </c>
      <c r="N101" s="298">
        <v>2834.1260328933199</v>
      </c>
    </row>
    <row r="102" spans="2:14">
      <c r="B102" s="608"/>
      <c r="C102" s="346">
        <v>0.122</v>
      </c>
      <c r="I102" s="346">
        <v>0.122</v>
      </c>
      <c r="J102" s="555">
        <v>1558.9394416580988</v>
      </c>
      <c r="K102" s="556">
        <v>1687.6802495884074</v>
      </c>
      <c r="L102" s="556">
        <v>1849.8602284097053</v>
      </c>
      <c r="M102" s="556">
        <v>2060.4521412075096</v>
      </c>
      <c r="N102" s="298">
        <v>2344.9359532326143</v>
      </c>
    </row>
    <row r="103" spans="2:14">
      <c r="B103" s="608"/>
      <c r="C103" s="346">
        <v>0.13200000000000001</v>
      </c>
      <c r="I103" s="346">
        <v>0.13200000000000001</v>
      </c>
      <c r="J103" s="560">
        <v>1414.4626383846316</v>
      </c>
      <c r="K103" s="557">
        <v>1515.8638348991433</v>
      </c>
      <c r="L103" s="557">
        <v>1640.5756513020485</v>
      </c>
      <c r="M103" s="557">
        <v>1797.6801472901234</v>
      </c>
      <c r="N103" s="558">
        <v>2001.681507752251</v>
      </c>
    </row>
  </sheetData>
  <dataConsolidate/>
  <mergeCells count="1">
    <mergeCell ref="B99:B103"/>
  </mergeCells>
  <hyperlinks>
    <hyperlink ref="N90" r:id="rId1" display="https://companiesmarketcap.com/inr/tata-consultancy-services/shares-outstanding/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O30"/>
  <sheetViews>
    <sheetView showGridLines="0" topLeftCell="A19" workbookViewId="0">
      <selection activeCell="N34" sqref="N34"/>
    </sheetView>
  </sheetViews>
  <sheetFormatPr defaultRowHeight="15"/>
  <cols>
    <col min="1" max="1" width="2.140625" customWidth="1"/>
    <col min="5" max="5" width="12.42578125" customWidth="1"/>
    <col min="8" max="8" width="9.85546875" customWidth="1"/>
    <col min="15" max="15" width="11.7109375" customWidth="1"/>
  </cols>
  <sheetData>
    <row r="2" spans="2:15">
      <c r="B2" s="562" t="s">
        <v>387</v>
      </c>
      <c r="C2" s="563"/>
      <c r="D2" s="564"/>
      <c r="E2" s="565"/>
      <c r="F2" s="565"/>
      <c r="G2" s="565"/>
      <c r="H2" s="565"/>
      <c r="I2" s="565"/>
      <c r="J2" s="565"/>
      <c r="K2" s="565"/>
      <c r="L2" s="565"/>
      <c r="M2" s="565"/>
      <c r="N2" s="565"/>
      <c r="O2" s="565"/>
    </row>
    <row r="4" spans="2:15" ht="15.75" thickBot="1">
      <c r="B4" s="566"/>
      <c r="C4" s="566"/>
      <c r="D4" s="609" t="s">
        <v>388</v>
      </c>
      <c r="E4" s="609"/>
      <c r="F4" s="609"/>
      <c r="G4" s="609"/>
      <c r="H4" s="609"/>
      <c r="I4" s="609"/>
      <c r="J4" s="566"/>
      <c r="K4" s="609" t="s">
        <v>388</v>
      </c>
      <c r="L4" s="609"/>
      <c r="M4" s="609"/>
      <c r="N4" s="566"/>
      <c r="O4" s="595" t="s">
        <v>389</v>
      </c>
    </row>
    <row r="5" spans="2:15" ht="30">
      <c r="B5" s="567" t="s">
        <v>390</v>
      </c>
      <c r="C5" s="568"/>
      <c r="D5" s="569" t="s">
        <v>391</v>
      </c>
      <c r="E5" s="569" t="s">
        <v>392</v>
      </c>
      <c r="F5" s="569" t="s">
        <v>373</v>
      </c>
      <c r="G5" s="568" t="s">
        <v>393</v>
      </c>
      <c r="H5" s="569" t="s">
        <v>370</v>
      </c>
      <c r="I5" s="570"/>
      <c r="J5" s="570"/>
      <c r="K5" s="568" t="s">
        <v>351</v>
      </c>
      <c r="L5" s="568" t="s">
        <v>11</v>
      </c>
      <c r="M5" s="569" t="s">
        <v>394</v>
      </c>
      <c r="N5" s="570"/>
      <c r="O5" s="587" t="s">
        <v>395</v>
      </c>
    </row>
    <row r="6" spans="2:15">
      <c r="N6" s="571"/>
      <c r="O6" s="571"/>
    </row>
    <row r="7" spans="2:15">
      <c r="B7" s="427" t="str">
        <f>'[2]Raw Data'!C3</f>
        <v>TCS</v>
      </c>
      <c r="C7" s="427"/>
      <c r="D7" s="573">
        <f>DCF!N92</f>
        <v>3016</v>
      </c>
      <c r="E7" s="573">
        <f>DCF!N90</f>
        <v>361.81</v>
      </c>
      <c r="F7" s="574">
        <f>E7*D7</f>
        <v>1091218.96</v>
      </c>
      <c r="G7" s="591">
        <v>-6071</v>
      </c>
      <c r="H7" s="572">
        <f>+G7+F7</f>
        <v>1085147.96</v>
      </c>
      <c r="I7" s="572"/>
      <c r="J7" s="572"/>
      <c r="K7" s="572">
        <f>Model!I12</f>
        <v>255324</v>
      </c>
      <c r="L7" s="572">
        <f>Model!I18</f>
        <v>71369</v>
      </c>
      <c r="M7" s="572">
        <f>Model!I26</f>
        <v>48797</v>
      </c>
      <c r="N7" s="575"/>
      <c r="O7" s="576">
        <f>H7/L7</f>
        <v>15.204752203337582</v>
      </c>
    </row>
    <row r="8" spans="2:15">
      <c r="B8" s="577" t="str">
        <f>'[2]Raw Data'!C4</f>
        <v>Infosys</v>
      </c>
      <c r="D8" s="592">
        <v>1487.5</v>
      </c>
      <c r="E8" s="593">
        <v>415.44</v>
      </c>
      <c r="F8" s="579">
        <f t="shared" ref="F8:F14" si="0">E8*D8</f>
        <v>617967</v>
      </c>
      <c r="G8" s="594">
        <v>-15970</v>
      </c>
      <c r="H8" s="578">
        <f t="shared" ref="H8:H14" si="1">+G8+F8</f>
        <v>601997</v>
      </c>
      <c r="I8" s="578"/>
      <c r="J8" s="578"/>
      <c r="K8" s="592">
        <v>165954</v>
      </c>
      <c r="L8" s="592">
        <v>44048</v>
      </c>
      <c r="M8" s="592">
        <v>26750</v>
      </c>
      <c r="N8" s="580"/>
      <c r="O8" s="581">
        <f t="shared" ref="O8:O14" si="2">H8/L8</f>
        <v>13.666840719215401</v>
      </c>
    </row>
    <row r="9" spans="2:15">
      <c r="B9" s="577" t="str">
        <f>'[2]Raw Data'!C5</f>
        <v>HCL Technologies</v>
      </c>
      <c r="D9" s="592">
        <v>1466.3</v>
      </c>
      <c r="E9" s="593">
        <v>271.37</v>
      </c>
      <c r="F9" s="579">
        <f t="shared" si="0"/>
        <v>397909.83100000001</v>
      </c>
      <c r="G9" s="594">
        <v>-15013</v>
      </c>
      <c r="H9" s="578">
        <f t="shared" si="1"/>
        <v>382896.83100000001</v>
      </c>
      <c r="I9" s="578"/>
      <c r="J9" s="578"/>
      <c r="K9" s="592">
        <v>119347</v>
      </c>
      <c r="L9" s="592">
        <v>29588</v>
      </c>
      <c r="M9" s="592">
        <v>17399</v>
      </c>
      <c r="N9" s="580"/>
      <c r="O9" s="581">
        <f t="shared" si="2"/>
        <v>12.940950081113966</v>
      </c>
    </row>
    <row r="10" spans="2:15">
      <c r="B10" s="577" t="str">
        <f>'[2]Raw Data'!C6</f>
        <v>Wipro</v>
      </c>
      <c r="D10" s="592">
        <v>248.64</v>
      </c>
      <c r="E10" s="593">
        <v>1048.32</v>
      </c>
      <c r="F10" s="579">
        <f t="shared" si="0"/>
        <v>260654.28479999996</v>
      </c>
      <c r="G10" s="594">
        <v>7006.1</v>
      </c>
      <c r="H10" s="578">
        <f t="shared" si="1"/>
        <v>267660.38479999994</v>
      </c>
      <c r="I10" s="578"/>
      <c r="J10" s="578"/>
      <c r="K10" s="592">
        <v>89259.199999999997</v>
      </c>
      <c r="L10" s="592">
        <v>20979</v>
      </c>
      <c r="M10" s="592">
        <v>13218</v>
      </c>
      <c r="N10" s="580"/>
      <c r="O10" s="581">
        <f t="shared" si="2"/>
        <v>12.758491100624431</v>
      </c>
    </row>
    <row r="11" spans="2:15">
      <c r="B11" s="577" t="str">
        <f>'[2]Raw Data'!C7</f>
        <v>LTIMindtree</v>
      </c>
      <c r="D11" s="592">
        <v>5224.5</v>
      </c>
      <c r="E11" s="593">
        <v>29.64</v>
      </c>
      <c r="F11" s="579">
        <f t="shared" si="0"/>
        <v>154854.18</v>
      </c>
      <c r="G11" s="594">
        <v>-1400.8999999999996</v>
      </c>
      <c r="H11" s="578">
        <f t="shared" si="1"/>
        <v>153453.28</v>
      </c>
      <c r="I11" s="578"/>
      <c r="J11" s="578"/>
      <c r="K11" s="592">
        <v>38706.1</v>
      </c>
      <c r="L11" s="592">
        <v>7487</v>
      </c>
      <c r="M11" s="592">
        <v>6214</v>
      </c>
      <c r="N11" s="580"/>
      <c r="O11" s="581">
        <f t="shared" si="2"/>
        <v>20.495963670361959</v>
      </c>
    </row>
    <row r="12" spans="2:15">
      <c r="B12" s="577" t="str">
        <f>'[2]Raw Data'!C8</f>
        <v>Tech Mahindra</v>
      </c>
      <c r="D12" s="592">
        <v>1505</v>
      </c>
      <c r="E12" s="593">
        <v>97.93</v>
      </c>
      <c r="F12" s="579">
        <f t="shared" si="0"/>
        <v>147384.65000000002</v>
      </c>
      <c r="G12" s="594">
        <v>-2517</v>
      </c>
      <c r="H12" s="578">
        <f t="shared" si="1"/>
        <v>144867.65000000002</v>
      </c>
      <c r="I12" s="578"/>
      <c r="J12" s="578"/>
      <c r="K12" s="592">
        <v>53334</v>
      </c>
      <c r="L12" s="592">
        <v>8817</v>
      </c>
      <c r="M12" s="592">
        <v>5653</v>
      </c>
      <c r="N12" s="580"/>
      <c r="O12" s="581">
        <f t="shared" si="2"/>
        <v>16.430492230917547</v>
      </c>
    </row>
    <row r="13" spans="2:15">
      <c r="B13" s="577" t="str">
        <f>'[2]Raw Data'!C9</f>
        <v>Persistent Sys</v>
      </c>
      <c r="D13" s="592">
        <v>5369</v>
      </c>
      <c r="E13" s="593">
        <v>15.64</v>
      </c>
      <c r="F13" s="579">
        <f t="shared" si="0"/>
        <v>83971.16</v>
      </c>
      <c r="G13" s="594">
        <v>-714.57</v>
      </c>
      <c r="H13" s="578">
        <f t="shared" si="1"/>
        <v>83256.59</v>
      </c>
      <c r="I13" s="578"/>
      <c r="J13" s="578"/>
      <c r="K13" s="592">
        <v>12535.13</v>
      </c>
      <c r="L13" s="592">
        <v>2365</v>
      </c>
      <c r="M13" s="592">
        <v>1400</v>
      </c>
      <c r="N13" s="580"/>
      <c r="O13" s="581">
        <f t="shared" si="2"/>
        <v>35.203632135306549</v>
      </c>
    </row>
    <row r="14" spans="2:15">
      <c r="B14" s="577" t="str">
        <f>'[2]Raw Data'!C10</f>
        <v>Oracle Fin.Serv.</v>
      </c>
      <c r="D14" s="592">
        <v>8624</v>
      </c>
      <c r="E14" s="593">
        <v>8.69</v>
      </c>
      <c r="F14" s="579">
        <f t="shared" si="0"/>
        <v>74942.559999999998</v>
      </c>
      <c r="G14" s="594">
        <v>-5905.7999999999993</v>
      </c>
      <c r="H14" s="578">
        <f t="shared" si="1"/>
        <v>69036.759999999995</v>
      </c>
      <c r="I14" s="578"/>
      <c r="J14" s="578"/>
      <c r="K14" s="592">
        <v>6957.6</v>
      </c>
      <c r="L14" s="592">
        <v>3145</v>
      </c>
      <c r="M14" s="592">
        <v>2380</v>
      </c>
      <c r="N14" s="580"/>
      <c r="O14" s="581">
        <f t="shared" si="2"/>
        <v>21.951275039745628</v>
      </c>
    </row>
    <row r="15" spans="2:15">
      <c r="D15" s="582"/>
      <c r="E15" s="582"/>
      <c r="F15" s="582"/>
      <c r="G15" s="582"/>
      <c r="H15" s="582"/>
      <c r="I15" s="582"/>
      <c r="J15" s="582"/>
      <c r="K15" s="582"/>
      <c r="L15" s="582"/>
      <c r="M15" s="582"/>
      <c r="N15" s="582"/>
      <c r="O15" s="582"/>
    </row>
    <row r="16" spans="2:15">
      <c r="B16" s="427" t="s">
        <v>396</v>
      </c>
      <c r="C16" s="427"/>
      <c r="D16" s="583"/>
      <c r="E16" s="583"/>
      <c r="F16" s="583"/>
      <c r="G16" s="583"/>
      <c r="H16" s="583"/>
      <c r="I16" s="583"/>
      <c r="J16" s="583"/>
      <c r="K16" s="583"/>
      <c r="L16" s="583"/>
      <c r="M16" s="583"/>
      <c r="N16" s="583"/>
      <c r="O16" s="584">
        <f t="shared" ref="O16" si="3">MAX(O7:O14)</f>
        <v>35.203632135306549</v>
      </c>
    </row>
    <row r="17" spans="2:15">
      <c r="B17" s="427" t="s">
        <v>397</v>
      </c>
      <c r="C17" s="427"/>
      <c r="D17" s="583"/>
      <c r="E17" s="583"/>
      <c r="F17" s="583"/>
      <c r="G17" s="583"/>
      <c r="H17" s="583"/>
      <c r="I17" s="583"/>
      <c r="J17" s="583"/>
      <c r="K17" s="583"/>
      <c r="L17" s="583"/>
      <c r="M17" s="583"/>
      <c r="N17" s="583"/>
      <c r="O17" s="584">
        <f t="shared" ref="O17" si="4">QUARTILE(O7:O14,3)</f>
        <v>20.859791512707876</v>
      </c>
    </row>
    <row r="18" spans="2:15">
      <c r="B18" s="2" t="s">
        <v>398</v>
      </c>
      <c r="C18" s="2"/>
      <c r="D18" s="585"/>
      <c r="E18" s="585"/>
      <c r="F18" s="585"/>
      <c r="G18" s="585"/>
      <c r="H18" s="585"/>
      <c r="I18" s="585"/>
      <c r="J18" s="585"/>
      <c r="K18" s="585"/>
      <c r="L18" s="585"/>
      <c r="M18" s="585"/>
      <c r="N18" s="585"/>
      <c r="O18" s="586">
        <f t="shared" ref="O18" si="5">AVERAGE(O7:O14)</f>
        <v>18.581549647577884</v>
      </c>
    </row>
    <row r="19" spans="2:15">
      <c r="B19" s="2" t="s">
        <v>399</v>
      </c>
      <c r="C19" s="2"/>
      <c r="D19" s="585"/>
      <c r="E19" s="585"/>
      <c r="F19" s="585"/>
      <c r="G19" s="585"/>
      <c r="H19" s="585"/>
      <c r="I19" s="585"/>
      <c r="J19" s="585"/>
      <c r="K19" s="585"/>
      <c r="L19" s="585"/>
      <c r="M19" s="585"/>
      <c r="N19" s="585"/>
      <c r="O19" s="586">
        <f t="shared" ref="O19" si="6">MEDIAN(O7:O14)</f>
        <v>15.817622217127564</v>
      </c>
    </row>
    <row r="20" spans="2:15">
      <c r="B20" s="427" t="s">
        <v>400</v>
      </c>
      <c r="C20" s="427"/>
      <c r="D20" s="583"/>
      <c r="E20" s="583"/>
      <c r="F20" s="583"/>
      <c r="G20" s="583"/>
      <c r="H20" s="583"/>
      <c r="I20" s="583"/>
      <c r="J20" s="583"/>
      <c r="K20" s="583"/>
      <c r="L20" s="583"/>
      <c r="M20" s="583"/>
      <c r="N20" s="583"/>
      <c r="O20" s="584">
        <f t="shared" ref="O20" si="7">QUARTILE(O7:O14,1)</f>
        <v>13.485368059690042</v>
      </c>
    </row>
    <row r="21" spans="2:15">
      <c r="B21" s="427" t="s">
        <v>401</v>
      </c>
      <c r="C21" s="427"/>
      <c r="D21" s="583"/>
      <c r="E21" s="583"/>
      <c r="F21" s="583"/>
      <c r="G21" s="583"/>
      <c r="H21" s="583"/>
      <c r="I21" s="583"/>
      <c r="J21" s="583"/>
      <c r="K21" s="583"/>
      <c r="L21" s="583"/>
      <c r="M21" s="583"/>
      <c r="N21" s="583"/>
      <c r="O21" s="584">
        <f t="shared" ref="O21" si="8">MIN(O7:O14)</f>
        <v>12.758491100624431</v>
      </c>
    </row>
    <row r="24" spans="2:15">
      <c r="B24" s="567" t="s">
        <v>402</v>
      </c>
      <c r="C24" s="567"/>
      <c r="D24" s="567"/>
      <c r="E24" s="567"/>
      <c r="F24" s="567"/>
      <c r="G24" s="567"/>
      <c r="H24" s="567"/>
      <c r="I24" s="567"/>
      <c r="J24" s="567"/>
      <c r="K24" s="567"/>
      <c r="L24" s="567"/>
      <c r="M24" s="567"/>
      <c r="N24" s="567"/>
      <c r="O24" s="587" t="s">
        <v>395</v>
      </c>
    </row>
    <row r="25" spans="2:15">
      <c r="B25" t="s">
        <v>403</v>
      </c>
      <c r="D25" s="600"/>
      <c r="E25" s="600"/>
      <c r="F25" s="600"/>
      <c r="G25" s="600"/>
      <c r="H25" s="600"/>
      <c r="I25" s="600"/>
      <c r="J25" s="600"/>
      <c r="K25" s="600"/>
      <c r="L25" s="600"/>
      <c r="M25" s="600"/>
      <c r="N25" s="600"/>
      <c r="O25" s="602">
        <f>$O19*L7</f>
        <v>1128887.8800141772</v>
      </c>
    </row>
    <row r="26" spans="2:15">
      <c r="B26" t="s">
        <v>393</v>
      </c>
      <c r="D26" s="600"/>
      <c r="E26" s="600"/>
      <c r="F26" s="600"/>
      <c r="G26" s="600"/>
      <c r="H26" s="600"/>
      <c r="I26" s="600"/>
      <c r="J26" s="600"/>
      <c r="K26" s="600"/>
      <c r="L26" s="600"/>
      <c r="M26" s="600"/>
      <c r="N26" s="600"/>
      <c r="O26" s="604">
        <f>G7</f>
        <v>-6071</v>
      </c>
    </row>
    <row r="27" spans="2:15">
      <c r="B27" t="s">
        <v>404</v>
      </c>
      <c r="D27" s="601"/>
      <c r="E27" s="601"/>
      <c r="F27" s="601"/>
      <c r="G27" s="601"/>
      <c r="H27" s="601"/>
      <c r="I27" s="601"/>
      <c r="J27" s="601"/>
      <c r="K27" s="601"/>
      <c r="L27" s="601"/>
      <c r="M27" s="601"/>
      <c r="N27" s="601"/>
      <c r="O27" s="603">
        <f>O25-O26</f>
        <v>1134958.8800141772</v>
      </c>
    </row>
    <row r="28" spans="2:15">
      <c r="B28" t="s">
        <v>392</v>
      </c>
      <c r="D28" s="601"/>
      <c r="E28" s="601"/>
      <c r="F28" s="601"/>
      <c r="G28" s="601"/>
      <c r="H28" s="601"/>
      <c r="I28" s="601"/>
      <c r="J28" s="601"/>
      <c r="K28" s="601"/>
      <c r="L28" s="601"/>
      <c r="M28" s="601"/>
      <c r="N28" s="601"/>
      <c r="O28" s="603">
        <f>E7</f>
        <v>361.81</v>
      </c>
    </row>
    <row r="29" spans="2:15">
      <c r="O29" s="588"/>
    </row>
    <row r="30" spans="2:15" ht="15.75" thickBot="1">
      <c r="B30" s="589" t="s">
        <v>405</v>
      </c>
      <c r="C30" s="589"/>
      <c r="D30" s="589"/>
      <c r="E30" s="589"/>
      <c r="F30" s="589"/>
      <c r="G30" s="589"/>
      <c r="H30" s="589"/>
      <c r="I30" s="589"/>
      <c r="J30" s="589"/>
      <c r="K30" s="589"/>
      <c r="L30" s="589"/>
      <c r="M30" s="589"/>
      <c r="N30" s="589"/>
      <c r="O30" s="590">
        <f t="shared" ref="O30" si="9">O27/O28</f>
        <v>3136.8919599076235</v>
      </c>
    </row>
  </sheetData>
  <mergeCells count="2">
    <mergeCell ref="D4:I4"/>
    <mergeCell ref="K4:M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showGridLines="0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2" sqref="I12"/>
    </sheetView>
  </sheetViews>
  <sheetFormatPr defaultRowHeight="15"/>
  <cols>
    <col min="1" max="1" width="4.5703125" customWidth="1"/>
    <col min="2" max="2" width="45.140625" bestFit="1" customWidth="1"/>
    <col min="3" max="3" width="9.7109375" bestFit="1" customWidth="1"/>
    <col min="4" max="4" width="12.140625" bestFit="1" customWidth="1"/>
    <col min="5" max="5" width="1" customWidth="1"/>
    <col min="9" max="9" width="9.42578125" customWidth="1"/>
  </cols>
  <sheetData>
    <row r="1" spans="1:10" ht="21">
      <c r="B1" s="393" t="s">
        <v>324</v>
      </c>
    </row>
    <row r="3" spans="1:10">
      <c r="B3" t="s">
        <v>337</v>
      </c>
    </row>
    <row r="4" spans="1:10">
      <c r="B4" t="s">
        <v>338</v>
      </c>
    </row>
    <row r="6" spans="1:10">
      <c r="A6" t="s">
        <v>58</v>
      </c>
      <c r="B6" s="359" t="s">
        <v>324</v>
      </c>
      <c r="C6" s="358"/>
      <c r="D6" s="358"/>
      <c r="F6" s="610" t="s">
        <v>335</v>
      </c>
      <c r="G6" s="610"/>
      <c r="H6" s="610"/>
      <c r="I6" s="610"/>
      <c r="J6" s="610"/>
    </row>
    <row r="7" spans="1:10">
      <c r="B7" t="s">
        <v>339</v>
      </c>
      <c r="D7" s="390">
        <v>1121119.19</v>
      </c>
    </row>
    <row r="8" spans="1:10">
      <c r="B8" t="s">
        <v>340</v>
      </c>
      <c r="D8" s="391">
        <f>D7/$D$19</f>
        <v>0.99169225383784132</v>
      </c>
      <c r="J8" s="105"/>
    </row>
    <row r="9" spans="1:10">
      <c r="B9" t="s">
        <v>321</v>
      </c>
      <c r="D9" s="392">
        <f>D10+D11*D12</f>
        <v>0.11235789280389552</v>
      </c>
    </row>
    <row r="10" spans="1:10">
      <c r="B10" t="s">
        <v>322</v>
      </c>
      <c r="D10" s="395">
        <v>6.3689999999999997E-2</v>
      </c>
      <c r="F10" t="s">
        <v>382</v>
      </c>
    </row>
    <row r="11" spans="1:10">
      <c r="B11" t="s">
        <v>341</v>
      </c>
      <c r="D11" s="396">
        <f>'Beta&amp; Rm'!N5</f>
        <v>0.86122620428057883</v>
      </c>
    </row>
    <row r="12" spans="1:10">
      <c r="B12" t="s">
        <v>342</v>
      </c>
      <c r="D12" s="394">
        <f>'Beta&amp; Rm'!N16-D10</f>
        <v>5.6510000000000005E-2</v>
      </c>
    </row>
    <row r="14" spans="1:10">
      <c r="B14" t="s">
        <v>343</v>
      </c>
      <c r="D14" s="533">
        <v>9392</v>
      </c>
    </row>
    <row r="15" spans="1:10">
      <c r="B15" t="s">
        <v>172</v>
      </c>
      <c r="D15" s="391">
        <f>D14/$D$19</f>
        <v>8.3077461621587322E-3</v>
      </c>
    </row>
    <row r="16" spans="1:10">
      <c r="B16" t="s">
        <v>320</v>
      </c>
      <c r="D16" s="394">
        <f>Model!I21/WACC!D14</f>
        <v>8.4752981260647356E-2</v>
      </c>
    </row>
    <row r="17" spans="1:4">
      <c r="B17" t="s">
        <v>323</v>
      </c>
      <c r="D17" s="394">
        <f>Model!I32</f>
        <v>0.25308046715954141</v>
      </c>
    </row>
    <row r="19" spans="1:4">
      <c r="B19" t="s">
        <v>344</v>
      </c>
      <c r="D19" s="390">
        <f>D7+D14</f>
        <v>1130511.19</v>
      </c>
    </row>
    <row r="21" spans="1:4">
      <c r="A21" t="s">
        <v>58</v>
      </c>
      <c r="B21" t="s">
        <v>324</v>
      </c>
      <c r="D21" s="392">
        <f>D8*D9+D15*D16*(1-D17)</f>
        <v>0.11195036266607072</v>
      </c>
    </row>
  </sheetData>
  <mergeCells count="1">
    <mergeCell ref="F6:J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5"/>
  <sheetViews>
    <sheetView showGridLines="0" zoomScale="85" zoomScaleNormal="85" workbookViewId="0">
      <pane xSplit="3" ySplit="4" topLeftCell="G5" activePane="bottomRight" state="frozen"/>
      <selection pane="topRight" activeCell="D1" sqref="D1"/>
      <selection pane="bottomLeft" activeCell="A5" sqref="A5"/>
      <selection pane="bottomRight" activeCell="J11" sqref="J11"/>
    </sheetView>
  </sheetViews>
  <sheetFormatPr defaultRowHeight="15"/>
  <cols>
    <col min="1" max="1" width="2.85546875" customWidth="1"/>
    <col min="2" max="2" width="33.7109375" bestFit="1" customWidth="1"/>
    <col min="3" max="3" width="11.140625" customWidth="1"/>
    <col min="4" max="14" width="13.5703125" customWidth="1"/>
    <col min="15" max="15" width="13.85546875" customWidth="1"/>
  </cols>
  <sheetData>
    <row r="1" spans="1:14" ht="15.75">
      <c r="B1" s="3" t="s">
        <v>57</v>
      </c>
      <c r="C1" s="3"/>
      <c r="D1" s="605" t="s">
        <v>0</v>
      </c>
      <c r="E1" s="605"/>
      <c r="F1" s="605"/>
      <c r="G1" s="605"/>
      <c r="H1" s="605"/>
      <c r="I1" s="605"/>
      <c r="J1" s="606" t="s">
        <v>1</v>
      </c>
      <c r="K1" s="606"/>
      <c r="L1" s="606"/>
      <c r="M1" s="606"/>
      <c r="N1" s="606"/>
    </row>
    <row r="2" spans="1:14" ht="21">
      <c r="B2" s="22" t="s">
        <v>56</v>
      </c>
      <c r="C2" s="6"/>
      <c r="D2" s="14">
        <v>2020</v>
      </c>
      <c r="E2" s="2">
        <f>D2+1</f>
        <v>2021</v>
      </c>
      <c r="F2" s="2">
        <f t="shared" ref="F2" si="0">E2+1</f>
        <v>2022</v>
      </c>
      <c r="G2" s="2">
        <f t="shared" ref="G2" si="1">F2+1</f>
        <v>2023</v>
      </c>
      <c r="H2" s="2">
        <f t="shared" ref="H2" si="2">G2+1</f>
        <v>2024</v>
      </c>
      <c r="I2" s="2">
        <f t="shared" ref="I2" si="3">H2+1</f>
        <v>2025</v>
      </c>
      <c r="J2" s="1">
        <f t="shared" ref="J2" si="4">I2+1</f>
        <v>2026</v>
      </c>
      <c r="K2" s="1">
        <f t="shared" ref="K2" si="5">J2+1</f>
        <v>2027</v>
      </c>
      <c r="L2" s="1">
        <f t="shared" ref="L2" si="6">K2+1</f>
        <v>2028</v>
      </c>
      <c r="M2" s="1">
        <f t="shared" ref="M2" si="7">L2+1</f>
        <v>2029</v>
      </c>
      <c r="N2" s="1">
        <f t="shared" ref="N2" si="8">M2+1</f>
        <v>2030</v>
      </c>
    </row>
    <row r="3" spans="1:14" ht="15.75">
      <c r="B3" s="9" t="s">
        <v>3</v>
      </c>
      <c r="C3" s="9"/>
      <c r="D3" s="16">
        <v>43921</v>
      </c>
      <c r="E3" s="17">
        <f>EOMONTH(D3,12)</f>
        <v>44286</v>
      </c>
      <c r="F3" s="17">
        <f t="shared" ref="F3" si="9">EOMONTH(E3,12)</f>
        <v>44651</v>
      </c>
      <c r="G3" s="17">
        <f t="shared" ref="G3" si="10">EOMONTH(F3,12)</f>
        <v>45016</v>
      </c>
      <c r="H3" s="17">
        <f t="shared" ref="H3" si="11">EOMONTH(G3,12)</f>
        <v>45382</v>
      </c>
      <c r="I3" s="17">
        <f t="shared" ref="I3" si="12">EOMONTH(H3,12)</f>
        <v>45747</v>
      </c>
      <c r="J3" s="17">
        <f t="shared" ref="J3" si="13">EOMONTH(I3,12)</f>
        <v>46112</v>
      </c>
      <c r="K3" s="17">
        <f t="shared" ref="K3" si="14">EOMONTH(J3,12)</f>
        <v>46477</v>
      </c>
      <c r="L3" s="17">
        <f t="shared" ref="L3" si="15">EOMONTH(K3,12)</f>
        <v>46843</v>
      </c>
      <c r="M3" s="17">
        <f t="shared" ref="M3" si="16">EOMONTH(L3,12)</f>
        <v>47208</v>
      </c>
      <c r="N3" s="17">
        <f t="shared" ref="N3" si="17">EOMONTH(M3,12)</f>
        <v>47573</v>
      </c>
    </row>
    <row r="4" spans="1:14" ht="15.75">
      <c r="B4" s="9" t="s">
        <v>4</v>
      </c>
      <c r="C4" s="9"/>
      <c r="D4" s="18">
        <v>366</v>
      </c>
      <c r="E4" s="19">
        <f>E3-D3</f>
        <v>365</v>
      </c>
      <c r="F4" s="19">
        <f t="shared" ref="F4" si="18">F3-E3</f>
        <v>365</v>
      </c>
      <c r="G4" s="19">
        <f t="shared" ref="G4" si="19">G3-F3</f>
        <v>365</v>
      </c>
      <c r="H4" s="19">
        <f t="shared" ref="H4" si="20">H3-G3</f>
        <v>366</v>
      </c>
      <c r="I4" s="19">
        <f t="shared" ref="I4" si="21">I3-H3</f>
        <v>365</v>
      </c>
      <c r="J4" s="19">
        <f t="shared" ref="J4" si="22">J3-I3</f>
        <v>365</v>
      </c>
      <c r="K4" s="19">
        <f t="shared" ref="K4" si="23">K3-J3</f>
        <v>365</v>
      </c>
      <c r="L4" s="19">
        <f t="shared" ref="L4" si="24">L3-K3</f>
        <v>366</v>
      </c>
      <c r="M4" s="19">
        <f t="shared" ref="M4" si="25">M3-L3</f>
        <v>365</v>
      </c>
      <c r="N4" s="19">
        <f t="shared" ref="N4" si="26">N3-M3</f>
        <v>365</v>
      </c>
    </row>
    <row r="6" spans="1:14" ht="21">
      <c r="A6" t="s">
        <v>58</v>
      </c>
      <c r="B6" s="100" t="s">
        <v>383</v>
      </c>
      <c r="C6" s="49"/>
      <c r="D6" s="50"/>
      <c r="E6" s="51"/>
      <c r="F6" s="51"/>
      <c r="G6" s="51"/>
      <c r="H6" s="51"/>
      <c r="I6" s="51"/>
      <c r="J6" s="51"/>
      <c r="K6" s="51"/>
      <c r="L6" s="51"/>
      <c r="M6" s="51"/>
      <c r="N6" s="51"/>
    </row>
    <row r="7" spans="1:14" ht="4.5" customHeight="1">
      <c r="B7" s="125"/>
      <c r="C7" s="9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4" ht="15" customHeight="1">
      <c r="B8" s="58" t="s">
        <v>6</v>
      </c>
      <c r="C8" s="46"/>
      <c r="D8" s="59">
        <f t="shared" ref="D8:I8" si="27">SUM(D11,D24)</f>
        <v>161541</v>
      </c>
      <c r="E8" s="59">
        <f t="shared" si="27"/>
        <v>167311</v>
      </c>
      <c r="F8" s="59">
        <f t="shared" si="27"/>
        <v>195772</v>
      </c>
      <c r="G8" s="59">
        <f t="shared" si="27"/>
        <v>228907</v>
      </c>
      <c r="H8" s="59">
        <f t="shared" si="27"/>
        <v>245315</v>
      </c>
      <c r="I8" s="59">
        <f t="shared" si="27"/>
        <v>259286</v>
      </c>
      <c r="J8" s="136">
        <f>SUM(J11+J24)</f>
        <v>270638.50922181818</v>
      </c>
      <c r="K8" s="136">
        <f t="shared" ref="K8:N8" si="28">SUM(K11+K24)</f>
        <v>284157.11076244805</v>
      </c>
      <c r="L8" s="136">
        <f t="shared" si="28"/>
        <v>298350.97685028234</v>
      </c>
      <c r="M8" s="136">
        <f t="shared" si="28"/>
        <v>313253.8374694665</v>
      </c>
      <c r="N8" s="137">
        <f t="shared" si="28"/>
        <v>328901.1074428545</v>
      </c>
    </row>
    <row r="9" spans="1:14" ht="15" customHeight="1">
      <c r="B9" s="131" t="s">
        <v>161</v>
      </c>
      <c r="C9" s="132"/>
      <c r="D9" s="133"/>
      <c r="E9" s="134">
        <f>E8/D8-1</f>
        <v>3.5718486328548238E-2</v>
      </c>
      <c r="F9" s="134">
        <f t="shared" ref="F9:I9" si="29">F8/E8-1</f>
        <v>0.17010836107607985</v>
      </c>
      <c r="G9" s="134">
        <f t="shared" si="29"/>
        <v>0.16925300860184289</v>
      </c>
      <c r="H9" s="134">
        <f t="shared" si="29"/>
        <v>7.1679765144796903E-2</v>
      </c>
      <c r="I9" s="134">
        <f t="shared" si="29"/>
        <v>5.6951266738682893E-2</v>
      </c>
      <c r="J9" s="134">
        <f t="shared" ref="J9" si="30">J8/I8-1</f>
        <v>4.3783733876175956E-2</v>
      </c>
      <c r="K9" s="134">
        <f t="shared" ref="K9" si="31">K8/J8-1</f>
        <v>4.9950768571333848E-2</v>
      </c>
      <c r="L9" s="134">
        <f t="shared" ref="L9" si="32">L8/K8-1</f>
        <v>4.9950768607371465E-2</v>
      </c>
      <c r="M9" s="134">
        <f t="shared" ref="M9" si="33">M8/L8-1</f>
        <v>4.9950768643411081E-2</v>
      </c>
      <c r="N9" s="138">
        <f t="shared" ref="N9" si="34">N8/M8-1</f>
        <v>4.9950768679452029E-2</v>
      </c>
    </row>
    <row r="10" spans="1:14" ht="4.5" customHeight="1">
      <c r="B10" s="52"/>
      <c r="C10" s="9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377"/>
    </row>
    <row r="11" spans="1:14" ht="15.75">
      <c r="B11" s="116" t="s">
        <v>7</v>
      </c>
      <c r="C11" s="66"/>
      <c r="D11" s="117">
        <v>156949</v>
      </c>
      <c r="E11" s="118">
        <v>164177</v>
      </c>
      <c r="F11" s="118">
        <v>191754</v>
      </c>
      <c r="G11" s="118">
        <v>225458</v>
      </c>
      <c r="H11" s="118">
        <v>240893</v>
      </c>
      <c r="I11" s="86">
        <v>255324</v>
      </c>
      <c r="J11" s="140">
        <f>(J14*J18*J20)/10^7</f>
        <v>266478.4092218182</v>
      </c>
      <c r="K11" s="140">
        <f t="shared" ref="K11:N11" si="35">(K14*K18*K20)/10^7</f>
        <v>279789.00576244807</v>
      </c>
      <c r="L11" s="140">
        <f t="shared" si="35"/>
        <v>293764.46660028235</v>
      </c>
      <c r="M11" s="140">
        <f t="shared" si="35"/>
        <v>308438.00170696649</v>
      </c>
      <c r="N11" s="141">
        <f t="shared" si="35"/>
        <v>323844.47989222949</v>
      </c>
    </row>
    <row r="12" spans="1:14" ht="15.75">
      <c r="B12" s="107" t="s">
        <v>131</v>
      </c>
      <c r="C12" s="101"/>
      <c r="D12" s="102">
        <v>448464</v>
      </c>
      <c r="E12" s="103">
        <v>488649</v>
      </c>
      <c r="F12" s="103">
        <v>592195</v>
      </c>
      <c r="G12" s="103">
        <v>614795</v>
      </c>
      <c r="H12" s="103">
        <v>601546</v>
      </c>
      <c r="I12" s="103">
        <v>607979</v>
      </c>
      <c r="J12" s="371">
        <f>I12*(1+J13)</f>
        <v>600683.25199999998</v>
      </c>
      <c r="K12" s="371">
        <f t="shared" ref="K12:N12" si="36">J12*(1+K13)</f>
        <v>607891.45102399995</v>
      </c>
      <c r="L12" s="371">
        <f t="shared" si="36"/>
        <v>615186.148436288</v>
      </c>
      <c r="M12" s="371">
        <f t="shared" si="36"/>
        <v>622568.38221752341</v>
      </c>
      <c r="N12" s="378">
        <f t="shared" si="36"/>
        <v>630039.20280413365</v>
      </c>
    </row>
    <row r="13" spans="1:14" ht="15.75">
      <c r="B13" s="108" t="s">
        <v>130</v>
      </c>
      <c r="C13" s="104"/>
      <c r="D13" s="448">
        <v>0</v>
      </c>
      <c r="E13" s="343">
        <f>E12/D12-1</f>
        <v>8.9605854650540495E-2</v>
      </c>
      <c r="F13" s="343">
        <f t="shared" ref="F13:I13" si="37">F12/E12-1</f>
        <v>0.2119026131231212</v>
      </c>
      <c r="G13" s="343">
        <f t="shared" si="37"/>
        <v>3.8163105058300006E-2</v>
      </c>
      <c r="H13" s="343">
        <f t="shared" si="37"/>
        <v>-2.1550272855179409E-2</v>
      </c>
      <c r="I13" s="343">
        <f t="shared" si="37"/>
        <v>1.069411150601951E-2</v>
      </c>
      <c r="J13" s="369">
        <v>-1.2E-2</v>
      </c>
      <c r="K13" s="370">
        <v>1.2E-2</v>
      </c>
      <c r="L13" s="370">
        <v>1.2E-2</v>
      </c>
      <c r="M13" s="370">
        <v>1.2E-2</v>
      </c>
      <c r="N13" s="379">
        <v>1.2E-2</v>
      </c>
    </row>
    <row r="14" spans="1:14" ht="15.75">
      <c r="B14" s="535" t="s">
        <v>129</v>
      </c>
      <c r="D14" s="449">
        <f t="shared" ref="D14:I14" si="38">D12*D15</f>
        <v>369982.8</v>
      </c>
      <c r="E14" s="449">
        <f t="shared" si="38"/>
        <v>403135.42499999999</v>
      </c>
      <c r="F14" s="449">
        <f t="shared" si="38"/>
        <v>488560.875</v>
      </c>
      <c r="G14" s="449">
        <f t="shared" si="38"/>
        <v>507205.875</v>
      </c>
      <c r="H14" s="449">
        <f t="shared" si="38"/>
        <v>496275.44999999995</v>
      </c>
      <c r="I14" s="449">
        <f t="shared" si="38"/>
        <v>501582.67499999999</v>
      </c>
      <c r="J14" s="449">
        <f>J15*J12</f>
        <v>504573.93167999998</v>
      </c>
      <c r="K14" s="449">
        <f t="shared" ref="K14:N14" si="39">K15*K12</f>
        <v>510628.81886015995</v>
      </c>
      <c r="L14" s="449">
        <f t="shared" si="39"/>
        <v>516756.36468648189</v>
      </c>
      <c r="M14" s="449">
        <f t="shared" si="39"/>
        <v>522957.44106271962</v>
      </c>
      <c r="N14" s="388">
        <f t="shared" si="39"/>
        <v>529232.93035547226</v>
      </c>
    </row>
    <row r="15" spans="1:14" ht="15.75">
      <c r="B15" s="536" t="s">
        <v>128</v>
      </c>
      <c r="C15" s="105"/>
      <c r="D15" s="308">
        <v>0.82499999999999996</v>
      </c>
      <c r="E15" s="308">
        <v>0.82499999999999996</v>
      </c>
      <c r="F15" s="308">
        <v>0.82499999999999996</v>
      </c>
      <c r="G15" s="308">
        <v>0.82499999999999996</v>
      </c>
      <c r="H15" s="308">
        <v>0.82499999999999996</v>
      </c>
      <c r="I15" s="308">
        <v>0.82499999999999996</v>
      </c>
      <c r="J15" s="450">
        <v>0.84</v>
      </c>
      <c r="K15" s="451">
        <f>J15</f>
        <v>0.84</v>
      </c>
      <c r="L15" s="451">
        <f t="shared" ref="L15:N15" si="40">K15</f>
        <v>0.84</v>
      </c>
      <c r="M15" s="451">
        <f t="shared" si="40"/>
        <v>0.84</v>
      </c>
      <c r="N15" s="452">
        <f t="shared" si="40"/>
        <v>0.84</v>
      </c>
    </row>
    <row r="16" spans="1:14" ht="15.75">
      <c r="B16" s="535" t="s">
        <v>160</v>
      </c>
      <c r="C16" s="105"/>
      <c r="D16" s="101">
        <f t="shared" ref="D16:H16" si="41">D11*10^7/D14</f>
        <v>4242062.0634256508</v>
      </c>
      <c r="E16" s="101">
        <f t="shared" si="41"/>
        <v>4072502.4351308248</v>
      </c>
      <c r="F16" s="101">
        <f t="shared" si="41"/>
        <v>3924874.2544109779</v>
      </c>
      <c r="G16" s="101">
        <f t="shared" si="41"/>
        <v>4445098.3537996281</v>
      </c>
      <c r="H16" s="101">
        <f t="shared" si="41"/>
        <v>4854018.0659752572</v>
      </c>
      <c r="I16" s="101">
        <f>I11*10^7/I14</f>
        <v>5090367.2061639689</v>
      </c>
      <c r="J16" s="453">
        <f>J11*10^7/J14</f>
        <v>5281255.976395119</v>
      </c>
      <c r="K16" s="453">
        <f t="shared" ref="K16:N16" si="42">K11*10^7/K14</f>
        <v>5479303.0755099356</v>
      </c>
      <c r="L16" s="453">
        <f t="shared" si="42"/>
        <v>5684776.9408415593</v>
      </c>
      <c r="M16" s="453">
        <f t="shared" si="42"/>
        <v>5897956.0761231193</v>
      </c>
      <c r="N16" s="454">
        <f t="shared" si="42"/>
        <v>6119129.4289777363</v>
      </c>
    </row>
    <row r="17" spans="2:14" ht="15.75">
      <c r="B17" s="536"/>
      <c r="C17" s="105"/>
      <c r="D17" s="455"/>
      <c r="E17" s="309"/>
      <c r="F17" s="309"/>
      <c r="G17" s="309"/>
      <c r="H17" s="309"/>
      <c r="I17" s="309"/>
      <c r="J17" s="23"/>
      <c r="K17" s="23"/>
      <c r="L17" s="23"/>
      <c r="M17" s="23"/>
      <c r="N17" s="456"/>
    </row>
    <row r="18" spans="2:14" ht="15.75">
      <c r="B18" s="535" t="s">
        <v>143</v>
      </c>
      <c r="D18" s="457">
        <v>2000</v>
      </c>
      <c r="E18" s="457">
        <v>2000</v>
      </c>
      <c r="F18" s="457">
        <v>2000</v>
      </c>
      <c r="G18" s="457">
        <v>2000</v>
      </c>
      <c r="H18" s="457">
        <v>2000</v>
      </c>
      <c r="I18" s="457">
        <v>2000</v>
      </c>
      <c r="J18" s="458">
        <f>I18</f>
        <v>2000</v>
      </c>
      <c r="K18" s="458">
        <f t="shared" ref="K18:N18" si="43">J18</f>
        <v>2000</v>
      </c>
      <c r="L18" s="458">
        <f t="shared" si="43"/>
        <v>2000</v>
      </c>
      <c r="M18" s="458">
        <f t="shared" si="43"/>
        <v>2000</v>
      </c>
      <c r="N18" s="459">
        <f t="shared" si="43"/>
        <v>2000</v>
      </c>
    </row>
    <row r="19" spans="2:14" ht="15.75">
      <c r="B19" s="535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456"/>
    </row>
    <row r="20" spans="2:14" ht="15.75">
      <c r="B20" s="535" t="s">
        <v>144</v>
      </c>
      <c r="D20" s="460">
        <f>D16/D18</f>
        <v>2121.0310317128256</v>
      </c>
      <c r="E20" s="460">
        <f t="shared" ref="E20:G20" si="44">E16/E18</f>
        <v>2036.2512175654124</v>
      </c>
      <c r="F20" s="460">
        <f t="shared" si="44"/>
        <v>1962.4371272054889</v>
      </c>
      <c r="G20" s="460">
        <f t="shared" si="44"/>
        <v>2222.549176899814</v>
      </c>
      <c r="H20" s="460">
        <f>H16/H18</f>
        <v>2427.0090329876284</v>
      </c>
      <c r="I20" s="460">
        <f>I16/I18</f>
        <v>2545.1836030819845</v>
      </c>
      <c r="J20" s="461">
        <f>I20*(1+J21)</f>
        <v>2640.6279881975593</v>
      </c>
      <c r="K20" s="461">
        <f t="shared" ref="K20:N20" si="45">J20*(1+K21)</f>
        <v>2739.6515377549681</v>
      </c>
      <c r="L20" s="461">
        <f t="shared" si="45"/>
        <v>2842.3884704207799</v>
      </c>
      <c r="M20" s="461">
        <f t="shared" si="45"/>
        <v>2948.9780380615593</v>
      </c>
      <c r="N20" s="462">
        <f t="shared" si="45"/>
        <v>3059.564714488868</v>
      </c>
    </row>
    <row r="21" spans="2:14" ht="15.75">
      <c r="B21" s="108" t="s">
        <v>130</v>
      </c>
      <c r="C21" s="104"/>
      <c r="D21" s="344"/>
      <c r="E21" s="344">
        <f>E20/D20-1</f>
        <v>-3.9971039027632549E-2</v>
      </c>
      <c r="F21" s="344">
        <f t="shared" ref="F21:I21" si="46">F20/E20-1</f>
        <v>-3.6249992006476162E-2</v>
      </c>
      <c r="G21" s="344">
        <f t="shared" si="46"/>
        <v>0.13254541818861987</v>
      </c>
      <c r="H21" s="344">
        <f t="shared" si="46"/>
        <v>9.1993400286877414E-2</v>
      </c>
      <c r="I21" s="344">
        <f t="shared" si="46"/>
        <v>4.8691442218854908E-2</v>
      </c>
      <c r="J21" s="308">
        <v>3.7499999999999999E-2</v>
      </c>
      <c r="K21" s="309">
        <f>J21</f>
        <v>3.7499999999999999E-2</v>
      </c>
      <c r="L21" s="309">
        <f t="shared" ref="L21:N21" si="47">K21</f>
        <v>3.7499999999999999E-2</v>
      </c>
      <c r="M21" s="309">
        <f t="shared" si="47"/>
        <v>3.7499999999999999E-2</v>
      </c>
      <c r="N21" s="310">
        <f t="shared" si="47"/>
        <v>3.7499999999999999E-2</v>
      </c>
    </row>
    <row r="22" spans="2:14" ht="15.75">
      <c r="B22" s="110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456"/>
    </row>
    <row r="23" spans="2:14" ht="3.95" customHeight="1">
      <c r="B23" s="110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456"/>
    </row>
    <row r="24" spans="2:14" ht="15.75">
      <c r="B24" s="112" t="s">
        <v>138</v>
      </c>
      <c r="C24" s="113"/>
      <c r="D24" s="114">
        <f>SUM(D25:D34)</f>
        <v>4592</v>
      </c>
      <c r="E24" s="114">
        <f t="shared" ref="E24:I24" si="48">SUM(E25:E34)</f>
        <v>3134</v>
      </c>
      <c r="F24" s="114">
        <f t="shared" si="48"/>
        <v>4018</v>
      </c>
      <c r="G24" s="114">
        <f t="shared" si="48"/>
        <v>3449</v>
      </c>
      <c r="H24" s="114">
        <f t="shared" si="48"/>
        <v>4422</v>
      </c>
      <c r="I24" s="114">
        <f t="shared" si="48"/>
        <v>3962</v>
      </c>
      <c r="J24" s="463">
        <f>I24*(1+J36)</f>
        <v>4160.1000000000004</v>
      </c>
      <c r="K24" s="463">
        <f t="shared" ref="K24:N24" si="49">J24*(1+K36)</f>
        <v>4368.1050000000005</v>
      </c>
      <c r="L24" s="463">
        <f t="shared" si="49"/>
        <v>4586.5102500000003</v>
      </c>
      <c r="M24" s="463">
        <f t="shared" si="49"/>
        <v>4815.8357625000008</v>
      </c>
      <c r="N24" s="464">
        <f t="shared" si="49"/>
        <v>5056.6275506250013</v>
      </c>
    </row>
    <row r="25" spans="2:14" ht="15.75">
      <c r="B25" s="535" t="s">
        <v>132</v>
      </c>
      <c r="D25" s="102">
        <v>3562</v>
      </c>
      <c r="E25" s="102">
        <v>2504</v>
      </c>
      <c r="F25" s="102">
        <v>2663</v>
      </c>
      <c r="G25" s="102">
        <v>3248</v>
      </c>
      <c r="H25" s="102">
        <v>3781</v>
      </c>
      <c r="I25" s="102">
        <v>3296</v>
      </c>
      <c r="J25" s="541">
        <f>J$24*J37</f>
        <v>3411.2820000000002</v>
      </c>
      <c r="K25" s="541">
        <f t="shared" ref="K25:N25" si="50">K$24*K37</f>
        <v>3581.8461000000002</v>
      </c>
      <c r="L25" s="541">
        <f t="shared" si="50"/>
        <v>3760.9384049999999</v>
      </c>
      <c r="M25" s="541">
        <f t="shared" si="50"/>
        <v>3948.9853252500002</v>
      </c>
      <c r="N25" s="542">
        <f t="shared" si="50"/>
        <v>4146.4345915125004</v>
      </c>
    </row>
    <row r="26" spans="2:14" ht="15.75">
      <c r="B26" s="535" t="s">
        <v>133</v>
      </c>
      <c r="D26" s="102">
        <v>10</v>
      </c>
      <c r="E26" s="102">
        <v>8</v>
      </c>
      <c r="F26" s="102">
        <v>4</v>
      </c>
      <c r="G26" s="102">
        <v>15</v>
      </c>
      <c r="H26" s="102">
        <v>41</v>
      </c>
      <c r="I26" s="102">
        <v>43</v>
      </c>
      <c r="J26" s="541">
        <f t="shared" ref="J26:N26" si="51">J$24*J38</f>
        <v>31.200750000000003</v>
      </c>
      <c r="K26" s="541">
        <f t="shared" si="51"/>
        <v>32.760787499999999</v>
      </c>
      <c r="L26" s="541">
        <f t="shared" si="51"/>
        <v>34.398826874999997</v>
      </c>
      <c r="M26" s="541">
        <f t="shared" si="51"/>
        <v>36.118768218750006</v>
      </c>
      <c r="N26" s="542">
        <f t="shared" si="51"/>
        <v>37.924706629687506</v>
      </c>
    </row>
    <row r="27" spans="2:14" ht="15.75">
      <c r="B27" s="535" t="s">
        <v>134</v>
      </c>
      <c r="D27" s="102">
        <v>200</v>
      </c>
      <c r="E27" s="102">
        <v>204</v>
      </c>
      <c r="F27" s="102">
        <v>198</v>
      </c>
      <c r="G27" s="102">
        <v>220</v>
      </c>
      <c r="H27" s="102">
        <v>301</v>
      </c>
      <c r="I27" s="102">
        <v>258</v>
      </c>
      <c r="J27" s="541">
        <f t="shared" ref="J27:N27" si="52">J$24*J39</f>
        <v>228.80550000000002</v>
      </c>
      <c r="K27" s="541">
        <f t="shared" si="52"/>
        <v>240.24577500000004</v>
      </c>
      <c r="L27" s="541">
        <f t="shared" si="52"/>
        <v>252.25806375000002</v>
      </c>
      <c r="M27" s="541">
        <f t="shared" si="52"/>
        <v>264.87096693750004</v>
      </c>
      <c r="N27" s="542">
        <f t="shared" si="52"/>
        <v>278.11451528437505</v>
      </c>
    </row>
    <row r="28" spans="2:14" ht="15.75">
      <c r="B28" s="535" t="s">
        <v>135</v>
      </c>
      <c r="D28" s="102">
        <v>14</v>
      </c>
      <c r="E28" s="102">
        <v>0</v>
      </c>
      <c r="F28" s="102">
        <v>0</v>
      </c>
      <c r="G28" s="102">
        <v>4</v>
      </c>
      <c r="H28" s="102">
        <v>11</v>
      </c>
      <c r="I28" s="102">
        <v>11</v>
      </c>
      <c r="J28" s="541">
        <f t="shared" ref="J28:N28" si="53">J$24*J40</f>
        <v>10.400250000000002</v>
      </c>
      <c r="K28" s="541">
        <f t="shared" si="53"/>
        <v>10.920262500000002</v>
      </c>
      <c r="L28" s="541">
        <f t="shared" si="53"/>
        <v>11.466275625000002</v>
      </c>
      <c r="M28" s="541">
        <f t="shared" si="53"/>
        <v>12.039589406250002</v>
      </c>
      <c r="N28" s="542">
        <f t="shared" si="53"/>
        <v>12.641568876562504</v>
      </c>
    </row>
    <row r="29" spans="2:14" ht="15.75">
      <c r="B29" s="535" t="s">
        <v>141</v>
      </c>
      <c r="D29" s="102">
        <v>46</v>
      </c>
      <c r="E29" s="102">
        <v>13</v>
      </c>
      <c r="F29" s="102">
        <v>23</v>
      </c>
      <c r="G29" s="102">
        <v>26</v>
      </c>
      <c r="H29" s="102">
        <v>7</v>
      </c>
      <c r="I29" s="102">
        <v>20</v>
      </c>
      <c r="J29" s="541">
        <f t="shared" ref="J29:N29" si="54">J$24*J41</f>
        <v>21</v>
      </c>
      <c r="K29" s="541">
        <f t="shared" si="54"/>
        <v>22.05</v>
      </c>
      <c r="L29" s="541">
        <f t="shared" si="54"/>
        <v>23.1525</v>
      </c>
      <c r="M29" s="541">
        <f t="shared" si="54"/>
        <v>24.310125000000003</v>
      </c>
      <c r="N29" s="542">
        <f t="shared" si="54"/>
        <v>25.525631250000007</v>
      </c>
    </row>
    <row r="30" spans="2:14" ht="15.75">
      <c r="B30" s="535" t="s">
        <v>139</v>
      </c>
      <c r="D30" s="102">
        <v>13</v>
      </c>
      <c r="E30" s="102">
        <v>100</v>
      </c>
      <c r="F30" s="102">
        <v>7</v>
      </c>
      <c r="G30" s="102">
        <v>-2</v>
      </c>
      <c r="H30" s="102">
        <v>7</v>
      </c>
      <c r="I30" s="102">
        <v>15</v>
      </c>
      <c r="J30" s="541">
        <f t="shared" ref="J30:N30" si="55">J$24*J42</f>
        <v>15.750000000000002</v>
      </c>
      <c r="K30" s="541">
        <f t="shared" si="55"/>
        <v>16.537500000000001</v>
      </c>
      <c r="L30" s="541">
        <f t="shared" si="55"/>
        <v>17.364375000000003</v>
      </c>
      <c r="M30" s="541">
        <f t="shared" si="55"/>
        <v>18.232593750000003</v>
      </c>
      <c r="N30" s="542">
        <f t="shared" si="55"/>
        <v>19.144223437500006</v>
      </c>
    </row>
    <row r="31" spans="2:14" ht="15.75">
      <c r="B31" s="535" t="s">
        <v>142</v>
      </c>
      <c r="D31" s="102">
        <v>727</v>
      </c>
      <c r="E31" s="102">
        <v>248</v>
      </c>
      <c r="F31" s="102">
        <v>1045</v>
      </c>
      <c r="G31" s="102">
        <v>-159</v>
      </c>
      <c r="H31" s="102">
        <v>223</v>
      </c>
      <c r="I31" s="102">
        <v>260</v>
      </c>
      <c r="J31" s="541">
        <f t="shared" ref="J31:N31" si="56">J$24*J43</f>
        <v>208.00500000000002</v>
      </c>
      <c r="K31" s="541">
        <f t="shared" si="56"/>
        <v>218.40525000000002</v>
      </c>
      <c r="L31" s="541">
        <f t="shared" si="56"/>
        <v>229.32551250000003</v>
      </c>
      <c r="M31" s="541">
        <f t="shared" si="56"/>
        <v>240.79178812500004</v>
      </c>
      <c r="N31" s="542">
        <f t="shared" si="56"/>
        <v>252.83137753125007</v>
      </c>
    </row>
    <row r="32" spans="2:14" ht="15.75">
      <c r="B32" s="535" t="s">
        <v>136</v>
      </c>
      <c r="D32" s="102">
        <v>1</v>
      </c>
      <c r="E32" s="102">
        <v>1</v>
      </c>
      <c r="F32" s="102">
        <v>0</v>
      </c>
      <c r="G32" s="102">
        <v>0</v>
      </c>
      <c r="H32" s="102">
        <v>0</v>
      </c>
      <c r="I32" s="102">
        <v>3</v>
      </c>
      <c r="J32" s="541">
        <f t="shared" ref="J32:N32" si="57">J$24*J44</f>
        <v>2.0800500000000004</v>
      </c>
      <c r="K32" s="541">
        <f t="shared" si="57"/>
        <v>2.1840525000000004</v>
      </c>
      <c r="L32" s="541">
        <f t="shared" si="57"/>
        <v>2.2932551250000004</v>
      </c>
      <c r="M32" s="541">
        <f t="shared" si="57"/>
        <v>2.4079178812500004</v>
      </c>
      <c r="N32" s="542">
        <f t="shared" si="57"/>
        <v>2.5283137753125007</v>
      </c>
    </row>
    <row r="33" spans="1:14" ht="15.75">
      <c r="B33" s="535" t="s">
        <v>140</v>
      </c>
      <c r="D33" s="102">
        <v>0</v>
      </c>
      <c r="E33" s="102">
        <v>0</v>
      </c>
      <c r="F33" s="102">
        <v>-9</v>
      </c>
      <c r="G33" s="102">
        <v>0</v>
      </c>
      <c r="H33" s="102">
        <v>0</v>
      </c>
      <c r="I33" s="102">
        <v>0</v>
      </c>
      <c r="J33" s="541">
        <f t="shared" ref="J33:N33" si="58">J$24*J45</f>
        <v>0</v>
      </c>
      <c r="K33" s="541">
        <f t="shared" si="58"/>
        <v>0</v>
      </c>
      <c r="L33" s="541">
        <f t="shared" si="58"/>
        <v>0</v>
      </c>
      <c r="M33" s="541">
        <f t="shared" si="58"/>
        <v>0</v>
      </c>
      <c r="N33" s="542">
        <f t="shared" si="58"/>
        <v>0</v>
      </c>
    </row>
    <row r="34" spans="1:14" ht="15.75">
      <c r="B34" s="537" t="s">
        <v>137</v>
      </c>
      <c r="C34" s="111"/>
      <c r="D34" s="269">
        <v>19</v>
      </c>
      <c r="E34" s="269">
        <v>56</v>
      </c>
      <c r="F34" s="269">
        <v>87</v>
      </c>
      <c r="G34" s="269">
        <v>97</v>
      </c>
      <c r="H34" s="269">
        <v>51</v>
      </c>
      <c r="I34" s="269">
        <v>56</v>
      </c>
      <c r="J34" s="543">
        <f t="shared" ref="J34:N34" si="59">J$24*J46</f>
        <v>66.561600000000013</v>
      </c>
      <c r="K34" s="543">
        <f t="shared" si="59"/>
        <v>69.889680000000013</v>
      </c>
      <c r="L34" s="543">
        <f t="shared" si="59"/>
        <v>73.384164000000013</v>
      </c>
      <c r="M34" s="543">
        <f t="shared" si="59"/>
        <v>77.053372200000013</v>
      </c>
      <c r="N34" s="544">
        <f t="shared" si="59"/>
        <v>80.906040810000022</v>
      </c>
    </row>
    <row r="35" spans="1:14" ht="3.95" customHeight="1">
      <c r="B35" s="538"/>
      <c r="D35" s="102"/>
      <c r="E35" s="102"/>
      <c r="F35" s="102"/>
      <c r="G35" s="102"/>
      <c r="H35" s="102"/>
      <c r="I35" s="102"/>
      <c r="J35" s="23"/>
      <c r="K35" s="23"/>
      <c r="L35" s="23"/>
      <c r="M35" s="23"/>
      <c r="N35" s="456"/>
    </row>
    <row r="36" spans="1:14" ht="15.75">
      <c r="B36" s="539" t="s">
        <v>162</v>
      </c>
      <c r="C36" s="115"/>
      <c r="D36" s="467"/>
      <c r="E36" s="467">
        <f>E24/D24-1</f>
        <v>-0.31750871080139376</v>
      </c>
      <c r="F36" s="467">
        <f t="shared" ref="F36:I36" si="60">F24/E24-1</f>
        <v>0.28206764518187621</v>
      </c>
      <c r="G36" s="467">
        <f t="shared" si="60"/>
        <v>-0.1416127426580388</v>
      </c>
      <c r="H36" s="467">
        <f t="shared" si="60"/>
        <v>0.28211075674108432</v>
      </c>
      <c r="I36" s="467">
        <f t="shared" si="60"/>
        <v>-0.10402532790592489</v>
      </c>
      <c r="J36" s="468">
        <v>0.05</v>
      </c>
      <c r="K36" s="468">
        <v>0.05</v>
      </c>
      <c r="L36" s="468">
        <v>0.05</v>
      </c>
      <c r="M36" s="468">
        <v>0.05</v>
      </c>
      <c r="N36" s="469">
        <v>0.05</v>
      </c>
    </row>
    <row r="37" spans="1:14" ht="15.75">
      <c r="B37" s="535" t="s">
        <v>132</v>
      </c>
      <c r="D37" s="470">
        <f>D25/D$24</f>
        <v>0.7756968641114983</v>
      </c>
      <c r="E37" s="471">
        <f t="shared" ref="E37:I37" si="61">E25/E$24</f>
        <v>0.79897894065092534</v>
      </c>
      <c r="F37" s="471">
        <f t="shared" si="61"/>
        <v>0.66276754604280741</v>
      </c>
      <c r="G37" s="471">
        <f t="shared" si="61"/>
        <v>0.94172223832995072</v>
      </c>
      <c r="H37" s="471">
        <f t="shared" si="61"/>
        <v>0.85504296698326554</v>
      </c>
      <c r="I37" s="471">
        <f t="shared" si="61"/>
        <v>0.83190307925290252</v>
      </c>
      <c r="J37" s="472">
        <v>0.82</v>
      </c>
      <c r="K37" s="545">
        <f>J37</f>
        <v>0.82</v>
      </c>
      <c r="L37" s="545">
        <f t="shared" ref="L37:N37" si="62">K37</f>
        <v>0.82</v>
      </c>
      <c r="M37" s="545">
        <f t="shared" si="62"/>
        <v>0.82</v>
      </c>
      <c r="N37" s="546">
        <f t="shared" si="62"/>
        <v>0.82</v>
      </c>
    </row>
    <row r="38" spans="1:14" ht="15.75">
      <c r="B38" s="535" t="s">
        <v>133</v>
      </c>
      <c r="D38" s="473">
        <f t="shared" ref="D38:I46" si="63">D26/D$24</f>
        <v>2.1777003484320556E-3</v>
      </c>
      <c r="E38" s="474">
        <f t="shared" si="63"/>
        <v>2.5526483726866626E-3</v>
      </c>
      <c r="F38" s="474">
        <f t="shared" si="63"/>
        <v>9.9552015928322545E-4</v>
      </c>
      <c r="G38" s="474">
        <f t="shared" si="63"/>
        <v>4.3490866917947233E-3</v>
      </c>
      <c r="H38" s="474">
        <f t="shared" si="63"/>
        <v>9.271822704658525E-3</v>
      </c>
      <c r="I38" s="474">
        <f t="shared" si="63"/>
        <v>1.0853104492680465E-2</v>
      </c>
      <c r="J38" s="225">
        <v>7.4999999999999997E-3</v>
      </c>
      <c r="K38" s="226">
        <f>J38</f>
        <v>7.4999999999999997E-3</v>
      </c>
      <c r="L38" s="226">
        <f t="shared" ref="L38:N38" si="64">K38</f>
        <v>7.4999999999999997E-3</v>
      </c>
      <c r="M38" s="226">
        <f t="shared" si="64"/>
        <v>7.4999999999999997E-3</v>
      </c>
      <c r="N38" s="227">
        <f t="shared" si="64"/>
        <v>7.4999999999999997E-3</v>
      </c>
    </row>
    <row r="39" spans="1:14" ht="15.75">
      <c r="B39" s="535" t="s">
        <v>134</v>
      </c>
      <c r="D39" s="473">
        <f t="shared" si="63"/>
        <v>4.3554006968641118E-2</v>
      </c>
      <c r="E39" s="474">
        <f t="shared" si="63"/>
        <v>6.5092533503509895E-2</v>
      </c>
      <c r="F39" s="474">
        <f t="shared" si="63"/>
        <v>4.9278247884519663E-2</v>
      </c>
      <c r="G39" s="474">
        <f t="shared" si="63"/>
        <v>6.378660481298927E-2</v>
      </c>
      <c r="H39" s="474">
        <f t="shared" si="63"/>
        <v>6.8068747173224781E-2</v>
      </c>
      <c r="I39" s="474">
        <f t="shared" si="63"/>
        <v>6.5118626956082781E-2</v>
      </c>
      <c r="J39" s="225">
        <v>5.5E-2</v>
      </c>
      <c r="K39" s="226">
        <f>J39</f>
        <v>5.5E-2</v>
      </c>
      <c r="L39" s="226">
        <f t="shared" ref="L39:N39" si="65">K39</f>
        <v>5.5E-2</v>
      </c>
      <c r="M39" s="226">
        <f t="shared" si="65"/>
        <v>5.5E-2</v>
      </c>
      <c r="N39" s="227">
        <f t="shared" si="65"/>
        <v>5.5E-2</v>
      </c>
    </row>
    <row r="40" spans="1:14" ht="15.75">
      <c r="B40" s="535" t="s">
        <v>135</v>
      </c>
      <c r="D40" s="473">
        <f t="shared" si="63"/>
        <v>3.0487804878048782E-3</v>
      </c>
      <c r="E40" s="474">
        <f t="shared" si="63"/>
        <v>0</v>
      </c>
      <c r="F40" s="474">
        <f t="shared" si="63"/>
        <v>0</v>
      </c>
      <c r="G40" s="474">
        <f t="shared" si="63"/>
        <v>1.1597564511452595E-3</v>
      </c>
      <c r="H40" s="474">
        <f t="shared" si="63"/>
        <v>2.4875621890547263E-3</v>
      </c>
      <c r="I40" s="474">
        <f t="shared" si="63"/>
        <v>2.7763755678950025E-3</v>
      </c>
      <c r="J40" s="225">
        <v>2.5000000000000001E-3</v>
      </c>
      <c r="K40" s="226">
        <f>J40</f>
        <v>2.5000000000000001E-3</v>
      </c>
      <c r="L40" s="226">
        <f t="shared" ref="L40:N40" si="66">K40</f>
        <v>2.5000000000000001E-3</v>
      </c>
      <c r="M40" s="226">
        <f t="shared" si="66"/>
        <v>2.5000000000000001E-3</v>
      </c>
      <c r="N40" s="227">
        <f t="shared" si="66"/>
        <v>2.5000000000000001E-3</v>
      </c>
    </row>
    <row r="41" spans="1:14" ht="15.75">
      <c r="B41" s="535" t="s">
        <v>141</v>
      </c>
      <c r="D41" s="473">
        <f t="shared" si="63"/>
        <v>1.0017421602787456E-2</v>
      </c>
      <c r="E41" s="474">
        <f t="shared" si="63"/>
        <v>4.1480536056158262E-3</v>
      </c>
      <c r="F41" s="474">
        <f t="shared" si="63"/>
        <v>5.7242409158785468E-3</v>
      </c>
      <c r="G41" s="474">
        <f t="shared" si="63"/>
        <v>7.538416932444187E-3</v>
      </c>
      <c r="H41" s="474">
        <f t="shared" si="63"/>
        <v>1.5829941203075531E-3</v>
      </c>
      <c r="I41" s="474">
        <f t="shared" si="63"/>
        <v>5.0479555779909136E-3</v>
      </c>
      <c r="J41" s="314">
        <f>I41</f>
        <v>5.0479555779909136E-3</v>
      </c>
      <c r="K41" s="314">
        <f t="shared" ref="K41:N41" si="67">J41</f>
        <v>5.0479555779909136E-3</v>
      </c>
      <c r="L41" s="314">
        <f t="shared" si="67"/>
        <v>5.0479555779909136E-3</v>
      </c>
      <c r="M41" s="314">
        <f t="shared" si="67"/>
        <v>5.0479555779909136E-3</v>
      </c>
      <c r="N41" s="318">
        <f t="shared" si="67"/>
        <v>5.0479555779909136E-3</v>
      </c>
    </row>
    <row r="42" spans="1:14" ht="15.75">
      <c r="B42" s="535" t="s">
        <v>139</v>
      </c>
      <c r="D42" s="473">
        <f t="shared" si="63"/>
        <v>2.8310104529616726E-3</v>
      </c>
      <c r="E42" s="474">
        <f t="shared" si="63"/>
        <v>3.1908104658583278E-2</v>
      </c>
      <c r="F42" s="474">
        <f t="shared" si="63"/>
        <v>1.7421602787456446E-3</v>
      </c>
      <c r="G42" s="474">
        <f t="shared" si="63"/>
        <v>-5.7987822557262973E-4</v>
      </c>
      <c r="H42" s="474">
        <f t="shared" si="63"/>
        <v>1.5829941203075531E-3</v>
      </c>
      <c r="I42" s="474">
        <f t="shared" si="63"/>
        <v>3.7859666834931852E-3</v>
      </c>
      <c r="J42" s="314">
        <f>I42</f>
        <v>3.7859666834931852E-3</v>
      </c>
      <c r="K42" s="314">
        <f t="shared" ref="K42:N44" si="68">J42</f>
        <v>3.7859666834931852E-3</v>
      </c>
      <c r="L42" s="314">
        <f t="shared" si="68"/>
        <v>3.7859666834931852E-3</v>
      </c>
      <c r="M42" s="314">
        <f t="shared" si="68"/>
        <v>3.7859666834931852E-3</v>
      </c>
      <c r="N42" s="318">
        <f t="shared" si="68"/>
        <v>3.7859666834931852E-3</v>
      </c>
    </row>
    <row r="43" spans="1:14" ht="15.75">
      <c r="B43" s="535" t="s">
        <v>142</v>
      </c>
      <c r="D43" s="473">
        <f t="shared" si="63"/>
        <v>0.15831881533101044</v>
      </c>
      <c r="E43" s="474">
        <f t="shared" si="63"/>
        <v>7.9132099553286539E-2</v>
      </c>
      <c r="F43" s="474">
        <f t="shared" si="63"/>
        <v>0.26007964161274266</v>
      </c>
      <c r="G43" s="474">
        <f t="shared" si="63"/>
        <v>-4.6100318933024062E-2</v>
      </c>
      <c r="H43" s="474">
        <f t="shared" si="63"/>
        <v>5.0429669832654907E-2</v>
      </c>
      <c r="I43" s="474">
        <f t="shared" si="63"/>
        <v>6.5623422513881882E-2</v>
      </c>
      <c r="J43" s="225">
        <v>0.05</v>
      </c>
      <c r="K43" s="226">
        <f>J43</f>
        <v>0.05</v>
      </c>
      <c r="L43" s="226">
        <f t="shared" si="68"/>
        <v>0.05</v>
      </c>
      <c r="M43" s="226">
        <f t="shared" si="68"/>
        <v>0.05</v>
      </c>
      <c r="N43" s="227">
        <f t="shared" si="68"/>
        <v>0.05</v>
      </c>
    </row>
    <row r="44" spans="1:14" ht="15.75">
      <c r="B44" s="535" t="s">
        <v>136</v>
      </c>
      <c r="D44" s="473">
        <f t="shared" si="63"/>
        <v>2.1777003484320557E-4</v>
      </c>
      <c r="E44" s="474">
        <f t="shared" si="63"/>
        <v>3.1908104658583282E-4</v>
      </c>
      <c r="F44" s="474">
        <f t="shared" si="63"/>
        <v>0</v>
      </c>
      <c r="G44" s="474">
        <f t="shared" si="63"/>
        <v>0</v>
      </c>
      <c r="H44" s="474">
        <f t="shared" si="63"/>
        <v>0</v>
      </c>
      <c r="I44" s="474">
        <f t="shared" si="63"/>
        <v>7.5719333669863704E-4</v>
      </c>
      <c r="J44" s="225">
        <v>5.0000000000000001E-4</v>
      </c>
      <c r="K44" s="226">
        <f>J44</f>
        <v>5.0000000000000001E-4</v>
      </c>
      <c r="L44" s="226">
        <f t="shared" si="68"/>
        <v>5.0000000000000001E-4</v>
      </c>
      <c r="M44" s="226">
        <f t="shared" si="68"/>
        <v>5.0000000000000001E-4</v>
      </c>
      <c r="N44" s="227">
        <f t="shared" si="68"/>
        <v>5.0000000000000001E-4</v>
      </c>
    </row>
    <row r="45" spans="1:14" ht="15.75">
      <c r="B45" s="535" t="s">
        <v>140</v>
      </c>
      <c r="D45" s="473">
        <f t="shared" si="63"/>
        <v>0</v>
      </c>
      <c r="E45" s="474">
        <f t="shared" si="63"/>
        <v>0</v>
      </c>
      <c r="F45" s="474">
        <f t="shared" si="63"/>
        <v>-2.2399203583872572E-3</v>
      </c>
      <c r="G45" s="474">
        <f t="shared" si="63"/>
        <v>0</v>
      </c>
      <c r="H45" s="474">
        <f t="shared" si="63"/>
        <v>0</v>
      </c>
      <c r="I45" s="474">
        <f t="shared" si="63"/>
        <v>0</v>
      </c>
      <c r="J45" s="475">
        <f>I45</f>
        <v>0</v>
      </c>
      <c r="K45" s="475">
        <f t="shared" ref="K45:N46" si="69">J45</f>
        <v>0</v>
      </c>
      <c r="L45" s="475">
        <f t="shared" si="69"/>
        <v>0</v>
      </c>
      <c r="M45" s="475">
        <f t="shared" si="69"/>
        <v>0</v>
      </c>
      <c r="N45" s="476">
        <f t="shared" si="69"/>
        <v>0</v>
      </c>
    </row>
    <row r="46" spans="1:14" ht="15.75">
      <c r="B46" s="537" t="s">
        <v>137</v>
      </c>
      <c r="C46" s="111"/>
      <c r="D46" s="477">
        <f t="shared" si="63"/>
        <v>4.1376306620209058E-3</v>
      </c>
      <c r="E46" s="478">
        <f t="shared" si="63"/>
        <v>1.7868538608806637E-2</v>
      </c>
      <c r="F46" s="478">
        <f t="shared" si="63"/>
        <v>2.1652563464410156E-2</v>
      </c>
      <c r="G46" s="478">
        <f t="shared" si="63"/>
        <v>2.8124093940272543E-2</v>
      </c>
      <c r="H46" s="478">
        <f t="shared" si="63"/>
        <v>1.1533242876526458E-2</v>
      </c>
      <c r="I46" s="478">
        <f t="shared" si="63"/>
        <v>1.4134275618374558E-2</v>
      </c>
      <c r="J46" s="479">
        <v>1.6E-2</v>
      </c>
      <c r="K46" s="547">
        <f>J46</f>
        <v>1.6E-2</v>
      </c>
      <c r="L46" s="547">
        <f t="shared" si="69"/>
        <v>1.6E-2</v>
      </c>
      <c r="M46" s="547">
        <f t="shared" si="69"/>
        <v>1.6E-2</v>
      </c>
      <c r="N46" s="548">
        <f t="shared" si="69"/>
        <v>1.6E-2</v>
      </c>
    </row>
    <row r="47" spans="1:14" ht="15.75"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456"/>
    </row>
    <row r="48" spans="1:14" ht="21">
      <c r="A48" t="s">
        <v>58</v>
      </c>
      <c r="B48" s="100" t="s">
        <v>384</v>
      </c>
      <c r="C48" s="49"/>
      <c r="D48" s="50"/>
      <c r="E48" s="51"/>
      <c r="F48" s="51"/>
      <c r="G48" s="51"/>
      <c r="H48" s="51"/>
      <c r="I48" s="51"/>
      <c r="J48" s="51"/>
      <c r="K48" s="51"/>
      <c r="L48" s="51"/>
      <c r="M48" s="51"/>
      <c r="N48" s="380"/>
    </row>
    <row r="49" spans="2:14" ht="5.0999999999999996" customHeight="1">
      <c r="B49" s="125"/>
      <c r="C49" s="9"/>
      <c r="D49" s="18"/>
      <c r="E49" s="19"/>
      <c r="F49" s="19"/>
      <c r="G49" s="19"/>
      <c r="H49" s="19"/>
      <c r="I49" s="19"/>
      <c r="J49" s="19"/>
      <c r="K49" s="19"/>
      <c r="L49" s="19"/>
      <c r="M49" s="19"/>
      <c r="N49" s="377"/>
    </row>
    <row r="50" spans="2:14" ht="15.95" customHeight="1">
      <c r="B50" s="126" t="s">
        <v>156</v>
      </c>
      <c r="C50" s="127"/>
      <c r="D50" s="128">
        <f t="shared" ref="D50:I50" si="70">D53+D58+D62</f>
        <v>114840</v>
      </c>
      <c r="E50" s="128">
        <f t="shared" si="70"/>
        <v>117631</v>
      </c>
      <c r="F50" s="128">
        <f t="shared" si="70"/>
        <v>138697</v>
      </c>
      <c r="G50" s="128">
        <f t="shared" si="70"/>
        <v>166199</v>
      </c>
      <c r="H50" s="128">
        <f t="shared" si="70"/>
        <v>176597</v>
      </c>
      <c r="I50" s="128">
        <f t="shared" si="70"/>
        <v>187917</v>
      </c>
      <c r="J50" s="135">
        <f>I50*(1+J51)</f>
        <v>198252.435</v>
      </c>
      <c r="K50" s="135">
        <f t="shared" ref="K50:N50" si="71">J50*(1+K51)</f>
        <v>209156.318925</v>
      </c>
      <c r="L50" s="135">
        <f t="shared" si="71"/>
        <v>220659.91646587499</v>
      </c>
      <c r="M50" s="135">
        <f t="shared" si="71"/>
        <v>232796.21187149812</v>
      </c>
      <c r="N50" s="181">
        <f t="shared" si="71"/>
        <v>245600.0035244305</v>
      </c>
    </row>
    <row r="51" spans="2:14" ht="15.6" customHeight="1">
      <c r="B51" s="129" t="s">
        <v>164</v>
      </c>
      <c r="C51" s="130"/>
      <c r="D51" s="216"/>
      <c r="E51" s="216">
        <f>E50/D50-1</f>
        <v>2.4303378613723448E-2</v>
      </c>
      <c r="F51" s="216">
        <f t="shared" ref="F51:I51" si="72">F50/E50-1</f>
        <v>0.17908544516326486</v>
      </c>
      <c r="G51" s="216">
        <f t="shared" si="72"/>
        <v>0.19828835519153265</v>
      </c>
      <c r="H51" s="216">
        <f t="shared" si="72"/>
        <v>6.2563553330645894E-2</v>
      </c>
      <c r="I51" s="216">
        <f t="shared" si="72"/>
        <v>6.4100749163349402E-2</v>
      </c>
      <c r="J51" s="480">
        <v>5.5E-2</v>
      </c>
      <c r="K51" s="480">
        <v>5.5E-2</v>
      </c>
      <c r="L51" s="480">
        <v>5.5E-2</v>
      </c>
      <c r="M51" s="480">
        <v>5.5E-2</v>
      </c>
      <c r="N51" s="481">
        <v>5.5E-2</v>
      </c>
    </row>
    <row r="52" spans="2:14" ht="5.45" customHeight="1"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456"/>
    </row>
    <row r="53" spans="2:14" ht="15.75">
      <c r="B53" s="116" t="s">
        <v>113</v>
      </c>
      <c r="C53" s="66"/>
      <c r="D53" s="114">
        <f>SUM(D54:D56)</f>
        <v>85952</v>
      </c>
      <c r="E53" s="119">
        <f t="shared" ref="E53:I53" si="73">SUM(E54:E56)</f>
        <v>91814</v>
      </c>
      <c r="F53" s="119">
        <f t="shared" si="73"/>
        <v>107554</v>
      </c>
      <c r="G53" s="119">
        <f t="shared" si="73"/>
        <v>127522</v>
      </c>
      <c r="H53" s="119">
        <f t="shared" si="73"/>
        <v>140131</v>
      </c>
      <c r="I53" s="120">
        <f t="shared" si="73"/>
        <v>145788</v>
      </c>
      <c r="J53" s="463">
        <f>SUM(J54:J56)</f>
        <v>154891.85060000001</v>
      </c>
      <c r="K53" s="463">
        <f t="shared" ref="K53:N53" si="74">SUM(K54:K56)</f>
        <v>163410.90238300001</v>
      </c>
      <c r="L53" s="463">
        <f t="shared" si="74"/>
        <v>172398.50201406499</v>
      </c>
      <c r="M53" s="463">
        <f t="shared" si="74"/>
        <v>181880.41962483854</v>
      </c>
      <c r="N53" s="464">
        <f t="shared" si="74"/>
        <v>191883.8427042047</v>
      </c>
    </row>
    <row r="54" spans="2:14" ht="15.75">
      <c r="B54" s="535" t="s">
        <v>145</v>
      </c>
      <c r="D54" s="102">
        <v>77660</v>
      </c>
      <c r="E54" s="102">
        <v>83045</v>
      </c>
      <c r="F54" s="102">
        <v>96263</v>
      </c>
      <c r="G54" s="102">
        <v>114359</v>
      </c>
      <c r="H54" s="102">
        <v>125432</v>
      </c>
      <c r="I54" s="102">
        <v>130035</v>
      </c>
      <c r="J54" s="449">
        <f>J$50*J71</f>
        <v>138776.70449999999</v>
      </c>
      <c r="K54" s="449">
        <f t="shared" ref="K54:N54" si="75">K$50*K71</f>
        <v>146409.4232475</v>
      </c>
      <c r="L54" s="449">
        <f t="shared" si="75"/>
        <v>154461.9415261125</v>
      </c>
      <c r="M54" s="449">
        <f t="shared" si="75"/>
        <v>162957.34831004866</v>
      </c>
      <c r="N54" s="388">
        <f t="shared" si="75"/>
        <v>171920.00246710135</v>
      </c>
    </row>
    <row r="55" spans="2:14" ht="15.75">
      <c r="B55" s="535" t="s">
        <v>146</v>
      </c>
      <c r="D55" s="102">
        <v>5834</v>
      </c>
      <c r="E55" s="102">
        <v>6401</v>
      </c>
      <c r="F55" s="102">
        <v>8450</v>
      </c>
      <c r="G55" s="102">
        <v>9644</v>
      </c>
      <c r="H55" s="102">
        <v>10962</v>
      </c>
      <c r="I55" s="102">
        <v>11753</v>
      </c>
      <c r="J55" s="449">
        <f t="shared" ref="J55:N55" si="76">J$50*J72</f>
        <v>11895.1461</v>
      </c>
      <c r="K55" s="449">
        <f t="shared" si="76"/>
        <v>12549.379135499999</v>
      </c>
      <c r="L55" s="449">
        <f t="shared" si="76"/>
        <v>13239.5949879525</v>
      </c>
      <c r="M55" s="449">
        <f t="shared" si="76"/>
        <v>13967.772712289887</v>
      </c>
      <c r="N55" s="388">
        <f t="shared" si="76"/>
        <v>14736.000211465829</v>
      </c>
    </row>
    <row r="56" spans="2:14" ht="15.75">
      <c r="B56" s="535" t="s">
        <v>147</v>
      </c>
      <c r="D56" s="102">
        <v>2458</v>
      </c>
      <c r="E56" s="102">
        <v>2368</v>
      </c>
      <c r="F56" s="102">
        <v>2841</v>
      </c>
      <c r="G56" s="102">
        <v>3519</v>
      </c>
      <c r="H56" s="102">
        <v>3737</v>
      </c>
      <c r="I56" s="102">
        <v>4000</v>
      </c>
      <c r="J56" s="449">
        <f t="shared" ref="J56:N56" si="77">J$50*J73</f>
        <v>4220</v>
      </c>
      <c r="K56" s="449">
        <f t="shared" si="77"/>
        <v>4452.0999999999995</v>
      </c>
      <c r="L56" s="449">
        <f t="shared" si="77"/>
        <v>4696.9654999999993</v>
      </c>
      <c r="M56" s="449">
        <f t="shared" si="77"/>
        <v>4955.2986025</v>
      </c>
      <c r="N56" s="388">
        <f t="shared" si="77"/>
        <v>5227.8400256374998</v>
      </c>
    </row>
    <row r="57" spans="2:14" ht="15.75">
      <c r="B57" s="74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456"/>
    </row>
    <row r="58" spans="2:14" ht="15.75">
      <c r="B58" s="116" t="s">
        <v>114</v>
      </c>
      <c r="C58" s="121"/>
      <c r="D58" s="114">
        <f>SUM(D59:D60)</f>
        <v>1905</v>
      </c>
      <c r="E58" s="114">
        <f t="shared" ref="E58:I58" si="78">SUM(E59:E60)</f>
        <v>1462</v>
      </c>
      <c r="F58" s="114">
        <f t="shared" si="78"/>
        <v>1163</v>
      </c>
      <c r="G58" s="114">
        <f t="shared" si="78"/>
        <v>1881</v>
      </c>
      <c r="H58" s="114">
        <f t="shared" si="78"/>
        <v>3702</v>
      </c>
      <c r="I58" s="114">
        <f t="shared" si="78"/>
        <v>11648</v>
      </c>
      <c r="J58" s="463">
        <f>SUM(J59:J60)</f>
        <v>5998.2130500000003</v>
      </c>
      <c r="K58" s="463">
        <f t="shared" ref="K58:N58" si="79">SUM(K59:K60)</f>
        <v>6328.1147677499994</v>
      </c>
      <c r="L58" s="463">
        <f t="shared" si="79"/>
        <v>6676.1610799762502</v>
      </c>
      <c r="M58" s="463">
        <f t="shared" si="79"/>
        <v>7043.3499393749435</v>
      </c>
      <c r="N58" s="464">
        <f t="shared" si="79"/>
        <v>7430.734186040565</v>
      </c>
    </row>
    <row r="59" spans="2:14" ht="31.5">
      <c r="B59" s="540" t="s">
        <v>148</v>
      </c>
      <c r="D59" s="347">
        <v>18</v>
      </c>
      <c r="E59" s="347">
        <v>14</v>
      </c>
      <c r="F59" s="347">
        <v>29</v>
      </c>
      <c r="G59" s="347">
        <v>37</v>
      </c>
      <c r="H59" s="347">
        <v>42</v>
      </c>
      <c r="I59" s="347">
        <v>48</v>
      </c>
      <c r="J59" s="482">
        <f t="shared" ref="J59:N60" si="80">J$50*J76</f>
        <v>50.64</v>
      </c>
      <c r="K59" s="482">
        <f t="shared" si="80"/>
        <v>53.425199999999997</v>
      </c>
      <c r="L59" s="482">
        <f t="shared" si="80"/>
        <v>56.363585999999998</v>
      </c>
      <c r="M59" s="482">
        <f t="shared" si="80"/>
        <v>59.463583229999998</v>
      </c>
      <c r="N59" s="483">
        <f t="shared" si="80"/>
        <v>62.73408030764999</v>
      </c>
    </row>
    <row r="60" spans="2:14" ht="15.75">
      <c r="B60" s="535" t="s">
        <v>149</v>
      </c>
      <c r="D60" s="102">
        <v>1887</v>
      </c>
      <c r="E60" s="102">
        <v>1448</v>
      </c>
      <c r="F60" s="102">
        <v>1134</v>
      </c>
      <c r="G60" s="102">
        <v>1844</v>
      </c>
      <c r="H60" s="102">
        <v>3660</v>
      </c>
      <c r="I60" s="102">
        <v>11600</v>
      </c>
      <c r="J60" s="482">
        <f t="shared" si="80"/>
        <v>5947.57305</v>
      </c>
      <c r="K60" s="482">
        <f t="shared" si="80"/>
        <v>6274.6895677499997</v>
      </c>
      <c r="L60" s="482">
        <f t="shared" si="80"/>
        <v>6619.7974939762498</v>
      </c>
      <c r="M60" s="482">
        <f t="shared" si="80"/>
        <v>6983.8863561449434</v>
      </c>
      <c r="N60" s="483">
        <f t="shared" si="80"/>
        <v>7368.0001057329146</v>
      </c>
    </row>
    <row r="61" spans="2:14" ht="15.75">
      <c r="B61" s="74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456"/>
    </row>
    <row r="62" spans="2:14" ht="15.75">
      <c r="B62" s="116" t="s">
        <v>10</v>
      </c>
      <c r="C62" s="66"/>
      <c r="D62" s="117">
        <v>26983</v>
      </c>
      <c r="E62" s="118">
        <v>24355</v>
      </c>
      <c r="F62" s="118">
        <v>29980</v>
      </c>
      <c r="G62" s="118">
        <v>36796</v>
      </c>
      <c r="H62" s="118">
        <v>32764</v>
      </c>
      <c r="I62" s="86">
        <v>30481</v>
      </c>
      <c r="J62" s="463">
        <f>SUM(J63:J68)</f>
        <v>34311.994989999999</v>
      </c>
      <c r="K62" s="463">
        <f t="shared" ref="K62:N62" si="81">SUM(K63:K68)</f>
        <v>36199.154714449993</v>
      </c>
      <c r="L62" s="463">
        <f t="shared" si="81"/>
        <v>38190.108223744755</v>
      </c>
      <c r="M62" s="463">
        <f t="shared" si="81"/>
        <v>40290.564176050706</v>
      </c>
      <c r="N62" s="464">
        <f t="shared" si="81"/>
        <v>42506.545205733499</v>
      </c>
    </row>
    <row r="63" spans="2:14" ht="15.75">
      <c r="B63" s="535" t="s">
        <v>150</v>
      </c>
      <c r="D63" s="102">
        <v>12937</v>
      </c>
      <c r="E63" s="102">
        <v>13214</v>
      </c>
      <c r="F63" s="102">
        <v>17409</v>
      </c>
      <c r="G63" s="102">
        <v>21337</v>
      </c>
      <c r="H63" s="102">
        <v>15820</v>
      </c>
      <c r="I63" s="102">
        <v>11695</v>
      </c>
      <c r="J63" s="449">
        <f t="shared" ref="J63:N68" si="82">J$50*J80</f>
        <v>14868.932624999999</v>
      </c>
      <c r="K63" s="449">
        <f t="shared" si="82"/>
        <v>15686.723919374999</v>
      </c>
      <c r="L63" s="449">
        <f t="shared" si="82"/>
        <v>16549.493734940625</v>
      </c>
      <c r="M63" s="449">
        <f t="shared" si="82"/>
        <v>17459.715890362357</v>
      </c>
      <c r="N63" s="388">
        <f t="shared" si="82"/>
        <v>18420.000264332288</v>
      </c>
    </row>
    <row r="64" spans="2:14" ht="15.75">
      <c r="B64" s="535" t="s">
        <v>151</v>
      </c>
      <c r="D64" s="102">
        <v>2702</v>
      </c>
      <c r="E64" s="102">
        <v>2131</v>
      </c>
      <c r="F64" s="102">
        <v>2139</v>
      </c>
      <c r="G64" s="102">
        <v>2655</v>
      </c>
      <c r="H64" s="102">
        <v>3100</v>
      </c>
      <c r="I64" s="102">
        <v>3456</v>
      </c>
      <c r="J64" s="449">
        <f t="shared" si="82"/>
        <v>3646.08</v>
      </c>
      <c r="K64" s="449">
        <f t="shared" si="82"/>
        <v>3846.6143999999999</v>
      </c>
      <c r="L64" s="449">
        <f t="shared" si="82"/>
        <v>4058.1781919999999</v>
      </c>
      <c r="M64" s="449">
        <f t="shared" si="82"/>
        <v>4281.3779925600002</v>
      </c>
      <c r="N64" s="388">
        <f t="shared" si="82"/>
        <v>4516.8537821507998</v>
      </c>
    </row>
    <row r="65" spans="2:14" ht="15.75">
      <c r="B65" s="535" t="s">
        <v>152</v>
      </c>
      <c r="D65" s="102">
        <v>3296</v>
      </c>
      <c r="E65" s="102">
        <v>1081</v>
      </c>
      <c r="F65" s="102">
        <v>1589</v>
      </c>
      <c r="G65" s="102">
        <v>2675</v>
      </c>
      <c r="H65" s="102">
        <v>2970</v>
      </c>
      <c r="I65" s="102">
        <v>3213</v>
      </c>
      <c r="J65" s="449">
        <f t="shared" si="82"/>
        <v>3172.0389599999999</v>
      </c>
      <c r="K65" s="449">
        <f t="shared" si="82"/>
        <v>3346.5011027999999</v>
      </c>
      <c r="L65" s="449">
        <f t="shared" si="82"/>
        <v>3530.558663454</v>
      </c>
      <c r="M65" s="449">
        <f t="shared" si="82"/>
        <v>3724.7393899439699</v>
      </c>
      <c r="N65" s="388">
        <f t="shared" si="82"/>
        <v>3929.6000563908883</v>
      </c>
    </row>
    <row r="66" spans="2:14" ht="15.75">
      <c r="B66" s="535" t="s">
        <v>153</v>
      </c>
      <c r="D66" s="102">
        <v>1592</v>
      </c>
      <c r="E66" s="102">
        <v>1896</v>
      </c>
      <c r="F66" s="102">
        <v>2050</v>
      </c>
      <c r="G66" s="102">
        <v>2246</v>
      </c>
      <c r="H66" s="102">
        <v>2261</v>
      </c>
      <c r="I66" s="102">
        <v>2365</v>
      </c>
      <c r="J66" s="449">
        <f t="shared" si="82"/>
        <v>2577.2816549999998</v>
      </c>
      <c r="K66" s="449">
        <f t="shared" si="82"/>
        <v>2719.0321460249997</v>
      </c>
      <c r="L66" s="449">
        <f t="shared" si="82"/>
        <v>2868.5789140563747</v>
      </c>
      <c r="M66" s="449">
        <f t="shared" si="82"/>
        <v>3026.3507543294754</v>
      </c>
      <c r="N66" s="388">
        <f t="shared" si="82"/>
        <v>3192.8000458175966</v>
      </c>
    </row>
    <row r="67" spans="2:14" ht="15.75">
      <c r="B67" s="535" t="s">
        <v>154</v>
      </c>
      <c r="D67" s="102">
        <v>144</v>
      </c>
      <c r="E67" s="102">
        <v>201</v>
      </c>
      <c r="F67" s="102">
        <v>135</v>
      </c>
      <c r="G67" s="102">
        <v>140</v>
      </c>
      <c r="H67" s="102">
        <v>114</v>
      </c>
      <c r="I67" s="102">
        <v>128</v>
      </c>
      <c r="J67" s="449">
        <f t="shared" si="82"/>
        <v>135.04</v>
      </c>
      <c r="K67" s="449">
        <f t="shared" si="82"/>
        <v>142.46719999999999</v>
      </c>
      <c r="L67" s="449">
        <f t="shared" si="82"/>
        <v>150.302896</v>
      </c>
      <c r="M67" s="449">
        <f t="shared" si="82"/>
        <v>158.56955528</v>
      </c>
      <c r="N67" s="388">
        <f t="shared" si="82"/>
        <v>167.29088082039999</v>
      </c>
    </row>
    <row r="68" spans="2:14" ht="15.75">
      <c r="B68" s="537" t="s">
        <v>155</v>
      </c>
      <c r="C68" s="111"/>
      <c r="D68" s="269">
        <v>6312</v>
      </c>
      <c r="E68" s="269">
        <v>5832</v>
      </c>
      <c r="F68" s="269">
        <v>6658</v>
      </c>
      <c r="G68" s="269">
        <v>7743</v>
      </c>
      <c r="H68" s="269">
        <v>8499</v>
      </c>
      <c r="I68" s="269">
        <v>9624</v>
      </c>
      <c r="J68" s="465">
        <f t="shared" si="82"/>
        <v>9912.6217500000002</v>
      </c>
      <c r="K68" s="465">
        <f t="shared" si="82"/>
        <v>10457.815946250001</v>
      </c>
      <c r="L68" s="465">
        <f t="shared" si="82"/>
        <v>11032.99582329375</v>
      </c>
      <c r="M68" s="465">
        <f t="shared" si="82"/>
        <v>11639.810593574906</v>
      </c>
      <c r="N68" s="466">
        <f t="shared" si="82"/>
        <v>12280.000176221525</v>
      </c>
    </row>
    <row r="69" spans="2:14" ht="3.95" customHeight="1">
      <c r="B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456"/>
    </row>
    <row r="70" spans="2:14" ht="15.75">
      <c r="B70" s="116" t="s">
        <v>159</v>
      </c>
      <c r="C70" s="115"/>
      <c r="D70" s="484">
        <f t="shared" ref="D70:I73" si="83">D53/D$50</f>
        <v>0.74845001741553463</v>
      </c>
      <c r="E70" s="484">
        <f t="shared" si="83"/>
        <v>0.78052554173644706</v>
      </c>
      <c r="F70" s="467">
        <f t="shared" si="83"/>
        <v>0.77546017577885606</v>
      </c>
      <c r="G70" s="467">
        <f t="shared" si="83"/>
        <v>0.76728500171481173</v>
      </c>
      <c r="H70" s="467">
        <f t="shared" si="83"/>
        <v>0.79350725097255337</v>
      </c>
      <c r="I70" s="467">
        <f t="shared" si="83"/>
        <v>0.7758105972317566</v>
      </c>
      <c r="J70" s="485">
        <f>SUM(J71:J73)</f>
        <v>0.78128599328426918</v>
      </c>
      <c r="K70" s="485">
        <f t="shared" ref="K70:N70" si="84">SUM(K71:K73)</f>
        <v>0.78128599328426918</v>
      </c>
      <c r="L70" s="485">
        <f t="shared" si="84"/>
        <v>0.78128599328426918</v>
      </c>
      <c r="M70" s="485">
        <f t="shared" si="84"/>
        <v>0.78128599328426918</v>
      </c>
      <c r="N70" s="486">
        <f t="shared" si="84"/>
        <v>0.78128599328426918</v>
      </c>
    </row>
    <row r="71" spans="2:14" ht="15.75">
      <c r="B71" s="535" t="s">
        <v>145</v>
      </c>
      <c r="D71" s="487">
        <f t="shared" si="83"/>
        <v>0.67624521072796939</v>
      </c>
      <c r="E71" s="487">
        <f t="shared" si="83"/>
        <v>0.70597886611522476</v>
      </c>
      <c r="F71" s="224">
        <f t="shared" si="83"/>
        <v>0.6940525029380592</v>
      </c>
      <c r="G71" s="224">
        <f t="shared" si="83"/>
        <v>0.6880847658529835</v>
      </c>
      <c r="H71" s="224">
        <f t="shared" si="83"/>
        <v>0.71027254143615126</v>
      </c>
      <c r="I71" s="224">
        <f t="shared" si="83"/>
        <v>0.69198103417998369</v>
      </c>
      <c r="J71" s="225">
        <v>0.7</v>
      </c>
      <c r="K71" s="226">
        <f>J71</f>
        <v>0.7</v>
      </c>
      <c r="L71" s="226">
        <f t="shared" ref="L71:N71" si="85">K71</f>
        <v>0.7</v>
      </c>
      <c r="M71" s="226">
        <f t="shared" si="85"/>
        <v>0.7</v>
      </c>
      <c r="N71" s="227">
        <f t="shared" si="85"/>
        <v>0.7</v>
      </c>
    </row>
    <row r="72" spans="2:14" ht="15.75">
      <c r="B72" s="535" t="s">
        <v>146</v>
      </c>
      <c r="D72" s="487">
        <f t="shared" si="83"/>
        <v>5.0801114594218044E-2</v>
      </c>
      <c r="E72" s="487">
        <f t="shared" si="83"/>
        <v>5.4415927774141171E-2</v>
      </c>
      <c r="F72" s="224">
        <f t="shared" si="83"/>
        <v>6.0924172837191863E-2</v>
      </c>
      <c r="G72" s="224">
        <f t="shared" si="83"/>
        <v>5.8026823266084632E-2</v>
      </c>
      <c r="H72" s="224">
        <f t="shared" si="83"/>
        <v>6.2073534658006649E-2</v>
      </c>
      <c r="I72" s="224">
        <f t="shared" si="83"/>
        <v>6.2543569767503734E-2</v>
      </c>
      <c r="J72" s="225">
        <v>0.06</v>
      </c>
      <c r="K72" s="226">
        <f>J72</f>
        <v>0.06</v>
      </c>
      <c r="L72" s="226">
        <f t="shared" ref="L72:N72" si="86">K72</f>
        <v>0.06</v>
      </c>
      <c r="M72" s="226">
        <f t="shared" si="86"/>
        <v>0.06</v>
      </c>
      <c r="N72" s="227">
        <f t="shared" si="86"/>
        <v>0.06</v>
      </c>
    </row>
    <row r="73" spans="2:14" ht="15.75">
      <c r="B73" s="535" t="s">
        <v>147</v>
      </c>
      <c r="D73" s="487">
        <f t="shared" si="83"/>
        <v>2.1403692093347266E-2</v>
      </c>
      <c r="E73" s="487">
        <f t="shared" si="83"/>
        <v>2.0130747847081125E-2</v>
      </c>
      <c r="F73" s="224">
        <f t="shared" si="83"/>
        <v>2.0483500003604979E-2</v>
      </c>
      <c r="G73" s="224">
        <f t="shared" si="83"/>
        <v>2.1173412595743658E-2</v>
      </c>
      <c r="H73" s="224">
        <f t="shared" si="83"/>
        <v>2.1161174878395441E-2</v>
      </c>
      <c r="I73" s="224">
        <f t="shared" si="83"/>
        <v>2.1285993284269118E-2</v>
      </c>
      <c r="J73" s="314">
        <f>I73</f>
        <v>2.1285993284269118E-2</v>
      </c>
      <c r="K73" s="314">
        <f t="shared" ref="K73:N73" si="87">J73</f>
        <v>2.1285993284269118E-2</v>
      </c>
      <c r="L73" s="314">
        <f t="shared" si="87"/>
        <v>2.1285993284269118E-2</v>
      </c>
      <c r="M73" s="314">
        <f t="shared" si="87"/>
        <v>2.1285993284269118E-2</v>
      </c>
      <c r="N73" s="318">
        <f t="shared" si="87"/>
        <v>2.1285993284269118E-2</v>
      </c>
    </row>
    <row r="74" spans="2:14" ht="15.75">
      <c r="B74" s="74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456"/>
    </row>
    <row r="75" spans="2:14" ht="15.75">
      <c r="B75" s="116" t="s">
        <v>157</v>
      </c>
      <c r="C75" s="115"/>
      <c r="D75" s="488">
        <f t="shared" ref="D75:I77" si="88">D58/D$50</f>
        <v>1.6588296760710552E-2</v>
      </c>
      <c r="E75" s="488">
        <f t="shared" si="88"/>
        <v>1.2428696517074581E-2</v>
      </c>
      <c r="F75" s="488">
        <f t="shared" si="88"/>
        <v>8.3851849715567035E-3</v>
      </c>
      <c r="G75" s="488">
        <f t="shared" si="88"/>
        <v>1.1317757627903898E-2</v>
      </c>
      <c r="H75" s="488">
        <f t="shared" si="88"/>
        <v>2.096298351614127E-2</v>
      </c>
      <c r="I75" s="488">
        <f t="shared" si="88"/>
        <v>6.1984812443791677E-2</v>
      </c>
      <c r="J75" s="489">
        <f>SUM(J76:J77)</f>
        <v>3.0255431919411227E-2</v>
      </c>
      <c r="K75" s="489">
        <f t="shared" ref="K75:N75" si="89">SUM(K76:K77)</f>
        <v>3.0255431919411227E-2</v>
      </c>
      <c r="L75" s="489">
        <f t="shared" si="89"/>
        <v>3.0255431919411227E-2</v>
      </c>
      <c r="M75" s="489">
        <f t="shared" si="89"/>
        <v>3.0255431919411227E-2</v>
      </c>
      <c r="N75" s="490">
        <f t="shared" si="89"/>
        <v>3.0255431919411227E-2</v>
      </c>
    </row>
    <row r="76" spans="2:14" ht="31.5">
      <c r="B76" s="540" t="s">
        <v>148</v>
      </c>
      <c r="D76" s="491">
        <f t="shared" si="88"/>
        <v>1.5673981191222572E-4</v>
      </c>
      <c r="E76" s="491">
        <f t="shared" si="88"/>
        <v>1.1901624571754044E-4</v>
      </c>
      <c r="F76" s="491">
        <f t="shared" si="88"/>
        <v>2.0908887719272947E-4</v>
      </c>
      <c r="G76" s="491">
        <f t="shared" si="88"/>
        <v>2.2262468486573326E-4</v>
      </c>
      <c r="H76" s="491">
        <f t="shared" si="88"/>
        <v>2.378296347050063E-4</v>
      </c>
      <c r="I76" s="491">
        <f t="shared" si="88"/>
        <v>2.5543191941122942E-4</v>
      </c>
      <c r="J76" s="492">
        <f>I76</f>
        <v>2.5543191941122942E-4</v>
      </c>
      <c r="K76" s="492">
        <f t="shared" ref="K76:N77" si="90">J76</f>
        <v>2.5543191941122942E-4</v>
      </c>
      <c r="L76" s="492">
        <f t="shared" si="90"/>
        <v>2.5543191941122942E-4</v>
      </c>
      <c r="M76" s="492">
        <f t="shared" si="90"/>
        <v>2.5543191941122942E-4</v>
      </c>
      <c r="N76" s="493">
        <f t="shared" si="90"/>
        <v>2.5543191941122942E-4</v>
      </c>
    </row>
    <row r="77" spans="2:14" ht="15.75">
      <c r="B77" s="535" t="s">
        <v>149</v>
      </c>
      <c r="D77" s="491">
        <f t="shared" si="88"/>
        <v>1.6431556948798328E-2</v>
      </c>
      <c r="E77" s="491">
        <f t="shared" si="88"/>
        <v>1.2309680271357041E-2</v>
      </c>
      <c r="F77" s="491">
        <f t="shared" si="88"/>
        <v>8.176096094363974E-3</v>
      </c>
      <c r="G77" s="491">
        <f t="shared" si="88"/>
        <v>1.1095132943038166E-2</v>
      </c>
      <c r="H77" s="491">
        <f t="shared" si="88"/>
        <v>2.0725153881436264E-2</v>
      </c>
      <c r="I77" s="491">
        <f t="shared" si="88"/>
        <v>6.1729380524380442E-2</v>
      </c>
      <c r="J77" s="225">
        <v>0.03</v>
      </c>
      <c r="K77" s="226">
        <f>J77</f>
        <v>0.03</v>
      </c>
      <c r="L77" s="226">
        <f t="shared" si="90"/>
        <v>0.03</v>
      </c>
      <c r="M77" s="226">
        <f t="shared" si="90"/>
        <v>0.03</v>
      </c>
      <c r="N77" s="227">
        <f t="shared" si="90"/>
        <v>0.03</v>
      </c>
    </row>
    <row r="78" spans="2:14" ht="15.75">
      <c r="B78" s="74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456"/>
    </row>
    <row r="79" spans="2:14" ht="15.75">
      <c r="B79" s="116" t="s">
        <v>158</v>
      </c>
      <c r="C79" s="115"/>
      <c r="D79" s="494">
        <f t="shared" ref="D79:I85" si="91">D62/D$50</f>
        <v>0.23496168582375479</v>
      </c>
      <c r="E79" s="494">
        <f t="shared" si="91"/>
        <v>0.2070457617464784</v>
      </c>
      <c r="F79" s="494">
        <f t="shared" si="91"/>
        <v>0.21615463924958722</v>
      </c>
      <c r="G79" s="494">
        <f t="shared" si="91"/>
        <v>0.22139724065728433</v>
      </c>
      <c r="H79" s="494">
        <f t="shared" si="91"/>
        <v>0.1855297655113054</v>
      </c>
      <c r="I79" s="494">
        <f t="shared" si="91"/>
        <v>0.16220459032445175</v>
      </c>
      <c r="J79" s="489">
        <f>SUM(J80:J85)</f>
        <v>0.17307224998270515</v>
      </c>
      <c r="K79" s="489">
        <f t="shared" ref="K79:N79" si="92">SUM(K80:K85)</f>
        <v>0.17307224998270515</v>
      </c>
      <c r="L79" s="489">
        <f t="shared" si="92"/>
        <v>0.17307224998270515</v>
      </c>
      <c r="M79" s="489">
        <f t="shared" si="92"/>
        <v>0.17307224998270515</v>
      </c>
      <c r="N79" s="490">
        <f t="shared" si="92"/>
        <v>0.17307224998270515</v>
      </c>
    </row>
    <row r="80" spans="2:14" ht="15.75">
      <c r="B80" s="535" t="s">
        <v>150</v>
      </c>
      <c r="D80" s="224">
        <f t="shared" si="91"/>
        <v>0.112652385928248</v>
      </c>
      <c r="E80" s="224">
        <f t="shared" si="91"/>
        <v>0.11233433363654138</v>
      </c>
      <c r="F80" s="224">
        <f t="shared" si="91"/>
        <v>0.12551821596718027</v>
      </c>
      <c r="G80" s="224">
        <f t="shared" si="91"/>
        <v>0.1283822405670311</v>
      </c>
      <c r="H80" s="224">
        <f t="shared" si="91"/>
        <v>8.9582495738885715E-2</v>
      </c>
      <c r="I80" s="224">
        <f t="shared" si="91"/>
        <v>6.2234922864881838E-2</v>
      </c>
      <c r="J80" s="327">
        <v>7.4999999999999997E-2</v>
      </c>
      <c r="K80" s="224">
        <f>J80</f>
        <v>7.4999999999999997E-2</v>
      </c>
      <c r="L80" s="224">
        <f t="shared" ref="L80:N80" si="93">K80</f>
        <v>7.4999999999999997E-2</v>
      </c>
      <c r="M80" s="224">
        <f t="shared" si="93"/>
        <v>7.4999999999999997E-2</v>
      </c>
      <c r="N80" s="317">
        <f t="shared" si="93"/>
        <v>7.4999999999999997E-2</v>
      </c>
    </row>
    <row r="81" spans="2:14" ht="15.75">
      <c r="B81" s="535" t="s">
        <v>151</v>
      </c>
      <c r="D81" s="224">
        <f t="shared" si="91"/>
        <v>2.3528387321490769E-2</v>
      </c>
      <c r="E81" s="224">
        <f t="shared" si="91"/>
        <v>1.8115972830291333E-2</v>
      </c>
      <c r="F81" s="224">
        <f t="shared" si="91"/>
        <v>1.5422107183284425E-2</v>
      </c>
      <c r="G81" s="224">
        <f t="shared" si="91"/>
        <v>1.5974825359960049E-2</v>
      </c>
      <c r="H81" s="224">
        <f t="shared" si="91"/>
        <v>1.7554092085369514E-2</v>
      </c>
      <c r="I81" s="224">
        <f t="shared" si="91"/>
        <v>1.8391098197608518E-2</v>
      </c>
      <c r="J81" s="314">
        <f>I81</f>
        <v>1.8391098197608518E-2</v>
      </c>
      <c r="K81" s="314">
        <f t="shared" ref="K81:N83" si="94">J81</f>
        <v>1.8391098197608518E-2</v>
      </c>
      <c r="L81" s="314">
        <f t="shared" si="94"/>
        <v>1.8391098197608518E-2</v>
      </c>
      <c r="M81" s="314">
        <f t="shared" si="94"/>
        <v>1.8391098197608518E-2</v>
      </c>
      <c r="N81" s="318">
        <f t="shared" si="94"/>
        <v>1.8391098197608518E-2</v>
      </c>
    </row>
    <row r="82" spans="2:14" ht="15.75">
      <c r="B82" s="535" t="s">
        <v>152</v>
      </c>
      <c r="D82" s="224">
        <f t="shared" si="91"/>
        <v>2.8700801114594218E-2</v>
      </c>
      <c r="E82" s="224">
        <f t="shared" si="91"/>
        <v>9.1897544014758019E-3</v>
      </c>
      <c r="F82" s="224">
        <f t="shared" si="91"/>
        <v>1.1456628477905073E-2</v>
      </c>
      <c r="G82" s="224">
        <f t="shared" si="91"/>
        <v>1.6095163027455037E-2</v>
      </c>
      <c r="H82" s="224">
        <f t="shared" si="91"/>
        <v>1.6817952739854019E-2</v>
      </c>
      <c r="I82" s="224">
        <f t="shared" si="91"/>
        <v>1.7097974105589171E-2</v>
      </c>
      <c r="J82" s="225">
        <v>1.6E-2</v>
      </c>
      <c r="K82" s="226">
        <f>J82</f>
        <v>1.6E-2</v>
      </c>
      <c r="L82" s="226">
        <f t="shared" si="94"/>
        <v>1.6E-2</v>
      </c>
      <c r="M82" s="226">
        <f t="shared" si="94"/>
        <v>1.6E-2</v>
      </c>
      <c r="N82" s="227">
        <f t="shared" si="94"/>
        <v>1.6E-2</v>
      </c>
    </row>
    <row r="83" spans="2:14" ht="15.75">
      <c r="B83" s="535" t="s">
        <v>153</v>
      </c>
      <c r="D83" s="224">
        <f t="shared" si="91"/>
        <v>1.3862765586903518E-2</v>
      </c>
      <c r="E83" s="224">
        <f t="shared" si="91"/>
        <v>1.6118200134318333E-2</v>
      </c>
      <c r="F83" s="224">
        <f t="shared" si="91"/>
        <v>1.4780420629141221E-2</v>
      </c>
      <c r="G83" s="224">
        <f t="shared" si="91"/>
        <v>1.3513920059687483E-2</v>
      </c>
      <c r="H83" s="224">
        <f t="shared" si="91"/>
        <v>1.2803162001619506E-2</v>
      </c>
      <c r="I83" s="224">
        <f t="shared" si="91"/>
        <v>1.2585343529324116E-2</v>
      </c>
      <c r="J83" s="225">
        <v>1.2999999999999999E-2</v>
      </c>
      <c r="K83" s="226">
        <f>J83</f>
        <v>1.2999999999999999E-2</v>
      </c>
      <c r="L83" s="226">
        <f t="shared" si="94"/>
        <v>1.2999999999999999E-2</v>
      </c>
      <c r="M83" s="226">
        <f t="shared" si="94"/>
        <v>1.2999999999999999E-2</v>
      </c>
      <c r="N83" s="227">
        <f t="shared" si="94"/>
        <v>1.2999999999999999E-2</v>
      </c>
    </row>
    <row r="84" spans="2:14" ht="15.75">
      <c r="B84" s="535" t="s">
        <v>154</v>
      </c>
      <c r="D84" s="224">
        <f t="shared" si="91"/>
        <v>1.2539184952978057E-3</v>
      </c>
      <c r="E84" s="224">
        <f t="shared" si="91"/>
        <v>1.7087332420875449E-3</v>
      </c>
      <c r="F84" s="224">
        <f t="shared" si="91"/>
        <v>9.7334477313856826E-4</v>
      </c>
      <c r="G84" s="224">
        <f t="shared" si="91"/>
        <v>8.4236367246493665E-4</v>
      </c>
      <c r="H84" s="224">
        <f t="shared" si="91"/>
        <v>6.4553757991358857E-4</v>
      </c>
      <c r="I84" s="224">
        <f t="shared" si="91"/>
        <v>6.8115178509661181E-4</v>
      </c>
      <c r="J84" s="314">
        <f>I84</f>
        <v>6.8115178509661181E-4</v>
      </c>
      <c r="K84" s="314">
        <f t="shared" ref="K84:N84" si="95">J84</f>
        <v>6.8115178509661181E-4</v>
      </c>
      <c r="L84" s="314">
        <f t="shared" si="95"/>
        <v>6.8115178509661181E-4</v>
      </c>
      <c r="M84" s="314">
        <f t="shared" si="95"/>
        <v>6.8115178509661181E-4</v>
      </c>
      <c r="N84" s="318">
        <f t="shared" si="95"/>
        <v>6.8115178509661181E-4</v>
      </c>
    </row>
    <row r="85" spans="2:14" ht="15.75">
      <c r="B85" s="537" t="s">
        <v>155</v>
      </c>
      <c r="C85" s="111"/>
      <c r="D85" s="213">
        <f t="shared" si="91"/>
        <v>5.4963427377220479E-2</v>
      </c>
      <c r="E85" s="213">
        <f t="shared" si="91"/>
        <v>4.9578767501763994E-2</v>
      </c>
      <c r="F85" s="213">
        <f t="shared" si="91"/>
        <v>4.8003922218937685E-2</v>
      </c>
      <c r="G85" s="213">
        <f t="shared" si="91"/>
        <v>4.6588727970685744E-2</v>
      </c>
      <c r="H85" s="213">
        <f t="shared" si="91"/>
        <v>4.8126525365663066E-2</v>
      </c>
      <c r="I85" s="213">
        <f t="shared" si="91"/>
        <v>5.1214099841951501E-2</v>
      </c>
      <c r="J85" s="501">
        <v>0.05</v>
      </c>
      <c r="K85" s="501">
        <f t="shared" ref="K85:N85" si="96">J85</f>
        <v>0.05</v>
      </c>
      <c r="L85" s="501">
        <f t="shared" si="96"/>
        <v>0.05</v>
      </c>
      <c r="M85" s="501">
        <f t="shared" si="96"/>
        <v>0.05</v>
      </c>
      <c r="N85" s="502">
        <f t="shared" si="96"/>
        <v>0.05</v>
      </c>
    </row>
  </sheetData>
  <mergeCells count="2">
    <mergeCell ref="D1:I1"/>
    <mergeCell ref="J1:N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Q77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activeCell="K9" sqref="K9"/>
    </sheetView>
  </sheetViews>
  <sheetFormatPr defaultRowHeight="15"/>
  <cols>
    <col min="1" max="1" width="4.28515625" customWidth="1"/>
    <col min="2" max="2" width="33.7109375" bestFit="1" customWidth="1"/>
    <col min="3" max="3" width="11.7109375" customWidth="1"/>
    <col min="4" max="14" width="14.28515625" customWidth="1"/>
    <col min="16" max="16" width="8.85546875" bestFit="1" customWidth="1"/>
    <col min="17" max="17" width="9.140625" bestFit="1" customWidth="1"/>
    <col min="20" max="20" width="9.140625" bestFit="1" customWidth="1"/>
  </cols>
  <sheetData>
    <row r="2" spans="1:14" ht="15.75">
      <c r="B2" s="3" t="s">
        <v>57</v>
      </c>
      <c r="C2" s="3"/>
      <c r="D2" s="605" t="s">
        <v>0</v>
      </c>
      <c r="E2" s="605"/>
      <c r="F2" s="605"/>
      <c r="G2" s="605"/>
      <c r="H2" s="605"/>
      <c r="I2" s="605"/>
      <c r="J2" s="606" t="s">
        <v>1</v>
      </c>
      <c r="K2" s="606"/>
      <c r="L2" s="606"/>
      <c r="M2" s="606"/>
      <c r="N2" s="606"/>
    </row>
    <row r="3" spans="1:14" ht="21">
      <c r="B3" s="22" t="s">
        <v>56</v>
      </c>
      <c r="C3" s="6"/>
      <c r="D3" s="2">
        <v>2020</v>
      </c>
      <c r="E3" s="2">
        <f>D3+1</f>
        <v>2021</v>
      </c>
      <c r="F3" s="2">
        <f t="shared" ref="F3:N3" si="0">E3+1</f>
        <v>2022</v>
      </c>
      <c r="G3" s="2">
        <f t="shared" si="0"/>
        <v>2023</v>
      </c>
      <c r="H3" s="2">
        <f t="shared" si="0"/>
        <v>2024</v>
      </c>
      <c r="I3" s="2">
        <f t="shared" si="0"/>
        <v>2025</v>
      </c>
      <c r="J3" s="1">
        <f t="shared" si="0"/>
        <v>2026</v>
      </c>
      <c r="K3" s="1">
        <f t="shared" si="0"/>
        <v>2027</v>
      </c>
      <c r="L3" s="1">
        <f t="shared" si="0"/>
        <v>2028</v>
      </c>
      <c r="M3" s="1">
        <f t="shared" si="0"/>
        <v>2029</v>
      </c>
      <c r="N3" s="1">
        <f t="shared" si="0"/>
        <v>2030</v>
      </c>
    </row>
    <row r="4" spans="1:14" ht="15.75">
      <c r="B4" s="9" t="s">
        <v>3</v>
      </c>
      <c r="C4" s="9"/>
      <c r="D4" s="16">
        <v>43921</v>
      </c>
      <c r="E4" s="17">
        <f>EOMONTH(D4,12)</f>
        <v>44286</v>
      </c>
      <c r="F4" s="17">
        <f t="shared" ref="F4:N4" si="1">EOMONTH(E4,12)</f>
        <v>44651</v>
      </c>
      <c r="G4" s="17">
        <f t="shared" si="1"/>
        <v>45016</v>
      </c>
      <c r="H4" s="17">
        <f t="shared" si="1"/>
        <v>45382</v>
      </c>
      <c r="I4" s="17">
        <f t="shared" si="1"/>
        <v>45747</v>
      </c>
      <c r="J4" s="17">
        <f t="shared" si="1"/>
        <v>46112</v>
      </c>
      <c r="K4" s="17">
        <f t="shared" si="1"/>
        <v>46477</v>
      </c>
      <c r="L4" s="17">
        <f t="shared" si="1"/>
        <v>46843</v>
      </c>
      <c r="M4" s="17">
        <f t="shared" si="1"/>
        <v>47208</v>
      </c>
      <c r="N4" s="17">
        <f t="shared" si="1"/>
        <v>47573</v>
      </c>
    </row>
    <row r="5" spans="1:14" ht="15.75">
      <c r="B5" s="9" t="s">
        <v>4</v>
      </c>
      <c r="C5" s="9"/>
      <c r="D5" s="18">
        <v>366</v>
      </c>
      <c r="E5" s="19">
        <f>E4-D4</f>
        <v>365</v>
      </c>
      <c r="F5" s="19">
        <f t="shared" ref="F5:N5" si="2">F4-E4</f>
        <v>365</v>
      </c>
      <c r="G5" s="19">
        <f t="shared" si="2"/>
        <v>365</v>
      </c>
      <c r="H5" s="19">
        <f t="shared" si="2"/>
        <v>366</v>
      </c>
      <c r="I5" s="19">
        <f t="shared" si="2"/>
        <v>365</v>
      </c>
      <c r="J5" s="19">
        <f t="shared" si="2"/>
        <v>365</v>
      </c>
      <c r="K5" s="19">
        <f t="shared" si="2"/>
        <v>365</v>
      </c>
      <c r="L5" s="19">
        <f t="shared" si="2"/>
        <v>366</v>
      </c>
      <c r="M5" s="19">
        <f t="shared" si="2"/>
        <v>365</v>
      </c>
      <c r="N5" s="19">
        <f t="shared" si="2"/>
        <v>365</v>
      </c>
    </row>
    <row r="7" spans="1:14" ht="15.75">
      <c r="A7" t="s">
        <v>58</v>
      </c>
      <c r="B7" s="208" t="s">
        <v>59</v>
      </c>
      <c r="C7" s="187"/>
      <c r="D7" s="209"/>
      <c r="E7" s="205"/>
      <c r="F7" s="205"/>
      <c r="G7" s="205"/>
      <c r="H7" s="205"/>
      <c r="I7" s="205"/>
      <c r="J7" s="205"/>
      <c r="K7" s="205"/>
      <c r="L7" s="205"/>
      <c r="M7" s="205"/>
      <c r="N7" s="205"/>
    </row>
    <row r="8" spans="1:14" ht="3.6" customHeight="1">
      <c r="B8" s="24"/>
      <c r="C8" s="24"/>
      <c r="D8" s="27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ht="15.75">
      <c r="B9" s="142" t="s">
        <v>331</v>
      </c>
      <c r="C9" s="26"/>
      <c r="D9" s="160"/>
      <c r="E9" s="160"/>
      <c r="F9" s="160"/>
      <c r="G9" s="160"/>
      <c r="H9" s="160"/>
      <c r="I9" s="160"/>
      <c r="J9" s="144">
        <f>Assets!I14-Assets!J14</f>
        <v>-3010.6158461768428</v>
      </c>
      <c r="K9" s="144">
        <f>Assets!J14-Assets!K14</f>
        <v>-3099.7279615165462</v>
      </c>
      <c r="L9" s="144">
        <f>Assets!K14-Assets!L14</f>
        <v>-3067.6443371809364</v>
      </c>
      <c r="M9" s="144">
        <f>Assets!L14-Assets!M14</f>
        <v>-3604.0396498986956</v>
      </c>
      <c r="N9" s="145">
        <f>Assets!M14-Assets!N14</f>
        <v>-3587.8099883489194</v>
      </c>
    </row>
    <row r="10" spans="1:14" ht="15.75">
      <c r="B10" s="74" t="s">
        <v>163</v>
      </c>
      <c r="C10" s="23"/>
      <c r="D10" s="154"/>
      <c r="E10" s="154"/>
      <c r="F10" s="154"/>
      <c r="G10" s="154"/>
      <c r="H10" s="154"/>
      <c r="I10" s="154"/>
      <c r="J10" s="48">
        <f>Liabilities!J12-Liabilities!I12</f>
        <v>1009.4917991780821</v>
      </c>
      <c r="K10" s="48">
        <f>Liabilities!K12-Liabilities!J12</f>
        <v>820.51704895479452</v>
      </c>
      <c r="L10" s="48">
        <f>Liabilities!L12-Liabilities!K12</f>
        <v>820.27757862878025</v>
      </c>
      <c r="M10" s="48">
        <f>Liabilities!M12-Liabilities!L12</f>
        <v>958.62389643143615</v>
      </c>
      <c r="N10" s="77">
        <f>Liabilities!N12-Liabilities!M12</f>
        <v>963.48506777562216</v>
      </c>
    </row>
    <row r="11" spans="1:14" ht="15.75">
      <c r="B11" s="161" t="s">
        <v>60</v>
      </c>
      <c r="C11" s="162"/>
      <c r="D11" s="163"/>
      <c r="E11" s="163"/>
      <c r="F11" s="163"/>
      <c r="G11" s="163"/>
      <c r="H11" s="163"/>
      <c r="I11" s="163"/>
      <c r="J11" s="164">
        <f>SUM(J9:J10)</f>
        <v>-2001.1240469987606</v>
      </c>
      <c r="K11" s="164">
        <f t="shared" ref="K11:N11" si="3">SUM(K9:K10)</f>
        <v>-2279.2109125617517</v>
      </c>
      <c r="L11" s="164">
        <f t="shared" si="3"/>
        <v>-2247.3667585521562</v>
      </c>
      <c r="M11" s="164">
        <f t="shared" si="3"/>
        <v>-2645.4157534672595</v>
      </c>
      <c r="N11" s="165">
        <f t="shared" si="3"/>
        <v>-2624.3249205732973</v>
      </c>
    </row>
    <row r="12" spans="1:14" ht="15.75">
      <c r="B12" s="23"/>
      <c r="C12" s="23"/>
      <c r="D12" s="20"/>
      <c r="E12" s="25"/>
      <c r="F12" s="25"/>
      <c r="G12" s="25"/>
      <c r="H12" s="25"/>
      <c r="I12" s="20"/>
      <c r="J12" s="20"/>
      <c r="K12" s="20"/>
      <c r="L12" s="20"/>
      <c r="M12" s="20"/>
      <c r="N12" s="20"/>
    </row>
    <row r="13" spans="1:14" ht="15.75">
      <c r="A13" t="s">
        <v>58</v>
      </c>
      <c r="B13" s="189" t="s">
        <v>61</v>
      </c>
      <c r="C13" s="187"/>
      <c r="D13" s="209"/>
      <c r="E13" s="210"/>
      <c r="F13" s="210"/>
      <c r="G13" s="210"/>
      <c r="H13" s="210"/>
      <c r="I13" s="205"/>
      <c r="J13" s="205"/>
      <c r="K13" s="205"/>
      <c r="L13" s="205"/>
      <c r="M13" s="205"/>
      <c r="N13" s="205"/>
    </row>
    <row r="14" spans="1:14" ht="3.95" customHeight="1">
      <c r="B14" s="24"/>
      <c r="C14" s="24"/>
      <c r="D14" s="27"/>
      <c r="E14" s="28"/>
      <c r="F14" s="28"/>
      <c r="G14" s="28"/>
      <c r="H14" s="28"/>
      <c r="I14" s="20"/>
      <c r="J14" s="20"/>
      <c r="K14" s="20"/>
      <c r="L14" s="20"/>
      <c r="M14" s="20"/>
      <c r="N14" s="20"/>
    </row>
    <row r="15" spans="1:14" ht="15.75">
      <c r="B15" s="142" t="s">
        <v>62</v>
      </c>
      <c r="C15" s="26"/>
      <c r="D15" s="143">
        <v>10362</v>
      </c>
      <c r="E15" s="170">
        <f>D21</f>
        <v>10941</v>
      </c>
      <c r="F15" s="170">
        <f t="shared" ref="F15:I15" si="4">E21</f>
        <v>11110</v>
      </c>
      <c r="G15" s="170">
        <f t="shared" si="4"/>
        <v>10774</v>
      </c>
      <c r="H15" s="170">
        <f t="shared" si="4"/>
        <v>10230</v>
      </c>
      <c r="I15" s="170">
        <f t="shared" si="4"/>
        <v>9376</v>
      </c>
      <c r="J15" s="36">
        <f>I21</f>
        <v>10978</v>
      </c>
      <c r="K15" s="36">
        <f t="shared" ref="K15:N15" si="5">J21</f>
        <v>12401.439999999999</v>
      </c>
      <c r="L15" s="36">
        <f t="shared" si="5"/>
        <v>13721.044</v>
      </c>
      <c r="M15" s="36">
        <f t="shared" si="5"/>
        <v>14966.621799999999</v>
      </c>
      <c r="N15" s="81">
        <f t="shared" si="5"/>
        <v>16162.473370000002</v>
      </c>
    </row>
    <row r="16" spans="1:14" ht="27.6" customHeight="1">
      <c r="B16" s="171" t="s">
        <v>63</v>
      </c>
      <c r="C16" s="23"/>
      <c r="D16" s="167">
        <v>8</v>
      </c>
      <c r="E16" s="168">
        <v>35</v>
      </c>
      <c r="F16" s="168">
        <v>16</v>
      </c>
      <c r="G16" s="168">
        <f>188-143</f>
        <v>45</v>
      </c>
      <c r="H16" s="168">
        <f>88-65</f>
        <v>23</v>
      </c>
      <c r="I16" s="168">
        <v>-6</v>
      </c>
      <c r="J16" s="169">
        <v>12</v>
      </c>
      <c r="K16" s="169">
        <v>12</v>
      </c>
      <c r="L16" s="169">
        <v>12</v>
      </c>
      <c r="M16" s="169">
        <v>12</v>
      </c>
      <c r="N16" s="172">
        <v>12</v>
      </c>
    </row>
    <row r="17" spans="1:17" ht="15.75">
      <c r="B17" s="74" t="s">
        <v>64</v>
      </c>
      <c r="C17" s="23"/>
      <c r="D17" s="34">
        <v>2858</v>
      </c>
      <c r="E17" s="34">
        <v>2565</v>
      </c>
      <c r="F17" s="34">
        <v>2345</v>
      </c>
      <c r="G17" s="34">
        <v>2314</v>
      </c>
      <c r="H17" s="34">
        <v>1923</v>
      </c>
      <c r="I17" s="34">
        <v>4306</v>
      </c>
      <c r="J17" s="20">
        <f>I17*1.05</f>
        <v>4521.3</v>
      </c>
      <c r="K17" s="20">
        <f t="shared" ref="K17:N17" si="6">J17*1.05</f>
        <v>4747.3650000000007</v>
      </c>
      <c r="L17" s="20">
        <f t="shared" si="6"/>
        <v>4984.7332500000011</v>
      </c>
      <c r="M17" s="20">
        <f t="shared" si="6"/>
        <v>5233.9699125000016</v>
      </c>
      <c r="N17" s="61">
        <f t="shared" si="6"/>
        <v>5495.6684081250023</v>
      </c>
      <c r="O17" s="571" t="s">
        <v>361</v>
      </c>
      <c r="P17" s="599">
        <f>(I17/E17)^(1/5)-1</f>
        <v>0.10916799927006626</v>
      </c>
      <c r="Q17" s="596"/>
    </row>
    <row r="18" spans="1:17" ht="15.75">
      <c r="B18" s="74" t="s">
        <v>65</v>
      </c>
      <c r="C18" s="23"/>
      <c r="D18" s="34">
        <v>115</v>
      </c>
      <c r="E18" s="34">
        <v>24</v>
      </c>
      <c r="F18" s="34">
        <v>8</v>
      </c>
      <c r="G18" s="34">
        <f>458-447</f>
        <v>11</v>
      </c>
      <c r="H18" s="34">
        <f>502-492</f>
        <v>10</v>
      </c>
      <c r="I18" s="56">
        <f>869-866</f>
        <v>3</v>
      </c>
      <c r="J18" s="20">
        <v>10</v>
      </c>
      <c r="K18" s="20">
        <f>J18</f>
        <v>10</v>
      </c>
      <c r="L18" s="20">
        <f t="shared" ref="L18:N18" si="7">K18</f>
        <v>10</v>
      </c>
      <c r="M18" s="20">
        <f t="shared" si="7"/>
        <v>10</v>
      </c>
      <c r="N18" s="61">
        <f t="shared" si="7"/>
        <v>10</v>
      </c>
    </row>
    <row r="19" spans="1:17" ht="15.75">
      <c r="B19" s="74" t="s">
        <v>66</v>
      </c>
      <c r="C19" s="23"/>
      <c r="D19" s="34">
        <v>2172</v>
      </c>
      <c r="E19" s="34">
        <v>2407</v>
      </c>
      <c r="F19" s="34">
        <v>2689</v>
      </c>
      <c r="G19" s="34">
        <v>2892</v>
      </c>
      <c r="H19" s="34">
        <v>2790</v>
      </c>
      <c r="I19" s="34">
        <v>2695</v>
      </c>
      <c r="J19" s="20">
        <f>J20*(J15+J17)</f>
        <v>3099.86</v>
      </c>
      <c r="K19" s="20">
        <f>K20*(K15+K17)</f>
        <v>3429.7610000000004</v>
      </c>
      <c r="L19" s="20">
        <f t="shared" ref="L19:N19" si="8">L20*(L15+L17)</f>
        <v>3741.1554500000002</v>
      </c>
      <c r="M19" s="20">
        <f t="shared" si="8"/>
        <v>4040.1183425000004</v>
      </c>
      <c r="N19" s="61">
        <f t="shared" si="8"/>
        <v>4331.6283556250009</v>
      </c>
    </row>
    <row r="20" spans="1:17" ht="15.75">
      <c r="B20" s="340" t="s">
        <v>332</v>
      </c>
      <c r="C20" s="341"/>
      <c r="D20" s="343">
        <f>D19/(D15+D17)</f>
        <v>0.1642965204236006</v>
      </c>
      <c r="E20" s="344">
        <f t="shared" ref="E20:I20" si="9">E19/(E15+E17)</f>
        <v>0.17821708870131794</v>
      </c>
      <c r="F20" s="344">
        <f t="shared" si="9"/>
        <v>0.19985135637309551</v>
      </c>
      <c r="G20" s="344">
        <f t="shared" si="9"/>
        <v>0.22096577017114916</v>
      </c>
      <c r="H20" s="344">
        <f t="shared" si="9"/>
        <v>0.22957294495186373</v>
      </c>
      <c r="I20" s="344">
        <f t="shared" si="9"/>
        <v>0.19697412658967986</v>
      </c>
      <c r="J20" s="344">
        <v>0.2</v>
      </c>
      <c r="K20" s="344">
        <f>J20</f>
        <v>0.2</v>
      </c>
      <c r="L20" s="344">
        <f t="shared" ref="L20:N20" si="10">K20</f>
        <v>0.2</v>
      </c>
      <c r="M20" s="344">
        <f t="shared" si="10"/>
        <v>0.2</v>
      </c>
      <c r="N20" s="345">
        <f t="shared" si="10"/>
        <v>0.2</v>
      </c>
    </row>
    <row r="21" spans="1:17" ht="15.75">
      <c r="B21" s="161" t="s">
        <v>67</v>
      </c>
      <c r="C21" s="162"/>
      <c r="D21" s="44">
        <f t="shared" ref="D21:N21" si="11">D15+D16+D17-D18-D19</f>
        <v>10941</v>
      </c>
      <c r="E21" s="44">
        <f t="shared" si="11"/>
        <v>11110</v>
      </c>
      <c r="F21" s="44">
        <f t="shared" si="11"/>
        <v>10774</v>
      </c>
      <c r="G21" s="44">
        <f t="shared" si="11"/>
        <v>10230</v>
      </c>
      <c r="H21" s="44">
        <f t="shared" si="11"/>
        <v>9376</v>
      </c>
      <c r="I21" s="44">
        <f t="shared" si="11"/>
        <v>10978</v>
      </c>
      <c r="J21" s="44">
        <f t="shared" si="11"/>
        <v>12401.439999999999</v>
      </c>
      <c r="K21" s="44">
        <f t="shared" si="11"/>
        <v>13721.044</v>
      </c>
      <c r="L21" s="44">
        <f t="shared" si="11"/>
        <v>14966.621799999999</v>
      </c>
      <c r="M21" s="44">
        <f t="shared" si="11"/>
        <v>16162.473370000002</v>
      </c>
      <c r="N21" s="67">
        <f t="shared" si="11"/>
        <v>17328.513422500004</v>
      </c>
    </row>
    <row r="22" spans="1:17" ht="5.45" customHeight="1"/>
    <row r="23" spans="1:17" ht="15.75">
      <c r="B23" s="142" t="s">
        <v>118</v>
      </c>
      <c r="C23" s="26"/>
      <c r="D23" s="143">
        <v>906</v>
      </c>
      <c r="E23" s="143">
        <v>926</v>
      </c>
      <c r="F23" s="143">
        <v>1205</v>
      </c>
      <c r="G23" s="143">
        <v>1234</v>
      </c>
      <c r="H23" s="143">
        <v>1564</v>
      </c>
      <c r="I23" s="143">
        <v>1546</v>
      </c>
      <c r="J23" s="36">
        <f>I23*(1+J24)</f>
        <v>1677.4099999999999</v>
      </c>
      <c r="K23" s="36">
        <f t="shared" ref="K23:N23" si="12">J23*(1+K24)</f>
        <v>1819.9898499999997</v>
      </c>
      <c r="L23" s="36">
        <f t="shared" si="12"/>
        <v>1974.6889872499996</v>
      </c>
      <c r="M23" s="36">
        <f t="shared" si="12"/>
        <v>2142.5375511662496</v>
      </c>
      <c r="N23" s="81">
        <f t="shared" si="12"/>
        <v>2324.6532430153807</v>
      </c>
    </row>
    <row r="24" spans="1:17" ht="15.75">
      <c r="B24" s="214" t="s">
        <v>164</v>
      </c>
      <c r="C24" s="215"/>
      <c r="D24" s="270">
        <v>0</v>
      </c>
      <c r="E24" s="216">
        <f>E23/D23-1</f>
        <v>2.207505518763786E-2</v>
      </c>
      <c r="F24" s="216">
        <f t="shared" ref="F24:I24" si="13">F23/E23-1</f>
        <v>0.30129589632829368</v>
      </c>
      <c r="G24" s="216">
        <f t="shared" si="13"/>
        <v>2.406639004149369E-2</v>
      </c>
      <c r="H24" s="216">
        <f t="shared" si="13"/>
        <v>0.26742301458670981</v>
      </c>
      <c r="I24" s="216">
        <f t="shared" si="13"/>
        <v>-1.1508951406649648E-2</v>
      </c>
      <c r="J24" s="216">
        <v>8.5000000000000006E-2</v>
      </c>
      <c r="K24" s="216">
        <f>J24</f>
        <v>8.5000000000000006E-2</v>
      </c>
      <c r="L24" s="216">
        <f t="shared" ref="L24:N24" si="14">K24</f>
        <v>8.5000000000000006E-2</v>
      </c>
      <c r="M24" s="216">
        <f t="shared" si="14"/>
        <v>8.5000000000000006E-2</v>
      </c>
      <c r="N24" s="333">
        <f t="shared" si="14"/>
        <v>8.5000000000000006E-2</v>
      </c>
    </row>
    <row r="25" spans="1:17" ht="15.75">
      <c r="B25" s="23"/>
      <c r="C25" s="23"/>
      <c r="D25" s="23"/>
      <c r="E25" s="23"/>
      <c r="F25" s="23"/>
      <c r="G25" s="23"/>
      <c r="H25" s="23"/>
      <c r="I25" s="23"/>
      <c r="J25" s="20"/>
      <c r="K25" s="20"/>
      <c r="L25" s="20"/>
      <c r="M25" s="20"/>
      <c r="N25" s="20"/>
    </row>
    <row r="26" spans="1:17" ht="15.75">
      <c r="A26" t="s">
        <v>58</v>
      </c>
      <c r="B26" s="189" t="s">
        <v>68</v>
      </c>
      <c r="C26" s="204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</row>
    <row r="27" spans="1:17" ht="3.95" customHeight="1">
      <c r="B27" s="24"/>
      <c r="C27" s="23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7" ht="15.75">
      <c r="B28" s="142" t="s">
        <v>69</v>
      </c>
      <c r="C28" s="26"/>
      <c r="D28" s="173">
        <v>1700</v>
      </c>
      <c r="E28" s="36">
        <f>D33</f>
        <v>1710</v>
      </c>
      <c r="F28" s="36">
        <f t="shared" ref="F28:I28" si="15">E33</f>
        <v>1798</v>
      </c>
      <c r="G28" s="36">
        <f t="shared" si="15"/>
        <v>1787</v>
      </c>
      <c r="H28" s="36">
        <f t="shared" si="15"/>
        <v>1858</v>
      </c>
      <c r="I28" s="36">
        <f t="shared" si="15"/>
        <v>1832</v>
      </c>
      <c r="J28" s="36">
        <f t="shared" ref="J28" si="16">I33</f>
        <v>1860</v>
      </c>
      <c r="K28" s="36">
        <f t="shared" ref="K28" si="17">J33</f>
        <v>1860</v>
      </c>
      <c r="L28" s="36">
        <f t="shared" ref="L28" si="18">K33</f>
        <v>1860</v>
      </c>
      <c r="M28" s="36">
        <f t="shared" ref="M28" si="19">L33</f>
        <v>1860</v>
      </c>
      <c r="N28" s="81">
        <f t="shared" ref="N28" si="20">M33</f>
        <v>1860</v>
      </c>
    </row>
    <row r="29" spans="1:17" ht="15.75">
      <c r="B29" s="74" t="s">
        <v>70</v>
      </c>
      <c r="C29" s="23"/>
      <c r="D29" s="102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167"/>
      <c r="K29" s="167"/>
      <c r="L29" s="167"/>
      <c r="M29" s="167"/>
      <c r="N29" s="174"/>
    </row>
    <row r="30" spans="1:17" ht="31.5">
      <c r="B30" s="171" t="s">
        <v>71</v>
      </c>
      <c r="C30" s="23"/>
      <c r="D30" s="347">
        <v>10</v>
      </c>
      <c r="E30" s="167">
        <v>88</v>
      </c>
      <c r="F30" s="167">
        <v>-11</v>
      </c>
      <c r="G30" s="167">
        <v>71</v>
      </c>
      <c r="H30" s="167">
        <v>-26</v>
      </c>
      <c r="I30" s="167">
        <v>28</v>
      </c>
      <c r="J30" s="167">
        <v>0</v>
      </c>
      <c r="K30" s="167">
        <f>J30</f>
        <v>0</v>
      </c>
      <c r="L30" s="167">
        <f t="shared" ref="L30:N30" si="21">K30</f>
        <v>0</v>
      </c>
      <c r="M30" s="167">
        <f t="shared" si="21"/>
        <v>0</v>
      </c>
      <c r="N30" s="174">
        <f t="shared" si="21"/>
        <v>0</v>
      </c>
    </row>
    <row r="31" spans="1:17" ht="15.75">
      <c r="B31" s="74" t="s">
        <v>72</v>
      </c>
      <c r="C31" s="23"/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f>I31</f>
        <v>0</v>
      </c>
      <c r="K31" s="102">
        <f t="shared" ref="K31:N31" si="22">J31</f>
        <v>0</v>
      </c>
      <c r="L31" s="102">
        <f t="shared" si="22"/>
        <v>0</v>
      </c>
      <c r="M31" s="102">
        <f t="shared" si="22"/>
        <v>0</v>
      </c>
      <c r="N31" s="175">
        <f t="shared" si="22"/>
        <v>0</v>
      </c>
    </row>
    <row r="32" spans="1:17" ht="15.75">
      <c r="B32" s="74" t="s">
        <v>73</v>
      </c>
      <c r="C32" s="23"/>
      <c r="D32" s="102">
        <v>0</v>
      </c>
      <c r="E32" s="102">
        <v>0</v>
      </c>
      <c r="F32" s="102">
        <v>0</v>
      </c>
      <c r="G32" s="102">
        <v>0</v>
      </c>
      <c r="H32" s="102">
        <v>0</v>
      </c>
      <c r="I32" s="102">
        <v>0</v>
      </c>
      <c r="J32" s="102">
        <f>I32</f>
        <v>0</v>
      </c>
      <c r="K32" s="102">
        <f t="shared" ref="K32:N32" si="23">J32</f>
        <v>0</v>
      </c>
      <c r="L32" s="102">
        <f t="shared" si="23"/>
        <v>0</v>
      </c>
      <c r="M32" s="102">
        <f t="shared" si="23"/>
        <v>0</v>
      </c>
      <c r="N32" s="175">
        <f t="shared" si="23"/>
        <v>0</v>
      </c>
    </row>
    <row r="33" spans="1:14" ht="15.75">
      <c r="B33" s="161" t="s">
        <v>74</v>
      </c>
      <c r="C33" s="85"/>
      <c r="D33" s="44">
        <f>D28+D29+D30-D31-D32</f>
        <v>1710</v>
      </c>
      <c r="E33" s="44">
        <f t="shared" ref="E33:N33" si="24">E28+E29+E30-E31-E32</f>
        <v>1798</v>
      </c>
      <c r="F33" s="44">
        <f t="shared" si="24"/>
        <v>1787</v>
      </c>
      <c r="G33" s="44">
        <f t="shared" si="24"/>
        <v>1858</v>
      </c>
      <c r="H33" s="44">
        <f t="shared" si="24"/>
        <v>1832</v>
      </c>
      <c r="I33" s="44">
        <f t="shared" si="24"/>
        <v>1860</v>
      </c>
      <c r="J33" s="44">
        <f t="shared" si="24"/>
        <v>1860</v>
      </c>
      <c r="K33" s="44">
        <f t="shared" si="24"/>
        <v>1860</v>
      </c>
      <c r="L33" s="44">
        <f t="shared" si="24"/>
        <v>1860</v>
      </c>
      <c r="M33" s="44">
        <f t="shared" si="24"/>
        <v>1860</v>
      </c>
      <c r="N33" s="67">
        <f t="shared" si="24"/>
        <v>1860</v>
      </c>
    </row>
    <row r="34" spans="1:14" ht="15.75">
      <c r="B34" s="23"/>
      <c r="C34" s="24"/>
      <c r="D34" s="27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ht="15.75">
      <c r="A35" t="s">
        <v>58</v>
      </c>
      <c r="B35" s="189" t="s">
        <v>75</v>
      </c>
      <c r="C35" s="187"/>
      <c r="D35" s="209"/>
      <c r="E35" s="205"/>
      <c r="F35" s="205"/>
      <c r="G35" s="205"/>
      <c r="H35" s="205"/>
      <c r="I35" s="205"/>
      <c r="J35" s="205"/>
      <c r="K35" s="205"/>
      <c r="L35" s="205"/>
      <c r="M35" s="205"/>
      <c r="N35" s="205"/>
    </row>
    <row r="36" spans="1:14" ht="5.0999999999999996" customHeight="1">
      <c r="B36" s="24"/>
      <c r="C36" s="24"/>
      <c r="D36" s="27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1:14" ht="15.75">
      <c r="B37" s="142" t="s">
        <v>76</v>
      </c>
      <c r="C37" s="37"/>
      <c r="D37" s="173">
        <v>179</v>
      </c>
      <c r="E37" s="173">
        <f>D43</f>
        <v>283</v>
      </c>
      <c r="F37" s="47">
        <f t="shared" ref="F37:I37" si="25">E43</f>
        <v>480</v>
      </c>
      <c r="G37" s="47">
        <f t="shared" si="25"/>
        <v>1101</v>
      </c>
      <c r="H37" s="47">
        <f t="shared" si="25"/>
        <v>867</v>
      </c>
      <c r="I37" s="47">
        <f t="shared" si="25"/>
        <v>510</v>
      </c>
      <c r="J37" s="47">
        <f t="shared" ref="J37" si="26">I43</f>
        <v>940</v>
      </c>
      <c r="K37" s="47">
        <f t="shared" ref="K37" si="27">J43</f>
        <v>736.72500000000002</v>
      </c>
      <c r="L37" s="47">
        <f t="shared" ref="L37" si="28">K43</f>
        <v>668.45875000000001</v>
      </c>
      <c r="M37" s="47">
        <f t="shared" ref="M37" si="29">L43</f>
        <v>719.87943749999999</v>
      </c>
      <c r="N37" s="180">
        <f t="shared" ref="N37" si="30">M43</f>
        <v>896.99350937500003</v>
      </c>
    </row>
    <row r="38" spans="1:14" ht="15.75">
      <c r="B38" s="74" t="s">
        <v>77</v>
      </c>
      <c r="C38" s="24"/>
      <c r="D38" s="34">
        <v>192</v>
      </c>
      <c r="E38" s="34">
        <v>356</v>
      </c>
      <c r="F38" s="34">
        <v>1002</v>
      </c>
      <c r="G38" s="34">
        <v>262</v>
      </c>
      <c r="H38" s="34">
        <v>131</v>
      </c>
      <c r="I38" s="34">
        <v>1156</v>
      </c>
      <c r="J38" s="101">
        <f>H38*1.5</f>
        <v>196.5</v>
      </c>
      <c r="K38" s="101">
        <f>J38*1.5</f>
        <v>294.75</v>
      </c>
      <c r="L38" s="101">
        <f t="shared" ref="L38:N38" si="31">K38*1.5</f>
        <v>442.125</v>
      </c>
      <c r="M38" s="101">
        <f t="shared" si="31"/>
        <v>663.1875</v>
      </c>
      <c r="N38" s="388">
        <f t="shared" si="31"/>
        <v>994.78125</v>
      </c>
    </row>
    <row r="39" spans="1:14" ht="31.5">
      <c r="B39" s="348" t="s">
        <v>71</v>
      </c>
      <c r="C39" s="23"/>
      <c r="D39" s="34">
        <v>1</v>
      </c>
      <c r="E39" s="167">
        <v>-1</v>
      </c>
      <c r="F39" s="167">
        <v>0</v>
      </c>
      <c r="G39" s="167">
        <v>0</v>
      </c>
      <c r="H39" s="167">
        <v>-2</v>
      </c>
      <c r="I39" s="167">
        <v>1</v>
      </c>
      <c r="J39" s="167">
        <v>3</v>
      </c>
      <c r="K39" s="167">
        <v>3</v>
      </c>
      <c r="L39" s="167">
        <v>3</v>
      </c>
      <c r="M39" s="167">
        <v>3</v>
      </c>
      <c r="N39" s="174">
        <v>3</v>
      </c>
    </row>
    <row r="40" spans="1:14" ht="15.75">
      <c r="B40" s="74" t="s">
        <v>72</v>
      </c>
      <c r="C40" s="23"/>
      <c r="D40" s="176">
        <v>0</v>
      </c>
      <c r="E40" s="34">
        <v>0</v>
      </c>
      <c r="F40" s="34">
        <v>26</v>
      </c>
      <c r="G40" s="176">
        <v>0</v>
      </c>
      <c r="H40" s="34">
        <v>7</v>
      </c>
      <c r="I40" s="34">
        <v>0</v>
      </c>
      <c r="J40" s="20">
        <v>5</v>
      </c>
      <c r="K40" s="20">
        <v>5</v>
      </c>
      <c r="L40" s="20">
        <v>5</v>
      </c>
      <c r="M40" s="20">
        <v>5</v>
      </c>
      <c r="N40" s="61">
        <v>5</v>
      </c>
    </row>
    <row r="41" spans="1:14" ht="15.75">
      <c r="B41" s="74" t="s">
        <v>73</v>
      </c>
      <c r="C41" s="23"/>
      <c r="D41" s="34">
        <v>89</v>
      </c>
      <c r="E41" s="34">
        <v>158</v>
      </c>
      <c r="F41" s="34">
        <v>355</v>
      </c>
      <c r="G41" s="34">
        <v>496</v>
      </c>
      <c r="H41" s="34">
        <v>479</v>
      </c>
      <c r="I41" s="34">
        <v>727</v>
      </c>
      <c r="J41" s="34">
        <f>J42*(J37+J38)</f>
        <v>397.77499999999998</v>
      </c>
      <c r="K41" s="34">
        <f>K42*(K37+K38)</f>
        <v>361.01624999999996</v>
      </c>
      <c r="L41" s="34">
        <f t="shared" ref="L41:N41" si="32">L42*(L37+L38)</f>
        <v>388.70431249999996</v>
      </c>
      <c r="M41" s="34">
        <f t="shared" si="32"/>
        <v>484.07342812499996</v>
      </c>
      <c r="N41" s="61">
        <f t="shared" si="32"/>
        <v>662.12116578124994</v>
      </c>
    </row>
    <row r="42" spans="1:14" ht="15.75">
      <c r="B42" s="340" t="s">
        <v>333</v>
      </c>
      <c r="C42" s="341"/>
      <c r="D42" s="342"/>
      <c r="E42" s="343">
        <f>E41/(E37+E38)</f>
        <v>0.24726134585289514</v>
      </c>
      <c r="F42" s="344">
        <f t="shared" ref="F42:I42" si="33">F41/(F37+F38)</f>
        <v>0.23954116059379219</v>
      </c>
      <c r="G42" s="344">
        <f t="shared" si="33"/>
        <v>0.36390315480557595</v>
      </c>
      <c r="H42" s="344">
        <f t="shared" si="33"/>
        <v>0.47995991983967934</v>
      </c>
      <c r="I42" s="344">
        <f t="shared" si="33"/>
        <v>0.43637454981992796</v>
      </c>
      <c r="J42" s="344">
        <v>0.35</v>
      </c>
      <c r="K42" s="344">
        <f>J42</f>
        <v>0.35</v>
      </c>
      <c r="L42" s="344">
        <f t="shared" ref="L42:N42" si="34">K42</f>
        <v>0.35</v>
      </c>
      <c r="M42" s="344">
        <f t="shared" si="34"/>
        <v>0.35</v>
      </c>
      <c r="N42" s="345">
        <f t="shared" si="34"/>
        <v>0.35</v>
      </c>
    </row>
    <row r="43" spans="1:14" ht="15.75">
      <c r="B43" s="161" t="s">
        <v>78</v>
      </c>
      <c r="C43" s="162"/>
      <c r="D43" s="164">
        <f>D37+D38+D39-D40-D41</f>
        <v>283</v>
      </c>
      <c r="E43" s="164">
        <f t="shared" ref="E43:N43" si="35">E37+E38+E39-E40-E41</f>
        <v>480</v>
      </c>
      <c r="F43" s="164">
        <f t="shared" si="35"/>
        <v>1101</v>
      </c>
      <c r="G43" s="164">
        <f t="shared" si="35"/>
        <v>867</v>
      </c>
      <c r="H43" s="164">
        <f t="shared" si="35"/>
        <v>510</v>
      </c>
      <c r="I43" s="164">
        <f t="shared" si="35"/>
        <v>940</v>
      </c>
      <c r="J43" s="164">
        <f t="shared" si="35"/>
        <v>736.72500000000002</v>
      </c>
      <c r="K43" s="164">
        <f t="shared" si="35"/>
        <v>668.45875000000001</v>
      </c>
      <c r="L43" s="164">
        <f t="shared" si="35"/>
        <v>719.87943749999999</v>
      </c>
      <c r="M43" s="164">
        <f t="shared" si="35"/>
        <v>896.99350937500003</v>
      </c>
      <c r="N43" s="165">
        <f t="shared" si="35"/>
        <v>1227.65359359375</v>
      </c>
    </row>
    <row r="44" spans="1:14" ht="15.75">
      <c r="B44" s="23"/>
      <c r="C44" s="23"/>
      <c r="D44" s="23"/>
      <c r="E44" s="23"/>
      <c r="F44" s="23"/>
      <c r="G44" s="23"/>
      <c r="H44" s="23"/>
      <c r="I44" s="23"/>
      <c r="J44" s="20"/>
      <c r="K44" s="20"/>
      <c r="L44" s="20"/>
      <c r="M44" s="20"/>
      <c r="N44" s="20"/>
    </row>
    <row r="45" spans="1:14" ht="15.75">
      <c r="A45" t="s">
        <v>58</v>
      </c>
      <c r="B45" s="189" t="s">
        <v>21</v>
      </c>
      <c r="C45" s="204"/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</row>
    <row r="46" spans="1:14" ht="3.95" customHeight="1">
      <c r="B46" s="24"/>
      <c r="C46" s="23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4" ht="15.75">
      <c r="B47" s="142" t="s">
        <v>79</v>
      </c>
      <c r="C47" s="26"/>
      <c r="D47" s="173">
        <v>6311</v>
      </c>
      <c r="E47" s="173">
        <f>D52</f>
        <v>7994</v>
      </c>
      <c r="F47" s="173">
        <f t="shared" ref="F47:I47" si="36">E52</f>
        <v>7633</v>
      </c>
      <c r="G47" s="173">
        <f t="shared" si="36"/>
        <v>7636</v>
      </c>
      <c r="H47" s="173">
        <f t="shared" si="36"/>
        <v>7560</v>
      </c>
      <c r="I47" s="173">
        <f t="shared" si="36"/>
        <v>7886</v>
      </c>
      <c r="J47" s="173">
        <f t="shared" ref="J47" si="37">I52</f>
        <v>9275</v>
      </c>
      <c r="K47" s="173">
        <f t="shared" ref="K47" si="38">J52</f>
        <v>10756.116</v>
      </c>
      <c r="L47" s="173">
        <f t="shared" ref="L47" si="39">K52</f>
        <v>12296.765040000002</v>
      </c>
      <c r="M47" s="173">
        <f t="shared" ref="M47" si="40">L52</f>
        <v>13917.072993600003</v>
      </c>
      <c r="N47" s="177">
        <f t="shared" ref="N47" si="41">M52</f>
        <v>15636.910710624003</v>
      </c>
    </row>
    <row r="48" spans="1:14" ht="15.75">
      <c r="B48" s="74" t="s">
        <v>80</v>
      </c>
      <c r="C48" s="23"/>
      <c r="D48" s="34">
        <v>2951</v>
      </c>
      <c r="E48" s="34">
        <v>1139</v>
      </c>
      <c r="F48" s="34">
        <v>1563</v>
      </c>
      <c r="G48" s="34">
        <v>1558</v>
      </c>
      <c r="H48" s="34">
        <v>2042</v>
      </c>
      <c r="I48" s="34">
        <v>3209</v>
      </c>
      <c r="J48" s="20">
        <f>I48*1.1</f>
        <v>3529.9</v>
      </c>
      <c r="K48" s="57">
        <f t="shared" ref="K48:N48" si="42">J48*1.1</f>
        <v>3882.8900000000003</v>
      </c>
      <c r="L48" s="20">
        <f t="shared" si="42"/>
        <v>4271.179000000001</v>
      </c>
      <c r="M48" s="20">
        <f t="shared" si="42"/>
        <v>4698.2969000000012</v>
      </c>
      <c r="N48" s="61">
        <f t="shared" si="42"/>
        <v>5168.1265900000017</v>
      </c>
    </row>
    <row r="49" spans="1:14" ht="15.75">
      <c r="B49" s="74" t="s">
        <v>72</v>
      </c>
      <c r="C49" s="23"/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20">
        <v>0</v>
      </c>
      <c r="K49" s="20">
        <v>0</v>
      </c>
      <c r="L49" s="20">
        <v>0</v>
      </c>
      <c r="M49" s="20">
        <v>0</v>
      </c>
      <c r="N49" s="61">
        <v>0</v>
      </c>
    </row>
    <row r="50" spans="1:14" ht="15.75">
      <c r="B50" s="74" t="s">
        <v>66</v>
      </c>
      <c r="C50" s="23"/>
      <c r="D50" s="34">
        <v>1268</v>
      </c>
      <c r="E50" s="34">
        <v>1500</v>
      </c>
      <c r="F50" s="34">
        <v>1560</v>
      </c>
      <c r="G50" s="34">
        <v>1634</v>
      </c>
      <c r="H50" s="34">
        <v>1716</v>
      </c>
      <c r="I50" s="34">
        <v>1820</v>
      </c>
      <c r="J50" s="20">
        <f>J51*(J48+J47)</f>
        <v>2048.7840000000001</v>
      </c>
      <c r="K50" s="20">
        <f t="shared" ref="K50:N50" si="43">K51*(K48+K47)</f>
        <v>2342.2409600000001</v>
      </c>
      <c r="L50" s="20">
        <f t="shared" si="43"/>
        <v>2650.8710464000005</v>
      </c>
      <c r="M50" s="20">
        <f t="shared" si="43"/>
        <v>2978.4591829760006</v>
      </c>
      <c r="N50" s="61">
        <f t="shared" si="43"/>
        <v>3328.8059680998408</v>
      </c>
    </row>
    <row r="51" spans="1:14" ht="15.75">
      <c r="B51" s="340" t="s">
        <v>334</v>
      </c>
      <c r="C51" s="23"/>
      <c r="D51" s="343">
        <f>D50/(D48+D47)</f>
        <v>0.13690347657093499</v>
      </c>
      <c r="E51" s="344">
        <f t="shared" ref="E51:I51" si="44">E50/(E48+E47)</f>
        <v>0.16423957078725501</v>
      </c>
      <c r="F51" s="344">
        <f t="shared" si="44"/>
        <v>0.16963897346672466</v>
      </c>
      <c r="G51" s="344">
        <f t="shared" si="44"/>
        <v>0.1777246030019578</v>
      </c>
      <c r="H51" s="344">
        <f t="shared" si="44"/>
        <v>0.17871276817329723</v>
      </c>
      <c r="I51" s="344">
        <f t="shared" si="44"/>
        <v>0.16403785488958991</v>
      </c>
      <c r="J51" s="343">
        <v>0.16</v>
      </c>
      <c r="K51" s="343">
        <f>J51</f>
        <v>0.16</v>
      </c>
      <c r="L51" s="343">
        <f t="shared" ref="L51:N51" si="45">K51</f>
        <v>0.16</v>
      </c>
      <c r="M51" s="343">
        <f t="shared" si="45"/>
        <v>0.16</v>
      </c>
      <c r="N51" s="349">
        <f t="shared" si="45"/>
        <v>0.16</v>
      </c>
    </row>
    <row r="52" spans="1:14" ht="15.75">
      <c r="B52" s="161" t="s">
        <v>81</v>
      </c>
      <c r="C52" s="162"/>
      <c r="D52" s="164">
        <f t="shared" ref="D52:N52" si="46">D47+D48-D50</f>
        <v>7994</v>
      </c>
      <c r="E52" s="164">
        <f t="shared" si="46"/>
        <v>7633</v>
      </c>
      <c r="F52" s="164">
        <f t="shared" si="46"/>
        <v>7636</v>
      </c>
      <c r="G52" s="164">
        <f t="shared" si="46"/>
        <v>7560</v>
      </c>
      <c r="H52" s="164">
        <f t="shared" si="46"/>
        <v>7886</v>
      </c>
      <c r="I52" s="164">
        <f t="shared" si="46"/>
        <v>9275</v>
      </c>
      <c r="J52" s="164">
        <f t="shared" si="46"/>
        <v>10756.116</v>
      </c>
      <c r="K52" s="164">
        <f t="shared" si="46"/>
        <v>12296.765040000002</v>
      </c>
      <c r="L52" s="164">
        <f t="shared" si="46"/>
        <v>13917.072993600003</v>
      </c>
      <c r="M52" s="164">
        <f t="shared" si="46"/>
        <v>15636.910710624003</v>
      </c>
      <c r="N52" s="165">
        <f t="shared" si="46"/>
        <v>17476.231332524163</v>
      </c>
    </row>
    <row r="53" spans="1:14" ht="15.75">
      <c r="B53" s="23"/>
      <c r="C53" s="23"/>
      <c r="D53" s="23"/>
      <c r="E53" s="23"/>
      <c r="F53" s="23"/>
      <c r="G53" s="23"/>
      <c r="H53" s="23"/>
      <c r="I53" s="23"/>
      <c r="J53" s="20"/>
      <c r="K53" s="20"/>
      <c r="L53" s="20"/>
      <c r="M53" s="20"/>
      <c r="N53" s="20"/>
    </row>
    <row r="54" spans="1:14" ht="15.75">
      <c r="A54" t="s">
        <v>58</v>
      </c>
      <c r="B54" s="189" t="s">
        <v>82</v>
      </c>
      <c r="C54" s="206"/>
      <c r="D54" s="207"/>
      <c r="E54" s="207"/>
      <c r="F54" s="207"/>
      <c r="G54" s="207"/>
      <c r="H54" s="207"/>
      <c r="I54" s="207"/>
      <c r="J54" s="207"/>
      <c r="K54" s="207"/>
      <c r="L54" s="207"/>
      <c r="M54" s="207"/>
      <c r="N54" s="207"/>
    </row>
    <row r="55" spans="1:14" ht="6" customHeight="1">
      <c r="B55" s="24"/>
      <c r="C55" s="23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1:14" ht="15.75">
      <c r="B56" s="142" t="s">
        <v>83</v>
      </c>
      <c r="C56" s="26"/>
      <c r="D56" s="173">
        <v>4903</v>
      </c>
      <c r="E56" s="173">
        <f>D60</f>
        <v>7368</v>
      </c>
      <c r="F56" s="173">
        <f t="shared" ref="F56:I56" si="47">E60</f>
        <v>7442</v>
      </c>
      <c r="G56" s="173">
        <f t="shared" si="47"/>
        <v>9137</v>
      </c>
      <c r="H56" s="173">
        <f t="shared" si="47"/>
        <v>10553</v>
      </c>
      <c r="I56" s="173">
        <f t="shared" si="47"/>
        <v>9867</v>
      </c>
      <c r="J56" s="47">
        <f t="shared" ref="J56" si="48">I60</f>
        <v>10096</v>
      </c>
      <c r="K56" s="47">
        <f t="shared" ref="K56" si="49">J60</f>
        <v>10096</v>
      </c>
      <c r="L56" s="47">
        <f t="shared" ref="L56" si="50">K60</f>
        <v>10096</v>
      </c>
      <c r="M56" s="47">
        <f t="shared" ref="M56" si="51">L60</f>
        <v>10096</v>
      </c>
      <c r="N56" s="180">
        <f t="shared" ref="N56" si="52">M60</f>
        <v>10096</v>
      </c>
    </row>
    <row r="57" spans="1:14" ht="15.75">
      <c r="B57" s="74" t="s">
        <v>84</v>
      </c>
      <c r="C57" s="23"/>
      <c r="D57" s="34">
        <v>2465</v>
      </c>
      <c r="E57" s="34">
        <v>74</v>
      </c>
      <c r="F57" s="34">
        <v>1695</v>
      </c>
      <c r="G57" s="34">
        <v>1416</v>
      </c>
      <c r="H57" s="34">
        <v>-686</v>
      </c>
      <c r="I57" s="34">
        <v>229</v>
      </c>
      <c r="J57" s="48">
        <v>0</v>
      </c>
      <c r="K57" s="48">
        <f t="shared" ref="K57:N57" si="53">J57*1.35</f>
        <v>0</v>
      </c>
      <c r="L57" s="48">
        <f t="shared" si="53"/>
        <v>0</v>
      </c>
      <c r="M57" s="48">
        <f t="shared" si="53"/>
        <v>0</v>
      </c>
      <c r="N57" s="77">
        <f t="shared" si="53"/>
        <v>0</v>
      </c>
    </row>
    <row r="58" spans="1:14" ht="15.75">
      <c r="B58" s="74" t="s">
        <v>85</v>
      </c>
      <c r="C58" s="23"/>
      <c r="D58" s="20">
        <f>287+44</f>
        <v>331</v>
      </c>
      <c r="E58" s="166">
        <f>D61</f>
        <v>7197</v>
      </c>
      <c r="F58" s="166">
        <f t="shared" ref="F58:I58" si="54">E61</f>
        <v>6783</v>
      </c>
      <c r="G58" s="166">
        <f t="shared" si="54"/>
        <v>6940</v>
      </c>
      <c r="H58" s="166">
        <f t="shared" si="54"/>
        <v>6556</v>
      </c>
      <c r="I58" s="166">
        <f t="shared" si="54"/>
        <v>6881</v>
      </c>
      <c r="J58" s="48">
        <f t="shared" ref="J58" si="55">I61</f>
        <v>8518</v>
      </c>
      <c r="K58" s="48">
        <f t="shared" ref="K58" si="56">J61</f>
        <v>8518</v>
      </c>
      <c r="L58" s="48">
        <f t="shared" ref="L58" si="57">K61</f>
        <v>8518</v>
      </c>
      <c r="M58" s="48">
        <f t="shared" ref="M58" si="58">L61</f>
        <v>8518</v>
      </c>
      <c r="N58" s="77">
        <f t="shared" ref="N58" si="59">M61</f>
        <v>8518</v>
      </c>
    </row>
    <row r="59" spans="1:14" ht="15.75">
      <c r="B59" s="74" t="s">
        <v>86</v>
      </c>
      <c r="C59" s="23"/>
      <c r="D59" s="34">
        <v>6866</v>
      </c>
      <c r="E59" s="34">
        <v>-414</v>
      </c>
      <c r="F59" s="34">
        <v>157</v>
      </c>
      <c r="G59" s="34">
        <v>-384</v>
      </c>
      <c r="H59" s="34">
        <v>325</v>
      </c>
      <c r="I59" s="34">
        <v>1637</v>
      </c>
      <c r="J59" s="48">
        <v>0</v>
      </c>
      <c r="K59" s="48">
        <f t="shared" ref="K59:N59" si="60">J59*1.05</f>
        <v>0</v>
      </c>
      <c r="L59" s="48">
        <f t="shared" si="60"/>
        <v>0</v>
      </c>
      <c r="M59" s="48">
        <f t="shared" si="60"/>
        <v>0</v>
      </c>
      <c r="N59" s="77">
        <f t="shared" si="60"/>
        <v>0</v>
      </c>
    </row>
    <row r="60" spans="1:14" ht="15.75">
      <c r="B60" s="142" t="s">
        <v>87</v>
      </c>
      <c r="C60" s="26"/>
      <c r="D60" s="36">
        <f>D56+D57</f>
        <v>7368</v>
      </c>
      <c r="E60" s="36">
        <f t="shared" ref="E60:N60" si="61">E56+E57</f>
        <v>7442</v>
      </c>
      <c r="F60" s="36">
        <f t="shared" si="61"/>
        <v>9137</v>
      </c>
      <c r="G60" s="36">
        <f t="shared" si="61"/>
        <v>10553</v>
      </c>
      <c r="H60" s="36">
        <f t="shared" si="61"/>
        <v>9867</v>
      </c>
      <c r="I60" s="36">
        <f t="shared" si="61"/>
        <v>10096</v>
      </c>
      <c r="J60" s="36">
        <f t="shared" si="61"/>
        <v>10096</v>
      </c>
      <c r="K60" s="36">
        <f t="shared" si="61"/>
        <v>10096</v>
      </c>
      <c r="L60" s="36">
        <f t="shared" si="61"/>
        <v>10096</v>
      </c>
      <c r="M60" s="36">
        <f t="shared" si="61"/>
        <v>10096</v>
      </c>
      <c r="N60" s="81">
        <f t="shared" si="61"/>
        <v>10096</v>
      </c>
    </row>
    <row r="61" spans="1:14" ht="15.75">
      <c r="B61" s="146" t="s">
        <v>88</v>
      </c>
      <c r="C61" s="147"/>
      <c r="D61" s="148">
        <f>D58+D59</f>
        <v>7197</v>
      </c>
      <c r="E61" s="148">
        <f t="shared" ref="E61:N61" si="62">E58+E59</f>
        <v>6783</v>
      </c>
      <c r="F61" s="148">
        <f t="shared" si="62"/>
        <v>6940</v>
      </c>
      <c r="G61" s="148">
        <f t="shared" si="62"/>
        <v>6556</v>
      </c>
      <c r="H61" s="148">
        <f t="shared" si="62"/>
        <v>6881</v>
      </c>
      <c r="I61" s="148">
        <f t="shared" si="62"/>
        <v>8518</v>
      </c>
      <c r="J61" s="148">
        <f t="shared" si="62"/>
        <v>8518</v>
      </c>
      <c r="K61" s="148">
        <f t="shared" si="62"/>
        <v>8518</v>
      </c>
      <c r="L61" s="148">
        <f t="shared" si="62"/>
        <v>8518</v>
      </c>
      <c r="M61" s="148">
        <f t="shared" si="62"/>
        <v>8518</v>
      </c>
      <c r="N61" s="149">
        <f t="shared" si="62"/>
        <v>8518</v>
      </c>
    </row>
    <row r="62" spans="1:14" ht="4.5" customHeight="1"/>
    <row r="63" spans="1:14" ht="15.75">
      <c r="B63" s="142" t="s">
        <v>89</v>
      </c>
      <c r="C63" s="26"/>
      <c r="D63" s="143">
        <v>924</v>
      </c>
      <c r="E63" s="143">
        <v>637</v>
      </c>
      <c r="F63" s="143">
        <v>784</v>
      </c>
      <c r="G63" s="143">
        <v>779</v>
      </c>
      <c r="H63" s="143">
        <v>778</v>
      </c>
      <c r="I63" s="143">
        <v>796</v>
      </c>
      <c r="J63" s="36">
        <f>J64*(J60+J61)</f>
        <v>837.63</v>
      </c>
      <c r="K63" s="36">
        <f t="shared" ref="K63:N63" si="63">K64*(K60+K61)</f>
        <v>837.63</v>
      </c>
      <c r="L63" s="36">
        <f t="shared" si="63"/>
        <v>837.63</v>
      </c>
      <c r="M63" s="36">
        <f t="shared" si="63"/>
        <v>837.63</v>
      </c>
      <c r="N63" s="81">
        <f t="shared" si="63"/>
        <v>837.63</v>
      </c>
    </row>
    <row r="64" spans="1:14" ht="15.75">
      <c r="B64" s="214" t="s">
        <v>172</v>
      </c>
      <c r="C64" s="217"/>
      <c r="D64" s="216">
        <f>D63/SUM(D60:D61)</f>
        <v>6.3439752832131824E-2</v>
      </c>
      <c r="E64" s="216">
        <f t="shared" ref="E64:I64" si="64">E63/SUM(E60:E61)</f>
        <v>4.4780316344463972E-2</v>
      </c>
      <c r="F64" s="216">
        <f t="shared" si="64"/>
        <v>4.8765316912359274E-2</v>
      </c>
      <c r="G64" s="216">
        <f t="shared" si="64"/>
        <v>4.5531591559997663E-2</v>
      </c>
      <c r="H64" s="216">
        <f t="shared" si="64"/>
        <v>4.6453307857654648E-2</v>
      </c>
      <c r="I64" s="216">
        <f t="shared" si="64"/>
        <v>4.2763511335553887E-2</v>
      </c>
      <c r="J64" s="216">
        <v>4.4999999999999998E-2</v>
      </c>
      <c r="K64" s="216">
        <f>J64</f>
        <v>4.4999999999999998E-2</v>
      </c>
      <c r="L64" s="216">
        <f t="shared" ref="L64:N64" si="65">K64</f>
        <v>4.4999999999999998E-2</v>
      </c>
      <c r="M64" s="216">
        <f t="shared" si="65"/>
        <v>4.4999999999999998E-2</v>
      </c>
      <c r="N64" s="333">
        <f t="shared" si="65"/>
        <v>4.4999999999999998E-2</v>
      </c>
    </row>
    <row r="65" spans="1:14" ht="15.75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</row>
    <row r="66" spans="1:14" ht="15.75">
      <c r="A66" t="s">
        <v>58</v>
      </c>
      <c r="B66" s="189" t="s">
        <v>90</v>
      </c>
      <c r="C66" s="204"/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204"/>
    </row>
    <row r="67" spans="1:14" ht="5.0999999999999996" customHeight="1">
      <c r="B67" s="24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</row>
    <row r="68" spans="1:14" ht="15.75">
      <c r="B68" s="80" t="s">
        <v>119</v>
      </c>
      <c r="C68" s="26"/>
      <c r="D68" s="143">
        <v>375</v>
      </c>
      <c r="E68" s="143">
        <f t="shared" ref="E68:N68" si="66">D72</f>
        <v>375</v>
      </c>
      <c r="F68" s="143">
        <f t="shared" si="66"/>
        <v>370</v>
      </c>
      <c r="G68" s="143">
        <f t="shared" si="66"/>
        <v>366</v>
      </c>
      <c r="H68" s="143">
        <f t="shared" si="66"/>
        <v>366</v>
      </c>
      <c r="I68" s="143">
        <f t="shared" si="66"/>
        <v>362</v>
      </c>
      <c r="J68" s="261">
        <f t="shared" si="66"/>
        <v>362</v>
      </c>
      <c r="K68" s="261">
        <f t="shared" si="66"/>
        <v>362</v>
      </c>
      <c r="L68" s="261">
        <f t="shared" si="66"/>
        <v>362</v>
      </c>
      <c r="M68" s="261">
        <f t="shared" si="66"/>
        <v>362</v>
      </c>
      <c r="N68" s="350">
        <f t="shared" si="66"/>
        <v>362</v>
      </c>
    </row>
    <row r="69" spans="1:14" ht="15.75">
      <c r="B69" s="74" t="s">
        <v>120</v>
      </c>
      <c r="C69" s="23"/>
      <c r="D69" s="34">
        <v>0</v>
      </c>
      <c r="E69" s="34">
        <v>-5</v>
      </c>
      <c r="F69" s="34">
        <v>-4</v>
      </c>
      <c r="G69" s="34">
        <v>0</v>
      </c>
      <c r="H69" s="34">
        <v>-4</v>
      </c>
      <c r="I69" s="34">
        <v>0</v>
      </c>
      <c r="J69" s="102">
        <v>0</v>
      </c>
      <c r="K69" s="102">
        <v>0</v>
      </c>
      <c r="L69" s="102">
        <v>0</v>
      </c>
      <c r="M69" s="102">
        <v>0</v>
      </c>
      <c r="N69" s="175">
        <v>0</v>
      </c>
    </row>
    <row r="70" spans="1:14" ht="15.75">
      <c r="B70" s="74" t="s">
        <v>121</v>
      </c>
      <c r="C70" s="23"/>
      <c r="D70" s="34">
        <v>88714</v>
      </c>
      <c r="E70" s="34">
        <f t="shared" ref="E70:N70" si="67">D73</f>
        <v>83751</v>
      </c>
      <c r="F70" s="34">
        <f t="shared" si="67"/>
        <v>86063</v>
      </c>
      <c r="G70" s="34">
        <f t="shared" si="67"/>
        <v>88773</v>
      </c>
      <c r="H70" s="34">
        <f t="shared" si="67"/>
        <v>90058</v>
      </c>
      <c r="I70" s="34">
        <f t="shared" si="67"/>
        <v>90127</v>
      </c>
      <c r="J70" s="57">
        <f t="shared" si="67"/>
        <v>94394</v>
      </c>
      <c r="K70" s="57">
        <f t="shared" si="67"/>
        <v>101644.50216609091</v>
      </c>
      <c r="L70" s="57">
        <f t="shared" si="67"/>
        <v>109125.57268825197</v>
      </c>
      <c r="M70" s="57">
        <f t="shared" si="67"/>
        <v>116839.69638422958</v>
      </c>
      <c r="N70" s="64">
        <f t="shared" si="67"/>
        <v>124788.11477566772</v>
      </c>
    </row>
    <row r="71" spans="1:14" ht="15.75">
      <c r="B71" s="82" t="s">
        <v>122</v>
      </c>
      <c r="C71" s="23"/>
      <c r="D71" s="34">
        <v>-4963</v>
      </c>
      <c r="E71" s="34">
        <v>2312</v>
      </c>
      <c r="F71" s="34">
        <v>2710</v>
      </c>
      <c r="G71" s="34">
        <v>1285</v>
      </c>
      <c r="H71" s="34">
        <v>69</v>
      </c>
      <c r="I71" s="34">
        <f>94394-I70</f>
        <v>4267</v>
      </c>
      <c r="J71" s="101">
        <f>Model!J26-Model!J28</f>
        <v>7250.5021660909115</v>
      </c>
      <c r="K71" s="101">
        <f>Model!K26-Model!K28</f>
        <v>7481.0705221610478</v>
      </c>
      <c r="L71" s="101">
        <f>Model!L26-Model!L28</f>
        <v>7714.1236959776215</v>
      </c>
      <c r="M71" s="101">
        <f>Model!M26-Model!M28</f>
        <v>7948.4183914381356</v>
      </c>
      <c r="N71" s="179">
        <f>Model!N26-Model!N28</f>
        <v>8181.5789850238143</v>
      </c>
    </row>
    <row r="72" spans="1:14" ht="15.75">
      <c r="B72" s="80" t="s">
        <v>125</v>
      </c>
      <c r="C72" s="26"/>
      <c r="D72" s="143">
        <f>SUM(D68:D69)</f>
        <v>375</v>
      </c>
      <c r="E72" s="143">
        <f t="shared" ref="E72:N72" si="68">SUM(E68:E69)</f>
        <v>370</v>
      </c>
      <c r="F72" s="143">
        <f t="shared" si="68"/>
        <v>366</v>
      </c>
      <c r="G72" s="143">
        <f t="shared" si="68"/>
        <v>366</v>
      </c>
      <c r="H72" s="143">
        <f t="shared" si="68"/>
        <v>362</v>
      </c>
      <c r="I72" s="143">
        <f t="shared" si="68"/>
        <v>362</v>
      </c>
      <c r="J72" s="351">
        <f t="shared" si="68"/>
        <v>362</v>
      </c>
      <c r="K72" s="351">
        <f t="shared" si="68"/>
        <v>362</v>
      </c>
      <c r="L72" s="351">
        <f t="shared" si="68"/>
        <v>362</v>
      </c>
      <c r="M72" s="351">
        <f t="shared" si="68"/>
        <v>362</v>
      </c>
      <c r="N72" s="352">
        <f t="shared" si="68"/>
        <v>362</v>
      </c>
    </row>
    <row r="73" spans="1:14" ht="15.75">
      <c r="B73" s="146" t="s">
        <v>126</v>
      </c>
      <c r="C73" s="147"/>
      <c r="D73" s="178">
        <f t="shared" ref="D73:N73" si="69">SUM(D70:D71)</f>
        <v>83751</v>
      </c>
      <c r="E73" s="178">
        <f t="shared" si="69"/>
        <v>86063</v>
      </c>
      <c r="F73" s="178">
        <f t="shared" si="69"/>
        <v>88773</v>
      </c>
      <c r="G73" s="178">
        <f t="shared" si="69"/>
        <v>90058</v>
      </c>
      <c r="H73" s="178">
        <f t="shared" si="69"/>
        <v>90127</v>
      </c>
      <c r="I73" s="178">
        <f t="shared" si="69"/>
        <v>94394</v>
      </c>
      <c r="J73" s="353">
        <f t="shared" si="69"/>
        <v>101644.50216609091</v>
      </c>
      <c r="K73" s="353">
        <f t="shared" si="69"/>
        <v>109125.57268825197</v>
      </c>
      <c r="L73" s="353">
        <f t="shared" si="69"/>
        <v>116839.69638422958</v>
      </c>
      <c r="M73" s="353">
        <f t="shared" si="69"/>
        <v>124788.11477566772</v>
      </c>
      <c r="N73" s="354">
        <f t="shared" si="69"/>
        <v>132969.69376069153</v>
      </c>
    </row>
    <row r="74" spans="1:14" ht="4.5" customHeight="1"/>
    <row r="75" spans="1:14" ht="15.75">
      <c r="B75" s="142" t="s">
        <v>123</v>
      </c>
      <c r="C75" s="26"/>
      <c r="D75" s="143">
        <v>451</v>
      </c>
      <c r="E75" s="143">
        <f>D77</f>
        <v>623</v>
      </c>
      <c r="F75" s="143">
        <f t="shared" ref="F75:I75" si="70">E77</f>
        <v>675</v>
      </c>
      <c r="G75" s="143">
        <f t="shared" si="70"/>
        <v>707</v>
      </c>
      <c r="H75" s="143">
        <f t="shared" si="70"/>
        <v>782</v>
      </c>
      <c r="I75" s="143">
        <f t="shared" si="70"/>
        <v>830</v>
      </c>
      <c r="J75" s="256">
        <f t="shared" ref="J75" si="71">I77</f>
        <v>1015</v>
      </c>
      <c r="K75" s="256">
        <f t="shared" ref="K75" si="72">J77</f>
        <v>1015</v>
      </c>
      <c r="L75" s="256">
        <f t="shared" ref="L75" si="73">K77</f>
        <v>1015</v>
      </c>
      <c r="M75" s="256">
        <f t="shared" ref="M75" si="74">L77</f>
        <v>1015</v>
      </c>
      <c r="N75" s="257">
        <f t="shared" ref="N75" si="75">M77</f>
        <v>1015</v>
      </c>
    </row>
    <row r="76" spans="1:14" ht="15.75">
      <c r="B76" s="74" t="s">
        <v>124</v>
      </c>
      <c r="C76" s="23"/>
      <c r="D76" s="34">
        <v>172</v>
      </c>
      <c r="E76" s="34">
        <v>52</v>
      </c>
      <c r="F76" s="34">
        <v>32</v>
      </c>
      <c r="G76" s="34">
        <v>75</v>
      </c>
      <c r="H76" s="34">
        <v>48</v>
      </c>
      <c r="I76" s="34">
        <v>185</v>
      </c>
      <c r="J76" s="101">
        <v>0</v>
      </c>
      <c r="K76" s="101">
        <f t="shared" ref="K76:N76" si="76">J76*1.05</f>
        <v>0</v>
      </c>
      <c r="L76" s="101">
        <f t="shared" si="76"/>
        <v>0</v>
      </c>
      <c r="M76" s="101">
        <f t="shared" si="76"/>
        <v>0</v>
      </c>
      <c r="N76" s="179">
        <f t="shared" si="76"/>
        <v>0</v>
      </c>
    </row>
    <row r="77" spans="1:14" ht="15.75">
      <c r="B77" s="161" t="s">
        <v>127</v>
      </c>
      <c r="C77" s="162"/>
      <c r="D77" s="212">
        <f>SUM(D75:D76)</f>
        <v>623</v>
      </c>
      <c r="E77" s="212">
        <f t="shared" ref="E77:N77" si="77">SUM(E75:E76)</f>
        <v>675</v>
      </c>
      <c r="F77" s="212">
        <f t="shared" si="77"/>
        <v>707</v>
      </c>
      <c r="G77" s="212">
        <f t="shared" si="77"/>
        <v>782</v>
      </c>
      <c r="H77" s="212">
        <f t="shared" si="77"/>
        <v>830</v>
      </c>
      <c r="I77" s="212">
        <f t="shared" si="77"/>
        <v>1015</v>
      </c>
      <c r="J77" s="355">
        <f t="shared" si="77"/>
        <v>1015</v>
      </c>
      <c r="K77" s="355">
        <f t="shared" si="77"/>
        <v>1015</v>
      </c>
      <c r="L77" s="355">
        <f t="shared" si="77"/>
        <v>1015</v>
      </c>
      <c r="M77" s="355">
        <f t="shared" si="77"/>
        <v>1015</v>
      </c>
      <c r="N77" s="356">
        <f t="shared" si="77"/>
        <v>1015</v>
      </c>
    </row>
  </sheetData>
  <mergeCells count="2">
    <mergeCell ref="D2:I2"/>
    <mergeCell ref="J2:N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P100"/>
  <sheetViews>
    <sheetView showGridLines="0" zoomScale="70" zoomScaleNormal="70" workbookViewId="0">
      <pane xSplit="3" ySplit="5" topLeftCell="D6" activePane="bottomRight" state="frozen"/>
      <selection pane="topRight" activeCell="E1" sqref="E1"/>
      <selection pane="bottomLeft" activeCell="A6" sqref="A6"/>
      <selection pane="bottomRight" activeCell="K14" sqref="K14"/>
    </sheetView>
  </sheetViews>
  <sheetFormatPr defaultRowHeight="15" outlineLevelRow="1"/>
  <cols>
    <col min="1" max="1" width="4.140625" customWidth="1"/>
    <col min="2" max="2" width="33.85546875" bestFit="1" customWidth="1"/>
    <col min="3" max="3" width="13.5703125" customWidth="1"/>
    <col min="4" max="14" width="13" customWidth="1"/>
  </cols>
  <sheetData>
    <row r="2" spans="1:14" ht="15.75">
      <c r="B2" s="3" t="s">
        <v>57</v>
      </c>
      <c r="C2" s="3"/>
      <c r="D2" s="605" t="s">
        <v>0</v>
      </c>
      <c r="E2" s="605"/>
      <c r="F2" s="605"/>
      <c r="G2" s="605"/>
      <c r="H2" s="605"/>
      <c r="I2" s="605"/>
      <c r="J2" s="606" t="s">
        <v>1</v>
      </c>
      <c r="K2" s="606"/>
      <c r="L2" s="606"/>
      <c r="M2" s="606"/>
      <c r="N2" s="606"/>
    </row>
    <row r="3" spans="1:14" ht="20.100000000000001" customHeight="1">
      <c r="B3" s="22" t="s">
        <v>56</v>
      </c>
      <c r="C3" s="22"/>
      <c r="D3" s="266">
        <v>2020</v>
      </c>
      <c r="E3" s="266">
        <f>D3+1</f>
        <v>2021</v>
      </c>
      <c r="F3" s="259">
        <f t="shared" ref="F3:N3" si="0">E3+1</f>
        <v>2022</v>
      </c>
      <c r="G3" s="259">
        <f t="shared" si="0"/>
        <v>2023</v>
      </c>
      <c r="H3" s="259">
        <f t="shared" si="0"/>
        <v>2024</v>
      </c>
      <c r="I3" s="259">
        <f t="shared" si="0"/>
        <v>2025</v>
      </c>
      <c r="J3" s="260">
        <f t="shared" si="0"/>
        <v>2026</v>
      </c>
      <c r="K3" s="260">
        <f t="shared" si="0"/>
        <v>2027</v>
      </c>
      <c r="L3" s="260">
        <f t="shared" si="0"/>
        <v>2028</v>
      </c>
      <c r="M3" s="260">
        <f t="shared" si="0"/>
        <v>2029</v>
      </c>
      <c r="N3" s="260">
        <f t="shared" si="0"/>
        <v>2030</v>
      </c>
    </row>
    <row r="4" spans="1:14" ht="15.75">
      <c r="B4" s="9" t="s">
        <v>3</v>
      </c>
      <c r="C4" s="9"/>
      <c r="D4" s="16">
        <v>43921</v>
      </c>
      <c r="E4" s="17">
        <f>EOMONTH(D4,12)</f>
        <v>44286</v>
      </c>
      <c r="F4" s="17">
        <f t="shared" ref="F4:N4" si="1">EOMONTH(E4,12)</f>
        <v>44651</v>
      </c>
      <c r="G4" s="17">
        <f t="shared" si="1"/>
        <v>45016</v>
      </c>
      <c r="H4" s="17">
        <f t="shared" si="1"/>
        <v>45382</v>
      </c>
      <c r="I4" s="17">
        <f t="shared" si="1"/>
        <v>45747</v>
      </c>
      <c r="J4" s="17">
        <f t="shared" si="1"/>
        <v>46112</v>
      </c>
      <c r="K4" s="17">
        <f t="shared" si="1"/>
        <v>46477</v>
      </c>
      <c r="L4" s="17">
        <f t="shared" si="1"/>
        <v>46843</v>
      </c>
      <c r="M4" s="17">
        <f t="shared" si="1"/>
        <v>47208</v>
      </c>
      <c r="N4" s="17">
        <f t="shared" si="1"/>
        <v>47573</v>
      </c>
    </row>
    <row r="5" spans="1:14" ht="15.75">
      <c r="B5" s="9" t="s">
        <v>4</v>
      </c>
      <c r="C5" s="9"/>
      <c r="D5" s="18">
        <v>366</v>
      </c>
      <c r="E5" s="19">
        <f>E4-D4</f>
        <v>365</v>
      </c>
      <c r="F5" s="19">
        <f t="shared" ref="F5:N5" si="2">F4-E4</f>
        <v>365</v>
      </c>
      <c r="G5" s="19">
        <f t="shared" si="2"/>
        <v>365</v>
      </c>
      <c r="H5" s="19">
        <f t="shared" si="2"/>
        <v>366</v>
      </c>
      <c r="I5" s="19">
        <f t="shared" si="2"/>
        <v>365</v>
      </c>
      <c r="J5" s="19">
        <f t="shared" si="2"/>
        <v>365</v>
      </c>
      <c r="K5" s="19">
        <f t="shared" si="2"/>
        <v>365</v>
      </c>
      <c r="L5" s="19">
        <f t="shared" si="2"/>
        <v>366</v>
      </c>
      <c r="M5" s="19">
        <f t="shared" si="2"/>
        <v>365</v>
      </c>
      <c r="N5" s="19">
        <f t="shared" si="2"/>
        <v>365</v>
      </c>
    </row>
    <row r="7" spans="1:14" ht="15.75">
      <c r="B7" s="202" t="s">
        <v>6</v>
      </c>
      <c r="C7" s="200"/>
      <c r="D7" s="262">
        <f>Model!D11</f>
        <v>161541</v>
      </c>
      <c r="E7" s="262">
        <f>Model!E11</f>
        <v>167311</v>
      </c>
      <c r="F7" s="262">
        <f>Model!F11</f>
        <v>195772</v>
      </c>
      <c r="G7" s="262">
        <f>Model!G11</f>
        <v>228907</v>
      </c>
      <c r="H7" s="262">
        <f>Model!H11</f>
        <v>245315</v>
      </c>
      <c r="I7" s="262">
        <f>Model!I11</f>
        <v>259286</v>
      </c>
      <c r="J7" s="262">
        <f>Model!J11</f>
        <v>270638.50922181818</v>
      </c>
      <c r="K7" s="262">
        <f>Model!K11</f>
        <v>284157.11076244805</v>
      </c>
      <c r="L7" s="262">
        <f>Model!L11</f>
        <v>298350.97685028234</v>
      </c>
      <c r="M7" s="262">
        <f>Model!M11</f>
        <v>313253.8374694665</v>
      </c>
      <c r="N7" s="263">
        <f>Model!N11</f>
        <v>328901.1074428545</v>
      </c>
    </row>
    <row r="8" spans="1:14" ht="15.75">
      <c r="B8" s="203" t="s">
        <v>7</v>
      </c>
      <c r="C8" s="201"/>
      <c r="D8" s="264">
        <f>Model!D12</f>
        <v>156949</v>
      </c>
      <c r="E8" s="264">
        <f>Model!E12</f>
        <v>164177</v>
      </c>
      <c r="F8" s="264">
        <f>Model!F12</f>
        <v>191754</v>
      </c>
      <c r="G8" s="264">
        <f>Model!G12</f>
        <v>225458</v>
      </c>
      <c r="H8" s="264">
        <f>Model!H12</f>
        <v>240893</v>
      </c>
      <c r="I8" s="264">
        <f>Model!I12</f>
        <v>255324</v>
      </c>
      <c r="J8" s="264">
        <f>Model!J12</f>
        <v>266478.4092218182</v>
      </c>
      <c r="K8" s="264">
        <f>Model!K12</f>
        <v>279789.00576244807</v>
      </c>
      <c r="L8" s="264">
        <f>Model!L12</f>
        <v>293764.46660028235</v>
      </c>
      <c r="M8" s="264">
        <f>Model!M12</f>
        <v>308438.00170696649</v>
      </c>
      <c r="N8" s="265">
        <f>Model!N12</f>
        <v>323844.47989222949</v>
      </c>
    </row>
    <row r="9" spans="1:14" ht="6" customHeight="1"/>
    <row r="10" spans="1:14" ht="21">
      <c r="A10" t="s">
        <v>58</v>
      </c>
      <c r="B10" s="194" t="s">
        <v>20</v>
      </c>
      <c r="C10" s="187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</row>
    <row r="11" spans="1:14" ht="4.5" customHeight="1"/>
    <row r="12" spans="1:14" ht="15.75">
      <c r="B12" s="191" t="s">
        <v>98</v>
      </c>
      <c r="C12" s="186"/>
      <c r="D12" s="261">
        <v>5</v>
      </c>
      <c r="E12" s="261">
        <v>8</v>
      </c>
      <c r="F12" s="261">
        <v>20</v>
      </c>
      <c r="G12" s="261">
        <v>28</v>
      </c>
      <c r="H12" s="261">
        <v>28</v>
      </c>
      <c r="I12" s="261">
        <v>21</v>
      </c>
      <c r="J12" s="523">
        <f>I12</f>
        <v>21</v>
      </c>
      <c r="K12" s="523">
        <f t="shared" ref="K12:N12" si="3">J12</f>
        <v>21</v>
      </c>
      <c r="L12" s="523">
        <f t="shared" si="3"/>
        <v>21</v>
      </c>
      <c r="M12" s="523">
        <f t="shared" si="3"/>
        <v>21</v>
      </c>
      <c r="N12" s="524">
        <f t="shared" si="3"/>
        <v>21</v>
      </c>
    </row>
    <row r="13" spans="1:14" ht="17.45" customHeight="1">
      <c r="B13" s="190" t="s">
        <v>116</v>
      </c>
      <c r="C13" s="72"/>
      <c r="D13" s="56">
        <v>26140</v>
      </c>
      <c r="E13" s="56">
        <v>29160</v>
      </c>
      <c r="F13" s="56">
        <v>30262</v>
      </c>
      <c r="G13" s="56">
        <v>36897</v>
      </c>
      <c r="H13" s="56">
        <v>31481</v>
      </c>
      <c r="I13" s="56">
        <v>30689</v>
      </c>
      <c r="J13" s="364">
        <f t="shared" ref="J13:N13" si="4">I13</f>
        <v>30689</v>
      </c>
      <c r="K13" s="364">
        <f t="shared" si="4"/>
        <v>30689</v>
      </c>
      <c r="L13" s="364">
        <f t="shared" si="4"/>
        <v>30689</v>
      </c>
      <c r="M13" s="364">
        <f t="shared" si="4"/>
        <v>30689</v>
      </c>
      <c r="N13" s="384">
        <f t="shared" si="4"/>
        <v>30689</v>
      </c>
    </row>
    <row r="14" spans="1:14" ht="15.75">
      <c r="B14" s="190" t="s">
        <v>115</v>
      </c>
      <c r="C14" s="30"/>
      <c r="D14" s="56">
        <v>36264</v>
      </c>
      <c r="E14" s="56">
        <v>36662</v>
      </c>
      <c r="F14" s="56">
        <v>41810</v>
      </c>
      <c r="G14" s="56">
        <v>49954</v>
      </c>
      <c r="H14" s="56">
        <v>53577</v>
      </c>
      <c r="I14" s="56">
        <v>59046</v>
      </c>
      <c r="J14" s="364">
        <f>J8*J35/J5</f>
        <v>62056.615846176843</v>
      </c>
      <c r="K14" s="364">
        <f t="shared" ref="K14:N14" si="5">K8*K35/K5</f>
        <v>65156.343807693389</v>
      </c>
      <c r="L14" s="364">
        <f t="shared" si="5"/>
        <v>68223.988144874325</v>
      </c>
      <c r="M14" s="364">
        <f t="shared" si="5"/>
        <v>71828.027794773021</v>
      </c>
      <c r="N14" s="384">
        <f t="shared" si="5"/>
        <v>75415.83778312194</v>
      </c>
    </row>
    <row r="15" spans="1:14" ht="15.75">
      <c r="B15" s="190" t="s">
        <v>100</v>
      </c>
      <c r="C15" s="30"/>
      <c r="D15" s="56">
        <v>1020</v>
      </c>
      <c r="E15" s="56">
        <v>2471</v>
      </c>
      <c r="F15" s="56">
        <v>5733</v>
      </c>
      <c r="G15" s="56">
        <v>3909</v>
      </c>
      <c r="H15" s="56">
        <v>4270</v>
      </c>
      <c r="I15" s="56">
        <v>7121</v>
      </c>
      <c r="J15" s="364">
        <f>I15</f>
        <v>7121</v>
      </c>
      <c r="K15" s="364">
        <f t="shared" ref="K15:N15" si="6">J15</f>
        <v>7121</v>
      </c>
      <c r="L15" s="364">
        <f t="shared" si="6"/>
        <v>7121</v>
      </c>
      <c r="M15" s="364">
        <f t="shared" si="6"/>
        <v>7121</v>
      </c>
      <c r="N15" s="384">
        <f t="shared" si="6"/>
        <v>7121</v>
      </c>
    </row>
    <row r="16" spans="1:14" ht="15.75">
      <c r="B16" s="190" t="s">
        <v>93</v>
      </c>
      <c r="C16" s="30"/>
      <c r="D16" s="56">
        <v>8475</v>
      </c>
      <c r="E16" s="56">
        <v>11472</v>
      </c>
      <c r="F16" s="56">
        <v>6445</v>
      </c>
      <c r="G16" s="56">
        <v>1325</v>
      </c>
      <c r="H16" s="56">
        <v>491</v>
      </c>
      <c r="I16" s="56">
        <v>9</v>
      </c>
      <c r="J16" s="364">
        <f t="shared" ref="J16:N16" si="7">I16</f>
        <v>9</v>
      </c>
      <c r="K16" s="364">
        <f t="shared" si="7"/>
        <v>9</v>
      </c>
      <c r="L16" s="364">
        <f t="shared" si="7"/>
        <v>9</v>
      </c>
      <c r="M16" s="364">
        <f t="shared" si="7"/>
        <v>9</v>
      </c>
      <c r="N16" s="384">
        <f t="shared" si="7"/>
        <v>9</v>
      </c>
    </row>
    <row r="17" spans="2:14" ht="15.75">
      <c r="B17" s="190" t="s">
        <v>94</v>
      </c>
      <c r="C17" s="30"/>
      <c r="D17" s="56">
        <f>SUM(D18:D23)</f>
        <v>1473</v>
      </c>
      <c r="E17" s="56">
        <f t="shared" ref="E17:I17" si="8">SUM(E18:E23)</f>
        <v>1394</v>
      </c>
      <c r="F17" s="56">
        <f t="shared" si="8"/>
        <v>1390</v>
      </c>
      <c r="G17" s="56">
        <f t="shared" si="8"/>
        <v>1319</v>
      </c>
      <c r="H17" s="56">
        <f t="shared" si="8"/>
        <v>1703</v>
      </c>
      <c r="I17" s="56">
        <f t="shared" si="8"/>
        <v>2742</v>
      </c>
      <c r="J17" s="364">
        <f t="shared" ref="J17:N17" si="9">I17</f>
        <v>2742</v>
      </c>
      <c r="K17" s="364">
        <f t="shared" si="9"/>
        <v>2742</v>
      </c>
      <c r="L17" s="364">
        <f t="shared" si="9"/>
        <v>2742</v>
      </c>
      <c r="M17" s="364">
        <f t="shared" si="9"/>
        <v>2742</v>
      </c>
      <c r="N17" s="384">
        <f t="shared" si="9"/>
        <v>2742</v>
      </c>
    </row>
    <row r="18" spans="2:14" ht="15.75" hidden="1" outlineLevel="1">
      <c r="B18" s="240" t="s">
        <v>186</v>
      </c>
      <c r="C18" s="244"/>
      <c r="D18" s="319">
        <v>170</v>
      </c>
      <c r="E18" s="319">
        <v>168</v>
      </c>
      <c r="F18" s="319">
        <v>178</v>
      </c>
      <c r="G18" s="319">
        <v>378</v>
      </c>
      <c r="H18" s="319">
        <v>339</v>
      </c>
      <c r="I18" s="319">
        <v>343</v>
      </c>
      <c r="J18" s="504">
        <f t="shared" ref="J18:N18" si="10">I18</f>
        <v>343</v>
      </c>
      <c r="K18" s="504">
        <f t="shared" si="10"/>
        <v>343</v>
      </c>
      <c r="L18" s="504">
        <f t="shared" si="10"/>
        <v>343</v>
      </c>
      <c r="M18" s="504">
        <f t="shared" si="10"/>
        <v>343</v>
      </c>
      <c r="N18" s="505">
        <f t="shared" si="10"/>
        <v>343</v>
      </c>
    </row>
    <row r="19" spans="2:14" ht="15.75" hidden="1" outlineLevel="1">
      <c r="B19" s="240" t="s">
        <v>176</v>
      </c>
      <c r="C19" s="244"/>
      <c r="D19" s="319">
        <v>425</v>
      </c>
      <c r="E19" s="319">
        <v>495</v>
      </c>
      <c r="F19" s="319">
        <v>388</v>
      </c>
      <c r="G19" s="319">
        <v>191</v>
      </c>
      <c r="H19" s="319">
        <v>141</v>
      </c>
      <c r="I19" s="319">
        <v>438</v>
      </c>
      <c r="J19" s="504">
        <f t="shared" ref="J19:N19" si="11">I19</f>
        <v>438</v>
      </c>
      <c r="K19" s="504">
        <f t="shared" si="11"/>
        <v>438</v>
      </c>
      <c r="L19" s="504">
        <f t="shared" si="11"/>
        <v>438</v>
      </c>
      <c r="M19" s="504">
        <f t="shared" si="11"/>
        <v>438</v>
      </c>
      <c r="N19" s="505">
        <f t="shared" si="11"/>
        <v>438</v>
      </c>
    </row>
    <row r="20" spans="2:14" ht="15.75" hidden="1" outlineLevel="1">
      <c r="B20" s="240" t="s">
        <v>189</v>
      </c>
      <c r="C20" s="244"/>
      <c r="D20" s="319">
        <v>744</v>
      </c>
      <c r="E20" s="319">
        <v>615</v>
      </c>
      <c r="F20" s="319">
        <v>648</v>
      </c>
      <c r="G20" s="319">
        <v>720</v>
      </c>
      <c r="H20" s="319">
        <v>764</v>
      </c>
      <c r="I20" s="319">
        <v>888</v>
      </c>
      <c r="J20" s="504">
        <f t="shared" ref="J20:N20" si="12">I20</f>
        <v>888</v>
      </c>
      <c r="K20" s="504">
        <f t="shared" si="12"/>
        <v>888</v>
      </c>
      <c r="L20" s="504">
        <f t="shared" si="12"/>
        <v>888</v>
      </c>
      <c r="M20" s="504">
        <f t="shared" si="12"/>
        <v>888</v>
      </c>
      <c r="N20" s="505">
        <f t="shared" si="12"/>
        <v>888</v>
      </c>
    </row>
    <row r="21" spans="2:14" ht="15.75" hidden="1" outlineLevel="1">
      <c r="B21" s="240" t="s">
        <v>191</v>
      </c>
      <c r="C21" s="244"/>
      <c r="D21" s="319">
        <v>0</v>
      </c>
      <c r="E21" s="319">
        <v>0</v>
      </c>
      <c r="F21" s="319">
        <v>0</v>
      </c>
      <c r="G21" s="319">
        <v>0</v>
      </c>
      <c r="H21" s="319">
        <v>368</v>
      </c>
      <c r="I21" s="319">
        <v>333</v>
      </c>
      <c r="J21" s="504">
        <f t="shared" ref="J21:N21" si="13">I21</f>
        <v>333</v>
      </c>
      <c r="K21" s="504">
        <f t="shared" si="13"/>
        <v>333</v>
      </c>
      <c r="L21" s="504">
        <f t="shared" si="13"/>
        <v>333</v>
      </c>
      <c r="M21" s="504">
        <f t="shared" si="13"/>
        <v>333</v>
      </c>
      <c r="N21" s="505">
        <f t="shared" si="13"/>
        <v>333</v>
      </c>
    </row>
    <row r="22" spans="2:14" ht="15.75" hidden="1" outlineLevel="1">
      <c r="B22" s="240" t="s">
        <v>190</v>
      </c>
      <c r="C22" s="244"/>
      <c r="D22" s="319">
        <v>0</v>
      </c>
      <c r="E22" s="319">
        <v>0</v>
      </c>
      <c r="F22" s="319">
        <v>0</v>
      </c>
      <c r="G22" s="319">
        <v>0</v>
      </c>
      <c r="H22" s="319">
        <v>-43</v>
      </c>
      <c r="I22" s="319">
        <v>-53</v>
      </c>
      <c r="J22" s="504">
        <f t="shared" ref="J22:N22" si="14">I22</f>
        <v>-53</v>
      </c>
      <c r="K22" s="504">
        <f t="shared" si="14"/>
        <v>-53</v>
      </c>
      <c r="L22" s="504">
        <f t="shared" si="14"/>
        <v>-53</v>
      </c>
      <c r="M22" s="504">
        <f t="shared" si="14"/>
        <v>-53</v>
      </c>
      <c r="N22" s="505">
        <f t="shared" si="14"/>
        <v>-53</v>
      </c>
    </row>
    <row r="23" spans="2:14" ht="15.75" hidden="1" outlineLevel="1">
      <c r="B23" s="240" t="s">
        <v>185</v>
      </c>
      <c r="C23" s="244"/>
      <c r="D23" s="319">
        <v>134</v>
      </c>
      <c r="E23" s="319">
        <v>116</v>
      </c>
      <c r="F23" s="319">
        <v>176</v>
      </c>
      <c r="G23" s="319">
        <v>30</v>
      </c>
      <c r="H23" s="319">
        <v>134</v>
      </c>
      <c r="I23" s="319">
        <v>793</v>
      </c>
      <c r="J23" s="504">
        <f t="shared" ref="J23:N23" si="15">I23</f>
        <v>793</v>
      </c>
      <c r="K23" s="504">
        <f t="shared" si="15"/>
        <v>793</v>
      </c>
      <c r="L23" s="504">
        <f t="shared" si="15"/>
        <v>793</v>
      </c>
      <c r="M23" s="504">
        <f t="shared" si="15"/>
        <v>793</v>
      </c>
      <c r="N23" s="505">
        <f t="shared" si="15"/>
        <v>793</v>
      </c>
    </row>
    <row r="24" spans="2:14" ht="15.75" collapsed="1">
      <c r="B24" s="190" t="s">
        <v>167</v>
      </c>
      <c r="C24" s="30"/>
      <c r="D24" s="56">
        <v>8</v>
      </c>
      <c r="E24" s="56">
        <v>19</v>
      </c>
      <c r="F24" s="56">
        <v>11</v>
      </c>
      <c r="G24" s="56">
        <v>8</v>
      </c>
      <c r="H24" s="56">
        <v>151</v>
      </c>
      <c r="I24" s="56">
        <v>257</v>
      </c>
      <c r="J24" s="364">
        <f t="shared" ref="J24:N24" si="16">I24</f>
        <v>257</v>
      </c>
      <c r="K24" s="364">
        <f t="shared" si="16"/>
        <v>257</v>
      </c>
      <c r="L24" s="364">
        <f t="shared" si="16"/>
        <v>257</v>
      </c>
      <c r="M24" s="364">
        <f t="shared" si="16"/>
        <v>257</v>
      </c>
      <c r="N24" s="384">
        <f t="shared" si="16"/>
        <v>257</v>
      </c>
    </row>
    <row r="25" spans="2:14" ht="15.75">
      <c r="B25" s="190" t="s">
        <v>168</v>
      </c>
      <c r="C25" s="30"/>
      <c r="D25" s="56">
        <v>8206</v>
      </c>
      <c r="E25" s="56">
        <v>11236</v>
      </c>
      <c r="F25" s="56">
        <v>10151</v>
      </c>
      <c r="G25" s="56">
        <v>9707</v>
      </c>
      <c r="H25" s="56">
        <v>12267</v>
      </c>
      <c r="I25" s="56">
        <v>14784</v>
      </c>
      <c r="J25" s="364">
        <f t="shared" ref="J25:N25" si="17">I25</f>
        <v>14784</v>
      </c>
      <c r="K25" s="364">
        <f t="shared" si="17"/>
        <v>14784</v>
      </c>
      <c r="L25" s="364">
        <f t="shared" si="17"/>
        <v>14784</v>
      </c>
      <c r="M25" s="364">
        <f t="shared" si="17"/>
        <v>14784</v>
      </c>
      <c r="N25" s="384">
        <f t="shared" si="17"/>
        <v>14784</v>
      </c>
    </row>
    <row r="26" spans="2:14" ht="15.75" hidden="1" outlineLevel="1">
      <c r="B26" s="240" t="s">
        <v>180</v>
      </c>
      <c r="C26" s="241"/>
      <c r="D26" s="305">
        <v>4292</v>
      </c>
      <c r="E26" s="305">
        <v>3830</v>
      </c>
      <c r="F26" s="305">
        <v>4248</v>
      </c>
      <c r="G26" s="305">
        <v>5616</v>
      </c>
      <c r="H26" s="305">
        <v>5846</v>
      </c>
      <c r="I26" s="305">
        <v>6233</v>
      </c>
      <c r="J26" s="364">
        <f t="shared" ref="J26:N26" si="18">I26</f>
        <v>6233</v>
      </c>
      <c r="K26" s="364">
        <f t="shared" si="18"/>
        <v>6233</v>
      </c>
      <c r="L26" s="364">
        <f t="shared" si="18"/>
        <v>6233</v>
      </c>
      <c r="M26" s="364">
        <f t="shared" si="18"/>
        <v>6233</v>
      </c>
      <c r="N26" s="384">
        <f t="shared" si="18"/>
        <v>6233</v>
      </c>
    </row>
    <row r="27" spans="2:14" ht="15.75" hidden="1" outlineLevel="1">
      <c r="B27" s="240" t="s">
        <v>181</v>
      </c>
      <c r="C27" s="241"/>
      <c r="D27" s="305">
        <v>1498</v>
      </c>
      <c r="E27" s="305">
        <v>4651</v>
      </c>
      <c r="F27" s="305">
        <v>2994</v>
      </c>
      <c r="G27" s="305">
        <v>1494</v>
      </c>
      <c r="H27" s="305">
        <v>2055</v>
      </c>
      <c r="I27" s="305">
        <v>2383</v>
      </c>
      <c r="J27" s="364">
        <f t="shared" ref="J27:N27" si="19">I27</f>
        <v>2383</v>
      </c>
      <c r="K27" s="364">
        <f t="shared" si="19"/>
        <v>2383</v>
      </c>
      <c r="L27" s="364">
        <f t="shared" si="19"/>
        <v>2383</v>
      </c>
      <c r="M27" s="364">
        <f t="shared" si="19"/>
        <v>2383</v>
      </c>
      <c r="N27" s="384">
        <f t="shared" si="19"/>
        <v>2383</v>
      </c>
    </row>
    <row r="28" spans="2:14" ht="15.75" hidden="1" outlineLevel="1">
      <c r="B28" s="240" t="s">
        <v>326</v>
      </c>
      <c r="C28" s="241"/>
      <c r="D28" s="305">
        <v>15</v>
      </c>
      <c r="E28" s="305">
        <v>28</v>
      </c>
      <c r="F28" s="305">
        <v>18</v>
      </c>
      <c r="G28" s="305">
        <v>20</v>
      </c>
      <c r="H28" s="305">
        <v>0</v>
      </c>
      <c r="I28" s="305">
        <v>0</v>
      </c>
      <c r="J28" s="364">
        <f t="shared" ref="J28:N28" si="20">I28</f>
        <v>0</v>
      </c>
      <c r="K28" s="364">
        <f t="shared" si="20"/>
        <v>0</v>
      </c>
      <c r="L28" s="364">
        <f t="shared" si="20"/>
        <v>0</v>
      </c>
      <c r="M28" s="364">
        <f t="shared" si="20"/>
        <v>0</v>
      </c>
      <c r="N28" s="384">
        <f t="shared" si="20"/>
        <v>0</v>
      </c>
    </row>
    <row r="29" spans="2:14" ht="15.75" hidden="1" outlineLevel="1">
      <c r="B29" s="240" t="s">
        <v>327</v>
      </c>
      <c r="C29" s="241"/>
      <c r="D29" s="305">
        <v>621</v>
      </c>
      <c r="E29" s="305">
        <v>796</v>
      </c>
      <c r="F29" s="305">
        <v>1074</v>
      </c>
      <c r="G29" s="305">
        <v>1035</v>
      </c>
      <c r="H29" s="305">
        <v>1588</v>
      </c>
      <c r="I29" s="305">
        <v>2317</v>
      </c>
      <c r="J29" s="364">
        <f t="shared" ref="J29:N29" si="21">I29</f>
        <v>2317</v>
      </c>
      <c r="K29" s="364">
        <f t="shared" si="21"/>
        <v>2317</v>
      </c>
      <c r="L29" s="364">
        <f t="shared" si="21"/>
        <v>2317</v>
      </c>
      <c r="M29" s="364">
        <f t="shared" si="21"/>
        <v>2317</v>
      </c>
      <c r="N29" s="384">
        <f t="shared" si="21"/>
        <v>2317</v>
      </c>
    </row>
    <row r="30" spans="2:14" ht="15.75" hidden="1" outlineLevel="1">
      <c r="B30" s="240" t="s">
        <v>328</v>
      </c>
      <c r="C30" s="241"/>
      <c r="D30" s="305">
        <v>136</v>
      </c>
      <c r="E30" s="305">
        <v>157</v>
      </c>
      <c r="F30" s="305">
        <v>202</v>
      </c>
      <c r="G30" s="305">
        <v>91</v>
      </c>
      <c r="H30" s="305">
        <v>174</v>
      </c>
      <c r="I30" s="305">
        <v>224</v>
      </c>
      <c r="J30" s="364">
        <f t="shared" ref="J30:N30" si="22">I30</f>
        <v>224</v>
      </c>
      <c r="K30" s="364">
        <f t="shared" si="22"/>
        <v>224</v>
      </c>
      <c r="L30" s="364">
        <f t="shared" si="22"/>
        <v>224</v>
      </c>
      <c r="M30" s="364">
        <f t="shared" si="22"/>
        <v>224</v>
      </c>
      <c r="N30" s="384">
        <f t="shared" si="22"/>
        <v>224</v>
      </c>
    </row>
    <row r="31" spans="2:14" ht="15.75" hidden="1" outlineLevel="1">
      <c r="B31" s="240" t="s">
        <v>329</v>
      </c>
      <c r="C31" s="241"/>
      <c r="D31" s="305">
        <v>11</v>
      </c>
      <c r="E31" s="305">
        <v>10</v>
      </c>
      <c r="F31" s="305">
        <v>8</v>
      </c>
      <c r="G31" s="305">
        <v>9</v>
      </c>
      <c r="H31" s="305">
        <v>967</v>
      </c>
      <c r="I31" s="305">
        <v>1462</v>
      </c>
      <c r="J31" s="364">
        <f t="shared" ref="J31:N31" si="23">I31</f>
        <v>1462</v>
      </c>
      <c r="K31" s="364">
        <f t="shared" si="23"/>
        <v>1462</v>
      </c>
      <c r="L31" s="364">
        <f t="shared" si="23"/>
        <v>1462</v>
      </c>
      <c r="M31" s="364">
        <f t="shared" si="23"/>
        <v>1462</v>
      </c>
      <c r="N31" s="384">
        <f t="shared" si="23"/>
        <v>1462</v>
      </c>
    </row>
    <row r="32" spans="2:14" ht="15.75" hidden="1" outlineLevel="1">
      <c r="B32" s="240" t="s">
        <v>330</v>
      </c>
      <c r="C32" s="241"/>
      <c r="D32" s="305">
        <v>1374</v>
      </c>
      <c r="E32" s="305">
        <v>1491</v>
      </c>
      <c r="F32" s="305">
        <v>1310</v>
      </c>
      <c r="G32" s="305">
        <v>1049</v>
      </c>
      <c r="H32" s="305">
        <v>1288</v>
      </c>
      <c r="I32" s="305">
        <v>1811</v>
      </c>
      <c r="J32" s="364">
        <f t="shared" ref="J32:N32" si="24">I32</f>
        <v>1811</v>
      </c>
      <c r="K32" s="364">
        <f t="shared" si="24"/>
        <v>1811</v>
      </c>
      <c r="L32" s="364">
        <f t="shared" si="24"/>
        <v>1811</v>
      </c>
      <c r="M32" s="364">
        <f t="shared" si="24"/>
        <v>1811</v>
      </c>
      <c r="N32" s="384">
        <f t="shared" si="24"/>
        <v>1811</v>
      </c>
    </row>
    <row r="33" spans="2:16" ht="15.75" hidden="1" outlineLevel="1">
      <c r="B33" s="311" t="s">
        <v>185</v>
      </c>
      <c r="C33" s="313"/>
      <c r="D33" s="332">
        <v>259</v>
      </c>
      <c r="E33" s="332">
        <v>273</v>
      </c>
      <c r="F33" s="332">
        <v>297</v>
      </c>
      <c r="G33" s="332">
        <v>393</v>
      </c>
      <c r="H33" s="332">
        <v>349</v>
      </c>
      <c r="I33" s="332">
        <v>354</v>
      </c>
      <c r="J33" s="506">
        <f t="shared" ref="J33:N33" si="25">I33</f>
        <v>354</v>
      </c>
      <c r="K33" s="506">
        <f t="shared" si="25"/>
        <v>354</v>
      </c>
      <c r="L33" s="506">
        <f t="shared" si="25"/>
        <v>354</v>
      </c>
      <c r="M33" s="506">
        <f t="shared" si="25"/>
        <v>354</v>
      </c>
      <c r="N33" s="507">
        <f t="shared" si="25"/>
        <v>354</v>
      </c>
    </row>
    <row r="34" spans="2:16" ht="8.4499999999999993" customHeight="1" collapsed="1">
      <c r="B34" s="196"/>
      <c r="C34" s="30"/>
      <c r="D34" s="193"/>
      <c r="E34" s="193"/>
      <c r="F34" s="193"/>
      <c r="G34" s="193"/>
      <c r="H34" s="193"/>
      <c r="I34" s="193"/>
      <c r="J34" s="123"/>
      <c r="K34" s="124"/>
      <c r="L34" s="124"/>
      <c r="M34" s="124"/>
      <c r="N34" s="124"/>
    </row>
    <row r="35" spans="2:16" ht="15.75">
      <c r="B35" s="197" t="s">
        <v>178</v>
      </c>
      <c r="C35" s="198"/>
      <c r="D35" s="221">
        <f t="shared" ref="D35:I35" si="26">D14/D8*D5</f>
        <v>84.566477008454982</v>
      </c>
      <c r="E35" s="221">
        <f t="shared" si="26"/>
        <v>81.507336594041803</v>
      </c>
      <c r="F35" s="221">
        <f t="shared" si="26"/>
        <v>79.584519749262071</v>
      </c>
      <c r="G35" s="221">
        <f t="shared" si="26"/>
        <v>80.871869705222267</v>
      </c>
      <c r="H35" s="221">
        <f t="shared" si="26"/>
        <v>81.40204157032376</v>
      </c>
      <c r="I35" s="221">
        <f t="shared" si="26"/>
        <v>84.409573718099367</v>
      </c>
      <c r="J35" s="221">
        <f>85</f>
        <v>85</v>
      </c>
      <c r="K35" s="221">
        <f>J35</f>
        <v>85</v>
      </c>
      <c r="L35" s="221">
        <f t="shared" ref="L35:N35" si="27">K35</f>
        <v>85</v>
      </c>
      <c r="M35" s="221">
        <f t="shared" si="27"/>
        <v>85</v>
      </c>
      <c r="N35" s="306">
        <f t="shared" si="27"/>
        <v>85</v>
      </c>
    </row>
    <row r="36" spans="2:16" ht="5.0999999999999996" customHeight="1">
      <c r="B36" s="30"/>
      <c r="C36" s="30"/>
      <c r="D36" s="23"/>
      <c r="E36" s="23"/>
      <c r="F36" s="23"/>
      <c r="G36" s="23"/>
      <c r="H36" s="23"/>
      <c r="I36" s="23"/>
      <c r="J36" s="219"/>
      <c r="K36" s="220"/>
      <c r="L36" s="220"/>
      <c r="M36" s="220"/>
      <c r="N36" s="220"/>
    </row>
    <row r="37" spans="2:16" ht="15.75" hidden="1" outlineLevel="1">
      <c r="B37" s="237" t="s">
        <v>170</v>
      </c>
      <c r="C37" s="186"/>
      <c r="D37" s="26"/>
      <c r="E37" s="26"/>
      <c r="F37" s="26"/>
      <c r="G37" s="26"/>
      <c r="H37" s="26"/>
      <c r="I37" s="26"/>
      <c r="J37" s="218"/>
      <c r="K37" s="222"/>
      <c r="L37" s="222"/>
      <c r="M37" s="222"/>
      <c r="N37" s="223"/>
      <c r="P37" s="239"/>
    </row>
    <row r="38" spans="2:16" ht="15.75" hidden="1" outlineLevel="1">
      <c r="B38" s="190" t="s">
        <v>98</v>
      </c>
      <c r="C38" s="30"/>
      <c r="D38" s="224">
        <f>D12/D$7</f>
        <v>3.0951894565466349E-5</v>
      </c>
      <c r="E38" s="224">
        <f t="shared" ref="E38:I38" si="28">E12/E$7</f>
        <v>4.7815146643077864E-5</v>
      </c>
      <c r="F38" s="224">
        <f t="shared" si="28"/>
        <v>1.0215965510900435E-4</v>
      </c>
      <c r="G38" s="224">
        <f t="shared" si="28"/>
        <v>1.2232041833583072E-4</v>
      </c>
      <c r="H38" s="224">
        <f t="shared" si="28"/>
        <v>1.1413896418889998E-4</v>
      </c>
      <c r="I38" s="224">
        <f t="shared" si="28"/>
        <v>8.0991646290196921E-5</v>
      </c>
      <c r="J38" s="508">
        <v>0</v>
      </c>
      <c r="K38" s="508">
        <f>J38</f>
        <v>0</v>
      </c>
      <c r="L38" s="508">
        <f t="shared" ref="L38:N38" si="29">K38</f>
        <v>0</v>
      </c>
      <c r="M38" s="508">
        <f t="shared" si="29"/>
        <v>0</v>
      </c>
      <c r="N38" s="509">
        <f t="shared" si="29"/>
        <v>0</v>
      </c>
    </row>
    <row r="39" spans="2:16" ht="15.75" hidden="1" outlineLevel="1">
      <c r="B39" s="190" t="s">
        <v>116</v>
      </c>
      <c r="C39" s="30"/>
      <c r="D39" s="224">
        <f>D13/D$7</f>
        <v>0.1618165047882581</v>
      </c>
      <c r="E39" s="224">
        <f>E13/E$7</f>
        <v>0.1742862095140188</v>
      </c>
      <c r="F39" s="224">
        <f>F13/F$7</f>
        <v>0.15457777414543447</v>
      </c>
      <c r="G39" s="224">
        <f>G13/G$7</f>
        <v>0.16118773126204092</v>
      </c>
      <c r="H39" s="224">
        <f>H13/H$7</f>
        <v>0.12832888327252717</v>
      </c>
      <c r="I39" s="224">
        <f>I13/I$7</f>
        <v>0.11835964919046921</v>
      </c>
      <c r="J39" s="508">
        <v>0</v>
      </c>
      <c r="K39" s="508">
        <f>J39</f>
        <v>0</v>
      </c>
      <c r="L39" s="508">
        <f t="shared" ref="L39:N39" si="30">K39</f>
        <v>0</v>
      </c>
      <c r="M39" s="508">
        <f t="shared" si="30"/>
        <v>0</v>
      </c>
      <c r="N39" s="509">
        <f t="shared" si="30"/>
        <v>0</v>
      </c>
    </row>
    <row r="40" spans="2:16" ht="15.75" hidden="1" outlineLevel="1">
      <c r="B40" s="190" t="s">
        <v>100</v>
      </c>
      <c r="C40" s="30"/>
      <c r="D40" s="224">
        <f t="shared" ref="D40:I41" si="31">D15/D$7</f>
        <v>6.3141864913551357E-3</v>
      </c>
      <c r="E40" s="224">
        <f t="shared" si="31"/>
        <v>1.4768903419380674E-2</v>
      </c>
      <c r="F40" s="224">
        <f t="shared" si="31"/>
        <v>2.9284065136996097E-2</v>
      </c>
      <c r="G40" s="224">
        <f t="shared" si="31"/>
        <v>1.7076804116955793E-2</v>
      </c>
      <c r="H40" s="224">
        <f t="shared" si="31"/>
        <v>1.7406192038807246E-2</v>
      </c>
      <c r="I40" s="224">
        <f t="shared" si="31"/>
        <v>2.7463881582499634E-2</v>
      </c>
      <c r="J40" s="508">
        <v>0</v>
      </c>
      <c r="K40" s="508">
        <f>J40</f>
        <v>0</v>
      </c>
      <c r="L40" s="508">
        <f t="shared" ref="L40:N40" si="32">K40</f>
        <v>0</v>
      </c>
      <c r="M40" s="508">
        <f t="shared" si="32"/>
        <v>0</v>
      </c>
      <c r="N40" s="509">
        <f t="shared" si="32"/>
        <v>0</v>
      </c>
    </row>
    <row r="41" spans="2:16" ht="15.75" hidden="1" outlineLevel="1">
      <c r="B41" s="190" t="s">
        <v>93</v>
      </c>
      <c r="C41" s="30"/>
      <c r="D41" s="224">
        <f t="shared" si="31"/>
        <v>5.246346128846547E-2</v>
      </c>
      <c r="E41" s="224">
        <f t="shared" si="31"/>
        <v>6.8566920286173658E-2</v>
      </c>
      <c r="F41" s="224">
        <f t="shared" si="31"/>
        <v>3.2920948858876656E-2</v>
      </c>
      <c r="G41" s="224">
        <f t="shared" si="31"/>
        <v>5.788376939106275E-3</v>
      </c>
      <c r="H41" s="224">
        <f t="shared" si="31"/>
        <v>2.0015082648839246E-3</v>
      </c>
      <c r="I41" s="224">
        <f t="shared" si="31"/>
        <v>3.4710705552941543E-5</v>
      </c>
      <c r="J41" s="508">
        <v>0</v>
      </c>
      <c r="K41" s="508">
        <f>J41</f>
        <v>0</v>
      </c>
      <c r="L41" s="508">
        <f t="shared" ref="L41:N41" si="33">K41</f>
        <v>0</v>
      </c>
      <c r="M41" s="508">
        <f t="shared" si="33"/>
        <v>0</v>
      </c>
      <c r="N41" s="509">
        <f t="shared" si="33"/>
        <v>0</v>
      </c>
    </row>
    <row r="42" spans="2:16" ht="15.75" hidden="1" outlineLevel="1">
      <c r="B42" s="190" t="s">
        <v>94</v>
      </c>
      <c r="C42" s="30"/>
      <c r="D42" s="224">
        <f>SUM(D43:D48)</f>
        <v>9.118428138986388E-3</v>
      </c>
      <c r="E42" s="224">
        <f t="shared" ref="E42:I42" si="34">SUM(E43:E48)</f>
        <v>8.3317893025563177E-3</v>
      </c>
      <c r="F42" s="224">
        <f t="shared" si="34"/>
        <v>7.1000960300758023E-3</v>
      </c>
      <c r="G42" s="224">
        <f t="shared" si="34"/>
        <v>5.7621654208914541E-3</v>
      </c>
      <c r="H42" s="224">
        <f t="shared" si="34"/>
        <v>6.9420948576320238E-3</v>
      </c>
      <c r="I42" s="224">
        <f t="shared" si="34"/>
        <v>1.0575194958462856E-2</v>
      </c>
      <c r="J42" s="508">
        <f>SUM(J43:J48)</f>
        <v>0</v>
      </c>
      <c r="K42" s="508">
        <v>0</v>
      </c>
      <c r="L42" s="508">
        <v>0</v>
      </c>
      <c r="M42" s="508">
        <v>0</v>
      </c>
      <c r="N42" s="509">
        <v>0</v>
      </c>
    </row>
    <row r="43" spans="2:16" ht="15.75" hidden="1" outlineLevel="1">
      <c r="B43" s="240" t="s">
        <v>186</v>
      </c>
      <c r="C43" s="307"/>
      <c r="D43" s="251">
        <f t="shared" ref="D43:E43" si="35">D18/D$7</f>
        <v>1.0523644152258559E-3</v>
      </c>
      <c r="E43" s="251">
        <f t="shared" si="35"/>
        <v>1.0041180795046351E-3</v>
      </c>
      <c r="F43" s="251">
        <f t="shared" ref="F43:I43" si="36">F18/F$7</f>
        <v>9.0922093047013874E-4</v>
      </c>
      <c r="G43" s="251">
        <f t="shared" si="36"/>
        <v>1.6513256475337145E-3</v>
      </c>
      <c r="H43" s="251">
        <f t="shared" si="36"/>
        <v>1.3818967450013248E-3</v>
      </c>
      <c r="I43" s="251">
        <f t="shared" si="36"/>
        <v>1.3228635560732164E-3</v>
      </c>
      <c r="J43" s="519">
        <v>0</v>
      </c>
      <c r="K43" s="519">
        <f t="shared" ref="K43:N44" si="37">J43</f>
        <v>0</v>
      </c>
      <c r="L43" s="519">
        <f t="shared" si="37"/>
        <v>0</v>
      </c>
      <c r="M43" s="519">
        <f t="shared" si="37"/>
        <v>0</v>
      </c>
      <c r="N43" s="520">
        <f t="shared" si="37"/>
        <v>0</v>
      </c>
    </row>
    <row r="44" spans="2:16" ht="15.75" hidden="1" outlineLevel="1">
      <c r="B44" s="240" t="s">
        <v>176</v>
      </c>
      <c r="C44" s="307"/>
      <c r="D44" s="251">
        <f t="shared" ref="D44:E44" si="38">D19/D$7</f>
        <v>2.6309110380646401E-3</v>
      </c>
      <c r="E44" s="251">
        <f t="shared" si="38"/>
        <v>2.9585621985404429E-3</v>
      </c>
      <c r="F44" s="251">
        <f t="shared" ref="F44:I44" si="39">F19/F$7</f>
        <v>1.9818973091146846E-3</v>
      </c>
      <c r="G44" s="251">
        <f t="shared" si="39"/>
        <v>8.343999965051309E-4</v>
      </c>
      <c r="H44" s="251">
        <f t="shared" si="39"/>
        <v>5.7477121252267488E-4</v>
      </c>
      <c r="I44" s="251">
        <f t="shared" si="39"/>
        <v>1.6892543369098215E-3</v>
      </c>
      <c r="J44" s="519">
        <v>0</v>
      </c>
      <c r="K44" s="519">
        <f t="shared" si="37"/>
        <v>0</v>
      </c>
      <c r="L44" s="519">
        <f t="shared" si="37"/>
        <v>0</v>
      </c>
      <c r="M44" s="519">
        <f t="shared" si="37"/>
        <v>0</v>
      </c>
      <c r="N44" s="520">
        <f t="shared" si="37"/>
        <v>0</v>
      </c>
    </row>
    <row r="45" spans="2:16" ht="15.75" hidden="1" outlineLevel="1">
      <c r="B45" s="240" t="s">
        <v>189</v>
      </c>
      <c r="C45" s="307"/>
      <c r="D45" s="251">
        <f t="shared" ref="D45:E45" si="40">D20/D$7</f>
        <v>4.6056419113413936E-3</v>
      </c>
      <c r="E45" s="251">
        <f t="shared" si="40"/>
        <v>3.6757893981866105E-3</v>
      </c>
      <c r="F45" s="251">
        <f t="shared" ref="F45:I45" si="41">F20/F$7</f>
        <v>3.3099728255317411E-3</v>
      </c>
      <c r="G45" s="251">
        <f t="shared" si="41"/>
        <v>3.1453821857785041E-3</v>
      </c>
      <c r="H45" s="251">
        <f t="shared" si="41"/>
        <v>3.1143631657256994E-3</v>
      </c>
      <c r="I45" s="251">
        <f t="shared" si="41"/>
        <v>3.4247896145568986E-3</v>
      </c>
      <c r="J45" s="519">
        <v>0</v>
      </c>
      <c r="K45" s="519">
        <f t="shared" ref="K45:N49" si="42">J45</f>
        <v>0</v>
      </c>
      <c r="L45" s="519">
        <f t="shared" si="42"/>
        <v>0</v>
      </c>
      <c r="M45" s="519">
        <f t="shared" si="42"/>
        <v>0</v>
      </c>
      <c r="N45" s="520">
        <f t="shared" si="42"/>
        <v>0</v>
      </c>
    </row>
    <row r="46" spans="2:16" ht="15.75" hidden="1" outlineLevel="1">
      <c r="B46" s="240" t="s">
        <v>191</v>
      </c>
      <c r="C46" s="307"/>
      <c r="D46" s="251">
        <f t="shared" ref="D46:E46" si="43">D21/D$7</f>
        <v>0</v>
      </c>
      <c r="E46" s="251">
        <f t="shared" si="43"/>
        <v>0</v>
      </c>
      <c r="F46" s="251">
        <f t="shared" ref="F46:I46" si="44">F21/F$7</f>
        <v>0</v>
      </c>
      <c r="G46" s="251">
        <f t="shared" si="44"/>
        <v>0</v>
      </c>
      <c r="H46" s="251">
        <f t="shared" si="44"/>
        <v>1.5001121007683998E-3</v>
      </c>
      <c r="I46" s="251">
        <f t="shared" si="44"/>
        <v>1.2842961054588371E-3</v>
      </c>
      <c r="J46" s="519">
        <v>0</v>
      </c>
      <c r="K46" s="519">
        <f>J46</f>
        <v>0</v>
      </c>
      <c r="L46" s="519">
        <f t="shared" si="42"/>
        <v>0</v>
      </c>
      <c r="M46" s="519">
        <f t="shared" si="42"/>
        <v>0</v>
      </c>
      <c r="N46" s="520">
        <f t="shared" si="42"/>
        <v>0</v>
      </c>
    </row>
    <row r="47" spans="2:16" ht="15.75" hidden="1" outlineLevel="1">
      <c r="B47" s="240" t="s">
        <v>190</v>
      </c>
      <c r="C47" s="307"/>
      <c r="D47" s="251">
        <f t="shared" ref="D47:E47" si="45">D22/D$7</f>
        <v>0</v>
      </c>
      <c r="E47" s="251">
        <f t="shared" si="45"/>
        <v>0</v>
      </c>
      <c r="F47" s="251">
        <f t="shared" ref="F47:I47" si="46">F22/F$7</f>
        <v>0</v>
      </c>
      <c r="G47" s="251">
        <f t="shared" si="46"/>
        <v>0</v>
      </c>
      <c r="H47" s="251">
        <f t="shared" si="46"/>
        <v>-1.7528483786152498E-4</v>
      </c>
      <c r="I47" s="251">
        <f t="shared" si="46"/>
        <v>-2.044074882562113E-4</v>
      </c>
      <c r="J47" s="519">
        <v>0</v>
      </c>
      <c r="K47" s="519">
        <f>J47</f>
        <v>0</v>
      </c>
      <c r="L47" s="519">
        <f t="shared" si="42"/>
        <v>0</v>
      </c>
      <c r="M47" s="519">
        <f t="shared" si="42"/>
        <v>0</v>
      </c>
      <c r="N47" s="520">
        <f t="shared" si="42"/>
        <v>0</v>
      </c>
    </row>
    <row r="48" spans="2:16" ht="15.75" hidden="1" outlineLevel="1">
      <c r="B48" s="240" t="s">
        <v>185</v>
      </c>
      <c r="C48" s="307"/>
      <c r="D48" s="251">
        <f t="shared" ref="D48:E48" si="47">D23/D$7</f>
        <v>8.2951077435449827E-4</v>
      </c>
      <c r="E48" s="251">
        <f t="shared" si="47"/>
        <v>6.9331962632462895E-4</v>
      </c>
      <c r="F48" s="251">
        <f t="shared" ref="F48:I48" si="48">F23/F$7</f>
        <v>8.9900496495923829E-4</v>
      </c>
      <c r="G48" s="251">
        <f t="shared" si="48"/>
        <v>1.3105759107410434E-4</v>
      </c>
      <c r="H48" s="251">
        <f t="shared" si="48"/>
        <v>5.462364714754499E-4</v>
      </c>
      <c r="I48" s="251">
        <f t="shared" si="48"/>
        <v>3.0583988337202933E-3</v>
      </c>
      <c r="J48" s="519">
        <v>0</v>
      </c>
      <c r="K48" s="519">
        <f>J48</f>
        <v>0</v>
      </c>
      <c r="L48" s="519">
        <f t="shared" si="42"/>
        <v>0</v>
      </c>
      <c r="M48" s="519">
        <f t="shared" si="42"/>
        <v>0</v>
      </c>
      <c r="N48" s="520">
        <f t="shared" si="42"/>
        <v>0</v>
      </c>
    </row>
    <row r="49" spans="1:14" ht="15.75" hidden="1" outlineLevel="1">
      <c r="B49" s="190" t="s">
        <v>167</v>
      </c>
      <c r="C49" s="30"/>
      <c r="D49" s="224">
        <f t="shared" ref="D49:I49" si="49">D24/D$7</f>
        <v>4.9523031304746162E-5</v>
      </c>
      <c r="E49" s="224">
        <f t="shared" si="49"/>
        <v>1.1356097327730992E-4</v>
      </c>
      <c r="F49" s="224">
        <f t="shared" si="49"/>
        <v>5.6187810309952393E-5</v>
      </c>
      <c r="G49" s="224">
        <f t="shared" si="49"/>
        <v>3.4948690953094488E-5</v>
      </c>
      <c r="H49" s="224">
        <f t="shared" si="49"/>
        <v>6.1553512830442487E-4</v>
      </c>
      <c r="I49" s="224">
        <f t="shared" si="49"/>
        <v>9.9118348078955278E-4</v>
      </c>
      <c r="J49" s="508">
        <v>0</v>
      </c>
      <c r="K49" s="508">
        <f>J49</f>
        <v>0</v>
      </c>
      <c r="L49" s="508">
        <f t="shared" si="42"/>
        <v>0</v>
      </c>
      <c r="M49" s="508">
        <f t="shared" si="42"/>
        <v>0</v>
      </c>
      <c r="N49" s="509">
        <f t="shared" si="42"/>
        <v>0</v>
      </c>
    </row>
    <row r="50" spans="1:14" ht="15.75" hidden="1" outlineLevel="1">
      <c r="B50" s="190" t="s">
        <v>168</v>
      </c>
      <c r="C50" s="30"/>
      <c r="D50" s="224">
        <f>D25/D$7</f>
        <v>5.079824936084338E-2</v>
      </c>
      <c r="E50" s="224">
        <f t="shared" ref="E50:I50" si="50">E25/E$7</f>
        <v>6.7156373460202853E-2</v>
      </c>
      <c r="F50" s="224">
        <f t="shared" si="50"/>
        <v>5.1851132950575161E-2</v>
      </c>
      <c r="G50" s="224">
        <f t="shared" si="50"/>
        <v>4.2405867885211022E-2</v>
      </c>
      <c r="H50" s="224">
        <f t="shared" si="50"/>
        <v>5.0005095489472719E-2</v>
      </c>
      <c r="I50" s="224">
        <f t="shared" si="50"/>
        <v>5.7018118988298637E-2</v>
      </c>
      <c r="J50" s="521">
        <f>SUM(J51:J58)</f>
        <v>0</v>
      </c>
      <c r="K50" s="521">
        <f t="shared" ref="K50:N50" si="51">SUM(K51:K58)</f>
        <v>0</v>
      </c>
      <c r="L50" s="521">
        <f t="shared" si="51"/>
        <v>0</v>
      </c>
      <c r="M50" s="521">
        <f t="shared" si="51"/>
        <v>0</v>
      </c>
      <c r="N50" s="522">
        <f t="shared" si="51"/>
        <v>0</v>
      </c>
    </row>
    <row r="51" spans="1:14" ht="15.75" hidden="1" outlineLevel="1">
      <c r="B51" s="240" t="s">
        <v>180</v>
      </c>
      <c r="C51" s="307"/>
      <c r="D51" s="251">
        <f t="shared" ref="D51:I57" si="52">D26/D$7</f>
        <v>2.6569106294996318E-2</v>
      </c>
      <c r="E51" s="251">
        <f t="shared" si="52"/>
        <v>2.2891501455373525E-2</v>
      </c>
      <c r="F51" s="251">
        <f t="shared" si="52"/>
        <v>2.1698710745152526E-2</v>
      </c>
      <c r="G51" s="251">
        <f t="shared" si="52"/>
        <v>2.4533981049072329E-2</v>
      </c>
      <c r="H51" s="251">
        <f t="shared" si="52"/>
        <v>2.3830585166011047E-2</v>
      </c>
      <c r="I51" s="251">
        <f t="shared" si="52"/>
        <v>2.4039091967942735E-2</v>
      </c>
      <c r="J51" s="508">
        <v>0</v>
      </c>
      <c r="K51" s="508">
        <f t="shared" ref="K51:N51" si="53">J51</f>
        <v>0</v>
      </c>
      <c r="L51" s="508">
        <f t="shared" si="53"/>
        <v>0</v>
      </c>
      <c r="M51" s="508">
        <f t="shared" si="53"/>
        <v>0</v>
      </c>
      <c r="N51" s="509">
        <f t="shared" si="53"/>
        <v>0</v>
      </c>
    </row>
    <row r="52" spans="1:14" ht="15.75" hidden="1" outlineLevel="1">
      <c r="B52" s="240" t="s">
        <v>181</v>
      </c>
      <c r="C52" s="307"/>
      <c r="D52" s="251">
        <f t="shared" si="52"/>
        <v>9.2731876118137199E-3</v>
      </c>
      <c r="E52" s="251">
        <f t="shared" si="52"/>
        <v>2.7798530879619393E-2</v>
      </c>
      <c r="F52" s="251">
        <f t="shared" si="52"/>
        <v>1.5293300369817952E-2</v>
      </c>
      <c r="G52" s="251">
        <f t="shared" si="52"/>
        <v>6.5266680354903956E-3</v>
      </c>
      <c r="H52" s="251">
        <f t="shared" si="52"/>
        <v>8.3769846931496233E-3</v>
      </c>
      <c r="I52" s="251">
        <f t="shared" si="52"/>
        <v>9.1906234814066318E-3</v>
      </c>
      <c r="J52" s="521">
        <v>0</v>
      </c>
      <c r="K52" s="508">
        <f t="shared" ref="K52:N52" si="54">J52</f>
        <v>0</v>
      </c>
      <c r="L52" s="508">
        <f t="shared" si="54"/>
        <v>0</v>
      </c>
      <c r="M52" s="508">
        <f t="shared" si="54"/>
        <v>0</v>
      </c>
      <c r="N52" s="509">
        <f t="shared" si="54"/>
        <v>0</v>
      </c>
    </row>
    <row r="53" spans="1:14" ht="15.75" hidden="1" outlineLevel="1">
      <c r="B53" s="240" t="s">
        <v>326</v>
      </c>
      <c r="C53" s="307"/>
      <c r="D53" s="251">
        <f t="shared" si="52"/>
        <v>9.285568369639906E-5</v>
      </c>
      <c r="E53" s="251">
        <f t="shared" si="52"/>
        <v>1.6735301325077252E-4</v>
      </c>
      <c r="F53" s="251">
        <f t="shared" si="52"/>
        <v>9.1943689598103918E-5</v>
      </c>
      <c r="G53" s="251">
        <f t="shared" si="52"/>
        <v>8.7371727382736224E-5</v>
      </c>
      <c r="H53" s="251">
        <f t="shared" si="52"/>
        <v>0</v>
      </c>
      <c r="I53" s="251">
        <f t="shared" si="52"/>
        <v>0</v>
      </c>
      <c r="J53" s="508">
        <v>0</v>
      </c>
      <c r="K53" s="508">
        <f t="shared" ref="K53:N53" si="55">J53</f>
        <v>0</v>
      </c>
      <c r="L53" s="508">
        <f t="shared" si="55"/>
        <v>0</v>
      </c>
      <c r="M53" s="508">
        <f t="shared" si="55"/>
        <v>0</v>
      </c>
      <c r="N53" s="509">
        <f t="shared" si="55"/>
        <v>0</v>
      </c>
    </row>
    <row r="54" spans="1:14" ht="15.75" hidden="1" outlineLevel="1">
      <c r="B54" s="240" t="s">
        <v>327</v>
      </c>
      <c r="C54" s="307"/>
      <c r="D54" s="251">
        <f t="shared" si="52"/>
        <v>3.8442253050309208E-3</v>
      </c>
      <c r="E54" s="251">
        <f t="shared" si="52"/>
        <v>4.7576070909862468E-3</v>
      </c>
      <c r="F54" s="251">
        <f t="shared" si="52"/>
        <v>5.4859734793535333E-3</v>
      </c>
      <c r="G54" s="251">
        <f t="shared" si="52"/>
        <v>4.5214868920565995E-3</v>
      </c>
      <c r="H54" s="251">
        <f t="shared" si="52"/>
        <v>6.4733098261418988E-3</v>
      </c>
      <c r="I54" s="251">
        <f t="shared" si="52"/>
        <v>8.9360783073517275E-3</v>
      </c>
      <c r="J54" s="508">
        <v>0</v>
      </c>
      <c r="K54" s="508">
        <f>J54</f>
        <v>0</v>
      </c>
      <c r="L54" s="508">
        <f t="shared" ref="L54:N54" si="56">K54</f>
        <v>0</v>
      </c>
      <c r="M54" s="508">
        <f t="shared" si="56"/>
        <v>0</v>
      </c>
      <c r="N54" s="509">
        <f t="shared" si="56"/>
        <v>0</v>
      </c>
    </row>
    <row r="55" spans="1:14" ht="15.75" hidden="1" outlineLevel="1">
      <c r="B55" s="240" t="s">
        <v>328</v>
      </c>
      <c r="C55" s="307"/>
      <c r="D55" s="251">
        <f t="shared" si="52"/>
        <v>8.4189153218068482E-4</v>
      </c>
      <c r="E55" s="251">
        <f t="shared" si="52"/>
        <v>9.3837225287040304E-4</v>
      </c>
      <c r="F55" s="251">
        <f t="shared" si="52"/>
        <v>1.0318125166009439E-3</v>
      </c>
      <c r="G55" s="251">
        <f t="shared" si="52"/>
        <v>3.9754135959144978E-4</v>
      </c>
      <c r="H55" s="251">
        <f t="shared" si="52"/>
        <v>7.0929213460244988E-4</v>
      </c>
      <c r="I55" s="251">
        <f t="shared" si="52"/>
        <v>8.6391089376210053E-4</v>
      </c>
      <c r="J55" s="508">
        <v>0</v>
      </c>
      <c r="K55" s="508">
        <f t="shared" ref="K55:N55" si="57">J55</f>
        <v>0</v>
      </c>
      <c r="L55" s="508">
        <f t="shared" si="57"/>
        <v>0</v>
      </c>
      <c r="M55" s="508">
        <f t="shared" si="57"/>
        <v>0</v>
      </c>
      <c r="N55" s="509">
        <f t="shared" si="57"/>
        <v>0</v>
      </c>
    </row>
    <row r="56" spans="1:14" ht="15.75" hidden="1" outlineLevel="1">
      <c r="B56" s="240" t="s">
        <v>329</v>
      </c>
      <c r="C56" s="307"/>
      <c r="D56" s="251">
        <f t="shared" si="52"/>
        <v>6.8094168044025976E-5</v>
      </c>
      <c r="E56" s="251">
        <f t="shared" si="52"/>
        <v>5.9768933303847327E-5</v>
      </c>
      <c r="F56" s="251">
        <f t="shared" si="52"/>
        <v>4.0863862043601742E-5</v>
      </c>
      <c r="G56" s="251">
        <f t="shared" si="52"/>
        <v>3.9317277322231297E-5</v>
      </c>
      <c r="H56" s="251">
        <f t="shared" si="52"/>
        <v>3.9418706560952243E-3</v>
      </c>
      <c r="I56" s="251">
        <f t="shared" si="52"/>
        <v>5.6385612798222811E-3</v>
      </c>
      <c r="J56" s="508">
        <v>0</v>
      </c>
      <c r="K56" s="508">
        <f>J56</f>
        <v>0</v>
      </c>
      <c r="L56" s="508">
        <f t="shared" ref="L56:N56" si="58">K56</f>
        <v>0</v>
      </c>
      <c r="M56" s="508">
        <f t="shared" si="58"/>
        <v>0</v>
      </c>
      <c r="N56" s="509">
        <f t="shared" si="58"/>
        <v>0</v>
      </c>
    </row>
    <row r="57" spans="1:14" ht="15.75" hidden="1" outlineLevel="1">
      <c r="B57" s="240" t="s">
        <v>330</v>
      </c>
      <c r="C57" s="307"/>
      <c r="D57" s="251">
        <f t="shared" si="52"/>
        <v>8.5055806265901535E-3</v>
      </c>
      <c r="E57" s="251">
        <f t="shared" si="52"/>
        <v>8.9115479556036367E-3</v>
      </c>
      <c r="F57" s="251">
        <f t="shared" si="52"/>
        <v>6.6914574096397852E-3</v>
      </c>
      <c r="G57" s="251">
        <f t="shared" si="52"/>
        <v>4.5826471012245145E-3</v>
      </c>
      <c r="H57" s="251">
        <f t="shared" si="52"/>
        <v>5.2503923526893989E-3</v>
      </c>
      <c r="I57" s="251">
        <f t="shared" si="52"/>
        <v>6.984565306264125E-3</v>
      </c>
      <c r="J57" s="508">
        <v>0</v>
      </c>
      <c r="K57" s="508">
        <f t="shared" ref="K57:N57" si="59">J57</f>
        <v>0</v>
      </c>
      <c r="L57" s="508">
        <f t="shared" si="59"/>
        <v>0</v>
      </c>
      <c r="M57" s="508">
        <f t="shared" si="59"/>
        <v>0</v>
      </c>
      <c r="N57" s="509">
        <f t="shared" si="59"/>
        <v>0</v>
      </c>
    </row>
    <row r="58" spans="1:14" ht="15.75" hidden="1" outlineLevel="1">
      <c r="B58" s="311" t="s">
        <v>185</v>
      </c>
      <c r="C58" s="312"/>
      <c r="D58" s="267">
        <f>D33/D$7</f>
        <v>1.603308138491157E-3</v>
      </c>
      <c r="E58" s="267">
        <f t="shared" ref="E58:I58" si="60">E33/E$7</f>
        <v>1.6316918791950321E-3</v>
      </c>
      <c r="F58" s="267">
        <f t="shared" si="60"/>
        <v>1.5170708783687147E-3</v>
      </c>
      <c r="G58" s="267">
        <f t="shared" si="60"/>
        <v>1.7168544430707668E-3</v>
      </c>
      <c r="H58" s="267">
        <f t="shared" si="60"/>
        <v>1.4226606607830748E-3</v>
      </c>
      <c r="I58" s="267">
        <f t="shared" si="60"/>
        <v>1.3652877517490339E-3</v>
      </c>
      <c r="J58" s="501">
        <v>0</v>
      </c>
      <c r="K58" s="501">
        <f t="shared" ref="K58:N58" si="61">J58</f>
        <v>0</v>
      </c>
      <c r="L58" s="501">
        <f t="shared" si="61"/>
        <v>0</v>
      </c>
      <c r="M58" s="501">
        <f t="shared" si="61"/>
        <v>0</v>
      </c>
      <c r="N58" s="502">
        <f t="shared" si="61"/>
        <v>0</v>
      </c>
    </row>
    <row r="59" spans="1:14" ht="15.75" collapsed="1">
      <c r="B59" s="29"/>
      <c r="C59" s="29"/>
      <c r="D59" s="122"/>
      <c r="E59" s="122"/>
      <c r="F59" s="122"/>
      <c r="G59" s="122"/>
      <c r="H59" s="122"/>
      <c r="I59" s="122"/>
      <c r="J59" s="123"/>
      <c r="K59" s="124"/>
      <c r="L59" s="124"/>
      <c r="M59" s="124"/>
      <c r="N59" s="124"/>
    </row>
    <row r="60" spans="1:14" ht="21">
      <c r="A60" t="s">
        <v>58</v>
      </c>
      <c r="B60" s="194" t="s">
        <v>179</v>
      </c>
      <c r="C60" s="194"/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</row>
    <row r="61" spans="1:14" ht="6.6" customHeight="1"/>
    <row r="62" spans="1:14" ht="15.75">
      <c r="B62" s="254" t="s">
        <v>116</v>
      </c>
      <c r="C62" s="199"/>
      <c r="D62" s="234">
        <v>216</v>
      </c>
      <c r="E62" s="234">
        <v>213</v>
      </c>
      <c r="F62" s="234">
        <v>223</v>
      </c>
      <c r="G62" s="234">
        <v>266</v>
      </c>
      <c r="H62" s="234">
        <v>281</v>
      </c>
      <c r="I62" s="143">
        <v>275</v>
      </c>
      <c r="J62" s="523">
        <f>I62</f>
        <v>275</v>
      </c>
      <c r="K62" s="523">
        <f t="shared" ref="K62:N62" si="62">J62</f>
        <v>275</v>
      </c>
      <c r="L62" s="523">
        <f t="shared" si="62"/>
        <v>275</v>
      </c>
      <c r="M62" s="523">
        <f t="shared" si="62"/>
        <v>275</v>
      </c>
      <c r="N62" s="524">
        <f t="shared" si="62"/>
        <v>275</v>
      </c>
    </row>
    <row r="63" spans="1:14" ht="16.5" customHeight="1">
      <c r="B63" s="242" t="s">
        <v>117</v>
      </c>
      <c r="C63" s="15"/>
      <c r="D63" s="42">
        <v>398</v>
      </c>
      <c r="E63" s="42">
        <v>328</v>
      </c>
      <c r="F63" s="42">
        <v>200</v>
      </c>
      <c r="G63" s="42">
        <v>348</v>
      </c>
      <c r="H63" s="42">
        <v>143</v>
      </c>
      <c r="I63" s="34">
        <v>129</v>
      </c>
      <c r="J63" s="364">
        <f t="shared" ref="J63:N63" si="63">I63</f>
        <v>129</v>
      </c>
      <c r="K63" s="364">
        <f t="shared" si="63"/>
        <v>129</v>
      </c>
      <c r="L63" s="364">
        <f t="shared" si="63"/>
        <v>129</v>
      </c>
      <c r="M63" s="364">
        <f t="shared" si="63"/>
        <v>129</v>
      </c>
      <c r="N63" s="384">
        <f t="shared" si="63"/>
        <v>129</v>
      </c>
    </row>
    <row r="64" spans="1:14" ht="15.75">
      <c r="B64" s="242" t="s">
        <v>93</v>
      </c>
      <c r="C64" s="15"/>
      <c r="D64" s="34">
        <v>29</v>
      </c>
      <c r="E64" s="34">
        <v>29</v>
      </c>
      <c r="F64" s="34">
        <v>311</v>
      </c>
      <c r="G64" s="34">
        <v>173</v>
      </c>
      <c r="H64" s="34">
        <v>2</v>
      </c>
      <c r="I64" s="34">
        <v>25</v>
      </c>
      <c r="J64" s="364">
        <f t="shared" ref="J64:N64" si="64">I64</f>
        <v>25</v>
      </c>
      <c r="K64" s="364">
        <f t="shared" si="64"/>
        <v>25</v>
      </c>
      <c r="L64" s="364">
        <f t="shared" si="64"/>
        <v>25</v>
      </c>
      <c r="M64" s="364">
        <f t="shared" si="64"/>
        <v>25</v>
      </c>
      <c r="N64" s="384">
        <f t="shared" si="64"/>
        <v>25</v>
      </c>
    </row>
    <row r="65" spans="2:14" ht="18.600000000000001" customHeight="1">
      <c r="B65" s="242" t="s">
        <v>94</v>
      </c>
      <c r="C65" s="15"/>
      <c r="D65" s="20">
        <f>SUM(D66:D70)</f>
        <v>1184</v>
      </c>
      <c r="E65" s="20">
        <f t="shared" ref="E65:I65" si="65">SUM(E66:E70)</f>
        <v>1573</v>
      </c>
      <c r="F65" s="20">
        <f t="shared" si="65"/>
        <v>2253</v>
      </c>
      <c r="G65" s="20">
        <f t="shared" si="65"/>
        <v>2149</v>
      </c>
      <c r="H65" s="20">
        <f t="shared" si="65"/>
        <v>3272</v>
      </c>
      <c r="I65" s="20">
        <f t="shared" si="65"/>
        <v>2731</v>
      </c>
      <c r="J65" s="364">
        <f t="shared" ref="J65:N65" si="66">I65</f>
        <v>2731</v>
      </c>
      <c r="K65" s="364">
        <f t="shared" si="66"/>
        <v>2731</v>
      </c>
      <c r="L65" s="364">
        <f t="shared" si="66"/>
        <v>2731</v>
      </c>
      <c r="M65" s="364">
        <f t="shared" si="66"/>
        <v>2731</v>
      </c>
      <c r="N65" s="384">
        <f t="shared" si="66"/>
        <v>2731</v>
      </c>
    </row>
    <row r="66" spans="2:14" ht="18.600000000000001" hidden="1" customHeight="1" outlineLevel="1">
      <c r="B66" s="315" t="s">
        <v>186</v>
      </c>
      <c r="C66" s="241"/>
      <c r="D66" s="326">
        <v>824</v>
      </c>
      <c r="E66" s="326">
        <v>837</v>
      </c>
      <c r="F66" s="326">
        <v>825</v>
      </c>
      <c r="G66" s="326">
        <v>614</v>
      </c>
      <c r="H66" s="326">
        <v>749</v>
      </c>
      <c r="I66" s="326">
        <v>770</v>
      </c>
      <c r="J66" s="504">
        <f t="shared" ref="J66:N66" si="67">I66</f>
        <v>770</v>
      </c>
      <c r="K66" s="504">
        <f t="shared" si="67"/>
        <v>770</v>
      </c>
      <c r="L66" s="504">
        <f t="shared" si="67"/>
        <v>770</v>
      </c>
      <c r="M66" s="504">
        <f t="shared" si="67"/>
        <v>770</v>
      </c>
      <c r="N66" s="505">
        <f t="shared" si="67"/>
        <v>770</v>
      </c>
    </row>
    <row r="67" spans="2:14" ht="18.600000000000001" hidden="1" customHeight="1" outlineLevel="1">
      <c r="B67" s="315" t="s">
        <v>187</v>
      </c>
      <c r="C67" s="241"/>
      <c r="D67" s="326">
        <v>1</v>
      </c>
      <c r="E67" s="326">
        <v>3</v>
      </c>
      <c r="F67" s="326">
        <v>183</v>
      </c>
      <c r="G67" s="326">
        <v>192</v>
      </c>
      <c r="H67" s="326">
        <v>213</v>
      </c>
      <c r="I67" s="326">
        <v>250</v>
      </c>
      <c r="J67" s="504">
        <f t="shared" ref="J67:N67" si="68">I67</f>
        <v>250</v>
      </c>
      <c r="K67" s="504">
        <f t="shared" si="68"/>
        <v>250</v>
      </c>
      <c r="L67" s="504">
        <f t="shared" si="68"/>
        <v>250</v>
      </c>
      <c r="M67" s="504">
        <f t="shared" si="68"/>
        <v>250</v>
      </c>
      <c r="N67" s="505">
        <f t="shared" si="68"/>
        <v>250</v>
      </c>
    </row>
    <row r="68" spans="2:14" ht="18.600000000000001" hidden="1" customHeight="1" outlineLevel="1">
      <c r="B68" s="315" t="s">
        <v>188</v>
      </c>
      <c r="C68" s="241"/>
      <c r="D68" s="326">
        <v>348</v>
      </c>
      <c r="E68" s="326">
        <v>719</v>
      </c>
      <c r="F68" s="326">
        <v>1232</v>
      </c>
      <c r="G68" s="326">
        <v>1334</v>
      </c>
      <c r="H68" s="326">
        <v>2248</v>
      </c>
      <c r="I68" s="326">
        <v>1709</v>
      </c>
      <c r="J68" s="504">
        <f t="shared" ref="J68:N68" si="69">I68</f>
        <v>1709</v>
      </c>
      <c r="K68" s="504">
        <f t="shared" si="69"/>
        <v>1709</v>
      </c>
      <c r="L68" s="504">
        <f t="shared" si="69"/>
        <v>1709</v>
      </c>
      <c r="M68" s="504">
        <f t="shared" si="69"/>
        <v>1709</v>
      </c>
      <c r="N68" s="505">
        <f t="shared" si="69"/>
        <v>1709</v>
      </c>
    </row>
    <row r="69" spans="2:14" ht="18.600000000000001" hidden="1" customHeight="1" outlineLevel="1">
      <c r="B69" s="315" t="s">
        <v>189</v>
      </c>
      <c r="C69" s="241"/>
      <c r="D69" s="326">
        <v>0</v>
      </c>
      <c r="E69" s="326">
        <v>0</v>
      </c>
      <c r="F69" s="326">
        <v>0</v>
      </c>
      <c r="G69" s="326">
        <v>2</v>
      </c>
      <c r="H69" s="326">
        <v>62</v>
      </c>
      <c r="I69" s="326">
        <v>2</v>
      </c>
      <c r="J69" s="504">
        <f t="shared" ref="J69:N69" si="70">I69</f>
        <v>2</v>
      </c>
      <c r="K69" s="504">
        <f t="shared" si="70"/>
        <v>2</v>
      </c>
      <c r="L69" s="504">
        <f t="shared" si="70"/>
        <v>2</v>
      </c>
      <c r="M69" s="504">
        <f t="shared" si="70"/>
        <v>2</v>
      </c>
      <c r="N69" s="505">
        <f t="shared" si="70"/>
        <v>2</v>
      </c>
    </row>
    <row r="70" spans="2:14" ht="18.600000000000001" hidden="1" customHeight="1" outlineLevel="1">
      <c r="B70" s="315" t="s">
        <v>185</v>
      </c>
      <c r="C70" s="241"/>
      <c r="D70" s="326">
        <v>11</v>
      </c>
      <c r="E70" s="326">
        <v>14</v>
      </c>
      <c r="F70" s="326">
        <v>13</v>
      </c>
      <c r="G70" s="326">
        <v>7</v>
      </c>
      <c r="H70" s="326">
        <v>0</v>
      </c>
      <c r="I70" s="326">
        <v>0</v>
      </c>
      <c r="J70" s="504">
        <f t="shared" ref="J70:N70" si="71">I70</f>
        <v>0</v>
      </c>
      <c r="K70" s="504">
        <f t="shared" si="71"/>
        <v>0</v>
      </c>
      <c r="L70" s="504">
        <f t="shared" si="71"/>
        <v>0</v>
      </c>
      <c r="M70" s="504">
        <f t="shared" si="71"/>
        <v>0</v>
      </c>
      <c r="N70" s="505">
        <f t="shared" si="71"/>
        <v>0</v>
      </c>
    </row>
    <row r="71" spans="2:14" ht="15.75" collapsed="1">
      <c r="B71" s="242" t="s">
        <v>95</v>
      </c>
      <c r="C71" s="15"/>
      <c r="D71" s="34">
        <v>2462</v>
      </c>
      <c r="E71" s="34">
        <v>1845</v>
      </c>
      <c r="F71" s="34">
        <v>1983</v>
      </c>
      <c r="G71" s="34">
        <v>2583</v>
      </c>
      <c r="H71" s="34">
        <v>3403</v>
      </c>
      <c r="I71" s="34">
        <v>3578</v>
      </c>
      <c r="J71" s="364">
        <f t="shared" ref="J71:N71" si="72">I71</f>
        <v>3578</v>
      </c>
      <c r="K71" s="364">
        <f t="shared" si="72"/>
        <v>3578</v>
      </c>
      <c r="L71" s="364">
        <f t="shared" si="72"/>
        <v>3578</v>
      </c>
      <c r="M71" s="364">
        <f t="shared" si="72"/>
        <v>3578</v>
      </c>
      <c r="N71" s="384">
        <f t="shared" si="72"/>
        <v>3578</v>
      </c>
    </row>
    <row r="72" spans="2:14" ht="15.75">
      <c r="B72" s="242" t="s">
        <v>96</v>
      </c>
      <c r="C72" s="15"/>
      <c r="D72" s="42">
        <v>2828</v>
      </c>
      <c r="E72" s="42">
        <v>3931</v>
      </c>
      <c r="F72" s="42">
        <v>3708</v>
      </c>
      <c r="G72" s="42">
        <v>3307</v>
      </c>
      <c r="H72" s="42">
        <v>1600</v>
      </c>
      <c r="I72" s="34">
        <v>1569</v>
      </c>
      <c r="J72" s="364">
        <f t="shared" ref="J72:N72" si="73">I72</f>
        <v>1569</v>
      </c>
      <c r="K72" s="364">
        <f t="shared" si="73"/>
        <v>1569</v>
      </c>
      <c r="L72" s="364">
        <f t="shared" si="73"/>
        <v>1569</v>
      </c>
      <c r="M72" s="364">
        <f t="shared" si="73"/>
        <v>1569</v>
      </c>
      <c r="N72" s="384">
        <f t="shared" si="73"/>
        <v>1569</v>
      </c>
    </row>
    <row r="73" spans="2:14" ht="15.75">
      <c r="B73" s="242" t="s">
        <v>97</v>
      </c>
      <c r="C73" s="21"/>
      <c r="D73" s="12">
        <f>SUM(D74:D79)</f>
        <v>1711</v>
      </c>
      <c r="E73" s="12">
        <f t="shared" ref="E73:I73" si="74">SUM(E74:E79)</f>
        <v>1613</v>
      </c>
      <c r="F73" s="12">
        <f t="shared" si="74"/>
        <v>2023</v>
      </c>
      <c r="G73" s="12">
        <f t="shared" si="74"/>
        <v>2806</v>
      </c>
      <c r="H73" s="12">
        <f t="shared" si="74"/>
        <v>3596</v>
      </c>
      <c r="I73" s="12">
        <f t="shared" si="74"/>
        <v>3712</v>
      </c>
      <c r="J73" s="364">
        <f t="shared" ref="J73:N73" si="75">I73</f>
        <v>3712</v>
      </c>
      <c r="K73" s="364">
        <f t="shared" si="75"/>
        <v>3712</v>
      </c>
      <c r="L73" s="364">
        <f t="shared" si="75"/>
        <v>3712</v>
      </c>
      <c r="M73" s="364">
        <f t="shared" si="75"/>
        <v>3712</v>
      </c>
      <c r="N73" s="384">
        <f t="shared" si="75"/>
        <v>3712</v>
      </c>
    </row>
    <row r="74" spans="2:14" ht="15.75" hidden="1" outlineLevel="1">
      <c r="B74" s="315" t="s">
        <v>180</v>
      </c>
      <c r="C74" s="331"/>
      <c r="D74" s="325">
        <v>197</v>
      </c>
      <c r="E74" s="325">
        <v>250</v>
      </c>
      <c r="F74" s="325">
        <v>171</v>
      </c>
      <c r="G74" s="325">
        <v>215</v>
      </c>
      <c r="H74" s="325">
        <v>295</v>
      </c>
      <c r="I74" s="325">
        <v>295</v>
      </c>
      <c r="J74" s="364">
        <f t="shared" ref="J74:N74" si="76">I74</f>
        <v>295</v>
      </c>
      <c r="K74" s="364">
        <f t="shared" si="76"/>
        <v>295</v>
      </c>
      <c r="L74" s="364">
        <f t="shared" si="76"/>
        <v>295</v>
      </c>
      <c r="M74" s="364">
        <f t="shared" si="76"/>
        <v>295</v>
      </c>
      <c r="N74" s="384">
        <f t="shared" si="76"/>
        <v>295</v>
      </c>
    </row>
    <row r="75" spans="2:14" ht="15.75" hidden="1" outlineLevel="1">
      <c r="B75" s="315" t="s">
        <v>181</v>
      </c>
      <c r="C75" s="331"/>
      <c r="D75" s="325">
        <v>839</v>
      </c>
      <c r="E75" s="325">
        <v>621</v>
      </c>
      <c r="F75" s="325">
        <v>1291</v>
      </c>
      <c r="G75" s="325">
        <v>2138</v>
      </c>
      <c r="H75" s="325">
        <v>2557</v>
      </c>
      <c r="I75" s="325">
        <v>2456</v>
      </c>
      <c r="J75" s="364">
        <f t="shared" ref="J75:N75" si="77">I75</f>
        <v>2456</v>
      </c>
      <c r="K75" s="364">
        <f t="shared" si="77"/>
        <v>2456</v>
      </c>
      <c r="L75" s="364">
        <f t="shared" si="77"/>
        <v>2456</v>
      </c>
      <c r="M75" s="364">
        <f t="shared" si="77"/>
        <v>2456</v>
      </c>
      <c r="N75" s="384">
        <f t="shared" si="77"/>
        <v>2456</v>
      </c>
    </row>
    <row r="76" spans="2:14" ht="15.75" hidden="1" outlineLevel="1">
      <c r="B76" s="315" t="s">
        <v>182</v>
      </c>
      <c r="C76" s="331"/>
      <c r="D76" s="325">
        <v>286</v>
      </c>
      <c r="E76" s="325">
        <v>228</v>
      </c>
      <c r="F76" s="325">
        <v>150</v>
      </c>
      <c r="G76" s="325">
        <v>114</v>
      </c>
      <c r="H76" s="325">
        <v>247</v>
      </c>
      <c r="I76" s="325">
        <v>297</v>
      </c>
      <c r="J76" s="364">
        <f t="shared" ref="J76:N76" si="78">I76</f>
        <v>297</v>
      </c>
      <c r="K76" s="364">
        <f t="shared" si="78"/>
        <v>297</v>
      </c>
      <c r="L76" s="364">
        <f t="shared" si="78"/>
        <v>297</v>
      </c>
      <c r="M76" s="364">
        <f t="shared" si="78"/>
        <v>297</v>
      </c>
      <c r="N76" s="384">
        <f t="shared" si="78"/>
        <v>297</v>
      </c>
    </row>
    <row r="77" spans="2:14" ht="15.75" hidden="1" outlineLevel="1">
      <c r="B77" s="315" t="s">
        <v>183</v>
      </c>
      <c r="C77" s="331"/>
      <c r="D77" s="325">
        <v>55</v>
      </c>
      <c r="E77" s="325">
        <v>66</v>
      </c>
      <c r="F77" s="325">
        <v>78</v>
      </c>
      <c r="G77" s="325">
        <v>68</v>
      </c>
      <c r="H77" s="325">
        <v>88</v>
      </c>
      <c r="I77" s="325">
        <v>180</v>
      </c>
      <c r="J77" s="364">
        <f t="shared" ref="J77:N77" si="79">I77</f>
        <v>180</v>
      </c>
      <c r="K77" s="364">
        <f t="shared" si="79"/>
        <v>180</v>
      </c>
      <c r="L77" s="364">
        <f t="shared" si="79"/>
        <v>180</v>
      </c>
      <c r="M77" s="364">
        <f t="shared" si="79"/>
        <v>180</v>
      </c>
      <c r="N77" s="384">
        <f t="shared" si="79"/>
        <v>180</v>
      </c>
    </row>
    <row r="78" spans="2:14" ht="15.75" hidden="1" outlineLevel="1">
      <c r="B78" s="315" t="s">
        <v>184</v>
      </c>
      <c r="C78" s="331"/>
      <c r="D78" s="325">
        <v>36</v>
      </c>
      <c r="E78" s="325">
        <v>33</v>
      </c>
      <c r="F78" s="325">
        <v>23</v>
      </c>
      <c r="G78" s="325">
        <v>63</v>
      </c>
      <c r="H78" s="325">
        <v>196</v>
      </c>
      <c r="I78" s="325">
        <v>226</v>
      </c>
      <c r="J78" s="364">
        <f t="shared" ref="J78:N78" si="80">I78</f>
        <v>226</v>
      </c>
      <c r="K78" s="364">
        <f t="shared" si="80"/>
        <v>226</v>
      </c>
      <c r="L78" s="364">
        <f t="shared" si="80"/>
        <v>226</v>
      </c>
      <c r="M78" s="364">
        <f t="shared" si="80"/>
        <v>226</v>
      </c>
      <c r="N78" s="384">
        <f t="shared" si="80"/>
        <v>226</v>
      </c>
    </row>
    <row r="79" spans="2:14" ht="15.75" hidden="1" outlineLevel="1">
      <c r="B79" s="311" t="s">
        <v>185</v>
      </c>
      <c r="C79" s="312"/>
      <c r="D79" s="270">
        <v>298</v>
      </c>
      <c r="E79" s="270">
        <v>415</v>
      </c>
      <c r="F79" s="270">
        <v>310</v>
      </c>
      <c r="G79" s="270">
        <v>208</v>
      </c>
      <c r="H79" s="270">
        <v>213</v>
      </c>
      <c r="I79" s="270">
        <v>258</v>
      </c>
      <c r="J79" s="506">
        <f t="shared" ref="J79:N79" si="81">I79</f>
        <v>258</v>
      </c>
      <c r="K79" s="506">
        <f t="shared" si="81"/>
        <v>258</v>
      </c>
      <c r="L79" s="506">
        <f t="shared" si="81"/>
        <v>258</v>
      </c>
      <c r="M79" s="506">
        <f t="shared" si="81"/>
        <v>258</v>
      </c>
      <c r="N79" s="507">
        <f t="shared" si="81"/>
        <v>258</v>
      </c>
    </row>
    <row r="80" spans="2:14" ht="11.45" customHeight="1" collapsed="1"/>
    <row r="81" spans="2:14" ht="15.75" hidden="1" outlineLevel="1">
      <c r="B81" s="236" t="s">
        <v>175</v>
      </c>
      <c r="C81" s="183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211"/>
    </row>
    <row r="82" spans="2:14" ht="15.75" hidden="1" outlineLevel="1">
      <c r="B82" s="242" t="s">
        <v>116</v>
      </c>
      <c r="D82" s="224">
        <f>D62/D$7</f>
        <v>1.3371218452281465E-3</v>
      </c>
      <c r="E82" s="224">
        <f t="shared" ref="E82:I82" si="82">E62/E$7</f>
        <v>1.2730782793719481E-3</v>
      </c>
      <c r="F82" s="224">
        <f t="shared" si="82"/>
        <v>1.1390801544653986E-3</v>
      </c>
      <c r="G82" s="224">
        <f t="shared" si="82"/>
        <v>1.1620439741903917E-3</v>
      </c>
      <c r="H82" s="224">
        <f t="shared" si="82"/>
        <v>1.1454660334671749E-3</v>
      </c>
      <c r="I82" s="224">
        <f t="shared" si="82"/>
        <v>1.0606048918954359E-3</v>
      </c>
      <c r="J82" s="508">
        <v>0</v>
      </c>
      <c r="K82" s="508">
        <f t="shared" ref="K82:N82" si="83">J82</f>
        <v>0</v>
      </c>
      <c r="L82" s="508">
        <f t="shared" si="83"/>
        <v>0</v>
      </c>
      <c r="M82" s="508">
        <f t="shared" si="83"/>
        <v>0</v>
      </c>
      <c r="N82" s="509">
        <f t="shared" si="83"/>
        <v>0</v>
      </c>
    </row>
    <row r="83" spans="2:14" ht="15.75" hidden="1" outlineLevel="1">
      <c r="B83" s="242" t="s">
        <v>117</v>
      </c>
      <c r="D83" s="224">
        <f t="shared" ref="D83:I83" si="84">D63/D$7</f>
        <v>2.4637708074111216E-3</v>
      </c>
      <c r="E83" s="224">
        <f t="shared" si="84"/>
        <v>1.9604210123661922E-3</v>
      </c>
      <c r="F83" s="224">
        <f t="shared" si="84"/>
        <v>1.0215965510900434E-3</v>
      </c>
      <c r="G83" s="224">
        <f t="shared" si="84"/>
        <v>1.5202680564596102E-3</v>
      </c>
      <c r="H83" s="224">
        <f t="shared" si="84"/>
        <v>5.8292399567902496E-4</v>
      </c>
      <c r="I83" s="224">
        <f t="shared" si="84"/>
        <v>4.9752011292549545E-4</v>
      </c>
      <c r="J83" s="508">
        <v>0</v>
      </c>
      <c r="K83" s="508">
        <f>J83</f>
        <v>0</v>
      </c>
      <c r="L83" s="508">
        <f t="shared" ref="L83:N83" si="85">K83</f>
        <v>0</v>
      </c>
      <c r="M83" s="508">
        <f t="shared" si="85"/>
        <v>0</v>
      </c>
      <c r="N83" s="509">
        <f t="shared" si="85"/>
        <v>0</v>
      </c>
    </row>
    <row r="84" spans="2:14" ht="15.75" hidden="1" outlineLevel="1">
      <c r="B84" s="242" t="s">
        <v>93</v>
      </c>
      <c r="D84" s="224">
        <f t="shared" ref="D84:I84" si="86">D64/D$7</f>
        <v>1.7952098847970484E-4</v>
      </c>
      <c r="E84" s="224">
        <f t="shared" si="86"/>
        <v>1.7332990658115724E-4</v>
      </c>
      <c r="F84" s="224">
        <f t="shared" si="86"/>
        <v>1.5885826369450176E-3</v>
      </c>
      <c r="G84" s="224">
        <f t="shared" si="86"/>
        <v>7.5576544186066832E-4</v>
      </c>
      <c r="H84" s="224">
        <f t="shared" si="86"/>
        <v>8.1527831563499995E-6</v>
      </c>
      <c r="I84" s="224">
        <f t="shared" si="86"/>
        <v>9.6418626535948717E-5</v>
      </c>
      <c r="J84" s="508">
        <v>0</v>
      </c>
      <c r="K84" s="508">
        <f>J84</f>
        <v>0</v>
      </c>
      <c r="L84" s="508">
        <f t="shared" ref="L84:N84" si="87">K84</f>
        <v>0</v>
      </c>
      <c r="M84" s="508">
        <f t="shared" si="87"/>
        <v>0</v>
      </c>
      <c r="N84" s="509">
        <f t="shared" si="87"/>
        <v>0</v>
      </c>
    </row>
    <row r="85" spans="2:14" ht="15.75" hidden="1" outlineLevel="1">
      <c r="B85" s="242" t="s">
        <v>94</v>
      </c>
      <c r="D85" s="224">
        <f>SUM(D86:D90)</f>
        <v>7.3294086331024324E-3</v>
      </c>
      <c r="E85" s="224">
        <f t="shared" ref="E85:I85" si="88">SUM(E86:E90)</f>
        <v>9.4016532086951838E-3</v>
      </c>
      <c r="F85" s="224">
        <f t="shared" si="88"/>
        <v>1.1508285148029341E-2</v>
      </c>
      <c r="G85" s="224">
        <f t="shared" si="88"/>
        <v>9.3880921072750072E-3</v>
      </c>
      <c r="H85" s="224">
        <f t="shared" si="88"/>
        <v>1.3337953243788598E-2</v>
      </c>
      <c r="I85" s="224">
        <f t="shared" si="88"/>
        <v>1.0532770762787039E-2</v>
      </c>
      <c r="J85" s="508">
        <f>SUM(J86:J90)</f>
        <v>0</v>
      </c>
      <c r="K85" s="508">
        <f t="shared" ref="K85:N85" si="89">SUM(K86:K90)</f>
        <v>0</v>
      </c>
      <c r="L85" s="508">
        <f t="shared" si="89"/>
        <v>0</v>
      </c>
      <c r="M85" s="508">
        <f t="shared" si="89"/>
        <v>0</v>
      </c>
      <c r="N85" s="509">
        <f t="shared" si="89"/>
        <v>0</v>
      </c>
    </row>
    <row r="86" spans="2:14" ht="15.75" hidden="1" outlineLevel="1">
      <c r="B86" s="315" t="s">
        <v>186</v>
      </c>
      <c r="C86" s="244"/>
      <c r="D86" s="251">
        <f t="shared" ref="D86:I86" si="90">D66/D$7</f>
        <v>5.1008722243888549E-3</v>
      </c>
      <c r="E86" s="251">
        <f t="shared" si="90"/>
        <v>5.0026597175320212E-3</v>
      </c>
      <c r="F86" s="251">
        <f t="shared" si="90"/>
        <v>4.2140857732464298E-3</v>
      </c>
      <c r="G86" s="251">
        <f t="shared" si="90"/>
        <v>2.6823120306500021E-3</v>
      </c>
      <c r="H86" s="251">
        <f t="shared" si="90"/>
        <v>3.0532172920530744E-3</v>
      </c>
      <c r="I86" s="251">
        <f t="shared" si="90"/>
        <v>2.9696936973072205E-3</v>
      </c>
      <c r="J86" s="508">
        <v>0</v>
      </c>
      <c r="K86" s="508">
        <f>J86</f>
        <v>0</v>
      </c>
      <c r="L86" s="508">
        <f t="shared" ref="L86:N86" si="91">K86</f>
        <v>0</v>
      </c>
      <c r="M86" s="508">
        <f t="shared" si="91"/>
        <v>0</v>
      </c>
      <c r="N86" s="509">
        <f t="shared" si="91"/>
        <v>0</v>
      </c>
    </row>
    <row r="87" spans="2:14" ht="15.75" hidden="1" outlineLevel="1">
      <c r="B87" s="315" t="s">
        <v>187</v>
      </c>
      <c r="C87" s="244"/>
      <c r="D87" s="251">
        <f t="shared" ref="D87:I87" si="92">D67/D$7</f>
        <v>6.1903789130932703E-6</v>
      </c>
      <c r="E87" s="251">
        <f t="shared" si="92"/>
        <v>1.7930679991154197E-5</v>
      </c>
      <c r="F87" s="251">
        <f t="shared" si="92"/>
        <v>9.3476084424738985E-4</v>
      </c>
      <c r="G87" s="251">
        <f t="shared" si="92"/>
        <v>8.3876858287426767E-4</v>
      </c>
      <c r="H87" s="251">
        <f t="shared" si="92"/>
        <v>8.6827140615127493E-4</v>
      </c>
      <c r="I87" s="251">
        <f t="shared" si="92"/>
        <v>9.6418626535948722E-4</v>
      </c>
      <c r="J87" s="508">
        <v>0</v>
      </c>
      <c r="K87" s="508">
        <f t="shared" ref="K87:N88" si="93">J87</f>
        <v>0</v>
      </c>
      <c r="L87" s="508">
        <f t="shared" si="93"/>
        <v>0</v>
      </c>
      <c r="M87" s="508">
        <f t="shared" si="93"/>
        <v>0</v>
      </c>
      <c r="N87" s="509">
        <f t="shared" si="93"/>
        <v>0</v>
      </c>
    </row>
    <row r="88" spans="2:14" ht="15.75" hidden="1" outlineLevel="1">
      <c r="B88" s="315" t="s">
        <v>188</v>
      </c>
      <c r="C88" s="244"/>
      <c r="D88" s="251">
        <f t="shared" ref="D88:I88" si="94">D68/D$7</f>
        <v>2.1542518617564581E-3</v>
      </c>
      <c r="E88" s="251">
        <f t="shared" si="94"/>
        <v>4.2973863045466226E-3</v>
      </c>
      <c r="F88" s="251">
        <f t="shared" si="94"/>
        <v>6.2930347547146678E-3</v>
      </c>
      <c r="G88" s="251">
        <f t="shared" si="94"/>
        <v>5.8276942164285058E-3</v>
      </c>
      <c r="H88" s="251">
        <f t="shared" si="94"/>
        <v>9.1637282677373994E-3</v>
      </c>
      <c r="I88" s="251">
        <f t="shared" si="94"/>
        <v>6.5911773099974549E-3</v>
      </c>
      <c r="J88" s="508">
        <v>0</v>
      </c>
      <c r="K88" s="508">
        <f>J88</f>
        <v>0</v>
      </c>
      <c r="L88" s="250">
        <f t="shared" si="93"/>
        <v>0</v>
      </c>
      <c r="M88" s="250">
        <f t="shared" si="93"/>
        <v>0</v>
      </c>
      <c r="N88" s="316">
        <f t="shared" si="93"/>
        <v>0</v>
      </c>
    </row>
    <row r="89" spans="2:14" ht="15.75" hidden="1" outlineLevel="1">
      <c r="B89" s="315" t="s">
        <v>189</v>
      </c>
      <c r="C89" s="244"/>
      <c r="D89" s="251">
        <f t="shared" ref="D89:I89" si="95">D69/D$7</f>
        <v>0</v>
      </c>
      <c r="E89" s="251">
        <f t="shared" si="95"/>
        <v>0</v>
      </c>
      <c r="F89" s="251">
        <f t="shared" si="95"/>
        <v>0</v>
      </c>
      <c r="G89" s="251">
        <f t="shared" si="95"/>
        <v>8.7371727382736221E-6</v>
      </c>
      <c r="H89" s="251">
        <f t="shared" si="95"/>
        <v>2.5273627784684995E-4</v>
      </c>
      <c r="I89" s="251">
        <f t="shared" si="95"/>
        <v>7.7134901228758976E-6</v>
      </c>
      <c r="J89" s="508">
        <v>0</v>
      </c>
      <c r="K89" s="508">
        <f t="shared" ref="K89:N89" si="96">J89</f>
        <v>0</v>
      </c>
      <c r="L89" s="508">
        <f t="shared" si="96"/>
        <v>0</v>
      </c>
      <c r="M89" s="508">
        <f t="shared" si="96"/>
        <v>0</v>
      </c>
      <c r="N89" s="509">
        <f t="shared" si="96"/>
        <v>0</v>
      </c>
    </row>
    <row r="90" spans="2:14" ht="15.75" hidden="1" outlineLevel="1">
      <c r="B90" s="315" t="s">
        <v>185</v>
      </c>
      <c r="C90" s="244"/>
      <c r="D90" s="251">
        <f t="shared" ref="D90:I90" si="97">D70/D$7</f>
        <v>6.8094168044025976E-5</v>
      </c>
      <c r="E90" s="251">
        <f t="shared" si="97"/>
        <v>8.3676506625386259E-5</v>
      </c>
      <c r="F90" s="251">
        <f t="shared" si="97"/>
        <v>6.6403775820852827E-5</v>
      </c>
      <c r="G90" s="251">
        <f t="shared" si="97"/>
        <v>3.058010458395768E-5</v>
      </c>
      <c r="H90" s="251">
        <f t="shared" si="97"/>
        <v>0</v>
      </c>
      <c r="I90" s="251">
        <f t="shared" si="97"/>
        <v>0</v>
      </c>
      <c r="J90" s="508">
        <v>0</v>
      </c>
      <c r="K90" s="508">
        <f t="shared" ref="K90:N92" si="98">J90</f>
        <v>0</v>
      </c>
      <c r="L90" s="508">
        <f t="shared" si="98"/>
        <v>0</v>
      </c>
      <c r="M90" s="508">
        <f t="shared" si="98"/>
        <v>0</v>
      </c>
      <c r="N90" s="509">
        <f t="shared" si="98"/>
        <v>0</v>
      </c>
    </row>
    <row r="91" spans="2:14" ht="15.75" hidden="1" outlineLevel="1">
      <c r="B91" s="242" t="s">
        <v>95</v>
      </c>
      <c r="D91" s="224">
        <f t="shared" ref="D91:I91" si="99">D71/D$7</f>
        <v>1.5240712884035631E-2</v>
      </c>
      <c r="E91" s="224">
        <f t="shared" si="99"/>
        <v>1.1027368194559831E-2</v>
      </c>
      <c r="F91" s="224">
        <f t="shared" si="99"/>
        <v>1.0129129804057781E-2</v>
      </c>
      <c r="G91" s="224">
        <f t="shared" si="99"/>
        <v>1.1284058591480383E-2</v>
      </c>
      <c r="H91" s="224">
        <f t="shared" si="99"/>
        <v>1.3871960540529523E-2</v>
      </c>
      <c r="I91" s="224">
        <f t="shared" si="99"/>
        <v>1.3799433829824981E-2</v>
      </c>
      <c r="J91" s="508">
        <v>0</v>
      </c>
      <c r="K91" s="508">
        <f>J91</f>
        <v>0</v>
      </c>
      <c r="L91" s="250">
        <f t="shared" si="98"/>
        <v>0</v>
      </c>
      <c r="M91" s="250">
        <f t="shared" si="98"/>
        <v>0</v>
      </c>
      <c r="N91" s="316">
        <f t="shared" si="98"/>
        <v>0</v>
      </c>
    </row>
    <row r="92" spans="2:14" ht="15.75" hidden="1" outlineLevel="1">
      <c r="B92" s="242" t="s">
        <v>96</v>
      </c>
      <c r="D92" s="224">
        <f t="shared" ref="D92:I92" si="100">D72/D$7</f>
        <v>1.7506391566227769E-2</v>
      </c>
      <c r="E92" s="224">
        <f t="shared" si="100"/>
        <v>2.3495167681742386E-2</v>
      </c>
      <c r="F92" s="224">
        <f t="shared" si="100"/>
        <v>1.8940400057209407E-2</v>
      </c>
      <c r="G92" s="224">
        <f t="shared" si="100"/>
        <v>1.4446915122735434E-2</v>
      </c>
      <c r="H92" s="224">
        <f t="shared" si="100"/>
        <v>6.5222265250799993E-3</v>
      </c>
      <c r="I92" s="224">
        <f t="shared" si="100"/>
        <v>6.0512330013961415E-3</v>
      </c>
      <c r="J92" s="508">
        <v>0</v>
      </c>
      <c r="K92" s="508">
        <f>J92</f>
        <v>0</v>
      </c>
      <c r="L92" s="250">
        <f t="shared" si="98"/>
        <v>0</v>
      </c>
      <c r="M92" s="250">
        <f t="shared" si="98"/>
        <v>0</v>
      </c>
      <c r="N92" s="316">
        <f t="shared" si="98"/>
        <v>0</v>
      </c>
    </row>
    <row r="93" spans="2:14" ht="15.75" hidden="1" outlineLevel="1">
      <c r="B93" s="242" t="s">
        <v>97</v>
      </c>
      <c r="D93" s="224">
        <f>SUM(D94:D99)</f>
        <v>1.0591738320302586E-2</v>
      </c>
      <c r="E93" s="224">
        <f t="shared" ref="E93:I93" si="101">SUM(E94:E99)</f>
        <v>9.6407289419105733E-3</v>
      </c>
      <c r="F93" s="224">
        <f t="shared" si="101"/>
        <v>1.0333449114275788E-2</v>
      </c>
      <c r="G93" s="224">
        <f t="shared" si="101"/>
        <v>1.2258253351797893E-2</v>
      </c>
      <c r="H93" s="224">
        <f t="shared" si="101"/>
        <v>1.4658704115117301E-2</v>
      </c>
      <c r="I93" s="224">
        <f t="shared" si="101"/>
        <v>1.4316237668057669E-2</v>
      </c>
      <c r="J93" s="508">
        <f>SUM(J94:J99)</f>
        <v>0</v>
      </c>
      <c r="K93" s="508">
        <f t="shared" ref="K93:N93" si="102">SUM(K94:K99)</f>
        <v>0</v>
      </c>
      <c r="L93" s="508">
        <f t="shared" si="102"/>
        <v>0</v>
      </c>
      <c r="M93" s="508">
        <f t="shared" si="102"/>
        <v>0</v>
      </c>
      <c r="N93" s="509">
        <f t="shared" si="102"/>
        <v>0</v>
      </c>
    </row>
    <row r="94" spans="2:14" ht="15.75" hidden="1" outlineLevel="1">
      <c r="B94" s="315" t="s">
        <v>180</v>
      </c>
      <c r="C94" s="243"/>
      <c r="D94" s="250">
        <f t="shared" ref="D94:I99" si="103">D74/D$7</f>
        <v>1.2195046458793742E-3</v>
      </c>
      <c r="E94" s="250">
        <f t="shared" si="103"/>
        <v>1.4942233325961831E-3</v>
      </c>
      <c r="F94" s="250">
        <f t="shared" si="103"/>
        <v>8.7346505118198717E-4</v>
      </c>
      <c r="G94" s="250">
        <f t="shared" si="103"/>
        <v>9.3924606936441441E-4</v>
      </c>
      <c r="H94" s="250">
        <f t="shared" si="103"/>
        <v>1.2025355155616249E-3</v>
      </c>
      <c r="I94" s="250">
        <f t="shared" si="103"/>
        <v>1.1377397931241948E-3</v>
      </c>
      <c r="J94" s="519">
        <v>0</v>
      </c>
      <c r="K94" s="519">
        <f t="shared" ref="K94:N94" si="104">J94</f>
        <v>0</v>
      </c>
      <c r="L94" s="519">
        <f t="shared" si="104"/>
        <v>0</v>
      </c>
      <c r="M94" s="519">
        <f t="shared" si="104"/>
        <v>0</v>
      </c>
      <c r="N94" s="520">
        <f t="shared" si="104"/>
        <v>0</v>
      </c>
    </row>
    <row r="95" spans="2:14" ht="15.75" hidden="1" outlineLevel="1">
      <c r="B95" s="315" t="s">
        <v>181</v>
      </c>
      <c r="C95" s="243"/>
      <c r="D95" s="250">
        <f t="shared" si="103"/>
        <v>5.1937279080852541E-3</v>
      </c>
      <c r="E95" s="250">
        <f t="shared" si="103"/>
        <v>3.7116507581689191E-3</v>
      </c>
      <c r="F95" s="250">
        <f t="shared" si="103"/>
        <v>6.5944057372862306E-3</v>
      </c>
      <c r="G95" s="250">
        <f t="shared" si="103"/>
        <v>9.3400376572145023E-3</v>
      </c>
      <c r="H95" s="250">
        <f t="shared" si="103"/>
        <v>1.0423333265393474E-2</v>
      </c>
      <c r="I95" s="250">
        <f t="shared" si="103"/>
        <v>9.472165870891603E-3</v>
      </c>
      <c r="J95" s="519">
        <v>0</v>
      </c>
      <c r="K95" s="519">
        <f>J95</f>
        <v>0</v>
      </c>
      <c r="L95" s="519">
        <f t="shared" ref="L95:N95" si="105">K95</f>
        <v>0</v>
      </c>
      <c r="M95" s="519">
        <f t="shared" si="105"/>
        <v>0</v>
      </c>
      <c r="N95" s="520">
        <f t="shared" si="105"/>
        <v>0</v>
      </c>
    </row>
    <row r="96" spans="2:14" ht="15.75" hidden="1" outlineLevel="1">
      <c r="B96" s="315" t="s">
        <v>182</v>
      </c>
      <c r="C96" s="243"/>
      <c r="D96" s="250">
        <f t="shared" si="103"/>
        <v>1.7704483691446753E-3</v>
      </c>
      <c r="E96" s="250">
        <f t="shared" si="103"/>
        <v>1.3627316793277191E-3</v>
      </c>
      <c r="F96" s="250">
        <f t="shared" si="103"/>
        <v>7.6619741331753269E-4</v>
      </c>
      <c r="G96" s="250">
        <f t="shared" si="103"/>
        <v>4.9801884608159641E-4</v>
      </c>
      <c r="H96" s="250">
        <f t="shared" si="103"/>
        <v>1.0068687198092248E-3</v>
      </c>
      <c r="I96" s="250">
        <f t="shared" si="103"/>
        <v>1.1454532832470708E-3</v>
      </c>
      <c r="J96" s="519">
        <v>0</v>
      </c>
      <c r="K96" s="519">
        <f t="shared" ref="K96:N96" si="106">J96</f>
        <v>0</v>
      </c>
      <c r="L96" s="519">
        <f t="shared" si="106"/>
        <v>0</v>
      </c>
      <c r="M96" s="519">
        <f t="shared" si="106"/>
        <v>0</v>
      </c>
      <c r="N96" s="520">
        <f t="shared" si="106"/>
        <v>0</v>
      </c>
    </row>
    <row r="97" spans="1:14" ht="15.75" hidden="1" outlineLevel="1">
      <c r="B97" s="315" t="s">
        <v>183</v>
      </c>
      <c r="C97" s="243"/>
      <c r="D97" s="250">
        <f t="shared" si="103"/>
        <v>3.4047084022012985E-4</v>
      </c>
      <c r="E97" s="250">
        <f t="shared" si="103"/>
        <v>3.9447495980539235E-4</v>
      </c>
      <c r="F97" s="250">
        <f t="shared" si="103"/>
        <v>3.9842265492511696E-4</v>
      </c>
      <c r="G97" s="250">
        <f t="shared" si="103"/>
        <v>2.9706387310130314E-4</v>
      </c>
      <c r="H97" s="250">
        <f t="shared" si="103"/>
        <v>3.5872245887939993E-4</v>
      </c>
      <c r="I97" s="250">
        <f t="shared" si="103"/>
        <v>6.9421411105883082E-4</v>
      </c>
      <c r="J97" s="519">
        <v>0</v>
      </c>
      <c r="K97" s="519">
        <f>J97</f>
        <v>0</v>
      </c>
      <c r="L97" s="519">
        <f t="shared" ref="L97:N97" si="107">K97</f>
        <v>0</v>
      </c>
      <c r="M97" s="519">
        <f t="shared" si="107"/>
        <v>0</v>
      </c>
      <c r="N97" s="520">
        <f t="shared" si="107"/>
        <v>0</v>
      </c>
    </row>
    <row r="98" spans="1:14" ht="15.75" hidden="1" outlineLevel="1">
      <c r="B98" s="315" t="s">
        <v>184</v>
      </c>
      <c r="C98" s="243"/>
      <c r="D98" s="250">
        <f t="shared" si="103"/>
        <v>2.2285364087135773E-4</v>
      </c>
      <c r="E98" s="250">
        <f t="shared" si="103"/>
        <v>1.9723747990269618E-4</v>
      </c>
      <c r="F98" s="250">
        <f t="shared" si="103"/>
        <v>1.1748360337535501E-4</v>
      </c>
      <c r="G98" s="250">
        <f t="shared" si="103"/>
        <v>2.7522094125561909E-4</v>
      </c>
      <c r="H98" s="250">
        <f t="shared" si="103"/>
        <v>7.9897274932229985E-4</v>
      </c>
      <c r="I98" s="250">
        <f t="shared" si="103"/>
        <v>8.7162438388497642E-4</v>
      </c>
      <c r="J98" s="519">
        <v>0</v>
      </c>
      <c r="K98" s="519">
        <f>J98</f>
        <v>0</v>
      </c>
      <c r="L98" s="519">
        <f t="shared" ref="L98:N98" si="108">K98</f>
        <v>0</v>
      </c>
      <c r="M98" s="519">
        <f t="shared" si="108"/>
        <v>0</v>
      </c>
      <c r="N98" s="520">
        <f t="shared" si="108"/>
        <v>0</v>
      </c>
    </row>
    <row r="99" spans="1:14" ht="15.75" hidden="1" outlineLevel="1">
      <c r="B99" s="311" t="s">
        <v>185</v>
      </c>
      <c r="C99" s="245"/>
      <c r="D99" s="253">
        <f t="shared" si="103"/>
        <v>1.8447329161017947E-3</v>
      </c>
      <c r="E99" s="253">
        <f t="shared" si="103"/>
        <v>2.4804107321096639E-3</v>
      </c>
      <c r="F99" s="253">
        <f t="shared" si="103"/>
        <v>1.5834746541895674E-3</v>
      </c>
      <c r="G99" s="253">
        <f t="shared" si="103"/>
        <v>9.0866596478045671E-4</v>
      </c>
      <c r="H99" s="253">
        <f t="shared" si="103"/>
        <v>8.6827140615127493E-4</v>
      </c>
      <c r="I99" s="253">
        <f t="shared" si="103"/>
        <v>9.9504022585099089E-4</v>
      </c>
      <c r="J99" s="525">
        <v>0</v>
      </c>
      <c r="K99" s="525">
        <f t="shared" ref="K99:N99" si="109">J99</f>
        <v>0</v>
      </c>
      <c r="L99" s="525">
        <f t="shared" si="109"/>
        <v>0</v>
      </c>
      <c r="M99" s="525">
        <f t="shared" si="109"/>
        <v>0</v>
      </c>
      <c r="N99" s="526">
        <f t="shared" si="109"/>
        <v>0</v>
      </c>
    </row>
    <row r="100" spans="1:14" collapsed="1">
      <c r="A100" t="s">
        <v>58</v>
      </c>
    </row>
  </sheetData>
  <mergeCells count="2">
    <mergeCell ref="D2:I2"/>
    <mergeCell ref="J2:N2"/>
  </mergeCells>
  <pageMargins left="0.7" right="0.7" top="0.75" bottom="0.75" header="0.3" footer="0.3"/>
  <pageSetup orientation="portrait" r:id="rId1"/>
  <ignoredErrors>
    <ignoredError sqref="D93:I93 D85:I85 D42:I42 K85:N85 K93:N93 K50:N50 J14:N14" formula="1"/>
    <ignoredError sqref="D65:I65 D17:I17 J85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2:O48"/>
  <sheetViews>
    <sheetView showGridLines="0" zoomScale="70" zoomScaleNormal="70" workbookViewId="0">
      <pane xSplit="3" ySplit="5" topLeftCell="D6" activePane="bottomRight" state="frozen"/>
      <selection activeCell="D21" sqref="D21"/>
      <selection pane="topRight" activeCell="D21" sqref="D21"/>
      <selection pane="bottomLeft" activeCell="D21" sqref="D21"/>
      <selection pane="bottomRight" activeCell="P16" sqref="P16"/>
    </sheetView>
  </sheetViews>
  <sheetFormatPr defaultRowHeight="15" outlineLevelRow="1"/>
  <cols>
    <col min="1" max="1" width="3.140625" customWidth="1"/>
    <col min="2" max="2" width="37.42578125" customWidth="1"/>
    <col min="3" max="3" width="7.140625" customWidth="1"/>
    <col min="4" max="14" width="15" customWidth="1"/>
  </cols>
  <sheetData>
    <row r="2" spans="1:14" ht="15.75">
      <c r="B2" s="3" t="s">
        <v>57</v>
      </c>
      <c r="C2" s="3"/>
      <c r="D2" s="605" t="s">
        <v>0</v>
      </c>
      <c r="E2" s="605"/>
      <c r="F2" s="605"/>
      <c r="G2" s="605"/>
      <c r="H2" s="605"/>
      <c r="I2" s="605"/>
      <c r="J2" s="606" t="s">
        <v>1</v>
      </c>
      <c r="K2" s="606"/>
      <c r="L2" s="606"/>
      <c r="M2" s="606"/>
      <c r="N2" s="606"/>
    </row>
    <row r="3" spans="1:14" ht="15.75">
      <c r="B3" s="22" t="s">
        <v>56</v>
      </c>
      <c r="C3" s="22"/>
      <c r="D3" s="266">
        <v>2020</v>
      </c>
      <c r="E3" s="266">
        <f>D3+1</f>
        <v>2021</v>
      </c>
      <c r="F3" s="259">
        <f t="shared" ref="F3:N3" si="0">E3+1</f>
        <v>2022</v>
      </c>
      <c r="G3" s="259">
        <f t="shared" si="0"/>
        <v>2023</v>
      </c>
      <c r="H3" s="259">
        <f t="shared" si="0"/>
        <v>2024</v>
      </c>
      <c r="I3" s="259">
        <f t="shared" si="0"/>
        <v>2025</v>
      </c>
      <c r="J3" s="260">
        <f t="shared" si="0"/>
        <v>2026</v>
      </c>
      <c r="K3" s="260">
        <f t="shared" si="0"/>
        <v>2027</v>
      </c>
      <c r="L3" s="260">
        <f t="shared" si="0"/>
        <v>2028</v>
      </c>
      <c r="M3" s="260">
        <f t="shared" si="0"/>
        <v>2029</v>
      </c>
      <c r="N3" s="260">
        <f t="shared" si="0"/>
        <v>2030</v>
      </c>
    </row>
    <row r="4" spans="1:14" ht="15.75">
      <c r="B4" s="9" t="s">
        <v>3</v>
      </c>
      <c r="C4" s="9"/>
      <c r="D4" s="16">
        <v>43921</v>
      </c>
      <c r="E4" s="17">
        <f>EOMONTH(D4,12)</f>
        <v>44286</v>
      </c>
      <c r="F4" s="17">
        <f t="shared" ref="F4:N4" si="1">EOMONTH(E4,12)</f>
        <v>44651</v>
      </c>
      <c r="G4" s="17">
        <f t="shared" si="1"/>
        <v>45016</v>
      </c>
      <c r="H4" s="17">
        <f t="shared" si="1"/>
        <v>45382</v>
      </c>
      <c r="I4" s="17">
        <f t="shared" si="1"/>
        <v>45747</v>
      </c>
      <c r="J4" s="17">
        <f t="shared" si="1"/>
        <v>46112</v>
      </c>
      <c r="K4" s="17">
        <f t="shared" si="1"/>
        <v>46477</v>
      </c>
      <c r="L4" s="17">
        <f t="shared" si="1"/>
        <v>46843</v>
      </c>
      <c r="M4" s="17">
        <f t="shared" si="1"/>
        <v>47208</v>
      </c>
      <c r="N4" s="17">
        <f t="shared" si="1"/>
        <v>47573</v>
      </c>
    </row>
    <row r="5" spans="1:14" ht="15.75">
      <c r="B5" s="9" t="s">
        <v>4</v>
      </c>
      <c r="C5" s="9"/>
      <c r="D5" s="18">
        <v>366</v>
      </c>
      <c r="E5" s="19">
        <f>E4-D4</f>
        <v>365</v>
      </c>
      <c r="F5" s="19">
        <f t="shared" ref="F5:N5" si="2">F4-E4</f>
        <v>365</v>
      </c>
      <c r="G5" s="19">
        <f t="shared" si="2"/>
        <v>365</v>
      </c>
      <c r="H5" s="19">
        <f t="shared" si="2"/>
        <v>366</v>
      </c>
      <c r="I5" s="19">
        <f t="shared" si="2"/>
        <v>365</v>
      </c>
      <c r="J5" s="19">
        <f t="shared" si="2"/>
        <v>365</v>
      </c>
      <c r="K5" s="19">
        <f t="shared" si="2"/>
        <v>365</v>
      </c>
      <c r="L5" s="19">
        <f t="shared" si="2"/>
        <v>366</v>
      </c>
      <c r="M5" s="19">
        <f t="shared" si="2"/>
        <v>365</v>
      </c>
      <c r="N5" s="19">
        <f t="shared" si="2"/>
        <v>365</v>
      </c>
    </row>
    <row r="7" spans="1:14" ht="15.75">
      <c r="B7" s="202" t="s">
        <v>6</v>
      </c>
      <c r="C7" s="200"/>
      <c r="D7" s="230">
        <f>Model!D11</f>
        <v>161541</v>
      </c>
      <c r="E7" s="230">
        <f>Model!E11</f>
        <v>167311</v>
      </c>
      <c r="F7" s="230">
        <f>Model!F11</f>
        <v>195772</v>
      </c>
      <c r="G7" s="230">
        <f>Model!G11</f>
        <v>228907</v>
      </c>
      <c r="H7" s="230">
        <f>Model!H11</f>
        <v>245315</v>
      </c>
      <c r="I7" s="230">
        <f>Model!I11</f>
        <v>259286</v>
      </c>
      <c r="J7" s="230">
        <f>Model!J11</f>
        <v>270638.50922181818</v>
      </c>
      <c r="K7" s="230">
        <f>Model!K11</f>
        <v>284157.11076244805</v>
      </c>
      <c r="L7" s="230">
        <f>Model!L11</f>
        <v>298350.97685028234</v>
      </c>
      <c r="M7" s="230">
        <f>Model!M11</f>
        <v>313253.8374694665</v>
      </c>
      <c r="N7" s="231">
        <f>Model!N11</f>
        <v>328901.1074428545</v>
      </c>
    </row>
    <row r="8" spans="1:14" ht="15.75">
      <c r="B8" s="203" t="s">
        <v>171</v>
      </c>
      <c r="C8" s="201"/>
      <c r="D8" s="232">
        <f>SUM('Revenue&amp;Expenses'!D53,'Revenue&amp;Expenses'!D58,'Revenue&amp;Expenses'!D63,'Revenue&amp;Expenses'!D65:D66)</f>
        <v>105682</v>
      </c>
      <c r="E8" s="232">
        <f>SUM('Revenue&amp;Expenses'!E53,'Revenue&amp;Expenses'!E58,'Revenue&amp;Expenses'!E63,'Revenue&amp;Expenses'!E65:E66)</f>
        <v>109467</v>
      </c>
      <c r="F8" s="232">
        <f>SUM('Revenue&amp;Expenses'!F53,'Revenue&amp;Expenses'!F58,'Revenue&amp;Expenses'!F63,'Revenue&amp;Expenses'!F65:F66)</f>
        <v>129765</v>
      </c>
      <c r="G8" s="232">
        <f>SUM('Revenue&amp;Expenses'!G53,'Revenue&amp;Expenses'!G58,'Revenue&amp;Expenses'!G63,'Revenue&amp;Expenses'!G65:G66)</f>
        <v>155661</v>
      </c>
      <c r="H8" s="232">
        <f>SUM('Revenue&amp;Expenses'!H53,'Revenue&amp;Expenses'!H58,'Revenue&amp;Expenses'!H63,'Revenue&amp;Expenses'!H65:H66)</f>
        <v>164884</v>
      </c>
      <c r="I8" s="232">
        <f>SUM('Revenue&amp;Expenses'!I53,'Revenue&amp;Expenses'!I58,'Revenue&amp;Expenses'!I63,'Revenue&amp;Expenses'!I65:I66)</f>
        <v>174709</v>
      </c>
      <c r="J8" s="232">
        <f>SUM('Revenue&amp;Expenses'!J53,'Revenue&amp;Expenses'!J58,'Revenue&amp;Expenses'!J63,'Revenue&amp;Expenses'!J65:J66)</f>
        <v>181508.31688999999</v>
      </c>
      <c r="K8" s="232">
        <f>SUM('Revenue&amp;Expenses'!K53,'Revenue&amp;Expenses'!K58,'Revenue&amp;Expenses'!K63,'Revenue&amp;Expenses'!K65:K66)</f>
        <v>191491.27431895002</v>
      </c>
      <c r="L8" s="232">
        <f>SUM('Revenue&amp;Expenses'!L53,'Revenue&amp;Expenses'!L58,'Revenue&amp;Expenses'!L63,'Revenue&amp;Expenses'!L65:L66)</f>
        <v>202023.29440649223</v>
      </c>
      <c r="M8" s="232">
        <f>SUM('Revenue&amp;Expenses'!M53,'Revenue&amp;Expenses'!M58,'Revenue&amp;Expenses'!M63,'Revenue&amp;Expenses'!M65:M66)</f>
        <v>213134.5755988493</v>
      </c>
      <c r="N8" s="233">
        <f>SUM('Revenue&amp;Expenses'!N53,'Revenue&amp;Expenses'!N58,'Revenue&amp;Expenses'!N63,'Revenue&amp;Expenses'!N65:N66)</f>
        <v>224856.97725678602</v>
      </c>
    </row>
    <row r="9" spans="1:14" ht="5.45" customHeight="1"/>
    <row r="10" spans="1:14" ht="21">
      <c r="A10" s="23" t="s">
        <v>58</v>
      </c>
      <c r="B10" s="194" t="s">
        <v>24</v>
      </c>
      <c r="C10" s="194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</row>
    <row r="11" spans="1:14" ht="4.5" customHeight="1"/>
    <row r="12" spans="1:14" ht="15.75">
      <c r="B12" s="191" t="s">
        <v>106</v>
      </c>
      <c r="C12" s="199"/>
      <c r="D12" s="173">
        <v>6740</v>
      </c>
      <c r="E12" s="173">
        <v>7860</v>
      </c>
      <c r="F12" s="173">
        <v>8045</v>
      </c>
      <c r="G12" s="173">
        <v>10515</v>
      </c>
      <c r="H12" s="173">
        <v>9981</v>
      </c>
      <c r="I12" s="173">
        <v>13909</v>
      </c>
      <c r="J12" s="511">
        <f>J8*J24/J5</f>
        <v>14918.491799178082</v>
      </c>
      <c r="K12" s="511">
        <f>K8*K24/K5</f>
        <v>15739.008848132877</v>
      </c>
      <c r="L12" s="511">
        <f>L8*L24/L5</f>
        <v>16559.286426761657</v>
      </c>
      <c r="M12" s="511">
        <f>M8*M24/M5</f>
        <v>17517.910323193093</v>
      </c>
      <c r="N12" s="512">
        <f>N8*N24/N5</f>
        <v>18481.395390968715</v>
      </c>
    </row>
    <row r="13" spans="1:14" ht="15.75">
      <c r="B13" s="190" t="s">
        <v>103</v>
      </c>
      <c r="C13" s="15"/>
      <c r="D13" s="102">
        <v>2915</v>
      </c>
      <c r="E13" s="102">
        <v>3650</v>
      </c>
      <c r="F13" s="102">
        <v>3635</v>
      </c>
      <c r="G13" s="102">
        <v>3843</v>
      </c>
      <c r="H13" s="102">
        <v>3640</v>
      </c>
      <c r="I13" s="102">
        <v>4028</v>
      </c>
      <c r="J13" s="513">
        <f>I13</f>
        <v>4028</v>
      </c>
      <c r="K13" s="513">
        <f t="shared" ref="K13:N13" si="3">J13</f>
        <v>4028</v>
      </c>
      <c r="L13" s="513">
        <f t="shared" si="3"/>
        <v>4028</v>
      </c>
      <c r="M13" s="513">
        <f t="shared" si="3"/>
        <v>4028</v>
      </c>
      <c r="N13" s="382">
        <f t="shared" si="3"/>
        <v>4028</v>
      </c>
    </row>
    <row r="14" spans="1:14" ht="15.75">
      <c r="B14" s="190" t="s">
        <v>107</v>
      </c>
      <c r="D14" s="102">
        <f t="shared" ref="D14:I14" si="4">SUM(D15:D19)</f>
        <v>3283</v>
      </c>
      <c r="E14" s="102">
        <f t="shared" si="4"/>
        <v>4068</v>
      </c>
      <c r="F14" s="102">
        <f t="shared" si="4"/>
        <v>8392</v>
      </c>
      <c r="G14" s="102">
        <f t="shared" si="4"/>
        <v>4892</v>
      </c>
      <c r="H14" s="102">
        <f t="shared" si="4"/>
        <v>6524</v>
      </c>
      <c r="I14" s="102">
        <f t="shared" si="4"/>
        <v>7188</v>
      </c>
      <c r="J14" s="513">
        <f>SUM(J15:J19)</f>
        <v>7188</v>
      </c>
      <c r="K14" s="513">
        <f t="shared" ref="K14:N14" si="5">SUM(K15:K19)</f>
        <v>7188</v>
      </c>
      <c r="L14" s="513">
        <f t="shared" si="5"/>
        <v>7188</v>
      </c>
      <c r="M14" s="513">
        <f t="shared" si="5"/>
        <v>7188</v>
      </c>
      <c r="N14" s="382">
        <f t="shared" si="5"/>
        <v>7188</v>
      </c>
    </row>
    <row r="15" spans="1:14" ht="15.75" hidden="1" outlineLevel="1">
      <c r="B15" s="240" t="s">
        <v>192</v>
      </c>
      <c r="C15" s="244"/>
      <c r="D15" s="320">
        <v>345</v>
      </c>
      <c r="E15" s="320">
        <v>312</v>
      </c>
      <c r="F15" s="320">
        <v>468</v>
      </c>
      <c r="G15" s="320">
        <v>543</v>
      </c>
      <c r="H15" s="320">
        <v>1841</v>
      </c>
      <c r="I15" s="320">
        <v>1896</v>
      </c>
      <c r="J15" s="513">
        <f>I15</f>
        <v>1896</v>
      </c>
      <c r="K15" s="513">
        <f t="shared" ref="K15:N15" si="6">J15</f>
        <v>1896</v>
      </c>
      <c r="L15" s="513">
        <f t="shared" si="6"/>
        <v>1896</v>
      </c>
      <c r="M15" s="513">
        <f t="shared" si="6"/>
        <v>1896</v>
      </c>
      <c r="N15" s="382">
        <f t="shared" si="6"/>
        <v>1896</v>
      </c>
    </row>
    <row r="16" spans="1:14" ht="31.5" hidden="1" outlineLevel="1">
      <c r="B16" s="323" t="s">
        <v>193</v>
      </c>
      <c r="C16" s="244"/>
      <c r="D16" s="321">
        <v>2874</v>
      </c>
      <c r="E16" s="321">
        <v>3726</v>
      </c>
      <c r="F16" s="321">
        <v>3632</v>
      </c>
      <c r="G16" s="321">
        <v>4119</v>
      </c>
      <c r="H16" s="321">
        <v>4330</v>
      </c>
      <c r="I16" s="321">
        <v>4817</v>
      </c>
      <c r="J16" s="514">
        <f>I16</f>
        <v>4817</v>
      </c>
      <c r="K16" s="514">
        <f t="shared" ref="K16:N16" si="7">J16</f>
        <v>4817</v>
      </c>
      <c r="L16" s="514">
        <f t="shared" si="7"/>
        <v>4817</v>
      </c>
      <c r="M16" s="514">
        <f t="shared" si="7"/>
        <v>4817</v>
      </c>
      <c r="N16" s="515">
        <f t="shared" si="7"/>
        <v>4817</v>
      </c>
    </row>
    <row r="17" spans="2:15" ht="15.75" hidden="1" outlineLevel="1">
      <c r="B17" s="240" t="s">
        <v>194</v>
      </c>
      <c r="C17" s="244"/>
      <c r="D17" s="320">
        <v>2</v>
      </c>
      <c r="E17" s="320">
        <v>0</v>
      </c>
      <c r="F17" s="320">
        <v>0</v>
      </c>
      <c r="G17" s="320">
        <v>0</v>
      </c>
      <c r="H17" s="320">
        <v>0</v>
      </c>
      <c r="I17" s="320">
        <v>0</v>
      </c>
      <c r="J17" s="513">
        <f t="shared" ref="J17:N17" si="8">I17</f>
        <v>0</v>
      </c>
      <c r="K17" s="513">
        <f t="shared" si="8"/>
        <v>0</v>
      </c>
      <c r="L17" s="513">
        <f t="shared" si="8"/>
        <v>0</v>
      </c>
      <c r="M17" s="513">
        <f t="shared" si="8"/>
        <v>0</v>
      </c>
      <c r="N17" s="382">
        <f t="shared" si="8"/>
        <v>0</v>
      </c>
    </row>
    <row r="18" spans="2:15" ht="15.75" hidden="1" outlineLevel="1">
      <c r="B18" s="240" t="s">
        <v>195</v>
      </c>
      <c r="C18" s="244"/>
      <c r="D18" s="320">
        <v>0</v>
      </c>
      <c r="E18" s="320">
        <v>0</v>
      </c>
      <c r="F18" s="320">
        <v>4192</v>
      </c>
      <c r="G18" s="320">
        <v>0</v>
      </c>
      <c r="H18" s="320">
        <v>0</v>
      </c>
      <c r="I18" s="320">
        <v>0</v>
      </c>
      <c r="J18" s="513">
        <f t="shared" ref="J18:N18" si="9">I18</f>
        <v>0</v>
      </c>
      <c r="K18" s="513">
        <f t="shared" si="9"/>
        <v>0</v>
      </c>
      <c r="L18" s="513">
        <f t="shared" si="9"/>
        <v>0</v>
      </c>
      <c r="M18" s="513">
        <f t="shared" si="9"/>
        <v>0</v>
      </c>
      <c r="N18" s="382">
        <f t="shared" si="9"/>
        <v>0</v>
      </c>
    </row>
    <row r="19" spans="2:15" ht="15.75" hidden="1" outlineLevel="1">
      <c r="B19" s="240" t="s">
        <v>185</v>
      </c>
      <c r="C19" s="244"/>
      <c r="D19" s="320">
        <v>62</v>
      </c>
      <c r="E19" s="320">
        <v>30</v>
      </c>
      <c r="F19" s="320">
        <v>100</v>
      </c>
      <c r="G19" s="320">
        <v>230</v>
      </c>
      <c r="H19" s="320">
        <v>353</v>
      </c>
      <c r="I19" s="320">
        <v>475</v>
      </c>
      <c r="J19" s="513">
        <f t="shared" ref="J19:N19" si="10">I19</f>
        <v>475</v>
      </c>
      <c r="K19" s="513">
        <f t="shared" si="10"/>
        <v>475</v>
      </c>
      <c r="L19" s="513">
        <f t="shared" si="10"/>
        <v>475</v>
      </c>
      <c r="M19" s="513">
        <f t="shared" si="10"/>
        <v>475</v>
      </c>
      <c r="N19" s="382">
        <f t="shared" si="10"/>
        <v>475</v>
      </c>
    </row>
    <row r="20" spans="2:15" ht="15.75" collapsed="1">
      <c r="B20" s="190" t="s">
        <v>25</v>
      </c>
      <c r="D20" s="102">
        <v>293</v>
      </c>
      <c r="E20" s="102">
        <v>1394</v>
      </c>
      <c r="F20" s="102">
        <v>1411</v>
      </c>
      <c r="G20" s="102">
        <v>345</v>
      </c>
      <c r="H20" s="102">
        <v>140</v>
      </c>
      <c r="I20" s="102">
        <v>180</v>
      </c>
      <c r="J20" s="513">
        <f t="shared" ref="J20:N20" si="11">I20</f>
        <v>180</v>
      </c>
      <c r="K20" s="513">
        <f t="shared" si="11"/>
        <v>180</v>
      </c>
      <c r="L20" s="513">
        <f t="shared" si="11"/>
        <v>180</v>
      </c>
      <c r="M20" s="513">
        <f t="shared" si="11"/>
        <v>180</v>
      </c>
      <c r="N20" s="382">
        <f t="shared" si="11"/>
        <v>180</v>
      </c>
    </row>
    <row r="21" spans="2:15" ht="15.75">
      <c r="B21" s="190" t="s">
        <v>104</v>
      </c>
      <c r="D21" s="102">
        <v>2749</v>
      </c>
      <c r="E21" s="102">
        <v>3498</v>
      </c>
      <c r="F21" s="102">
        <v>3810</v>
      </c>
      <c r="G21" s="102">
        <v>4065</v>
      </c>
      <c r="H21" s="102">
        <v>4519</v>
      </c>
      <c r="I21" s="102">
        <v>4885</v>
      </c>
      <c r="J21" s="513">
        <f t="shared" ref="J21:N21" si="12">I21</f>
        <v>4885</v>
      </c>
      <c r="K21" s="513">
        <f t="shared" si="12"/>
        <v>4885</v>
      </c>
      <c r="L21" s="513">
        <f t="shared" si="12"/>
        <v>4885</v>
      </c>
      <c r="M21" s="513">
        <f t="shared" si="12"/>
        <v>4885</v>
      </c>
      <c r="N21" s="382">
        <f t="shared" si="12"/>
        <v>4885</v>
      </c>
    </row>
    <row r="22" spans="2:15" ht="15.75">
      <c r="B22" s="192" t="s">
        <v>108</v>
      </c>
      <c r="C22" s="111"/>
      <c r="D22" s="269">
        <v>3712</v>
      </c>
      <c r="E22" s="269">
        <v>6243</v>
      </c>
      <c r="F22" s="269">
        <v>7921</v>
      </c>
      <c r="G22" s="269">
        <v>9345</v>
      </c>
      <c r="H22" s="269">
        <v>11433</v>
      </c>
      <c r="I22" s="269">
        <v>12715</v>
      </c>
      <c r="J22" s="516">
        <f t="shared" ref="J22:N22" si="13">I22</f>
        <v>12715</v>
      </c>
      <c r="K22" s="516">
        <f t="shared" si="13"/>
        <v>12715</v>
      </c>
      <c r="L22" s="516">
        <f t="shared" si="13"/>
        <v>12715</v>
      </c>
      <c r="M22" s="516">
        <f t="shared" si="13"/>
        <v>12715</v>
      </c>
      <c r="N22" s="517">
        <f t="shared" si="13"/>
        <v>12715</v>
      </c>
    </row>
    <row r="23" spans="2:15" ht="4.5" customHeight="1"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2:15" ht="15.75">
      <c r="B24" s="229" t="s">
        <v>177</v>
      </c>
      <c r="C24" s="115"/>
      <c r="D24" s="221">
        <f t="shared" ref="D24:I24" si="14">D12/D8*D5</f>
        <v>23.3421017770292</v>
      </c>
      <c r="E24" s="221">
        <f t="shared" si="14"/>
        <v>26.20789827071172</v>
      </c>
      <c r="F24" s="221">
        <f t="shared" si="14"/>
        <v>22.628790505914537</v>
      </c>
      <c r="G24" s="221">
        <f t="shared" si="14"/>
        <v>24.655983194249043</v>
      </c>
      <c r="H24" s="221">
        <f t="shared" si="14"/>
        <v>22.155248538366365</v>
      </c>
      <c r="I24" s="221">
        <f t="shared" si="14"/>
        <v>29.058520167821921</v>
      </c>
      <c r="J24" s="329">
        <v>30</v>
      </c>
      <c r="K24" s="329">
        <f>J24</f>
        <v>30</v>
      </c>
      <c r="L24" s="329">
        <f t="shared" ref="L24:N24" si="15">K24</f>
        <v>30</v>
      </c>
      <c r="M24" s="329">
        <f t="shared" si="15"/>
        <v>30</v>
      </c>
      <c r="N24" s="330">
        <f t="shared" si="15"/>
        <v>30</v>
      </c>
    </row>
    <row r="25" spans="2:15" ht="5.45" customHeight="1"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2:15" ht="15.75" hidden="1" outlineLevel="1">
      <c r="B26" s="238" t="s">
        <v>169</v>
      </c>
      <c r="C26" s="199"/>
      <c r="D26" s="228"/>
      <c r="E26" s="228"/>
      <c r="F26" s="228"/>
      <c r="G26" s="228"/>
      <c r="H26" s="228"/>
      <c r="I26" s="228"/>
      <c r="J26" s="222"/>
      <c r="K26" s="222"/>
      <c r="L26" s="222"/>
      <c r="M26" s="222"/>
      <c r="N26" s="223"/>
    </row>
    <row r="27" spans="2:15" ht="15.75" hidden="1" outlineLevel="1">
      <c r="B27" s="190" t="s">
        <v>103</v>
      </c>
      <c r="C27" s="196"/>
      <c r="D27" s="251">
        <f>D13/D$7</f>
        <v>1.8044954531666883E-2</v>
      </c>
      <c r="E27" s="251">
        <f t="shared" ref="E27:I27" si="16">E13/E$7</f>
        <v>2.1815660655904272E-2</v>
      </c>
      <c r="F27" s="251">
        <f t="shared" si="16"/>
        <v>1.856751731606154E-2</v>
      </c>
      <c r="G27" s="251">
        <f t="shared" si="16"/>
        <v>1.6788477416592763E-2</v>
      </c>
      <c r="H27" s="251">
        <f t="shared" si="16"/>
        <v>1.4838065344556998E-2</v>
      </c>
      <c r="I27" s="251">
        <f t="shared" si="16"/>
        <v>1.5534969107472058E-2</v>
      </c>
      <c r="J27" s="250">
        <v>0</v>
      </c>
      <c r="K27" s="250">
        <f>J27</f>
        <v>0</v>
      </c>
      <c r="L27" s="250">
        <f t="shared" ref="L27:N27" si="17">K27</f>
        <v>0</v>
      </c>
      <c r="M27" s="250">
        <f t="shared" si="17"/>
        <v>0</v>
      </c>
      <c r="N27" s="316">
        <f t="shared" si="17"/>
        <v>0</v>
      </c>
      <c r="O27" s="4"/>
    </row>
    <row r="28" spans="2:15" ht="18.600000000000001" hidden="1" customHeight="1" outlineLevel="1">
      <c r="B28" s="190" t="s">
        <v>107</v>
      </c>
      <c r="C28" s="248"/>
      <c r="D28" s="251">
        <f t="shared" ref="D28:I28" si="18">D14/D$7</f>
        <v>2.0323013971685205E-2</v>
      </c>
      <c r="E28" s="251">
        <f t="shared" si="18"/>
        <v>2.4314002068005092E-2</v>
      </c>
      <c r="F28" s="251">
        <f t="shared" si="18"/>
        <v>4.2866191283738225E-2</v>
      </c>
      <c r="G28" s="251">
        <f t="shared" si="18"/>
        <v>2.137112451781728E-2</v>
      </c>
      <c r="H28" s="251">
        <f t="shared" si="18"/>
        <v>2.6594378656013697E-2</v>
      </c>
      <c r="I28" s="251">
        <f t="shared" si="18"/>
        <v>2.7722283501615975E-2</v>
      </c>
      <c r="J28" s="250">
        <f>SUM(J29:J33)</f>
        <v>0</v>
      </c>
      <c r="K28" s="250">
        <f t="shared" ref="K28:N28" si="19">SUM(K29:K33)</f>
        <v>0</v>
      </c>
      <c r="L28" s="250">
        <f t="shared" si="19"/>
        <v>0</v>
      </c>
      <c r="M28" s="250">
        <f t="shared" si="19"/>
        <v>0</v>
      </c>
      <c r="N28" s="316">
        <f t="shared" si="19"/>
        <v>0</v>
      </c>
      <c r="O28" s="4"/>
    </row>
    <row r="29" spans="2:15" ht="15.75" hidden="1" outlineLevel="1">
      <c r="B29" s="240" t="s">
        <v>192</v>
      </c>
      <c r="C29" s="322"/>
      <c r="D29" s="251">
        <f t="shared" ref="D29:I29" si="20">D15/D$7</f>
        <v>2.1356807250171783E-3</v>
      </c>
      <c r="E29" s="251">
        <f t="shared" si="20"/>
        <v>1.8647907190800367E-3</v>
      </c>
      <c r="F29" s="251">
        <f t="shared" si="20"/>
        <v>2.3905359295507017E-3</v>
      </c>
      <c r="G29" s="251">
        <f t="shared" si="20"/>
        <v>2.3721423984412885E-3</v>
      </c>
      <c r="H29" s="251">
        <f t="shared" si="20"/>
        <v>7.5046368954201741E-3</v>
      </c>
      <c r="I29" s="251">
        <f t="shared" si="20"/>
        <v>7.312388636486351E-3</v>
      </c>
      <c r="J29" s="250">
        <v>0</v>
      </c>
      <c r="K29" s="250">
        <f>J29</f>
        <v>0</v>
      </c>
      <c r="L29" s="250">
        <f t="shared" ref="L29:N29" si="21">K29</f>
        <v>0</v>
      </c>
      <c r="M29" s="250">
        <f t="shared" si="21"/>
        <v>0</v>
      </c>
      <c r="N29" s="316">
        <f t="shared" si="21"/>
        <v>0</v>
      </c>
      <c r="O29" s="4"/>
    </row>
    <row r="30" spans="2:15" ht="31.5" hidden="1" outlineLevel="1">
      <c r="B30" s="323" t="s">
        <v>193</v>
      </c>
      <c r="C30" s="322"/>
      <c r="D30" s="324">
        <f t="shared" ref="D30:I30" si="22">D16/D$7</f>
        <v>1.779114899623006E-2</v>
      </c>
      <c r="E30" s="324">
        <f t="shared" si="22"/>
        <v>2.2269904549013515E-2</v>
      </c>
      <c r="F30" s="324">
        <f t="shared" si="22"/>
        <v>1.8552193367795192E-2</v>
      </c>
      <c r="G30" s="324">
        <f t="shared" si="22"/>
        <v>1.7994207254474523E-2</v>
      </c>
      <c r="H30" s="324">
        <f t="shared" si="22"/>
        <v>1.7650775533497746E-2</v>
      </c>
      <c r="I30" s="324">
        <f t="shared" si="22"/>
        <v>1.8577940960946601E-2</v>
      </c>
      <c r="J30" s="328">
        <v>0</v>
      </c>
      <c r="K30" s="328">
        <f t="shared" ref="K30:N30" si="23">J30</f>
        <v>0</v>
      </c>
      <c r="L30" s="328">
        <f t="shared" si="23"/>
        <v>0</v>
      </c>
      <c r="M30" s="328">
        <f t="shared" si="23"/>
        <v>0</v>
      </c>
      <c r="N30" s="360">
        <f t="shared" si="23"/>
        <v>0</v>
      </c>
      <c r="O30" s="4"/>
    </row>
    <row r="31" spans="2:15" ht="15.75" hidden="1" outlineLevel="1">
      <c r="B31" s="240" t="s">
        <v>194</v>
      </c>
      <c r="C31" s="322"/>
      <c r="D31" s="251">
        <f t="shared" ref="D31:I31" si="24">D17/D$7</f>
        <v>1.2380757826186541E-5</v>
      </c>
      <c r="E31" s="251">
        <f t="shared" si="24"/>
        <v>0</v>
      </c>
      <c r="F31" s="251">
        <f t="shared" si="24"/>
        <v>0</v>
      </c>
      <c r="G31" s="251">
        <f t="shared" si="24"/>
        <v>0</v>
      </c>
      <c r="H31" s="251">
        <f t="shared" si="24"/>
        <v>0</v>
      </c>
      <c r="I31" s="251">
        <f t="shared" si="24"/>
        <v>0</v>
      </c>
      <c r="J31" s="250">
        <v>0</v>
      </c>
      <c r="K31" s="250">
        <f t="shared" ref="K31:N31" si="25">J31</f>
        <v>0</v>
      </c>
      <c r="L31" s="250">
        <f t="shared" si="25"/>
        <v>0</v>
      </c>
      <c r="M31" s="250">
        <f t="shared" si="25"/>
        <v>0</v>
      </c>
      <c r="N31" s="316">
        <f t="shared" si="25"/>
        <v>0</v>
      </c>
      <c r="O31" s="4"/>
    </row>
    <row r="32" spans="2:15" ht="15.75" hidden="1" outlineLevel="1">
      <c r="B32" s="240" t="s">
        <v>195</v>
      </c>
      <c r="C32" s="322"/>
      <c r="D32" s="251">
        <f t="shared" ref="D32:I32" si="26">D18/D$7</f>
        <v>0</v>
      </c>
      <c r="E32" s="251">
        <f t="shared" si="26"/>
        <v>0</v>
      </c>
      <c r="F32" s="251">
        <f t="shared" si="26"/>
        <v>2.1412663710847313E-2</v>
      </c>
      <c r="G32" s="251">
        <f t="shared" si="26"/>
        <v>0</v>
      </c>
      <c r="H32" s="251">
        <f t="shared" si="26"/>
        <v>0</v>
      </c>
      <c r="I32" s="251">
        <f t="shared" si="26"/>
        <v>0</v>
      </c>
      <c r="J32" s="250">
        <v>0</v>
      </c>
      <c r="K32" s="250">
        <f t="shared" ref="K32:N32" si="27">J32</f>
        <v>0</v>
      </c>
      <c r="L32" s="250">
        <f t="shared" si="27"/>
        <v>0</v>
      </c>
      <c r="M32" s="250">
        <f t="shared" si="27"/>
        <v>0</v>
      </c>
      <c r="N32" s="316">
        <f t="shared" si="27"/>
        <v>0</v>
      </c>
      <c r="O32" s="4"/>
    </row>
    <row r="33" spans="1:15" ht="15.75" hidden="1" outlineLevel="1">
      <c r="B33" s="240" t="s">
        <v>185</v>
      </c>
      <c r="C33" s="322"/>
      <c r="D33" s="251">
        <f t="shared" ref="D33:I33" si="28">D19/D$7</f>
        <v>3.8380349261178274E-4</v>
      </c>
      <c r="E33" s="251">
        <f t="shared" si="28"/>
        <v>1.7930679991154199E-4</v>
      </c>
      <c r="F33" s="251">
        <f t="shared" si="28"/>
        <v>5.1079827554502172E-4</v>
      </c>
      <c r="G33" s="251">
        <f t="shared" si="28"/>
        <v>1.0047748649014666E-3</v>
      </c>
      <c r="H33" s="251">
        <f t="shared" si="28"/>
        <v>1.4389662270957748E-3</v>
      </c>
      <c r="I33" s="251">
        <f t="shared" si="28"/>
        <v>1.8319539041830256E-3</v>
      </c>
      <c r="J33" s="250">
        <v>0</v>
      </c>
      <c r="K33" s="250">
        <f>J33</f>
        <v>0</v>
      </c>
      <c r="L33" s="250">
        <f t="shared" ref="L33:N33" si="29">K33</f>
        <v>0</v>
      </c>
      <c r="M33" s="250">
        <f t="shared" si="29"/>
        <v>0</v>
      </c>
      <c r="N33" s="316">
        <f t="shared" si="29"/>
        <v>0</v>
      </c>
      <c r="O33" s="4"/>
    </row>
    <row r="34" spans="1:15" ht="15.75" hidden="1" outlineLevel="1">
      <c r="B34" s="190" t="s">
        <v>25</v>
      </c>
      <c r="C34" s="248"/>
      <c r="D34" s="251">
        <f t="shared" ref="D34:I34" si="30">D20/D$7</f>
        <v>1.8137810215363283E-3</v>
      </c>
      <c r="E34" s="251">
        <f t="shared" si="30"/>
        <v>8.3317893025563177E-3</v>
      </c>
      <c r="F34" s="251">
        <f t="shared" si="30"/>
        <v>7.2073636679402574E-3</v>
      </c>
      <c r="G34" s="251">
        <f t="shared" si="30"/>
        <v>1.5071622973521998E-3</v>
      </c>
      <c r="H34" s="251">
        <f t="shared" si="30"/>
        <v>5.7069482094449994E-4</v>
      </c>
      <c r="I34" s="251">
        <f t="shared" si="30"/>
        <v>6.9421411105883082E-4</v>
      </c>
      <c r="J34" s="250">
        <v>0</v>
      </c>
      <c r="K34" s="250">
        <f>J34</f>
        <v>0</v>
      </c>
      <c r="L34" s="250">
        <f t="shared" ref="L34:N34" si="31">K34</f>
        <v>0</v>
      </c>
      <c r="M34" s="250">
        <f t="shared" si="31"/>
        <v>0</v>
      </c>
      <c r="N34" s="316">
        <f t="shared" si="31"/>
        <v>0</v>
      </c>
      <c r="O34" s="4"/>
    </row>
    <row r="35" spans="1:15" ht="15.75" hidden="1" outlineLevel="1">
      <c r="B35" s="190" t="s">
        <v>104</v>
      </c>
      <c r="C35" s="248"/>
      <c r="D35" s="251">
        <f t="shared" ref="D35:I35" si="32">D21/D$7</f>
        <v>1.7017351632093402E-2</v>
      </c>
      <c r="E35" s="251">
        <f t="shared" si="32"/>
        <v>2.0907172869685794E-2</v>
      </c>
      <c r="F35" s="251">
        <f t="shared" si="32"/>
        <v>1.9461414298265329E-2</v>
      </c>
      <c r="G35" s="251">
        <f t="shared" si="32"/>
        <v>1.7758303590541136E-2</v>
      </c>
      <c r="H35" s="251">
        <f t="shared" si="32"/>
        <v>1.8421213541772823E-2</v>
      </c>
      <c r="I35" s="251">
        <f t="shared" si="32"/>
        <v>1.8840199625124381E-2</v>
      </c>
      <c r="J35" s="250">
        <v>0</v>
      </c>
      <c r="K35" s="250">
        <f t="shared" ref="K35:N36" si="33">J35</f>
        <v>0</v>
      </c>
      <c r="L35" s="250">
        <f t="shared" si="33"/>
        <v>0</v>
      </c>
      <c r="M35" s="250">
        <f t="shared" si="33"/>
        <v>0</v>
      </c>
      <c r="N35" s="316">
        <f t="shared" si="33"/>
        <v>0</v>
      </c>
      <c r="O35" s="4"/>
    </row>
    <row r="36" spans="1:15" ht="15.75" hidden="1" outlineLevel="1">
      <c r="B36" s="192" t="s">
        <v>108</v>
      </c>
      <c r="C36" s="255"/>
      <c r="D36" s="267">
        <f t="shared" ref="D36:I36" si="34">D22/D$7</f>
        <v>2.297868652540222E-2</v>
      </c>
      <c r="E36" s="267">
        <f t="shared" si="34"/>
        <v>3.7313745061591887E-2</v>
      </c>
      <c r="F36" s="267">
        <f t="shared" si="34"/>
        <v>4.0460331405921174E-2</v>
      </c>
      <c r="G36" s="267">
        <f t="shared" si="34"/>
        <v>4.08244396195835E-2</v>
      </c>
      <c r="H36" s="267">
        <f t="shared" si="34"/>
        <v>4.6605384913274768E-2</v>
      </c>
      <c r="I36" s="267">
        <f t="shared" si="34"/>
        <v>4.903851345618352E-2</v>
      </c>
      <c r="J36" s="253">
        <v>0</v>
      </c>
      <c r="K36" s="253">
        <f>J36</f>
        <v>0</v>
      </c>
      <c r="L36" s="253">
        <f t="shared" si="33"/>
        <v>0</v>
      </c>
      <c r="M36" s="253">
        <f t="shared" si="33"/>
        <v>0</v>
      </c>
      <c r="N36" s="510">
        <f t="shared" si="33"/>
        <v>0</v>
      </c>
      <c r="O36" s="4"/>
    </row>
    <row r="37" spans="1:15" ht="4.5" customHeight="1" collapsed="1">
      <c r="C37" s="24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21">
      <c r="A38" s="23" t="s">
        <v>58</v>
      </c>
      <c r="B38" s="194" t="s">
        <v>173</v>
      </c>
      <c r="C38" s="268"/>
      <c r="D38" s="195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4"/>
    </row>
    <row r="39" spans="1:15" ht="5.45" customHeight="1">
      <c r="C39" s="24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5.75">
      <c r="B40" s="191" t="s">
        <v>103</v>
      </c>
      <c r="C40" s="338"/>
      <c r="D40" s="143">
        <v>697</v>
      </c>
      <c r="E40" s="234">
        <v>1197</v>
      </c>
      <c r="F40" s="234">
        <v>1110</v>
      </c>
      <c r="G40" s="339">
        <v>1003</v>
      </c>
      <c r="H40" s="234">
        <v>482</v>
      </c>
      <c r="I40" s="143">
        <v>518</v>
      </c>
      <c r="J40" s="511">
        <f>I40</f>
        <v>518</v>
      </c>
      <c r="K40" s="511">
        <f t="shared" ref="K40:N40" si="35">J40</f>
        <v>518</v>
      </c>
      <c r="L40" s="511">
        <f t="shared" si="35"/>
        <v>518</v>
      </c>
      <c r="M40" s="511">
        <f t="shared" si="35"/>
        <v>518</v>
      </c>
      <c r="N40" s="512">
        <f t="shared" si="35"/>
        <v>518</v>
      </c>
    </row>
    <row r="41" spans="1:15" ht="15.75">
      <c r="B41" s="190" t="s">
        <v>104</v>
      </c>
      <c r="C41" s="196"/>
      <c r="D41" s="42">
        <v>417</v>
      </c>
      <c r="E41" s="42">
        <v>749</v>
      </c>
      <c r="F41" s="42">
        <v>677</v>
      </c>
      <c r="G41" s="42">
        <v>536</v>
      </c>
      <c r="H41" s="42">
        <v>686</v>
      </c>
      <c r="I41" s="34">
        <v>841</v>
      </c>
      <c r="J41" s="513">
        <f>I41</f>
        <v>841</v>
      </c>
      <c r="K41" s="513">
        <f t="shared" ref="K41:N41" si="36">J41</f>
        <v>841</v>
      </c>
      <c r="L41" s="513">
        <f t="shared" si="36"/>
        <v>841</v>
      </c>
      <c r="M41" s="513">
        <f t="shared" si="36"/>
        <v>841</v>
      </c>
      <c r="N41" s="382">
        <f t="shared" si="36"/>
        <v>841</v>
      </c>
    </row>
    <row r="42" spans="1:15" ht="15.75">
      <c r="B42" s="192" t="s">
        <v>105</v>
      </c>
      <c r="C42" s="247"/>
      <c r="D42" s="235">
        <v>779</v>
      </c>
      <c r="E42" s="235">
        <v>767</v>
      </c>
      <c r="F42" s="235">
        <v>590</v>
      </c>
      <c r="G42" s="235">
        <v>792</v>
      </c>
      <c r="H42" s="235">
        <v>977</v>
      </c>
      <c r="I42" s="235">
        <v>980</v>
      </c>
      <c r="J42" s="518">
        <f>I42</f>
        <v>980</v>
      </c>
      <c r="K42" s="516">
        <f t="shared" ref="K42:N42" si="37">J42</f>
        <v>980</v>
      </c>
      <c r="L42" s="516">
        <f t="shared" si="37"/>
        <v>980</v>
      </c>
      <c r="M42" s="516">
        <f t="shared" si="37"/>
        <v>980</v>
      </c>
      <c r="N42" s="517">
        <f t="shared" si="37"/>
        <v>980</v>
      </c>
    </row>
    <row r="43" spans="1:15" ht="7.5" customHeight="1">
      <c r="C43" s="248"/>
    </row>
    <row r="44" spans="1:15" ht="15.75" hidden="1" outlineLevel="1">
      <c r="B44" s="236" t="s">
        <v>174</v>
      </c>
      <c r="C44" s="249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211"/>
    </row>
    <row r="45" spans="1:15" ht="15.75" hidden="1" outlineLevel="1">
      <c r="B45" s="242" t="s">
        <v>103</v>
      </c>
      <c r="C45" s="246"/>
      <c r="D45" s="250">
        <f>D40/D$7</f>
        <v>4.3146941024260095E-3</v>
      </c>
      <c r="E45" s="224">
        <f t="shared" ref="E45:I45" si="38">E40/E$7</f>
        <v>7.154341316470525E-3</v>
      </c>
      <c r="F45" s="224">
        <f t="shared" si="38"/>
        <v>5.6698608585497414E-3</v>
      </c>
      <c r="G45" s="224">
        <f t="shared" si="38"/>
        <v>4.3816921282442212E-3</v>
      </c>
      <c r="H45" s="224">
        <f t="shared" si="38"/>
        <v>1.9648207406803499E-3</v>
      </c>
      <c r="I45" s="224">
        <f t="shared" si="38"/>
        <v>1.9977939418248576E-3</v>
      </c>
      <c r="J45" s="508">
        <v>0</v>
      </c>
      <c r="K45" s="508">
        <f>J45</f>
        <v>0</v>
      </c>
      <c r="L45" s="508">
        <f t="shared" ref="L45:N45" si="39">K45</f>
        <v>0</v>
      </c>
      <c r="M45" s="508">
        <f t="shared" si="39"/>
        <v>0</v>
      </c>
      <c r="N45" s="509">
        <f t="shared" si="39"/>
        <v>0</v>
      </c>
    </row>
    <row r="46" spans="1:15" ht="15.75" hidden="1" outlineLevel="1">
      <c r="B46" s="242" t="s">
        <v>104</v>
      </c>
      <c r="C46" s="246"/>
      <c r="D46" s="250">
        <f>D41/D$7</f>
        <v>2.5813880067598939E-3</v>
      </c>
      <c r="E46" s="224">
        <f t="shared" ref="E46:I46" si="40">E41/E$7</f>
        <v>4.4766931044581647E-3</v>
      </c>
      <c r="F46" s="224">
        <f t="shared" si="40"/>
        <v>3.4581043254397971E-3</v>
      </c>
      <c r="G46" s="224">
        <f t="shared" si="40"/>
        <v>2.3415622938573306E-3</v>
      </c>
      <c r="H46" s="224">
        <f t="shared" si="40"/>
        <v>2.7964046226280495E-3</v>
      </c>
      <c r="I46" s="224">
        <f t="shared" si="40"/>
        <v>3.2435225966693151E-3</v>
      </c>
      <c r="J46" s="508">
        <v>0</v>
      </c>
      <c r="K46" s="508">
        <f t="shared" ref="K46:N46" si="41">J46</f>
        <v>0</v>
      </c>
      <c r="L46" s="508">
        <f t="shared" si="41"/>
        <v>0</v>
      </c>
      <c r="M46" s="508">
        <f t="shared" si="41"/>
        <v>0</v>
      </c>
      <c r="N46" s="509">
        <f t="shared" si="41"/>
        <v>0</v>
      </c>
    </row>
    <row r="47" spans="1:15" ht="15.75" hidden="1" outlineLevel="1">
      <c r="A47" s="246"/>
      <c r="B47" s="304" t="s">
        <v>105</v>
      </c>
      <c r="C47" s="252"/>
      <c r="D47" s="253">
        <f t="shared" ref="D47:I47" si="42">D42/D$7</f>
        <v>4.8223051732996574E-3</v>
      </c>
      <c r="E47" s="213">
        <f t="shared" si="42"/>
        <v>4.5842771844050896E-3</v>
      </c>
      <c r="F47" s="213">
        <f t="shared" si="42"/>
        <v>3.0137098257156285E-3</v>
      </c>
      <c r="G47" s="213">
        <f t="shared" si="42"/>
        <v>3.4599204043563544E-3</v>
      </c>
      <c r="H47" s="213">
        <f t="shared" si="42"/>
        <v>3.9826345718769742E-3</v>
      </c>
      <c r="I47" s="213">
        <f t="shared" si="42"/>
        <v>3.7796101602091898E-3</v>
      </c>
      <c r="J47" s="501">
        <v>0</v>
      </c>
      <c r="K47" s="501">
        <f t="shared" ref="K47:N47" si="43">J47</f>
        <v>0</v>
      </c>
      <c r="L47" s="501">
        <f t="shared" si="43"/>
        <v>0</v>
      </c>
      <c r="M47" s="501">
        <f t="shared" si="43"/>
        <v>0</v>
      </c>
      <c r="N47" s="502">
        <f t="shared" si="43"/>
        <v>0</v>
      </c>
    </row>
    <row r="48" spans="1:15" collapsed="1">
      <c r="A48" t="s">
        <v>58</v>
      </c>
    </row>
  </sheetData>
  <mergeCells count="2">
    <mergeCell ref="D2:I2"/>
    <mergeCell ref="J2:N2"/>
  </mergeCells>
  <pageMargins left="0.7" right="0.7" top="0.75" bottom="0.75" header="0.3" footer="0.3"/>
  <pageSetup orientation="portrait" r:id="rId1"/>
  <ignoredErrors>
    <ignoredError sqref="D14:I14" formulaRange="1"/>
    <ignoredError sqref="J14:N14" formula="1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B3:N110"/>
  <sheetViews>
    <sheetView showGridLines="0" workbookViewId="0">
      <selection activeCell="N5" sqref="N5"/>
    </sheetView>
  </sheetViews>
  <sheetFormatPr defaultRowHeight="15"/>
  <cols>
    <col min="1" max="1" width="4" customWidth="1"/>
    <col min="2" max="2" width="22.42578125" customWidth="1"/>
    <col min="3" max="3" width="3.7109375" customWidth="1"/>
    <col min="5" max="5" width="9.42578125" customWidth="1"/>
    <col min="6" max="6" width="2.140625" customWidth="1"/>
    <col min="7" max="7" width="11.28515625" bestFit="1" customWidth="1"/>
    <col min="8" max="8" width="12.85546875" customWidth="1"/>
    <col min="9" max="9" width="2.140625" customWidth="1"/>
    <col min="10" max="10" width="13.85546875" customWidth="1"/>
    <col min="12" max="12" width="2.28515625" customWidth="1"/>
    <col min="13" max="13" width="19.5703125" bestFit="1" customWidth="1"/>
  </cols>
  <sheetData>
    <row r="3" spans="2:14">
      <c r="B3" s="611" t="s">
        <v>318</v>
      </c>
      <c r="C3" s="612"/>
      <c r="D3" s="612"/>
      <c r="E3" s="613"/>
      <c r="G3" s="611" t="s">
        <v>319</v>
      </c>
      <c r="H3" s="613"/>
      <c r="I3" s="277"/>
      <c r="J3" s="616" t="s">
        <v>312</v>
      </c>
      <c r="K3" s="617"/>
      <c r="M3" s="614" t="s">
        <v>197</v>
      </c>
      <c r="N3" s="615"/>
    </row>
    <row r="4" spans="2:14">
      <c r="B4" s="110"/>
      <c r="E4" s="109"/>
      <c r="G4" s="110"/>
      <c r="H4" s="109"/>
      <c r="J4" s="110"/>
      <c r="K4" s="109"/>
      <c r="M4" s="110"/>
      <c r="N4" s="109"/>
    </row>
    <row r="5" spans="2:14">
      <c r="B5" s="280" t="s">
        <v>198</v>
      </c>
      <c r="C5" s="278"/>
      <c r="D5" s="279" t="s">
        <v>199</v>
      </c>
      <c r="E5" s="281" t="s">
        <v>200</v>
      </c>
      <c r="G5" s="287" t="s">
        <v>201</v>
      </c>
      <c r="H5" s="281" t="s">
        <v>200</v>
      </c>
      <c r="J5" s="290" t="s">
        <v>313</v>
      </c>
      <c r="K5" s="281" t="s">
        <v>314</v>
      </c>
      <c r="M5" s="295" t="s">
        <v>202</v>
      </c>
      <c r="N5" s="296">
        <f>SLOPE(E7:E110,H7:H110)</f>
        <v>0.86122620428057883</v>
      </c>
    </row>
    <row r="6" spans="2:14" ht="16.5">
      <c r="B6" s="282" t="s">
        <v>203</v>
      </c>
      <c r="D6" s="283">
        <v>3261.9</v>
      </c>
      <c r="E6" s="109"/>
      <c r="G6" s="288">
        <v>19331.8</v>
      </c>
      <c r="H6" s="109"/>
      <c r="J6" s="291">
        <v>2000</v>
      </c>
      <c r="K6" s="292">
        <v>-0.14649999999999999</v>
      </c>
      <c r="M6" s="110" t="s">
        <v>204</v>
      </c>
      <c r="N6" s="297">
        <v>0.75</v>
      </c>
    </row>
    <row r="7" spans="2:14" ht="16.5">
      <c r="B7" s="282" t="s">
        <v>205</v>
      </c>
      <c r="D7" s="283">
        <v>3443.55</v>
      </c>
      <c r="E7" s="182">
        <f>D7/D6-1</f>
        <v>5.5688402464821207E-2</v>
      </c>
      <c r="G7" s="288">
        <v>19564.5</v>
      </c>
      <c r="H7" s="182">
        <f>G7/G6-1</f>
        <v>1.2037161567986399E-2</v>
      </c>
      <c r="J7" s="291">
        <v>2001</v>
      </c>
      <c r="K7" s="292">
        <v>-0.1618</v>
      </c>
      <c r="M7" s="110"/>
      <c r="N7" s="109"/>
    </row>
    <row r="8" spans="2:14" ht="16.5">
      <c r="B8" s="282" t="s">
        <v>206</v>
      </c>
      <c r="D8" s="283">
        <v>3300.16</v>
      </c>
      <c r="E8" s="182">
        <f t="shared" ref="E8:E71" si="0">D8/D7-1</f>
        <v>-4.1640167850038545E-2</v>
      </c>
      <c r="G8" s="288">
        <v>19745</v>
      </c>
      <c r="H8" s="182">
        <f t="shared" ref="H8:H71" si="1">G8/G7-1</f>
        <v>9.225893838329613E-3</v>
      </c>
      <c r="J8" s="291">
        <v>2002</v>
      </c>
      <c r="K8" s="292">
        <v>3.2500000000000001E-2</v>
      </c>
      <c r="M8" s="110" t="s">
        <v>207</v>
      </c>
      <c r="N8" s="298">
        <v>1</v>
      </c>
    </row>
    <row r="9" spans="2:14" ht="16.5">
      <c r="B9" s="282" t="s">
        <v>208</v>
      </c>
      <c r="D9" s="283">
        <v>3287.52</v>
      </c>
      <c r="E9" s="182">
        <f t="shared" si="0"/>
        <v>-3.8301173276447109E-3</v>
      </c>
      <c r="G9" s="288">
        <v>19646.05</v>
      </c>
      <c r="H9" s="182">
        <f t="shared" si="1"/>
        <v>-5.0113952899468739E-3</v>
      </c>
      <c r="J9" s="291">
        <v>2003</v>
      </c>
      <c r="K9" s="292">
        <v>0.71900000000000008</v>
      </c>
      <c r="M9" s="110" t="s">
        <v>209</v>
      </c>
      <c r="N9" s="297">
        <v>0.25</v>
      </c>
    </row>
    <row r="10" spans="2:14" ht="16.5">
      <c r="B10" s="282" t="s">
        <v>210</v>
      </c>
      <c r="D10" s="283">
        <v>3373.89</v>
      </c>
      <c r="E10" s="182">
        <f t="shared" si="0"/>
        <v>2.6272083515841649E-2</v>
      </c>
      <c r="G10" s="288">
        <v>19517</v>
      </c>
      <c r="H10" s="182">
        <f t="shared" si="1"/>
        <v>-6.568750461288575E-3</v>
      </c>
      <c r="J10" s="291">
        <v>2004</v>
      </c>
      <c r="K10" s="292">
        <v>0.10679999999999999</v>
      </c>
      <c r="M10" s="110"/>
      <c r="N10" s="109"/>
    </row>
    <row r="11" spans="2:14" ht="16.5">
      <c r="B11" s="282" t="s">
        <v>211</v>
      </c>
      <c r="D11" s="283">
        <v>3379.03</v>
      </c>
      <c r="E11" s="182">
        <f t="shared" si="0"/>
        <v>1.5234640133496846E-3</v>
      </c>
      <c r="G11" s="288">
        <v>19428.3</v>
      </c>
      <c r="H11" s="182">
        <f t="shared" si="1"/>
        <v>-4.5447558538710409E-3</v>
      </c>
      <c r="J11" s="291">
        <v>2005</v>
      </c>
      <c r="K11" s="292">
        <v>0.36340000000000006</v>
      </c>
      <c r="M11" s="299" t="s">
        <v>212</v>
      </c>
      <c r="N11" s="300">
        <f>(N5*N6)+(N8*N9)</f>
        <v>0.8959196532104341</v>
      </c>
    </row>
    <row r="12" spans="2:14" ht="16.5">
      <c r="B12" s="282" t="s">
        <v>213</v>
      </c>
      <c r="D12" s="283">
        <v>3298.98</v>
      </c>
      <c r="E12" s="182">
        <f t="shared" si="0"/>
        <v>-2.3690230628316433E-2</v>
      </c>
      <c r="G12" s="288">
        <v>19310.150000000001</v>
      </c>
      <c r="H12" s="182">
        <f t="shared" si="1"/>
        <v>-6.0813349598265454E-3</v>
      </c>
      <c r="J12" s="291">
        <v>2006</v>
      </c>
      <c r="K12" s="292">
        <v>0.39829999999999999</v>
      </c>
    </row>
    <row r="13" spans="2:14" ht="16.5">
      <c r="B13" s="282" t="s">
        <v>214</v>
      </c>
      <c r="D13" s="283">
        <v>3312.89</v>
      </c>
      <c r="E13" s="182">
        <f t="shared" si="0"/>
        <v>4.216454782993484E-3</v>
      </c>
      <c r="G13" s="288">
        <v>19265.8</v>
      </c>
      <c r="H13" s="182">
        <f t="shared" si="1"/>
        <v>-2.2967196008317758E-3</v>
      </c>
      <c r="J13" s="291">
        <v>2007</v>
      </c>
      <c r="K13" s="292">
        <v>0.54770000000000008</v>
      </c>
      <c r="M13" s="614" t="s">
        <v>312</v>
      </c>
      <c r="N13" s="615"/>
    </row>
    <row r="14" spans="2:14" ht="16.5">
      <c r="B14" s="282" t="s">
        <v>215</v>
      </c>
      <c r="D14" s="283">
        <v>3310.84</v>
      </c>
      <c r="E14" s="182">
        <f t="shared" si="0"/>
        <v>-6.187950701652678E-4</v>
      </c>
      <c r="G14" s="288">
        <v>19435.3</v>
      </c>
      <c r="H14" s="182">
        <f t="shared" si="1"/>
        <v>8.7979736112697715E-3</v>
      </c>
      <c r="J14" s="291">
        <v>2008</v>
      </c>
      <c r="K14" s="292">
        <v>-0.51790000000000003</v>
      </c>
      <c r="M14" s="110" t="s">
        <v>380</v>
      </c>
      <c r="N14" s="139">
        <f>MEDIAN(K6:K30)</f>
        <v>0.1202</v>
      </c>
    </row>
    <row r="15" spans="2:14" ht="17.25">
      <c r="B15" s="282" t="s">
        <v>216</v>
      </c>
      <c r="D15" s="283">
        <v>3372.27</v>
      </c>
      <c r="E15" s="182">
        <f t="shared" si="0"/>
        <v>1.8554203767019883E-2</v>
      </c>
      <c r="G15" s="288">
        <v>19819.95</v>
      </c>
      <c r="H15" s="182">
        <f t="shared" si="1"/>
        <v>1.9791307569216876E-2</v>
      </c>
      <c r="J15" s="291">
        <v>2009</v>
      </c>
      <c r="K15" s="292">
        <v>0.75760000000000005</v>
      </c>
      <c r="M15" s="110" t="s">
        <v>315</v>
      </c>
      <c r="N15" s="292" t="s">
        <v>316</v>
      </c>
    </row>
    <row r="16" spans="2:14" ht="16.5">
      <c r="B16" s="282" t="s">
        <v>217</v>
      </c>
      <c r="D16" s="283">
        <v>3525.5</v>
      </c>
      <c r="E16" s="182">
        <f t="shared" si="0"/>
        <v>4.5438235965684859E-2</v>
      </c>
      <c r="G16" s="288">
        <v>20192.349999999999</v>
      </c>
      <c r="H16" s="182">
        <f t="shared" si="1"/>
        <v>1.8789149316723597E-2</v>
      </c>
      <c r="J16" s="291">
        <v>2010</v>
      </c>
      <c r="K16" s="292">
        <v>0.17949999999999999</v>
      </c>
      <c r="M16" s="299" t="s">
        <v>317</v>
      </c>
      <c r="N16" s="301">
        <f>SUM(N14:N15)</f>
        <v>0.1202</v>
      </c>
    </row>
    <row r="17" spans="2:11" ht="16.5">
      <c r="B17" s="282" t="s">
        <v>218</v>
      </c>
      <c r="D17" s="283">
        <v>3530.75</v>
      </c>
      <c r="E17" s="182">
        <f t="shared" si="0"/>
        <v>1.4891504751100015E-3</v>
      </c>
      <c r="G17" s="288">
        <v>19674.25</v>
      </c>
      <c r="H17" s="182">
        <f t="shared" si="1"/>
        <v>-2.5658231954180599E-2</v>
      </c>
      <c r="J17" s="291">
        <v>2011</v>
      </c>
      <c r="K17" s="292">
        <v>-0.2462</v>
      </c>
    </row>
    <row r="18" spans="2:11" ht="16.5">
      <c r="B18" s="282" t="s">
        <v>219</v>
      </c>
      <c r="D18" s="283">
        <v>3457.21</v>
      </c>
      <c r="E18" s="182">
        <f t="shared" si="0"/>
        <v>-2.0828435884727048E-2</v>
      </c>
      <c r="G18" s="288">
        <v>19638.3</v>
      </c>
      <c r="H18" s="182">
        <f t="shared" si="1"/>
        <v>-1.8272615220402688E-3</v>
      </c>
      <c r="J18" s="291">
        <v>2012</v>
      </c>
      <c r="K18" s="292">
        <v>0.27699999999999997</v>
      </c>
    </row>
    <row r="19" spans="2:11" ht="16.5">
      <c r="B19" s="282" t="s">
        <v>220</v>
      </c>
      <c r="D19" s="283">
        <v>3548.14</v>
      </c>
      <c r="E19" s="182">
        <f t="shared" si="0"/>
        <v>2.6301555300372259E-2</v>
      </c>
      <c r="G19" s="288">
        <v>19653.5</v>
      </c>
      <c r="H19" s="182">
        <f t="shared" si="1"/>
        <v>7.7399774929598486E-4</v>
      </c>
      <c r="J19" s="291">
        <v>2013</v>
      </c>
      <c r="K19" s="292">
        <v>6.7599999999999993E-2</v>
      </c>
    </row>
    <row r="20" spans="2:11" ht="16.5">
      <c r="B20" s="282" t="s">
        <v>221</v>
      </c>
      <c r="D20" s="283">
        <v>3498.61</v>
      </c>
      <c r="E20" s="182">
        <f t="shared" si="0"/>
        <v>-1.3959426629163385E-2</v>
      </c>
      <c r="G20" s="288">
        <v>19751.05</v>
      </c>
      <c r="H20" s="182">
        <f t="shared" si="1"/>
        <v>4.9634925076957881E-3</v>
      </c>
      <c r="J20" s="291">
        <v>2014</v>
      </c>
      <c r="K20" s="292">
        <v>0.31390000000000001</v>
      </c>
    </row>
    <row r="21" spans="2:11" ht="16.5">
      <c r="B21" s="282" t="s">
        <v>222</v>
      </c>
      <c r="D21" s="283">
        <v>3423.85</v>
      </c>
      <c r="E21" s="182">
        <f t="shared" si="0"/>
        <v>-2.1368486341718618E-2</v>
      </c>
      <c r="G21" s="288">
        <v>19542.650000000001</v>
      </c>
      <c r="H21" s="182">
        <f t="shared" si="1"/>
        <v>-1.0551337776978809E-2</v>
      </c>
      <c r="J21" s="291">
        <v>2015</v>
      </c>
      <c r="K21" s="292">
        <v>-4.0599999999999997E-2</v>
      </c>
    </row>
    <row r="22" spans="2:11" ht="16.5">
      <c r="B22" s="282" t="s">
        <v>223</v>
      </c>
      <c r="D22" s="283">
        <v>3283.16</v>
      </c>
      <c r="E22" s="182">
        <f t="shared" si="0"/>
        <v>-4.1091169297720387E-2</v>
      </c>
      <c r="G22" s="288">
        <v>19047.25</v>
      </c>
      <c r="H22" s="182">
        <f t="shared" si="1"/>
        <v>-2.5349683896503383E-2</v>
      </c>
      <c r="J22" s="291">
        <v>2016</v>
      </c>
      <c r="K22" s="292">
        <v>3.0099999999999998E-2</v>
      </c>
    </row>
    <row r="23" spans="2:11" ht="16.5">
      <c r="B23" s="282" t="s">
        <v>224</v>
      </c>
      <c r="D23" s="283">
        <v>3283.11</v>
      </c>
      <c r="E23" s="182">
        <f t="shared" si="0"/>
        <v>-1.5229230375557457E-5</v>
      </c>
      <c r="G23" s="288">
        <v>19230.599999999999</v>
      </c>
      <c r="H23" s="182">
        <f t="shared" si="1"/>
        <v>9.6260615049414966E-3</v>
      </c>
      <c r="J23" s="291">
        <v>2017</v>
      </c>
      <c r="K23" s="292">
        <v>0.28649999999999998</v>
      </c>
    </row>
    <row r="24" spans="2:11" ht="16.5">
      <c r="B24" s="282" t="s">
        <v>225</v>
      </c>
      <c r="D24" s="283">
        <v>3266.01</v>
      </c>
      <c r="E24" s="182">
        <f t="shared" si="0"/>
        <v>-5.2084761095424481E-3</v>
      </c>
      <c r="G24" s="288">
        <v>19425.349999999999</v>
      </c>
      <c r="H24" s="182">
        <f t="shared" si="1"/>
        <v>1.0127089118384225E-2</v>
      </c>
      <c r="J24" s="291">
        <v>2018</v>
      </c>
      <c r="K24" s="292">
        <v>3.15E-2</v>
      </c>
    </row>
    <row r="25" spans="2:11" ht="16.5">
      <c r="B25" s="282" t="s">
        <v>226</v>
      </c>
      <c r="D25" s="283">
        <v>3431.59</v>
      </c>
      <c r="E25" s="182">
        <f t="shared" si="0"/>
        <v>5.069794642392389E-2</v>
      </c>
      <c r="G25" s="288">
        <v>19731.8</v>
      </c>
      <c r="H25" s="182">
        <f t="shared" si="1"/>
        <v>1.5775777527818002E-2</v>
      </c>
      <c r="J25" s="291">
        <v>2019</v>
      </c>
      <c r="K25" s="292">
        <v>0.1202</v>
      </c>
    </row>
    <row r="26" spans="2:11" ht="16.5">
      <c r="B26" s="282" t="s">
        <v>227</v>
      </c>
      <c r="D26" s="283">
        <v>3387.16</v>
      </c>
      <c r="E26" s="182">
        <f t="shared" si="0"/>
        <v>-1.29473509364465E-2</v>
      </c>
      <c r="G26" s="288">
        <v>19794.7</v>
      </c>
      <c r="H26" s="182">
        <f t="shared" si="1"/>
        <v>3.1877476966115648E-3</v>
      </c>
      <c r="J26" s="291">
        <v>2020</v>
      </c>
      <c r="K26" s="292">
        <v>0.14899999999999999</v>
      </c>
    </row>
    <row r="27" spans="2:11" ht="16.5">
      <c r="B27" s="282" t="s">
        <v>228</v>
      </c>
      <c r="D27" s="283">
        <v>3440.61</v>
      </c>
      <c r="E27" s="182">
        <f t="shared" si="0"/>
        <v>1.5780181627085943E-2</v>
      </c>
      <c r="G27" s="288">
        <v>20267.900000000001</v>
      </c>
      <c r="H27" s="182">
        <f t="shared" si="1"/>
        <v>2.3905388816198414E-2</v>
      </c>
      <c r="J27" s="291">
        <v>2021</v>
      </c>
      <c r="K27" s="292">
        <v>0.2412</v>
      </c>
    </row>
    <row r="28" spans="2:11" ht="16.5">
      <c r="B28" s="282" t="s">
        <v>229</v>
      </c>
      <c r="D28" s="283">
        <v>3553.33</v>
      </c>
      <c r="E28" s="182">
        <f t="shared" si="0"/>
        <v>3.2761632384954886E-2</v>
      </c>
      <c r="G28" s="288">
        <v>20969.400000000001</v>
      </c>
      <c r="H28" s="182">
        <f t="shared" si="1"/>
        <v>3.4611380557433069E-2</v>
      </c>
      <c r="J28" s="291">
        <v>2022</v>
      </c>
      <c r="K28" s="292">
        <v>4.3200000000000002E-2</v>
      </c>
    </row>
    <row r="29" spans="2:11" ht="16.5">
      <c r="B29" s="282" t="s">
        <v>230</v>
      </c>
      <c r="D29" s="283">
        <v>3782.89</v>
      </c>
      <c r="E29" s="182">
        <f t="shared" si="0"/>
        <v>6.4604188184041345E-2</v>
      </c>
      <c r="G29" s="288">
        <v>21456.65</v>
      </c>
      <c r="H29" s="182">
        <f t="shared" si="1"/>
        <v>2.3236239472755438E-2</v>
      </c>
      <c r="J29" s="291">
        <v>2023</v>
      </c>
      <c r="K29" s="292">
        <v>0.19420000000000001</v>
      </c>
    </row>
    <row r="30" spans="2:11" ht="16.5">
      <c r="B30" s="282" t="s">
        <v>231</v>
      </c>
      <c r="D30" s="283">
        <v>3746.64</v>
      </c>
      <c r="E30" s="182">
        <f t="shared" si="0"/>
        <v>-9.5826206947597914E-3</v>
      </c>
      <c r="G30" s="288">
        <v>21349.4</v>
      </c>
      <c r="H30" s="182">
        <f t="shared" si="1"/>
        <v>-4.9984503638732525E-3</v>
      </c>
      <c r="J30" s="293">
        <v>2024</v>
      </c>
      <c r="K30" s="294">
        <v>8.7499999999999994E-2</v>
      </c>
    </row>
    <row r="31" spans="2:11" ht="16.5">
      <c r="B31" s="282" t="s">
        <v>232</v>
      </c>
      <c r="D31" s="283">
        <v>3716.66</v>
      </c>
      <c r="E31" s="182">
        <f t="shared" si="0"/>
        <v>-8.0018363120022418E-3</v>
      </c>
      <c r="G31" s="288">
        <v>21731.4</v>
      </c>
      <c r="H31" s="182">
        <f t="shared" si="1"/>
        <v>1.7892774504201459E-2</v>
      </c>
    </row>
    <row r="32" spans="2:11" ht="16.5">
      <c r="B32" s="282" t="s">
        <v>233</v>
      </c>
      <c r="D32" s="283">
        <v>3662.28</v>
      </c>
      <c r="E32" s="182">
        <f t="shared" si="0"/>
        <v>-1.4631416379222162E-2</v>
      </c>
      <c r="G32" s="288">
        <v>21710.799999999999</v>
      </c>
      <c r="H32" s="182">
        <f t="shared" si="1"/>
        <v>-9.479370864280412E-4</v>
      </c>
    </row>
    <row r="33" spans="2:8" ht="16.5">
      <c r="B33" s="282" t="s">
        <v>234</v>
      </c>
      <c r="D33" s="283">
        <v>3804.25</v>
      </c>
      <c r="E33" s="182">
        <f t="shared" si="0"/>
        <v>3.8765468505957967E-2</v>
      </c>
      <c r="G33" s="288">
        <v>21894.55</v>
      </c>
      <c r="H33" s="182">
        <f t="shared" si="1"/>
        <v>8.4635296718684749E-3</v>
      </c>
    </row>
    <row r="34" spans="2:8" ht="16.5">
      <c r="B34" s="282" t="s">
        <v>235</v>
      </c>
      <c r="D34" s="283">
        <v>3881.18</v>
      </c>
      <c r="E34" s="182">
        <f t="shared" si="0"/>
        <v>2.0222119997371335E-2</v>
      </c>
      <c r="G34" s="288">
        <v>21622.400000000001</v>
      </c>
      <c r="H34" s="182">
        <f t="shared" si="1"/>
        <v>-1.2430033958222397E-2</v>
      </c>
    </row>
    <row r="35" spans="2:8" ht="16.5">
      <c r="B35" s="282" t="s">
        <v>236</v>
      </c>
      <c r="D35" s="283">
        <v>3750.51</v>
      </c>
      <c r="E35" s="182">
        <f t="shared" si="0"/>
        <v>-3.366759593731794E-2</v>
      </c>
      <c r="G35" s="288">
        <v>21352.6</v>
      </c>
      <c r="H35" s="182">
        <f t="shared" si="1"/>
        <v>-1.2477800799171379E-2</v>
      </c>
    </row>
    <row r="36" spans="2:8" ht="16.5">
      <c r="B36" s="282" t="s">
        <v>237</v>
      </c>
      <c r="D36" s="283">
        <v>3904.06</v>
      </c>
      <c r="E36" s="182">
        <f t="shared" si="0"/>
        <v>4.094109867724649E-2</v>
      </c>
      <c r="G36" s="288">
        <v>21853.8</v>
      </c>
      <c r="H36" s="182">
        <f t="shared" si="1"/>
        <v>2.3472551352060167E-2</v>
      </c>
    </row>
    <row r="37" spans="2:8" ht="16.5">
      <c r="B37" s="282" t="s">
        <v>238</v>
      </c>
      <c r="D37" s="283">
        <v>4068.84</v>
      </c>
      <c r="E37" s="182">
        <f t="shared" si="0"/>
        <v>4.2207343124849528E-2</v>
      </c>
      <c r="G37" s="288">
        <v>21782.5</v>
      </c>
      <c r="H37" s="182">
        <f t="shared" si="1"/>
        <v>-3.2625904876955047E-3</v>
      </c>
    </row>
    <row r="38" spans="2:8" ht="16.5">
      <c r="B38" s="282" t="s">
        <v>239</v>
      </c>
      <c r="D38" s="283">
        <v>4063.52</v>
      </c>
      <c r="E38" s="182">
        <f t="shared" si="0"/>
        <v>-1.3074979601066516E-3</v>
      </c>
      <c r="G38" s="288">
        <v>22040.7</v>
      </c>
      <c r="H38" s="182">
        <f t="shared" si="1"/>
        <v>1.1853552163433978E-2</v>
      </c>
    </row>
    <row r="39" spans="2:8" ht="16.5">
      <c r="B39" s="282" t="s">
        <v>240</v>
      </c>
      <c r="D39" s="283">
        <v>3988.52</v>
      </c>
      <c r="E39" s="182">
        <f t="shared" si="0"/>
        <v>-1.8456904358782555E-2</v>
      </c>
      <c r="G39" s="288">
        <v>22212.7</v>
      </c>
      <c r="H39" s="182">
        <f t="shared" si="1"/>
        <v>7.8037448901351336E-3</v>
      </c>
    </row>
    <row r="40" spans="2:8" ht="16.5">
      <c r="B40" s="282" t="s">
        <v>241</v>
      </c>
      <c r="D40" s="283">
        <v>4030.11</v>
      </c>
      <c r="E40" s="182">
        <f t="shared" si="0"/>
        <v>1.0427426714671117E-2</v>
      </c>
      <c r="G40" s="288">
        <v>22338.75</v>
      </c>
      <c r="H40" s="182">
        <f t="shared" si="1"/>
        <v>5.6746816010659895E-3</v>
      </c>
    </row>
    <row r="41" spans="2:8" ht="16.5">
      <c r="B41" s="282" t="s">
        <v>242</v>
      </c>
      <c r="D41" s="283">
        <v>4044.13</v>
      </c>
      <c r="E41" s="182">
        <f t="shared" si="0"/>
        <v>3.4788132333856137E-3</v>
      </c>
      <c r="G41" s="288">
        <v>22493.55</v>
      </c>
      <c r="H41" s="182">
        <f t="shared" si="1"/>
        <v>6.929662581836471E-3</v>
      </c>
    </row>
    <row r="42" spans="2:8" ht="16.5">
      <c r="B42" s="282" t="s">
        <v>243</v>
      </c>
      <c r="D42" s="283">
        <v>4153.05</v>
      </c>
      <c r="E42" s="182">
        <f t="shared" si="0"/>
        <v>2.6932863186890588E-2</v>
      </c>
      <c r="G42" s="288">
        <v>22023.35</v>
      </c>
      <c r="H42" s="182">
        <f t="shared" si="1"/>
        <v>-2.0903770191899484E-2</v>
      </c>
    </row>
    <row r="43" spans="2:8" ht="16.5">
      <c r="B43" s="282" t="s">
        <v>244</v>
      </c>
      <c r="D43" s="283">
        <v>3849.53</v>
      </c>
      <c r="E43" s="182">
        <f t="shared" si="0"/>
        <v>-7.3083637326783912E-2</v>
      </c>
      <c r="G43" s="288">
        <v>22096.75</v>
      </c>
      <c r="H43" s="182">
        <f t="shared" si="1"/>
        <v>3.3328262957270649E-3</v>
      </c>
    </row>
    <row r="44" spans="2:8" ht="16.5">
      <c r="B44" s="282" t="s">
        <v>245</v>
      </c>
      <c r="D44" s="283">
        <v>3815.48</v>
      </c>
      <c r="E44" s="182">
        <f t="shared" si="0"/>
        <v>-8.8452356521445674E-3</v>
      </c>
      <c r="G44" s="288">
        <v>22326.9</v>
      </c>
      <c r="H44" s="182">
        <f t="shared" si="1"/>
        <v>1.0415558849152129E-2</v>
      </c>
    </row>
    <row r="45" spans="2:8" ht="16.5">
      <c r="B45" s="282" t="s">
        <v>246</v>
      </c>
      <c r="D45" s="283">
        <v>3916.81</v>
      </c>
      <c r="E45" s="182">
        <f t="shared" si="0"/>
        <v>2.6557602188977514E-2</v>
      </c>
      <c r="G45" s="288">
        <v>22513.7</v>
      </c>
      <c r="H45" s="182">
        <f t="shared" si="1"/>
        <v>8.3665891816597782E-3</v>
      </c>
    </row>
    <row r="46" spans="2:8" ht="16.5">
      <c r="B46" s="282" t="s">
        <v>247</v>
      </c>
      <c r="D46" s="283">
        <v>3938.61</v>
      </c>
      <c r="E46" s="182">
        <f t="shared" si="0"/>
        <v>5.5657537639048904E-3</v>
      </c>
      <c r="G46" s="288">
        <v>22519.4</v>
      </c>
      <c r="H46" s="182">
        <f t="shared" si="1"/>
        <v>2.5317917534661838E-4</v>
      </c>
    </row>
    <row r="47" spans="2:8" ht="16.5">
      <c r="B47" s="282" t="s">
        <v>248</v>
      </c>
      <c r="D47" s="283">
        <v>3766.16</v>
      </c>
      <c r="E47" s="182">
        <f t="shared" si="0"/>
        <v>-4.378448234275556E-2</v>
      </c>
      <c r="G47" s="288">
        <v>22147</v>
      </c>
      <c r="H47" s="182">
        <f t="shared" si="1"/>
        <v>-1.6536852669254087E-2</v>
      </c>
    </row>
    <row r="48" spans="2:8" ht="16.5">
      <c r="B48" s="282" t="s">
        <v>249</v>
      </c>
      <c r="D48" s="283">
        <v>3761.39</v>
      </c>
      <c r="E48" s="182">
        <f t="shared" si="0"/>
        <v>-1.2665420481339229E-3</v>
      </c>
      <c r="G48" s="288">
        <v>22419.95</v>
      </c>
      <c r="H48" s="182">
        <f t="shared" si="1"/>
        <v>1.2324468325281002E-2</v>
      </c>
    </row>
    <row r="49" spans="2:8" ht="16.5">
      <c r="B49" s="282" t="s">
        <v>250</v>
      </c>
      <c r="D49" s="283">
        <v>3783.09</v>
      </c>
      <c r="E49" s="182">
        <f t="shared" si="0"/>
        <v>5.7691438537350592E-3</v>
      </c>
      <c r="G49" s="288">
        <v>22475.85</v>
      </c>
      <c r="H49" s="182">
        <f t="shared" si="1"/>
        <v>2.4933151055197555E-3</v>
      </c>
    </row>
    <row r="50" spans="2:8" ht="16.5">
      <c r="B50" s="282" t="s">
        <v>251</v>
      </c>
      <c r="D50" s="283">
        <v>3832.8</v>
      </c>
      <c r="E50" s="182">
        <f t="shared" si="0"/>
        <v>1.3140052179567485E-2</v>
      </c>
      <c r="G50" s="288">
        <v>22055.200000000001</v>
      </c>
      <c r="H50" s="182">
        <f t="shared" si="1"/>
        <v>-1.8715643679771743E-2</v>
      </c>
    </row>
    <row r="51" spans="2:8" ht="16.5">
      <c r="B51" s="282" t="s">
        <v>252</v>
      </c>
      <c r="D51" s="283">
        <v>3773.94</v>
      </c>
      <c r="E51" s="182">
        <f t="shared" si="0"/>
        <v>-1.5356919223544208E-2</v>
      </c>
      <c r="G51" s="288">
        <v>22466.1</v>
      </c>
      <c r="H51" s="182">
        <f t="shared" si="1"/>
        <v>1.8630527041241907E-2</v>
      </c>
    </row>
    <row r="52" spans="2:8" ht="16.5">
      <c r="B52" s="282" t="s">
        <v>253</v>
      </c>
      <c r="D52" s="283">
        <v>3789.1</v>
      </c>
      <c r="E52" s="182">
        <f t="shared" si="0"/>
        <v>4.0170219982298416E-3</v>
      </c>
      <c r="G52" s="288">
        <v>22957.1</v>
      </c>
      <c r="H52" s="182">
        <f t="shared" si="1"/>
        <v>2.1855150649200406E-2</v>
      </c>
    </row>
    <row r="53" spans="2:8" ht="16.5">
      <c r="B53" s="282" t="s">
        <v>254</v>
      </c>
      <c r="D53" s="283">
        <v>3613.35</v>
      </c>
      <c r="E53" s="182">
        <f t="shared" si="0"/>
        <v>-4.6383046105935466E-2</v>
      </c>
      <c r="G53" s="288">
        <v>22530.7</v>
      </c>
      <c r="H53" s="182">
        <f t="shared" si="1"/>
        <v>-1.8573774562117951E-2</v>
      </c>
    </row>
    <row r="54" spans="2:8" ht="16.5">
      <c r="B54" s="282" t="s">
        <v>255</v>
      </c>
      <c r="D54" s="283">
        <v>3832.85</v>
      </c>
      <c r="E54" s="182">
        <f t="shared" si="0"/>
        <v>6.0746952274205457E-2</v>
      </c>
      <c r="G54" s="288">
        <v>23290.15</v>
      </c>
      <c r="H54" s="182">
        <f t="shared" si="1"/>
        <v>3.3707341538434354E-2</v>
      </c>
    </row>
    <row r="55" spans="2:8" ht="16.5">
      <c r="B55" s="282" t="s">
        <v>256</v>
      </c>
      <c r="D55" s="283">
        <v>3771.92</v>
      </c>
      <c r="E55" s="182">
        <f t="shared" si="0"/>
        <v>-1.589678698618513E-2</v>
      </c>
      <c r="G55" s="288">
        <v>23465.599999999999</v>
      </c>
      <c r="H55" s="182">
        <f t="shared" si="1"/>
        <v>7.5332275661599279E-3</v>
      </c>
    </row>
    <row r="56" spans="2:8" ht="16.5">
      <c r="B56" s="282" t="s">
        <v>257</v>
      </c>
      <c r="D56" s="283">
        <v>3750.96</v>
      </c>
      <c r="E56" s="182">
        <f t="shared" si="0"/>
        <v>-5.5568516829624937E-3</v>
      </c>
      <c r="G56" s="288">
        <v>23501.1</v>
      </c>
      <c r="H56" s="182">
        <f t="shared" si="1"/>
        <v>1.5128528569481325E-3</v>
      </c>
    </row>
    <row r="57" spans="2:8" ht="16.5">
      <c r="B57" s="282" t="s">
        <v>258</v>
      </c>
      <c r="D57" s="283">
        <v>3842.89</v>
      </c>
      <c r="E57" s="182">
        <f t="shared" si="0"/>
        <v>2.4508392518181932E-2</v>
      </c>
      <c r="G57" s="288">
        <v>24010.6</v>
      </c>
      <c r="H57" s="182">
        <f t="shared" si="1"/>
        <v>2.1679836262983532E-2</v>
      </c>
    </row>
    <row r="58" spans="2:8" ht="16.5">
      <c r="B58" s="282" t="s">
        <v>259</v>
      </c>
      <c r="D58" s="283">
        <v>3948.85</v>
      </c>
      <c r="E58" s="182">
        <f t="shared" si="0"/>
        <v>2.7572998446481645E-2</v>
      </c>
      <c r="G58" s="288">
        <v>24323.85</v>
      </c>
      <c r="H58" s="182">
        <f t="shared" si="1"/>
        <v>1.3046321208133094E-2</v>
      </c>
    </row>
    <row r="59" spans="2:8" ht="16.5">
      <c r="B59" s="282" t="s">
        <v>260</v>
      </c>
      <c r="D59" s="283">
        <v>4118.3</v>
      </c>
      <c r="E59" s="182">
        <f t="shared" si="0"/>
        <v>4.2911227319346157E-2</v>
      </c>
      <c r="G59" s="288">
        <v>24502.15</v>
      </c>
      <c r="H59" s="182">
        <f t="shared" si="1"/>
        <v>7.3302540510651326E-3</v>
      </c>
    </row>
    <row r="60" spans="2:8" ht="16.5">
      <c r="B60" s="282" t="s">
        <v>261</v>
      </c>
      <c r="D60" s="283">
        <v>4234.8900000000003</v>
      </c>
      <c r="E60" s="182">
        <f t="shared" si="0"/>
        <v>2.8310225092878172E-2</v>
      </c>
      <c r="G60" s="288">
        <v>24530.9</v>
      </c>
      <c r="H60" s="182">
        <f t="shared" si="1"/>
        <v>1.1733664188653403E-3</v>
      </c>
    </row>
    <row r="61" spans="2:8" ht="16.5">
      <c r="B61" s="282" t="s">
        <v>262</v>
      </c>
      <c r="D61" s="283">
        <v>4319</v>
      </c>
      <c r="E61" s="182">
        <f t="shared" si="0"/>
        <v>1.9861200645117094E-2</v>
      </c>
      <c r="G61" s="288">
        <v>24834.85</v>
      </c>
      <c r="H61" s="182">
        <f t="shared" si="1"/>
        <v>1.2390495252925682E-2</v>
      </c>
    </row>
    <row r="62" spans="2:8" ht="16.5">
      <c r="B62" s="282" t="s">
        <v>263</v>
      </c>
      <c r="D62" s="283">
        <v>4215.8500000000004</v>
      </c>
      <c r="E62" s="182">
        <f t="shared" si="0"/>
        <v>-2.3882843250752406E-2</v>
      </c>
      <c r="G62" s="288">
        <v>24717.7</v>
      </c>
      <c r="H62" s="182">
        <f t="shared" si="1"/>
        <v>-4.7171615693268887E-3</v>
      </c>
    </row>
    <row r="63" spans="2:8" ht="16.5">
      <c r="B63" s="282" t="s">
        <v>264</v>
      </c>
      <c r="D63" s="283">
        <v>4162.3999999999996</v>
      </c>
      <c r="E63" s="182">
        <f t="shared" si="0"/>
        <v>-1.2678344817771192E-2</v>
      </c>
      <c r="G63" s="288">
        <v>24367.5</v>
      </c>
      <c r="H63" s="182">
        <f t="shared" si="1"/>
        <v>-1.4167984885325113E-2</v>
      </c>
    </row>
    <row r="64" spans="2:8" ht="16.5">
      <c r="B64" s="282" t="s">
        <v>265</v>
      </c>
      <c r="D64" s="283">
        <v>4346.76</v>
      </c>
      <c r="E64" s="182">
        <f t="shared" si="0"/>
        <v>4.4291754756871082E-2</v>
      </c>
      <c r="G64" s="288">
        <v>24541.15</v>
      </c>
      <c r="H64" s="182">
        <f t="shared" si="1"/>
        <v>7.1262952703396998E-3</v>
      </c>
    </row>
    <row r="65" spans="2:8" ht="16.5">
      <c r="B65" s="282" t="s">
        <v>266</v>
      </c>
      <c r="D65" s="283">
        <v>4393.8599999999997</v>
      </c>
      <c r="E65" s="182">
        <f t="shared" si="0"/>
        <v>1.0835656903072532E-2</v>
      </c>
      <c r="G65" s="288">
        <v>24823.15</v>
      </c>
      <c r="H65" s="182">
        <f t="shared" si="1"/>
        <v>1.1490904052988471E-2</v>
      </c>
    </row>
    <row r="66" spans="2:8" ht="16.5">
      <c r="B66" s="282" t="s">
        <v>267</v>
      </c>
      <c r="D66" s="283">
        <v>4482.3</v>
      </c>
      <c r="E66" s="182">
        <f t="shared" si="0"/>
        <v>2.0128087831656094E-2</v>
      </c>
      <c r="G66" s="288">
        <v>25235.9</v>
      </c>
      <c r="H66" s="182">
        <f t="shared" si="1"/>
        <v>1.6627623810837822E-2</v>
      </c>
    </row>
    <row r="67" spans="2:8" ht="16.5">
      <c r="B67" s="282" t="s">
        <v>268</v>
      </c>
      <c r="D67" s="283">
        <v>4386.82</v>
      </c>
      <c r="E67" s="182">
        <f t="shared" si="0"/>
        <v>-2.1301563929232881E-2</v>
      </c>
      <c r="G67" s="288">
        <v>24852.15</v>
      </c>
      <c r="H67" s="182">
        <f t="shared" si="1"/>
        <v>-1.5206511358818231E-2</v>
      </c>
    </row>
    <row r="68" spans="2:8" ht="16.5">
      <c r="B68" s="282" t="s">
        <v>269</v>
      </c>
      <c r="D68" s="283">
        <v>4451.6400000000003</v>
      </c>
      <c r="E68" s="182">
        <f t="shared" si="0"/>
        <v>1.4776079255588437E-2</v>
      </c>
      <c r="G68" s="288">
        <v>25356.5</v>
      </c>
      <c r="H68" s="182">
        <f t="shared" si="1"/>
        <v>2.0294018827344829E-2</v>
      </c>
    </row>
    <row r="69" spans="2:8" ht="16.5">
      <c r="B69" s="282" t="s">
        <v>270</v>
      </c>
      <c r="D69" s="283">
        <v>4217.67</v>
      </c>
      <c r="E69" s="182">
        <f t="shared" si="0"/>
        <v>-5.2558158341644901E-2</v>
      </c>
      <c r="G69" s="288">
        <v>25790.95</v>
      </c>
      <c r="H69" s="182">
        <f t="shared" si="1"/>
        <v>1.7133673811448702E-2</v>
      </c>
    </row>
    <row r="70" spans="2:8" ht="16.5">
      <c r="B70" s="282" t="s">
        <v>271</v>
      </c>
      <c r="D70" s="283">
        <v>4241.09</v>
      </c>
      <c r="E70" s="182">
        <f t="shared" si="0"/>
        <v>5.5528289316140178E-3</v>
      </c>
      <c r="G70" s="288">
        <v>26178.95</v>
      </c>
      <c r="H70" s="182">
        <f t="shared" si="1"/>
        <v>1.5044036764834123E-2</v>
      </c>
    </row>
    <row r="71" spans="2:8" ht="16.5">
      <c r="B71" s="282" t="s">
        <v>272</v>
      </c>
      <c r="D71" s="283">
        <v>4185.53</v>
      </c>
      <c r="E71" s="182">
        <f t="shared" si="0"/>
        <v>-1.310040579190741E-2</v>
      </c>
      <c r="G71" s="288">
        <v>25014.6</v>
      </c>
      <c r="H71" s="182">
        <f t="shared" si="1"/>
        <v>-4.4476573735768743E-2</v>
      </c>
    </row>
    <row r="72" spans="2:8" ht="16.5">
      <c r="B72" s="282" t="s">
        <v>273</v>
      </c>
      <c r="D72" s="283">
        <v>4084.09</v>
      </c>
      <c r="E72" s="182">
        <f t="shared" ref="E72:E110" si="2">D72/D71-1</f>
        <v>-2.4235879327110244E-2</v>
      </c>
      <c r="G72" s="288">
        <v>24964.25</v>
      </c>
      <c r="H72" s="182">
        <f t="shared" ref="H72:H110" si="3">G72/G71-1</f>
        <v>-2.0128245104857889E-3</v>
      </c>
    </row>
    <row r="73" spans="2:8" ht="16.5">
      <c r="B73" s="282" t="s">
        <v>274</v>
      </c>
      <c r="D73" s="283">
        <v>4058.35</v>
      </c>
      <c r="E73" s="182">
        <f t="shared" si="2"/>
        <v>-6.3025055765176807E-3</v>
      </c>
      <c r="G73" s="288">
        <v>24854.05</v>
      </c>
      <c r="H73" s="182">
        <f t="shared" si="3"/>
        <v>-4.4143124668275524E-3</v>
      </c>
    </row>
    <row r="74" spans="2:8" ht="16.5">
      <c r="B74" s="282" t="s">
        <v>275</v>
      </c>
      <c r="D74" s="283">
        <v>3993.88</v>
      </c>
      <c r="E74" s="182">
        <f t="shared" si="2"/>
        <v>-1.5885766382889521E-2</v>
      </c>
      <c r="G74" s="288">
        <v>24180.799999999999</v>
      </c>
      <c r="H74" s="182">
        <f t="shared" si="3"/>
        <v>-2.7088140564616281E-2</v>
      </c>
    </row>
    <row r="75" spans="2:8" ht="16.5">
      <c r="B75" s="282" t="s">
        <v>276</v>
      </c>
      <c r="D75" s="283">
        <v>3921.68</v>
      </c>
      <c r="E75" s="182">
        <f t="shared" si="2"/>
        <v>-1.8077658817991615E-2</v>
      </c>
      <c r="G75" s="288">
        <v>24304.35</v>
      </c>
      <c r="H75" s="182">
        <f t="shared" si="3"/>
        <v>5.1094256600276999E-3</v>
      </c>
    </row>
    <row r="76" spans="2:8" ht="16.5">
      <c r="B76" s="282" t="s">
        <v>277</v>
      </c>
      <c r="D76" s="283">
        <v>4081.93</v>
      </c>
      <c r="E76" s="182">
        <f t="shared" si="2"/>
        <v>4.0862589502458135E-2</v>
      </c>
      <c r="G76" s="288">
        <v>24148.2</v>
      </c>
      <c r="H76" s="182">
        <f t="shared" si="3"/>
        <v>-6.4247758117372822E-3</v>
      </c>
    </row>
    <row r="77" spans="2:8" ht="16.5">
      <c r="B77" s="282" t="s">
        <v>278</v>
      </c>
      <c r="D77" s="283">
        <v>4080.85</v>
      </c>
      <c r="E77" s="182">
        <f t="shared" si="2"/>
        <v>-2.645807252941168E-4</v>
      </c>
      <c r="G77" s="288">
        <v>23532.7</v>
      </c>
      <c r="H77" s="182">
        <f t="shared" si="3"/>
        <v>-2.5488442202731498E-2</v>
      </c>
    </row>
    <row r="78" spans="2:8" ht="16.5">
      <c r="B78" s="282" t="s">
        <v>279</v>
      </c>
      <c r="D78" s="283">
        <v>4178</v>
      </c>
      <c r="E78" s="182">
        <f t="shared" si="2"/>
        <v>2.38063148608747E-2</v>
      </c>
      <c r="G78" s="288">
        <v>23907.25</v>
      </c>
      <c r="H78" s="182">
        <f t="shared" si="3"/>
        <v>1.5916150717937061E-2</v>
      </c>
    </row>
    <row r="79" spans="2:8" ht="16.5">
      <c r="B79" s="282" t="s">
        <v>280</v>
      </c>
      <c r="D79" s="283">
        <v>4203.84</v>
      </c>
      <c r="E79" s="182">
        <f t="shared" si="2"/>
        <v>6.184777405457087E-3</v>
      </c>
      <c r="G79" s="288">
        <v>24131.1</v>
      </c>
      <c r="H79" s="182">
        <f t="shared" si="3"/>
        <v>9.3632684645870157E-3</v>
      </c>
    </row>
    <row r="80" spans="2:8" ht="16.5">
      <c r="B80" s="282" t="s">
        <v>281</v>
      </c>
      <c r="D80" s="283">
        <v>4375.75</v>
      </c>
      <c r="E80" s="182">
        <f t="shared" si="2"/>
        <v>4.0893563979599534E-2</v>
      </c>
      <c r="G80" s="288">
        <v>24677.8</v>
      </c>
      <c r="H80" s="182">
        <f t="shared" si="3"/>
        <v>2.2655411481449228E-2</v>
      </c>
    </row>
    <row r="81" spans="2:8" ht="16.5">
      <c r="B81" s="282" t="s">
        <v>282</v>
      </c>
      <c r="D81" s="283">
        <v>4403.7</v>
      </c>
      <c r="E81" s="182">
        <f t="shared" si="2"/>
        <v>6.3874764326115052E-3</v>
      </c>
      <c r="G81" s="288">
        <v>24768.3</v>
      </c>
      <c r="H81" s="182">
        <f t="shared" si="3"/>
        <v>3.6672636944945491E-3</v>
      </c>
    </row>
    <row r="82" spans="2:8" ht="16.5">
      <c r="B82" s="282" t="s">
        <v>283</v>
      </c>
      <c r="D82" s="283">
        <v>4104.8599999999997</v>
      </c>
      <c r="E82" s="182">
        <f t="shared" si="2"/>
        <v>-6.7861116788155429E-2</v>
      </c>
      <c r="G82" s="288">
        <v>23587.5</v>
      </c>
      <c r="H82" s="182">
        <f t="shared" si="3"/>
        <v>-4.7673841159869612E-2</v>
      </c>
    </row>
    <row r="83" spans="2:8" ht="16.5">
      <c r="B83" s="282" t="s">
        <v>284</v>
      </c>
      <c r="D83" s="283">
        <v>4099.5</v>
      </c>
      <c r="E83" s="182">
        <f t="shared" si="2"/>
        <v>-1.3057692588783754E-3</v>
      </c>
      <c r="G83" s="288">
        <v>23813.4</v>
      </c>
      <c r="H83" s="182">
        <f t="shared" si="3"/>
        <v>9.5771065182830295E-3</v>
      </c>
    </row>
    <row r="84" spans="2:8" ht="16.5">
      <c r="B84" s="282" t="s">
        <v>285</v>
      </c>
      <c r="D84" s="283">
        <v>4035.57</v>
      </c>
      <c r="E84" s="182">
        <f t="shared" si="2"/>
        <v>-1.5594584705451831E-2</v>
      </c>
      <c r="G84" s="288">
        <v>24004.75</v>
      </c>
      <c r="H84" s="182">
        <f t="shared" si="3"/>
        <v>8.035391838208783E-3</v>
      </c>
    </row>
    <row r="85" spans="2:8" ht="16.5">
      <c r="B85" s="282" t="s">
        <v>286</v>
      </c>
      <c r="D85" s="283">
        <v>4198.72</v>
      </c>
      <c r="E85" s="182">
        <f t="shared" si="2"/>
        <v>4.0427994062796513E-2</v>
      </c>
      <c r="G85" s="288">
        <v>23431.5</v>
      </c>
      <c r="H85" s="182">
        <f t="shared" si="3"/>
        <v>-2.3880690280048689E-2</v>
      </c>
    </row>
    <row r="86" spans="2:8" ht="16.5">
      <c r="B86" s="282" t="s">
        <v>287</v>
      </c>
      <c r="D86" s="283">
        <v>4124.3</v>
      </c>
      <c r="E86" s="182">
        <f t="shared" si="2"/>
        <v>-1.7724449355994265E-2</v>
      </c>
      <c r="G86" s="288">
        <v>23203.200000000001</v>
      </c>
      <c r="H86" s="182">
        <f t="shared" si="3"/>
        <v>-9.7432942833365344E-3</v>
      </c>
    </row>
    <row r="87" spans="2:8" ht="16.5">
      <c r="B87" s="282" t="s">
        <v>288</v>
      </c>
      <c r="D87" s="283">
        <v>4152.3500000000004</v>
      </c>
      <c r="E87" s="182">
        <f t="shared" si="2"/>
        <v>6.8011541352472893E-3</v>
      </c>
      <c r="G87" s="288">
        <v>23092.2</v>
      </c>
      <c r="H87" s="182">
        <f t="shared" si="3"/>
        <v>-4.7838229209764549E-3</v>
      </c>
    </row>
    <row r="88" spans="2:8" ht="16.5">
      <c r="B88" s="282" t="s">
        <v>289</v>
      </c>
      <c r="D88" s="283">
        <v>4112.3999999999996</v>
      </c>
      <c r="E88" s="182">
        <f t="shared" si="2"/>
        <v>-9.6210579551340158E-3</v>
      </c>
      <c r="G88" s="288">
        <v>23508.400000000001</v>
      </c>
      <c r="H88" s="182">
        <f t="shared" si="3"/>
        <v>1.8023401841314346E-2</v>
      </c>
    </row>
    <row r="89" spans="2:8" ht="16.5">
      <c r="B89" s="282" t="s">
        <v>290</v>
      </c>
      <c r="D89" s="283">
        <v>4029.4</v>
      </c>
      <c r="E89" s="182">
        <f t="shared" si="2"/>
        <v>-2.0182861589339463E-2</v>
      </c>
      <c r="G89" s="288">
        <v>23559.95</v>
      </c>
      <c r="H89" s="182">
        <f t="shared" si="3"/>
        <v>2.1928332000475947E-3</v>
      </c>
    </row>
    <row r="90" spans="2:8" ht="16.5">
      <c r="B90" s="282" t="s">
        <v>291</v>
      </c>
      <c r="D90" s="283">
        <v>3934.85</v>
      </c>
      <c r="E90" s="182">
        <f t="shared" si="2"/>
        <v>-2.3465032014692078E-2</v>
      </c>
      <c r="G90" s="288">
        <v>22929.25</v>
      </c>
      <c r="H90" s="182">
        <f t="shared" si="3"/>
        <v>-2.6770005878620329E-2</v>
      </c>
    </row>
    <row r="91" spans="2:8" ht="16.5">
      <c r="B91" s="282" t="s">
        <v>292</v>
      </c>
      <c r="D91" s="283">
        <v>3786</v>
      </c>
      <c r="E91" s="182">
        <f t="shared" si="2"/>
        <v>-3.7828633874226414E-2</v>
      </c>
      <c r="G91" s="288">
        <v>22795.9</v>
      </c>
      <c r="H91" s="182">
        <f t="shared" si="3"/>
        <v>-5.8157157342695331E-3</v>
      </c>
    </row>
    <row r="92" spans="2:8" ht="16.5">
      <c r="B92" s="282" t="s">
        <v>293</v>
      </c>
      <c r="D92" s="283">
        <v>3483.25</v>
      </c>
      <c r="E92" s="182">
        <f t="shared" si="2"/>
        <v>-7.9965662968832563E-2</v>
      </c>
      <c r="G92" s="288">
        <v>22124.7</v>
      </c>
      <c r="H92" s="182">
        <f t="shared" si="3"/>
        <v>-2.9443891226053842E-2</v>
      </c>
    </row>
    <row r="93" spans="2:8" ht="16.5">
      <c r="B93" s="282" t="s">
        <v>294</v>
      </c>
      <c r="D93" s="283">
        <v>3611.2</v>
      </c>
      <c r="E93" s="182">
        <f t="shared" si="2"/>
        <v>3.6732936194645793E-2</v>
      </c>
      <c r="G93" s="288">
        <v>22552.5</v>
      </c>
      <c r="H93" s="182">
        <f t="shared" si="3"/>
        <v>1.9335855401429125E-2</v>
      </c>
    </row>
    <row r="94" spans="2:8" ht="16.5">
      <c r="B94" s="282" t="s">
        <v>295</v>
      </c>
      <c r="D94" s="283">
        <v>3511.05</v>
      </c>
      <c r="E94" s="182">
        <f t="shared" si="2"/>
        <v>-2.7733163491360124E-2</v>
      </c>
      <c r="G94" s="288">
        <v>22397.200000000001</v>
      </c>
      <c r="H94" s="182">
        <f t="shared" si="3"/>
        <v>-6.8861545283227521E-3</v>
      </c>
    </row>
    <row r="95" spans="2:8" ht="16.5">
      <c r="B95" s="282" t="s">
        <v>296</v>
      </c>
      <c r="D95" s="283">
        <v>3578.1</v>
      </c>
      <c r="E95" s="182">
        <f t="shared" si="2"/>
        <v>1.9096851369248435E-2</v>
      </c>
      <c r="G95" s="288">
        <v>23350.400000000001</v>
      </c>
      <c r="H95" s="182">
        <f t="shared" si="3"/>
        <v>4.2558891289982803E-2</v>
      </c>
    </row>
    <row r="96" spans="2:8" ht="16.5">
      <c r="B96" s="282" t="s">
        <v>297</v>
      </c>
      <c r="D96" s="283">
        <v>3606.15</v>
      </c>
      <c r="E96" s="182">
        <f t="shared" si="2"/>
        <v>7.8393560828373676E-3</v>
      </c>
      <c r="G96" s="288">
        <v>23519.35</v>
      </c>
      <c r="H96" s="182">
        <f t="shared" si="3"/>
        <v>7.2354220912702605E-3</v>
      </c>
    </row>
    <row r="97" spans="2:8" ht="16.5">
      <c r="B97" s="282" t="s">
        <v>298</v>
      </c>
      <c r="D97" s="283">
        <v>3299.4</v>
      </c>
      <c r="E97" s="182">
        <f t="shared" si="2"/>
        <v>-8.5063017345368364E-2</v>
      </c>
      <c r="G97" s="288">
        <v>22904.45</v>
      </c>
      <c r="H97" s="182">
        <f t="shared" si="3"/>
        <v>-2.6144430011883713E-2</v>
      </c>
    </row>
    <row r="98" spans="2:8" ht="16.5">
      <c r="B98" s="282" t="s">
        <v>299</v>
      </c>
      <c r="D98" s="283">
        <v>3231.5</v>
      </c>
      <c r="E98" s="182">
        <f t="shared" si="2"/>
        <v>-2.0579499302903592E-2</v>
      </c>
      <c r="G98" s="288">
        <v>22828.55</v>
      </c>
      <c r="H98" s="182">
        <f t="shared" si="3"/>
        <v>-3.3137665388167648E-3</v>
      </c>
    </row>
    <row r="99" spans="2:8" ht="16.5">
      <c r="B99" s="282" t="s">
        <v>300</v>
      </c>
      <c r="D99" s="283">
        <v>3298.9</v>
      </c>
      <c r="E99" s="182">
        <f t="shared" si="2"/>
        <v>2.085718706483064E-2</v>
      </c>
      <c r="G99" s="288">
        <v>23851.65</v>
      </c>
      <c r="H99" s="182">
        <f t="shared" si="3"/>
        <v>4.4816687875489425E-2</v>
      </c>
    </row>
    <row r="100" spans="2:8" ht="16.5">
      <c r="B100" s="282" t="s">
        <v>301</v>
      </c>
      <c r="D100" s="283">
        <v>3448</v>
      </c>
      <c r="E100" s="182">
        <f t="shared" si="2"/>
        <v>4.5196883809754729E-2</v>
      </c>
      <c r="G100" s="288">
        <v>24039.35</v>
      </c>
      <c r="H100" s="182">
        <f t="shared" si="3"/>
        <v>7.86947653516612E-3</v>
      </c>
    </row>
    <row r="101" spans="2:8" ht="16.5">
      <c r="B101" s="282" t="s">
        <v>302</v>
      </c>
      <c r="D101" s="283">
        <v>3444.7</v>
      </c>
      <c r="E101" s="182">
        <f t="shared" si="2"/>
        <v>-9.5707656612531444E-4</v>
      </c>
      <c r="G101" s="288">
        <v>24346.7</v>
      </c>
      <c r="H101" s="182">
        <f t="shared" si="3"/>
        <v>1.2785287455775673E-2</v>
      </c>
    </row>
    <row r="102" spans="2:8" ht="16.5">
      <c r="B102" s="282" t="s">
        <v>303</v>
      </c>
      <c r="D102" s="283">
        <v>3440.3</v>
      </c>
      <c r="E102" s="182">
        <f t="shared" si="2"/>
        <v>-1.2773245855951521E-3</v>
      </c>
      <c r="G102" s="288">
        <v>24008</v>
      </c>
      <c r="H102" s="182">
        <f t="shared" si="3"/>
        <v>-1.391153626569519E-2</v>
      </c>
    </row>
    <row r="103" spans="2:8" ht="16.5">
      <c r="B103" s="282" t="s">
        <v>304</v>
      </c>
      <c r="D103" s="283">
        <v>3561.3</v>
      </c>
      <c r="E103" s="182">
        <f t="shared" si="2"/>
        <v>3.5171351335639311E-2</v>
      </c>
      <c r="G103" s="288">
        <v>25019.8</v>
      </c>
      <c r="H103" s="182">
        <f t="shared" si="3"/>
        <v>4.2144285238253865E-2</v>
      </c>
    </row>
    <row r="104" spans="2:8" ht="16.5">
      <c r="B104" s="282" t="s">
        <v>305</v>
      </c>
      <c r="D104" s="283">
        <v>3514.6</v>
      </c>
      <c r="E104" s="182">
        <f t="shared" si="2"/>
        <v>-1.311318900401548E-2</v>
      </c>
      <c r="G104" s="288">
        <v>24853.15</v>
      </c>
      <c r="H104" s="182">
        <f t="shared" si="3"/>
        <v>-6.660724706032739E-3</v>
      </c>
    </row>
    <row r="105" spans="2:8" ht="16.5">
      <c r="B105" s="282" t="s">
        <v>306</v>
      </c>
      <c r="D105" s="283">
        <v>3463.4</v>
      </c>
      <c r="E105" s="182">
        <f t="shared" si="2"/>
        <v>-1.456780287941728E-2</v>
      </c>
      <c r="G105" s="288">
        <v>24750.7</v>
      </c>
      <c r="H105" s="182">
        <f t="shared" si="3"/>
        <v>-4.1222138843567402E-3</v>
      </c>
    </row>
    <row r="106" spans="2:8" ht="16.5">
      <c r="B106" s="282" t="s">
        <v>307</v>
      </c>
      <c r="D106" s="283">
        <v>3384.2</v>
      </c>
      <c r="E106" s="182">
        <f t="shared" si="2"/>
        <v>-2.2867702257896916E-2</v>
      </c>
      <c r="G106" s="288">
        <v>25003.05</v>
      </c>
      <c r="H106" s="182">
        <f t="shared" si="3"/>
        <v>1.0195671233540704E-2</v>
      </c>
    </row>
    <row r="107" spans="2:8" ht="16.5">
      <c r="B107" s="282" t="s">
        <v>308</v>
      </c>
      <c r="D107" s="283">
        <v>3445.7</v>
      </c>
      <c r="E107" s="182">
        <f t="shared" si="2"/>
        <v>1.8172684829501851E-2</v>
      </c>
      <c r="G107" s="288">
        <v>24718.6</v>
      </c>
      <c r="H107" s="182">
        <f t="shared" si="3"/>
        <v>-1.1376612053329516E-2</v>
      </c>
    </row>
    <row r="108" spans="2:8" ht="16.5">
      <c r="B108" s="282" t="s">
        <v>309</v>
      </c>
      <c r="D108" s="283">
        <v>3435.7</v>
      </c>
      <c r="E108" s="182">
        <f t="shared" si="2"/>
        <v>-2.9021679194358718E-3</v>
      </c>
      <c r="G108" s="288">
        <v>25112.400000000001</v>
      </c>
      <c r="H108" s="182">
        <f t="shared" si="3"/>
        <v>1.5931322971365791E-2</v>
      </c>
    </row>
    <row r="109" spans="2:8" ht="16.5">
      <c r="B109" s="282" t="s">
        <v>310</v>
      </c>
      <c r="D109" s="283">
        <v>3441.1</v>
      </c>
      <c r="E109" s="182">
        <f t="shared" si="2"/>
        <v>1.5717321069941281E-3</v>
      </c>
      <c r="G109" s="288">
        <v>25637.8</v>
      </c>
      <c r="H109" s="182">
        <f t="shared" si="3"/>
        <v>2.092193498032846E-2</v>
      </c>
    </row>
    <row r="110" spans="2:8" ht="16.5">
      <c r="B110" s="284" t="s">
        <v>311</v>
      </c>
      <c r="C110" s="111"/>
      <c r="D110" s="285">
        <v>3419.8</v>
      </c>
      <c r="E110" s="286">
        <f t="shared" si="2"/>
        <v>-6.1898811426578382E-3</v>
      </c>
      <c r="G110" s="289">
        <v>25461</v>
      </c>
      <c r="H110" s="286">
        <f t="shared" si="3"/>
        <v>-6.8960675252947023E-3</v>
      </c>
    </row>
  </sheetData>
  <mergeCells count="5">
    <mergeCell ref="B3:E3"/>
    <mergeCell ref="G3:H3"/>
    <mergeCell ref="M3:N3"/>
    <mergeCell ref="J3:K3"/>
    <mergeCell ref="M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Model</vt:lpstr>
      <vt:lpstr>DCF</vt:lpstr>
      <vt:lpstr>Comps. Analysis</vt:lpstr>
      <vt:lpstr>WACC</vt:lpstr>
      <vt:lpstr>Revenue&amp;Expenses</vt:lpstr>
      <vt:lpstr>Supporting Schedules</vt:lpstr>
      <vt:lpstr>Assets</vt:lpstr>
      <vt:lpstr>Liabilities</vt:lpstr>
      <vt:lpstr>Beta&amp; 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singh</dc:creator>
  <cp:lastModifiedBy>abhishek kumar singh</cp:lastModifiedBy>
  <dcterms:created xsi:type="dcterms:W3CDTF">2025-07-25T18:47:08Z</dcterms:created>
  <dcterms:modified xsi:type="dcterms:W3CDTF">2025-08-28T19:47:44Z</dcterms:modified>
</cp:coreProperties>
</file>